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matth\Downloads\"/>
    </mc:Choice>
  </mc:AlternateContent>
  <xr:revisionPtr revIDLastSave="0" documentId="13_ncr:1_{E03CDC46-0433-4352-975E-C73D4376EA41}" xr6:coauthVersionLast="47" xr6:coauthVersionMax="47" xr10:uidLastSave="{00000000-0000-0000-0000-000000000000}"/>
  <bookViews>
    <workbookView xWindow="-110" yWindow="-110" windowWidth="38620" windowHeight="21100" xr2:uid="{DF6199FC-0DBA-4095-AF57-CA2A1CC7B129}"/>
  </bookViews>
  <sheets>
    <sheet name="FEED" sheetId="2" r:id="rId1"/>
    <sheet name="Customer Scenario Forecast" sheetId="1" r:id="rId2"/>
    <sheet name="Incremental Network SummerFcast" sheetId="3" r:id="rId3"/>
    <sheet name="Incremental Network WinterFcast" sheetId="5" r:id="rId4"/>
    <sheet name="Projects" sheetId="4" r:id="rId5"/>
  </sheets>
  <definedNames>
    <definedName name="_xlnm._FilterDatabase" localSheetId="1" hidden="1">'Customer Scenario Forecast'!$H$3:$H$391</definedName>
    <definedName name="_xlnm._FilterDatabase" localSheetId="0" hidden="1">FEED!$C$5:$T$25</definedName>
    <definedName name="_Ref106110859" localSheetId="1">'Customer Scenario Forecast'!$A$209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6" i="1" l="1"/>
  <c r="A244" i="1"/>
  <c r="S64" i="2"/>
  <c r="P62" i="2"/>
  <c r="J392" i="1"/>
  <c r="K392" i="1"/>
  <c r="J367" i="1"/>
  <c r="I367" i="1"/>
  <c r="L366" i="1"/>
  <c r="K366" i="1"/>
  <c r="J366" i="1"/>
  <c r="I366" i="1"/>
  <c r="H366" i="1"/>
  <c r="G366" i="1"/>
  <c r="F366" i="1"/>
  <c r="E366" i="1"/>
  <c r="D366" i="1"/>
  <c r="C366" i="1"/>
  <c r="L365" i="1"/>
  <c r="L367" i="1" s="1"/>
  <c r="K365" i="1"/>
  <c r="K367" i="1" s="1"/>
  <c r="J365" i="1"/>
  <c r="I365" i="1"/>
  <c r="H365" i="1"/>
  <c r="H367" i="1" s="1"/>
  <c r="G365" i="1"/>
  <c r="G367" i="1" s="1"/>
  <c r="F365" i="1"/>
  <c r="F367" i="1" s="1"/>
  <c r="E365" i="1"/>
  <c r="E367" i="1" s="1"/>
  <c r="D365" i="1"/>
  <c r="D367" i="1" s="1"/>
  <c r="C365" i="1"/>
  <c r="C367" i="1" s="1"/>
  <c r="B375" i="1"/>
  <c r="B372" i="1"/>
  <c r="B366" i="1"/>
  <c r="B369" i="1"/>
  <c r="B374" i="1"/>
  <c r="B371" i="1"/>
  <c r="B368" i="1"/>
  <c r="B365" i="1"/>
  <c r="B354" i="1"/>
  <c r="B353" i="1"/>
  <c r="B352" i="1"/>
  <c r="C351" i="1"/>
  <c r="D351" i="1" s="1"/>
  <c r="E351" i="1" s="1"/>
  <c r="F351" i="1" s="1"/>
  <c r="G351" i="1" s="1"/>
  <c r="H351" i="1" s="1"/>
  <c r="I351" i="1" s="1"/>
  <c r="J351" i="1" s="1"/>
  <c r="K351" i="1" s="1"/>
  <c r="L351" i="1" s="1"/>
  <c r="L350" i="1"/>
  <c r="K350" i="1"/>
  <c r="J350" i="1"/>
  <c r="I350" i="1"/>
  <c r="H350" i="1"/>
  <c r="G350" i="1"/>
  <c r="F350" i="1"/>
  <c r="E350" i="1"/>
  <c r="D350" i="1"/>
  <c r="C350" i="1"/>
  <c r="B350" i="1"/>
  <c r="A350" i="1"/>
  <c r="I349" i="1"/>
  <c r="H349" i="1"/>
  <c r="G349" i="1"/>
  <c r="A349" i="1"/>
  <c r="B347" i="1"/>
  <c r="B346" i="1"/>
  <c r="B345" i="1"/>
  <c r="C344" i="1"/>
  <c r="D344" i="1" s="1"/>
  <c r="E344" i="1" s="1"/>
  <c r="F344" i="1" s="1"/>
  <c r="G344" i="1" s="1"/>
  <c r="H344" i="1" s="1"/>
  <c r="I344" i="1" s="1"/>
  <c r="J344" i="1" s="1"/>
  <c r="K344" i="1" s="1"/>
  <c r="L344" i="1" s="1"/>
  <c r="L343" i="1"/>
  <c r="K343" i="1"/>
  <c r="J343" i="1"/>
  <c r="I343" i="1"/>
  <c r="H343" i="1"/>
  <c r="G343" i="1"/>
  <c r="F343" i="1"/>
  <c r="E343" i="1"/>
  <c r="D343" i="1"/>
  <c r="C343" i="1"/>
  <c r="B343" i="1"/>
  <c r="A343" i="1"/>
  <c r="I342" i="1"/>
  <c r="H342" i="1"/>
  <c r="G342" i="1"/>
  <c r="A342" i="1"/>
  <c r="B340" i="1"/>
  <c r="B339" i="1"/>
  <c r="B338" i="1"/>
  <c r="C337" i="1"/>
  <c r="D337" i="1" s="1"/>
  <c r="E337" i="1" s="1"/>
  <c r="F337" i="1" s="1"/>
  <c r="G337" i="1" s="1"/>
  <c r="H337" i="1" s="1"/>
  <c r="I337" i="1" s="1"/>
  <c r="J337" i="1" s="1"/>
  <c r="K337" i="1" s="1"/>
  <c r="L337" i="1" s="1"/>
  <c r="L336" i="1"/>
  <c r="K336" i="1"/>
  <c r="J336" i="1"/>
  <c r="I336" i="1"/>
  <c r="H336" i="1"/>
  <c r="G336" i="1"/>
  <c r="F336" i="1"/>
  <c r="E336" i="1"/>
  <c r="D336" i="1"/>
  <c r="C336" i="1"/>
  <c r="B336" i="1"/>
  <c r="A336" i="1"/>
  <c r="I335" i="1"/>
  <c r="H335" i="1"/>
  <c r="G335" i="1"/>
  <c r="A335" i="1"/>
  <c r="B333" i="1"/>
  <c r="B332" i="1"/>
  <c r="B331" i="1"/>
  <c r="C330" i="1"/>
  <c r="D330" i="1" s="1"/>
  <c r="I328" i="1"/>
  <c r="H328" i="1"/>
  <c r="G328" i="1"/>
  <c r="A328" i="1"/>
  <c r="B21" i="1"/>
  <c r="C352" i="1" l="1"/>
  <c r="E352" i="1" s="1"/>
  <c r="G352" i="1" s="1"/>
  <c r="I352" i="1" s="1"/>
  <c r="K352" i="1" s="1"/>
  <c r="D352" i="1"/>
  <c r="F352" i="1" s="1"/>
  <c r="H352" i="1" s="1"/>
  <c r="J352" i="1" s="1"/>
  <c r="L352" i="1" s="1"/>
  <c r="C353" i="1"/>
  <c r="E353" i="1" s="1"/>
  <c r="G353" i="1" s="1"/>
  <c r="I353" i="1" s="1"/>
  <c r="K353" i="1" s="1"/>
  <c r="D353" i="1"/>
  <c r="F353" i="1" s="1"/>
  <c r="H353" i="1" s="1"/>
  <c r="J353" i="1" s="1"/>
  <c r="L353" i="1" s="1"/>
  <c r="C354" i="1"/>
  <c r="E354" i="1" s="1"/>
  <c r="G354" i="1" s="1"/>
  <c r="I354" i="1" s="1"/>
  <c r="K354" i="1" s="1"/>
  <c r="D354" i="1"/>
  <c r="F354" i="1" s="1"/>
  <c r="H354" i="1" s="1"/>
  <c r="J354" i="1" s="1"/>
  <c r="L354" i="1" s="1"/>
  <c r="C345" i="1"/>
  <c r="E345" i="1" s="1"/>
  <c r="G345" i="1" s="1"/>
  <c r="I345" i="1" s="1"/>
  <c r="K345" i="1" s="1"/>
  <c r="D345" i="1"/>
  <c r="F345" i="1" s="1"/>
  <c r="H345" i="1" s="1"/>
  <c r="J345" i="1" s="1"/>
  <c r="L345" i="1" s="1"/>
  <c r="C347" i="1"/>
  <c r="E347" i="1" s="1"/>
  <c r="G347" i="1" s="1"/>
  <c r="I347" i="1" s="1"/>
  <c r="K347" i="1" s="1"/>
  <c r="C346" i="1"/>
  <c r="E346" i="1" s="1"/>
  <c r="G346" i="1" s="1"/>
  <c r="I346" i="1" s="1"/>
  <c r="K346" i="1" s="1"/>
  <c r="D347" i="1"/>
  <c r="F347" i="1" s="1"/>
  <c r="H347" i="1" s="1"/>
  <c r="J347" i="1" s="1"/>
  <c r="L347" i="1" s="1"/>
  <c r="D346" i="1"/>
  <c r="F346" i="1" s="1"/>
  <c r="H346" i="1" s="1"/>
  <c r="J346" i="1" s="1"/>
  <c r="L346" i="1" s="1"/>
  <c r="D338" i="1"/>
  <c r="F338" i="1" s="1"/>
  <c r="H338" i="1" s="1"/>
  <c r="J338" i="1" s="1"/>
  <c r="L338" i="1" s="1"/>
  <c r="C339" i="1"/>
  <c r="E339" i="1" s="1"/>
  <c r="G339" i="1" s="1"/>
  <c r="I339" i="1" s="1"/>
  <c r="K339" i="1" s="1"/>
  <c r="C338" i="1"/>
  <c r="E338" i="1" s="1"/>
  <c r="G338" i="1" s="1"/>
  <c r="I338" i="1" s="1"/>
  <c r="K338" i="1" s="1"/>
  <c r="D339" i="1"/>
  <c r="F339" i="1" s="1"/>
  <c r="H339" i="1" s="1"/>
  <c r="J339" i="1" s="1"/>
  <c r="L339" i="1" s="1"/>
  <c r="C340" i="1"/>
  <c r="E340" i="1" s="1"/>
  <c r="G340" i="1" s="1"/>
  <c r="I340" i="1" s="1"/>
  <c r="K340" i="1" s="1"/>
  <c r="D340" i="1"/>
  <c r="F340" i="1" s="1"/>
  <c r="H340" i="1" s="1"/>
  <c r="J340" i="1" s="1"/>
  <c r="L340" i="1" s="1"/>
  <c r="E330" i="1"/>
  <c r="F330" i="1" s="1"/>
  <c r="G330" i="1" s="1"/>
  <c r="H330" i="1" s="1"/>
  <c r="I330" i="1" s="1"/>
  <c r="J330" i="1" s="1"/>
  <c r="K330" i="1" s="1"/>
  <c r="L330" i="1" s="1"/>
  <c r="X60" i="2"/>
  <c r="X59" i="2"/>
  <c r="X58" i="2"/>
  <c r="X57" i="2"/>
  <c r="X56" i="2"/>
  <c r="P70" i="2"/>
  <c r="O70" i="2"/>
  <c r="N70" i="2"/>
  <c r="M70" i="2"/>
  <c r="L70" i="2"/>
  <c r="K70" i="2"/>
  <c r="P43" i="2" s="1"/>
  <c r="J70" i="2"/>
  <c r="I70" i="2"/>
  <c r="M42" i="2" s="1"/>
  <c r="M62" i="2" s="1"/>
  <c r="H70" i="2"/>
  <c r="P57" i="2" s="1"/>
  <c r="G70" i="2"/>
  <c r="N60" i="2" s="1"/>
  <c r="Q60" i="2" s="1"/>
  <c r="R60" i="2" s="1"/>
  <c r="J62" i="2"/>
  <c r="I62" i="2"/>
  <c r="H62" i="2"/>
  <c r="G62" i="2"/>
  <c r="F62" i="2"/>
  <c r="F64" i="2" s="1"/>
  <c r="V60" i="2"/>
  <c r="P60" i="2"/>
  <c r="O60" i="2"/>
  <c r="V59" i="2"/>
  <c r="V58" i="2"/>
  <c r="P58" i="2"/>
  <c r="O58" i="2"/>
  <c r="N58" i="2"/>
  <c r="V57" i="2"/>
  <c r="V56" i="2"/>
  <c r="O56" i="2"/>
  <c r="V55" i="2"/>
  <c r="P55" i="2"/>
  <c r="V54" i="2"/>
  <c r="V52" i="2"/>
  <c r="P52" i="2"/>
  <c r="O52" i="2"/>
  <c r="X50" i="2"/>
  <c r="V50" i="2"/>
  <c r="Q50" i="2"/>
  <c r="X49" i="2"/>
  <c r="V49" i="2"/>
  <c r="Q49" i="2"/>
  <c r="V48" i="2"/>
  <c r="Q48" i="2"/>
  <c r="X48" i="2" s="1"/>
  <c r="V47" i="2"/>
  <c r="Q47" i="2"/>
  <c r="X47" i="2" s="1"/>
  <c r="X46" i="2"/>
  <c r="V46" i="2"/>
  <c r="Q46" i="2"/>
  <c r="V45" i="2"/>
  <c r="P45" i="2"/>
  <c r="O45" i="2"/>
  <c r="V44" i="2"/>
  <c r="Q44" i="2"/>
  <c r="X44" i="2" s="1"/>
  <c r="V43" i="2"/>
  <c r="O43" i="2"/>
  <c r="N43" i="2"/>
  <c r="M43" i="2"/>
  <c r="V42" i="2"/>
  <c r="P42" i="2"/>
  <c r="O42" i="2"/>
  <c r="N42" i="2"/>
  <c r="X41" i="2"/>
  <c r="V41" i="2"/>
  <c r="Q41" i="2"/>
  <c r="X40" i="2"/>
  <c r="V40" i="2"/>
  <c r="Q40" i="2"/>
  <c r="Q39" i="2"/>
  <c r="X39" i="2" s="1"/>
  <c r="X38" i="2"/>
  <c r="Q38" i="2"/>
  <c r="V37" i="2"/>
  <c r="R37" i="2"/>
  <c r="X37" i="2" s="1"/>
  <c r="Q37" i="2"/>
  <c r="V36" i="2"/>
  <c r="Q36" i="2"/>
  <c r="X36" i="2" s="1"/>
  <c r="V35" i="2"/>
  <c r="Q35" i="2"/>
  <c r="X35" i="2" s="1"/>
  <c r="X34" i="2"/>
  <c r="V34" i="2"/>
  <c r="Q34" i="2"/>
  <c r="X33" i="2"/>
  <c r="V33" i="2"/>
  <c r="Q33" i="2"/>
  <c r="V32" i="2"/>
  <c r="Q32" i="2"/>
  <c r="X32" i="2" s="1"/>
  <c r="V31" i="2"/>
  <c r="O31" i="2"/>
  <c r="N31" i="2"/>
  <c r="X30" i="2"/>
  <c r="V30" i="2"/>
  <c r="Q30" i="2"/>
  <c r="X29" i="2"/>
  <c r="V29" i="2"/>
  <c r="Q29" i="2"/>
  <c r="V28" i="2"/>
  <c r="Q28" i="2"/>
  <c r="X28" i="2" s="1"/>
  <c r="V27" i="2"/>
  <c r="Q27" i="2"/>
  <c r="X27" i="2" s="1"/>
  <c r="X26" i="2"/>
  <c r="V26" i="2"/>
  <c r="Q26" i="2"/>
  <c r="X25" i="2"/>
  <c r="V25" i="2"/>
  <c r="Q25" i="2"/>
  <c r="Q24" i="2"/>
  <c r="X24" i="2" s="1"/>
  <c r="X23" i="2"/>
  <c r="V23" i="2"/>
  <c r="Q23" i="2"/>
  <c r="X22" i="2"/>
  <c r="V22" i="2"/>
  <c r="Q22" i="2"/>
  <c r="V21" i="2"/>
  <c r="Q21" i="2"/>
  <c r="X21" i="2" s="1"/>
  <c r="V20" i="2"/>
  <c r="Q20" i="2"/>
  <c r="X20" i="2" s="1"/>
  <c r="X19" i="2"/>
  <c r="V19" i="2"/>
  <c r="Q19" i="2"/>
  <c r="X18" i="2"/>
  <c r="V18" i="2"/>
  <c r="Q18" i="2"/>
  <c r="V17" i="2"/>
  <c r="Q17" i="2"/>
  <c r="X17" i="2" s="1"/>
  <c r="V16" i="2"/>
  <c r="Q16" i="2"/>
  <c r="X16" i="2" s="1"/>
  <c r="X15" i="2"/>
  <c r="V15" i="2"/>
  <c r="Q15" i="2"/>
  <c r="X14" i="2"/>
  <c r="V14" i="2"/>
  <c r="Q14" i="2"/>
  <c r="V13" i="2"/>
  <c r="Q13" i="2"/>
  <c r="X13" i="2" s="1"/>
  <c r="V12" i="2"/>
  <c r="Q12" i="2"/>
  <c r="X12" i="2" s="1"/>
  <c r="X11" i="2"/>
  <c r="V11" i="2"/>
  <c r="Q11" i="2"/>
  <c r="X10" i="2"/>
  <c r="V10" i="2"/>
  <c r="Q10" i="2"/>
  <c r="V9" i="2"/>
  <c r="Q9" i="2"/>
  <c r="X9" i="2" s="1"/>
  <c r="V8" i="2"/>
  <c r="Q8" i="2"/>
  <c r="X8" i="2" s="1"/>
  <c r="X7" i="2"/>
  <c r="V7" i="2"/>
  <c r="Q7" i="2"/>
  <c r="X6" i="2"/>
  <c r="V6" i="2"/>
  <c r="Q6" i="2"/>
  <c r="C331" i="1" l="1"/>
  <c r="E331" i="1" s="1"/>
  <c r="G331" i="1" s="1"/>
  <c r="I331" i="1" s="1"/>
  <c r="K331" i="1" s="1"/>
  <c r="D331" i="1"/>
  <c r="F331" i="1" s="1"/>
  <c r="H331" i="1" s="1"/>
  <c r="J331" i="1" s="1"/>
  <c r="L331" i="1" s="1"/>
  <c r="O62" i="2"/>
  <c r="G64" i="2"/>
  <c r="H64" i="2" s="1"/>
  <c r="I64" i="2" s="1"/>
  <c r="J64" i="2" s="1"/>
  <c r="P56" i="2"/>
  <c r="Q56" i="2" s="1"/>
  <c r="R56" i="2" s="1"/>
  <c r="O59" i="2"/>
  <c r="Q59" i="2" s="1"/>
  <c r="R59" i="2" s="1"/>
  <c r="P31" i="2"/>
  <c r="N45" i="2"/>
  <c r="Q45" i="2" s="1"/>
  <c r="R45" i="2" s="1"/>
  <c r="X45" i="2" s="1"/>
  <c r="N52" i="2"/>
  <c r="Q52" i="2" s="1"/>
  <c r="R52" i="2" s="1"/>
  <c r="X52" i="2" s="1"/>
  <c r="O55" i="2"/>
  <c r="Q55" i="2" s="1"/>
  <c r="R55" i="2" s="1"/>
  <c r="X55" i="2" s="1"/>
  <c r="M58" i="2"/>
  <c r="Q58" i="2" s="1"/>
  <c r="R58" i="2" s="1"/>
  <c r="P59" i="2"/>
  <c r="K42" i="2"/>
  <c r="L42" i="2"/>
  <c r="L62" i="2" s="1"/>
  <c r="P54" i="2"/>
  <c r="O57" i="2"/>
  <c r="Q57" i="2" s="1"/>
  <c r="R57" i="2" s="1"/>
  <c r="O54" i="2"/>
  <c r="Q54" i="2" s="1"/>
  <c r="R54" i="2" s="1"/>
  <c r="X54" i="2" s="1"/>
  <c r="L43" i="2"/>
  <c r="Q43" i="2" s="1"/>
  <c r="R43" i="2" s="1"/>
  <c r="X43" i="2" s="1"/>
  <c r="Q42" i="2" l="1"/>
  <c r="R42" i="2" s="1"/>
  <c r="X42" i="2" s="1"/>
  <c r="K62" i="2"/>
  <c r="K64" i="2" s="1"/>
  <c r="L64" i="2" s="1"/>
  <c r="M64" i="2" s="1"/>
  <c r="Q31" i="2"/>
  <c r="N62" i="2"/>
  <c r="N64" i="2" l="1"/>
  <c r="O64" i="2" s="1"/>
  <c r="P64" i="2" s="1"/>
  <c r="R31" i="2"/>
  <c r="Q62" i="2"/>
  <c r="Q64" i="2" s="1"/>
  <c r="R62" i="2" l="1"/>
  <c r="R64" i="2" s="1"/>
  <c r="X31" i="2"/>
  <c r="G378" i="1" l="1"/>
  <c r="B298" i="1"/>
  <c r="B297" i="1"/>
  <c r="B296" i="1"/>
  <c r="C295" i="1"/>
  <c r="D295" i="1" s="1"/>
  <c r="E295" i="1" s="1"/>
  <c r="F295" i="1" s="1"/>
  <c r="G295" i="1" s="1"/>
  <c r="H295" i="1" s="1"/>
  <c r="I295" i="1" s="1"/>
  <c r="J295" i="1" s="1"/>
  <c r="K295" i="1" s="1"/>
  <c r="L295" i="1" s="1"/>
  <c r="I293" i="1"/>
  <c r="H293" i="1"/>
  <c r="G293" i="1"/>
  <c r="A293" i="1"/>
  <c r="B291" i="1"/>
  <c r="B290" i="1"/>
  <c r="B289" i="1"/>
  <c r="C288" i="1"/>
  <c r="D288" i="1" s="1"/>
  <c r="I286" i="1"/>
  <c r="H286" i="1"/>
  <c r="G286" i="1"/>
  <c r="A286" i="1"/>
  <c r="B284" i="1"/>
  <c r="B283" i="1"/>
  <c r="B282" i="1"/>
  <c r="C281" i="1"/>
  <c r="I279" i="1"/>
  <c r="H279" i="1"/>
  <c r="G279" i="1"/>
  <c r="A279" i="1"/>
  <c r="B277" i="1"/>
  <c r="B276" i="1"/>
  <c r="B275" i="1"/>
  <c r="C274" i="1"/>
  <c r="D274" i="1" s="1"/>
  <c r="E274" i="1" s="1"/>
  <c r="F274" i="1" s="1"/>
  <c r="G274" i="1" s="1"/>
  <c r="H274" i="1" s="1"/>
  <c r="I274" i="1" s="1"/>
  <c r="J274" i="1" s="1"/>
  <c r="K274" i="1" s="1"/>
  <c r="L274" i="1" s="1"/>
  <c r="I272" i="1"/>
  <c r="H272" i="1"/>
  <c r="G272" i="1"/>
  <c r="A272" i="1"/>
  <c r="B270" i="1"/>
  <c r="B269" i="1"/>
  <c r="B268" i="1"/>
  <c r="C267" i="1"/>
  <c r="D267" i="1" s="1"/>
  <c r="E267" i="1" s="1"/>
  <c r="F267" i="1" s="1"/>
  <c r="G267" i="1" s="1"/>
  <c r="H267" i="1" s="1"/>
  <c r="I267" i="1" s="1"/>
  <c r="J267" i="1" s="1"/>
  <c r="K267" i="1" s="1"/>
  <c r="L267" i="1" s="1"/>
  <c r="I265" i="1"/>
  <c r="H265" i="1"/>
  <c r="G265" i="1"/>
  <c r="A265" i="1"/>
  <c r="B263" i="1"/>
  <c r="B262" i="1"/>
  <c r="B261" i="1"/>
  <c r="C260" i="1"/>
  <c r="D260" i="1" s="1"/>
  <c r="E260" i="1" s="1"/>
  <c r="F260" i="1" s="1"/>
  <c r="G260" i="1" s="1"/>
  <c r="H260" i="1" s="1"/>
  <c r="I260" i="1" s="1"/>
  <c r="J260" i="1" s="1"/>
  <c r="K260" i="1" s="1"/>
  <c r="L260" i="1" s="1"/>
  <c r="I258" i="1"/>
  <c r="H258" i="1"/>
  <c r="G258" i="1"/>
  <c r="A258" i="1"/>
  <c r="B256" i="1"/>
  <c r="B255" i="1"/>
  <c r="B254" i="1"/>
  <c r="C253" i="1"/>
  <c r="I251" i="1"/>
  <c r="H251" i="1"/>
  <c r="G251" i="1"/>
  <c r="A251" i="1"/>
  <c r="C261" i="1" l="1"/>
  <c r="E261" i="1" s="1"/>
  <c r="G261" i="1" s="1"/>
  <c r="I261" i="1" s="1"/>
  <c r="K261" i="1" s="1"/>
  <c r="C275" i="1"/>
  <c r="E275" i="1" s="1"/>
  <c r="G275" i="1" s="1"/>
  <c r="I275" i="1" s="1"/>
  <c r="K275" i="1" s="1"/>
  <c r="D275" i="1"/>
  <c r="F275" i="1" s="1"/>
  <c r="H275" i="1" s="1"/>
  <c r="J275" i="1" s="1"/>
  <c r="L275" i="1" s="1"/>
  <c r="D261" i="1"/>
  <c r="F261" i="1" s="1"/>
  <c r="H261" i="1" s="1"/>
  <c r="J261" i="1" s="1"/>
  <c r="L261" i="1" s="1"/>
  <c r="C268" i="1"/>
  <c r="E268" i="1" s="1"/>
  <c r="G268" i="1" s="1"/>
  <c r="I268" i="1" s="1"/>
  <c r="K268" i="1" s="1"/>
  <c r="D268" i="1"/>
  <c r="F268" i="1" s="1"/>
  <c r="H268" i="1" s="1"/>
  <c r="J268" i="1" s="1"/>
  <c r="L268" i="1" s="1"/>
  <c r="E288" i="1"/>
  <c r="F288" i="1" s="1"/>
  <c r="G288" i="1" s="1"/>
  <c r="H288" i="1" s="1"/>
  <c r="I288" i="1" s="1"/>
  <c r="J288" i="1" s="1"/>
  <c r="K288" i="1" s="1"/>
  <c r="L288" i="1" s="1"/>
  <c r="D281" i="1"/>
  <c r="E281" i="1" s="1"/>
  <c r="F281" i="1" s="1"/>
  <c r="G281" i="1" s="1"/>
  <c r="H281" i="1" s="1"/>
  <c r="I281" i="1" s="1"/>
  <c r="J281" i="1" s="1"/>
  <c r="K281" i="1" s="1"/>
  <c r="L281" i="1" s="1"/>
  <c r="D253" i="1"/>
  <c r="E253" i="1" s="1"/>
  <c r="F253" i="1" s="1"/>
  <c r="G253" i="1" s="1"/>
  <c r="H253" i="1" s="1"/>
  <c r="I253" i="1" s="1"/>
  <c r="J253" i="1" s="1"/>
  <c r="K253" i="1" s="1"/>
  <c r="L253" i="1" s="1"/>
  <c r="B249" i="1"/>
  <c r="B248" i="1"/>
  <c r="B247" i="1"/>
  <c r="C246" i="1"/>
  <c r="D246" i="1" s="1"/>
  <c r="E246" i="1" s="1"/>
  <c r="F246" i="1" s="1"/>
  <c r="G246" i="1" s="1"/>
  <c r="H246" i="1" s="1"/>
  <c r="I246" i="1" s="1"/>
  <c r="J246" i="1" s="1"/>
  <c r="K246" i="1" s="1"/>
  <c r="L246" i="1" s="1"/>
  <c r="I244" i="1"/>
  <c r="H244" i="1"/>
  <c r="G244" i="1"/>
  <c r="C254" i="1" l="1"/>
  <c r="E254" i="1" s="1"/>
  <c r="G254" i="1" s="1"/>
  <c r="I254" i="1" s="1"/>
  <c r="K254" i="1" s="1"/>
  <c r="C282" i="1"/>
  <c r="E282" i="1" s="1"/>
  <c r="G282" i="1" s="1"/>
  <c r="I282" i="1" s="1"/>
  <c r="K282" i="1" s="1"/>
  <c r="D289" i="1"/>
  <c r="F289" i="1" s="1"/>
  <c r="H289" i="1" s="1"/>
  <c r="J289" i="1" s="1"/>
  <c r="L289" i="1" s="1"/>
  <c r="D282" i="1"/>
  <c r="F282" i="1" s="1"/>
  <c r="H282" i="1" s="1"/>
  <c r="J282" i="1" s="1"/>
  <c r="L282" i="1" s="1"/>
  <c r="C289" i="1"/>
  <c r="E289" i="1" s="1"/>
  <c r="G289" i="1" s="1"/>
  <c r="I289" i="1" s="1"/>
  <c r="K289" i="1" s="1"/>
  <c r="D254" i="1"/>
  <c r="F254" i="1" s="1"/>
  <c r="H254" i="1" s="1"/>
  <c r="J254" i="1" s="1"/>
  <c r="L254" i="1" s="1"/>
  <c r="D247" i="1"/>
  <c r="F247" i="1" s="1"/>
  <c r="H247" i="1" s="1"/>
  <c r="J247" i="1" s="1"/>
  <c r="L247" i="1" s="1"/>
  <c r="C247" i="1"/>
  <c r="E247" i="1" s="1"/>
  <c r="G247" i="1" s="1"/>
  <c r="I247" i="1" s="1"/>
  <c r="K247" i="1" s="1"/>
  <c r="G314" i="1"/>
  <c r="I356" i="1"/>
  <c r="I321" i="1"/>
  <c r="I314" i="1"/>
  <c r="I307" i="1"/>
  <c r="I300" i="1"/>
  <c r="I237" i="1"/>
  <c r="I230" i="1"/>
  <c r="I223" i="1"/>
  <c r="I216" i="1"/>
  <c r="I209" i="1"/>
  <c r="I202" i="1"/>
  <c r="I195" i="1"/>
  <c r="I188" i="1"/>
  <c r="I181" i="1"/>
  <c r="I174" i="1"/>
  <c r="I167" i="1"/>
  <c r="I160" i="1"/>
  <c r="I153" i="1"/>
  <c r="I146" i="1"/>
  <c r="I139" i="1"/>
  <c r="I132" i="1"/>
  <c r="I125" i="1"/>
  <c r="I118" i="1"/>
  <c r="I111" i="1"/>
  <c r="I104" i="1"/>
  <c r="I97" i="1"/>
  <c r="I90" i="1"/>
  <c r="I83" i="1"/>
  <c r="I76" i="1"/>
  <c r="I69" i="1"/>
  <c r="I62" i="1"/>
  <c r="I55" i="1"/>
  <c r="I48" i="1"/>
  <c r="I41" i="1"/>
  <c r="I34" i="1"/>
  <c r="I27" i="1"/>
  <c r="I20" i="1"/>
  <c r="H378" i="1" l="1"/>
  <c r="I378" i="1" s="1"/>
  <c r="J378" i="1" s="1"/>
  <c r="K378" i="1" s="1"/>
  <c r="L378" i="1" s="1"/>
  <c r="A247" i="3"/>
  <c r="A246" i="3"/>
  <c r="A245" i="3"/>
  <c r="A244" i="3"/>
  <c r="A115" i="5"/>
  <c r="B387" i="1"/>
  <c r="B123" i="1"/>
  <c r="B122" i="1"/>
  <c r="B121" i="1"/>
  <c r="C120" i="1"/>
  <c r="D120" i="1" s="1"/>
  <c r="E120" i="1" s="1"/>
  <c r="F120" i="1" s="1"/>
  <c r="G120" i="1" s="1"/>
  <c r="H120" i="1" s="1"/>
  <c r="I120" i="1" s="1"/>
  <c r="J120" i="1" s="1"/>
  <c r="K120" i="1" s="1"/>
  <c r="L120" i="1" s="1"/>
  <c r="H118" i="1"/>
  <c r="G118" i="1"/>
  <c r="A118" i="1"/>
  <c r="B116" i="1"/>
  <c r="B115" i="1"/>
  <c r="B114" i="1"/>
  <c r="C113" i="1"/>
  <c r="D113" i="1" s="1"/>
  <c r="H111" i="1"/>
  <c r="G111" i="1"/>
  <c r="A111" i="1"/>
  <c r="B312" i="1"/>
  <c r="B311" i="1"/>
  <c r="B310" i="1"/>
  <c r="C309" i="1"/>
  <c r="D309" i="1" s="1"/>
  <c r="E309" i="1" s="1"/>
  <c r="F309" i="1" s="1"/>
  <c r="G309" i="1" s="1"/>
  <c r="H309" i="1" s="1"/>
  <c r="I309" i="1" s="1"/>
  <c r="J309" i="1" s="1"/>
  <c r="K309" i="1" s="1"/>
  <c r="H307" i="1"/>
  <c r="G307" i="1"/>
  <c r="A307" i="1"/>
  <c r="B228" i="1"/>
  <c r="B227" i="1"/>
  <c r="B226" i="1"/>
  <c r="C225" i="1"/>
  <c r="H223" i="1"/>
  <c r="G223" i="1"/>
  <c r="A223" i="1"/>
  <c r="B137" i="1"/>
  <c r="B136" i="1"/>
  <c r="B135" i="1"/>
  <c r="C134" i="1"/>
  <c r="D134" i="1" s="1"/>
  <c r="E134" i="1" s="1"/>
  <c r="F134" i="1" s="1"/>
  <c r="G134" i="1" s="1"/>
  <c r="H134" i="1" s="1"/>
  <c r="I134" i="1" s="1"/>
  <c r="H132" i="1"/>
  <c r="G132" i="1"/>
  <c r="A132" i="1"/>
  <c r="B165" i="1"/>
  <c r="B164" i="1"/>
  <c r="B163" i="1"/>
  <c r="C162" i="1"/>
  <c r="D162" i="1" s="1"/>
  <c r="E162" i="1" s="1"/>
  <c r="F162" i="1" s="1"/>
  <c r="G162" i="1" s="1"/>
  <c r="H162" i="1" s="1"/>
  <c r="I162" i="1" s="1"/>
  <c r="J162" i="1" s="1"/>
  <c r="K162" i="1" s="1"/>
  <c r="L162" i="1" s="1"/>
  <c r="H160" i="1"/>
  <c r="G160" i="1"/>
  <c r="A160" i="1"/>
  <c r="A240" i="5"/>
  <c r="A239" i="5"/>
  <c r="A238" i="5"/>
  <c r="A237" i="5"/>
  <c r="A236" i="5"/>
  <c r="A235" i="5"/>
  <c r="A234" i="5"/>
  <c r="A233" i="5"/>
  <c r="A232" i="5"/>
  <c r="A231" i="5"/>
  <c r="A230" i="5"/>
  <c r="A229" i="5"/>
  <c r="A227" i="5"/>
  <c r="A223" i="5"/>
  <c r="A222" i="5"/>
  <c r="A221" i="5"/>
  <c r="A220" i="5"/>
  <c r="A219" i="5"/>
  <c r="A218" i="5"/>
  <c r="A217" i="5"/>
  <c r="A216" i="5"/>
  <c r="A215" i="5"/>
  <c r="A214" i="5"/>
  <c r="L213" i="5"/>
  <c r="K213" i="5"/>
  <c r="J213" i="5"/>
  <c r="I213" i="5"/>
  <c r="H213" i="5"/>
  <c r="G213" i="5"/>
  <c r="F213" i="5"/>
  <c r="E213" i="5"/>
  <c r="D213" i="5"/>
  <c r="C213" i="5"/>
  <c r="B213" i="5"/>
  <c r="A213" i="5"/>
  <c r="A211" i="5"/>
  <c r="A209" i="5"/>
  <c r="A208" i="5"/>
  <c r="A207" i="5"/>
  <c r="A206" i="5"/>
  <c r="L205" i="5"/>
  <c r="K205" i="5"/>
  <c r="J205" i="5"/>
  <c r="I205" i="5"/>
  <c r="H205" i="5"/>
  <c r="G205" i="5"/>
  <c r="F205" i="5"/>
  <c r="E205" i="5"/>
  <c r="D205" i="5"/>
  <c r="C205" i="5"/>
  <c r="B205" i="5"/>
  <c r="A205" i="5"/>
  <c r="A203" i="5"/>
  <c r="A201" i="5"/>
  <c r="A200" i="5"/>
  <c r="A199" i="5"/>
  <c r="A198" i="5"/>
  <c r="L197" i="5"/>
  <c r="K197" i="5"/>
  <c r="J197" i="5"/>
  <c r="I197" i="5"/>
  <c r="H197" i="5"/>
  <c r="G197" i="5"/>
  <c r="F197" i="5"/>
  <c r="E197" i="5"/>
  <c r="D197" i="5"/>
  <c r="C197" i="5"/>
  <c r="B197" i="5"/>
  <c r="A197" i="5"/>
  <c r="A195" i="5"/>
  <c r="A193" i="5"/>
  <c r="A192" i="5"/>
  <c r="A191" i="5"/>
  <c r="A190" i="5"/>
  <c r="L189" i="5"/>
  <c r="K189" i="5"/>
  <c r="J189" i="5"/>
  <c r="I189" i="5"/>
  <c r="H189" i="5"/>
  <c r="G189" i="5"/>
  <c r="F189" i="5"/>
  <c r="E189" i="5"/>
  <c r="D189" i="5"/>
  <c r="C189" i="5"/>
  <c r="B189" i="5"/>
  <c r="A189" i="5"/>
  <c r="A187" i="5"/>
  <c r="A185" i="5"/>
  <c r="A184" i="5"/>
  <c r="A183" i="5"/>
  <c r="A182" i="5"/>
  <c r="L181" i="5"/>
  <c r="K181" i="5"/>
  <c r="J181" i="5"/>
  <c r="I181" i="5"/>
  <c r="H181" i="5"/>
  <c r="G181" i="5"/>
  <c r="F181" i="5"/>
  <c r="E181" i="5"/>
  <c r="D181" i="5"/>
  <c r="C181" i="5"/>
  <c r="B181" i="5"/>
  <c r="A181" i="5"/>
  <c r="A179" i="5"/>
  <c r="A177" i="5"/>
  <c r="A176" i="5"/>
  <c r="A175" i="5"/>
  <c r="A174" i="5"/>
  <c r="L173" i="5"/>
  <c r="K173" i="5"/>
  <c r="J173" i="5"/>
  <c r="I173" i="5"/>
  <c r="H173" i="5"/>
  <c r="G173" i="5"/>
  <c r="F173" i="5"/>
  <c r="E173" i="5"/>
  <c r="D173" i="5"/>
  <c r="C173" i="5"/>
  <c r="B173" i="5"/>
  <c r="A173" i="5"/>
  <c r="A171" i="5"/>
  <c r="A169" i="5"/>
  <c r="A168" i="5"/>
  <c r="A167" i="5"/>
  <c r="A166" i="5"/>
  <c r="L165" i="5"/>
  <c r="K165" i="5"/>
  <c r="J165" i="5"/>
  <c r="I165" i="5"/>
  <c r="H165" i="5"/>
  <c r="G165" i="5"/>
  <c r="F165" i="5"/>
  <c r="E165" i="5"/>
  <c r="D165" i="5"/>
  <c r="C165" i="5"/>
  <c r="B165" i="5"/>
  <c r="A165" i="5"/>
  <c r="A163" i="5"/>
  <c r="A161" i="5"/>
  <c r="A160" i="5"/>
  <c r="A159" i="5"/>
  <c r="A158" i="5"/>
  <c r="L157" i="5"/>
  <c r="K157" i="5"/>
  <c r="J157" i="5"/>
  <c r="I157" i="5"/>
  <c r="H157" i="5"/>
  <c r="G157" i="5"/>
  <c r="F157" i="5"/>
  <c r="E157" i="5"/>
  <c r="D157" i="5"/>
  <c r="C157" i="5"/>
  <c r="B157" i="5"/>
  <c r="A157" i="5"/>
  <c r="A155" i="5"/>
  <c r="A153" i="5"/>
  <c r="A152" i="5"/>
  <c r="A151" i="5"/>
  <c r="A150" i="5"/>
  <c r="L149" i="5"/>
  <c r="K149" i="5"/>
  <c r="J149" i="5"/>
  <c r="I149" i="5"/>
  <c r="H149" i="5"/>
  <c r="G149" i="5"/>
  <c r="F149" i="5"/>
  <c r="E149" i="5"/>
  <c r="D149" i="5"/>
  <c r="C149" i="5"/>
  <c r="B149" i="5"/>
  <c r="A149" i="5"/>
  <c r="A147" i="5"/>
  <c r="A145" i="5"/>
  <c r="A144" i="5"/>
  <c r="A143" i="5"/>
  <c r="A142" i="5"/>
  <c r="L141" i="5"/>
  <c r="K141" i="5"/>
  <c r="J141" i="5"/>
  <c r="I141" i="5"/>
  <c r="H141" i="5"/>
  <c r="G141" i="5"/>
  <c r="F141" i="5"/>
  <c r="E141" i="5"/>
  <c r="D141" i="5"/>
  <c r="C141" i="5"/>
  <c r="B141" i="5"/>
  <c r="A141" i="5"/>
  <c r="A139" i="5"/>
  <c r="A137" i="5"/>
  <c r="A136" i="5"/>
  <c r="A135" i="5"/>
  <c r="A134" i="5"/>
  <c r="L133" i="5"/>
  <c r="K133" i="5"/>
  <c r="J133" i="5"/>
  <c r="I133" i="5"/>
  <c r="H133" i="5"/>
  <c r="G133" i="5"/>
  <c r="F133" i="5"/>
  <c r="E133" i="5"/>
  <c r="D133" i="5"/>
  <c r="C133" i="5"/>
  <c r="B133" i="5"/>
  <c r="A133" i="5"/>
  <c r="A131" i="5"/>
  <c r="A129" i="5"/>
  <c r="A128" i="5"/>
  <c r="A127" i="5"/>
  <c r="A126" i="5"/>
  <c r="L125" i="5"/>
  <c r="K125" i="5"/>
  <c r="J125" i="5"/>
  <c r="I125" i="5"/>
  <c r="H125" i="5"/>
  <c r="G125" i="5"/>
  <c r="F125" i="5"/>
  <c r="E125" i="5"/>
  <c r="D125" i="5"/>
  <c r="C125" i="5"/>
  <c r="B125" i="5"/>
  <c r="A125" i="5"/>
  <c r="A123" i="5"/>
  <c r="A121" i="5"/>
  <c r="A120" i="5"/>
  <c r="A119" i="5"/>
  <c r="A118" i="5"/>
  <c r="L117" i="5"/>
  <c r="K117" i="5"/>
  <c r="J117" i="5"/>
  <c r="I117" i="5"/>
  <c r="H117" i="5"/>
  <c r="G117" i="5"/>
  <c r="F117" i="5"/>
  <c r="E117" i="5"/>
  <c r="D117" i="5"/>
  <c r="C117" i="5"/>
  <c r="B117" i="5"/>
  <c r="A117" i="5"/>
  <c r="A113" i="5"/>
  <c r="A112" i="5"/>
  <c r="A111" i="5"/>
  <c r="A110" i="5"/>
  <c r="L109" i="5"/>
  <c r="K109" i="5"/>
  <c r="J109" i="5"/>
  <c r="I109" i="5"/>
  <c r="H109" i="5"/>
  <c r="G109" i="5"/>
  <c r="F109" i="5"/>
  <c r="E109" i="5"/>
  <c r="D109" i="5"/>
  <c r="C109" i="5"/>
  <c r="B109" i="5"/>
  <c r="A109" i="5"/>
  <c r="A107" i="5"/>
  <c r="A105" i="5"/>
  <c r="A104" i="5"/>
  <c r="A103" i="5"/>
  <c r="A102" i="5"/>
  <c r="L101" i="5"/>
  <c r="K101" i="5"/>
  <c r="J101" i="5"/>
  <c r="I101" i="5"/>
  <c r="H101" i="5"/>
  <c r="G101" i="5"/>
  <c r="F101" i="5"/>
  <c r="E101" i="5"/>
  <c r="D101" i="5"/>
  <c r="C101" i="5"/>
  <c r="B101" i="5"/>
  <c r="A101" i="5"/>
  <c r="A99" i="5"/>
  <c r="A97" i="5"/>
  <c r="A96" i="5"/>
  <c r="A95" i="5"/>
  <c r="A94" i="5"/>
  <c r="L93" i="5"/>
  <c r="K93" i="5"/>
  <c r="J93" i="5"/>
  <c r="I93" i="5"/>
  <c r="H93" i="5"/>
  <c r="G93" i="5"/>
  <c r="F93" i="5"/>
  <c r="E93" i="5"/>
  <c r="D93" i="5"/>
  <c r="C93" i="5"/>
  <c r="B93" i="5"/>
  <c r="A93" i="5"/>
  <c r="A91" i="5"/>
  <c r="A89" i="5"/>
  <c r="A88" i="5"/>
  <c r="A87" i="5"/>
  <c r="A86" i="5"/>
  <c r="L85" i="5"/>
  <c r="K85" i="5"/>
  <c r="J85" i="5"/>
  <c r="I85" i="5"/>
  <c r="H85" i="5"/>
  <c r="G85" i="5"/>
  <c r="F85" i="5"/>
  <c r="E85" i="5"/>
  <c r="D85" i="5"/>
  <c r="C85" i="5"/>
  <c r="B85" i="5"/>
  <c r="A85" i="5"/>
  <c r="A83" i="5"/>
  <c r="A81" i="5"/>
  <c r="A80" i="5"/>
  <c r="A79" i="5"/>
  <c r="A78" i="5"/>
  <c r="L77" i="5"/>
  <c r="K77" i="5"/>
  <c r="J77" i="5"/>
  <c r="I77" i="5"/>
  <c r="H77" i="5"/>
  <c r="G77" i="5"/>
  <c r="F77" i="5"/>
  <c r="E77" i="5"/>
  <c r="D77" i="5"/>
  <c r="C77" i="5"/>
  <c r="B77" i="5"/>
  <c r="A77" i="5"/>
  <c r="A75" i="5"/>
  <c r="A73" i="5"/>
  <c r="A72" i="5"/>
  <c r="A71" i="5"/>
  <c r="A70" i="5"/>
  <c r="L69" i="5"/>
  <c r="K69" i="5"/>
  <c r="J69" i="5"/>
  <c r="I69" i="5"/>
  <c r="H69" i="5"/>
  <c r="G69" i="5"/>
  <c r="F69" i="5"/>
  <c r="E69" i="5"/>
  <c r="D69" i="5"/>
  <c r="C69" i="5"/>
  <c r="B69" i="5"/>
  <c r="A69" i="5"/>
  <c r="A67" i="5"/>
  <c r="A65" i="5"/>
  <c r="A64" i="5"/>
  <c r="A63" i="5"/>
  <c r="A62" i="5"/>
  <c r="L61" i="5"/>
  <c r="K61" i="5"/>
  <c r="J61" i="5"/>
  <c r="I61" i="5"/>
  <c r="H61" i="5"/>
  <c r="G61" i="5"/>
  <c r="F61" i="5"/>
  <c r="E61" i="5"/>
  <c r="D61" i="5"/>
  <c r="C61" i="5"/>
  <c r="B61" i="5"/>
  <c r="A61" i="5"/>
  <c r="A59" i="5"/>
  <c r="A57" i="5"/>
  <c r="A56" i="5"/>
  <c r="A55" i="5"/>
  <c r="A54" i="5"/>
  <c r="L53" i="5"/>
  <c r="K53" i="5"/>
  <c r="J53" i="5"/>
  <c r="I53" i="5"/>
  <c r="H53" i="5"/>
  <c r="G53" i="5"/>
  <c r="F53" i="5"/>
  <c r="E53" i="5"/>
  <c r="D53" i="5"/>
  <c r="C53" i="5"/>
  <c r="B53" i="5"/>
  <c r="A53" i="5"/>
  <c r="A51" i="5"/>
  <c r="A49" i="5"/>
  <c r="A48" i="5"/>
  <c r="A47" i="5"/>
  <c r="A46" i="5"/>
  <c r="L45" i="5"/>
  <c r="K45" i="5"/>
  <c r="J45" i="5"/>
  <c r="I45" i="5"/>
  <c r="H45" i="5"/>
  <c r="G45" i="5"/>
  <c r="F45" i="5"/>
  <c r="E45" i="5"/>
  <c r="D45" i="5"/>
  <c r="C45" i="5"/>
  <c r="B45" i="5"/>
  <c r="A45" i="5"/>
  <c r="A43" i="5"/>
  <c r="A41" i="5"/>
  <c r="A40" i="5"/>
  <c r="A39" i="5"/>
  <c r="A38" i="5"/>
  <c r="L37" i="5"/>
  <c r="K37" i="5"/>
  <c r="J37" i="5"/>
  <c r="I37" i="5"/>
  <c r="H37" i="5"/>
  <c r="G37" i="5"/>
  <c r="F37" i="5"/>
  <c r="E37" i="5"/>
  <c r="D37" i="5"/>
  <c r="C37" i="5"/>
  <c r="B37" i="5"/>
  <c r="A37" i="5"/>
  <c r="A35" i="5"/>
  <c r="A33" i="5"/>
  <c r="A32" i="5"/>
  <c r="A31" i="5"/>
  <c r="A30" i="5"/>
  <c r="L29" i="5"/>
  <c r="K29" i="5"/>
  <c r="J29" i="5"/>
  <c r="I29" i="5"/>
  <c r="H29" i="5"/>
  <c r="G29" i="5"/>
  <c r="F29" i="5"/>
  <c r="E29" i="5"/>
  <c r="D29" i="5"/>
  <c r="C29" i="5"/>
  <c r="B29" i="5"/>
  <c r="A29" i="5"/>
  <c r="A27" i="5"/>
  <c r="A25" i="5"/>
  <c r="A24" i="5"/>
  <c r="A23" i="5"/>
  <c r="A22" i="5"/>
  <c r="L21" i="5"/>
  <c r="K21" i="5"/>
  <c r="J21" i="5"/>
  <c r="I21" i="5"/>
  <c r="H21" i="5"/>
  <c r="G21" i="5"/>
  <c r="F21" i="5"/>
  <c r="E21" i="5"/>
  <c r="D21" i="5"/>
  <c r="C21" i="5"/>
  <c r="B21" i="5"/>
  <c r="A21" i="5"/>
  <c r="A19" i="5"/>
  <c r="A17" i="5"/>
  <c r="A16" i="5"/>
  <c r="A15" i="5"/>
  <c r="A14" i="5"/>
  <c r="L13" i="5"/>
  <c r="K13" i="5"/>
  <c r="J13" i="5"/>
  <c r="I13" i="5"/>
  <c r="H13" i="5"/>
  <c r="G13" i="5"/>
  <c r="F13" i="5"/>
  <c r="E13" i="5"/>
  <c r="D13" i="5"/>
  <c r="C13" i="5"/>
  <c r="B13" i="5"/>
  <c r="A13" i="5"/>
  <c r="A11" i="5"/>
  <c r="A9" i="5"/>
  <c r="A8" i="5"/>
  <c r="A7" i="5"/>
  <c r="A6" i="5"/>
  <c r="L5" i="5"/>
  <c r="K5" i="5"/>
  <c r="J5" i="5"/>
  <c r="I5" i="5"/>
  <c r="H5" i="5"/>
  <c r="G5" i="5"/>
  <c r="F5" i="5"/>
  <c r="E5" i="5"/>
  <c r="D5" i="5"/>
  <c r="C5" i="5"/>
  <c r="B5" i="5"/>
  <c r="A5" i="5"/>
  <c r="A3" i="5"/>
  <c r="D121" i="1" l="1"/>
  <c r="F121" i="1" s="1"/>
  <c r="H121" i="1" s="1"/>
  <c r="J121" i="1" s="1"/>
  <c r="L121" i="1" s="1"/>
  <c r="C121" i="1"/>
  <c r="E121" i="1" s="1"/>
  <c r="G121" i="1" s="1"/>
  <c r="I121" i="1" s="1"/>
  <c r="K121" i="1" s="1"/>
  <c r="D225" i="1"/>
  <c r="E225" i="1" s="1"/>
  <c r="F225" i="1" s="1"/>
  <c r="G225" i="1" s="1"/>
  <c r="H225" i="1" s="1"/>
  <c r="I225" i="1" s="1"/>
  <c r="J225" i="1" s="1"/>
  <c r="K225" i="1" s="1"/>
  <c r="L225" i="1" s="1"/>
  <c r="E113" i="1"/>
  <c r="F113" i="1" s="1"/>
  <c r="G113" i="1" s="1"/>
  <c r="H113" i="1" s="1"/>
  <c r="I113" i="1" s="1"/>
  <c r="J113" i="1" s="1"/>
  <c r="K113" i="1" s="1"/>
  <c r="L113" i="1" s="1"/>
  <c r="L309" i="1"/>
  <c r="H356" i="1"/>
  <c r="H321" i="1"/>
  <c r="H314" i="1"/>
  <c r="H300" i="1"/>
  <c r="H237" i="1"/>
  <c r="H230" i="1"/>
  <c r="H216" i="1"/>
  <c r="H209" i="1"/>
  <c r="H202" i="1"/>
  <c r="H195" i="1"/>
  <c r="H188" i="1"/>
  <c r="H181" i="1"/>
  <c r="H174" i="1"/>
  <c r="H167" i="1"/>
  <c r="H153" i="1"/>
  <c r="H146" i="1"/>
  <c r="H139" i="1"/>
  <c r="H125" i="1"/>
  <c r="H104" i="1"/>
  <c r="H97" i="1"/>
  <c r="H90" i="1"/>
  <c r="H83" i="1"/>
  <c r="H76" i="1"/>
  <c r="H69" i="1"/>
  <c r="H62" i="1"/>
  <c r="H55" i="1"/>
  <c r="H48" i="1"/>
  <c r="H41" i="1"/>
  <c r="H34" i="1"/>
  <c r="H27" i="1"/>
  <c r="H20" i="1"/>
  <c r="B361" i="1"/>
  <c r="B360" i="1"/>
  <c r="B359" i="1"/>
  <c r="C358" i="1"/>
  <c r="B326" i="1"/>
  <c r="B325" i="1"/>
  <c r="B324" i="1"/>
  <c r="C323" i="1"/>
  <c r="B319" i="1"/>
  <c r="B318" i="1"/>
  <c r="B317" i="1"/>
  <c r="C316" i="1"/>
  <c r="B305" i="1"/>
  <c r="B304" i="1"/>
  <c r="B303" i="1"/>
  <c r="C302" i="1"/>
  <c r="B242" i="1"/>
  <c r="B241" i="1"/>
  <c r="B240" i="1"/>
  <c r="C239" i="1"/>
  <c r="B235" i="1"/>
  <c r="B234" i="1"/>
  <c r="B233" i="1"/>
  <c r="C232" i="1"/>
  <c r="D232" i="1" s="1"/>
  <c r="B221" i="1"/>
  <c r="B220" i="1"/>
  <c r="B219" i="1"/>
  <c r="C218" i="1"/>
  <c r="B214" i="1"/>
  <c r="B213" i="1"/>
  <c r="B212" i="1"/>
  <c r="C211" i="1"/>
  <c r="B207" i="1"/>
  <c r="B206" i="1"/>
  <c r="B205" i="1"/>
  <c r="C204" i="1"/>
  <c r="B200" i="1"/>
  <c r="B199" i="1"/>
  <c r="B198" i="1"/>
  <c r="C197" i="1"/>
  <c r="B193" i="1"/>
  <c r="B192" i="1"/>
  <c r="B191" i="1"/>
  <c r="C190" i="1"/>
  <c r="B186" i="1"/>
  <c r="B185" i="1"/>
  <c r="B184" i="1"/>
  <c r="C183" i="1"/>
  <c r="B179" i="1"/>
  <c r="B178" i="1"/>
  <c r="B177" i="1"/>
  <c r="C176" i="1"/>
  <c r="B172" i="1"/>
  <c r="B171" i="1"/>
  <c r="B170" i="1"/>
  <c r="C169" i="1"/>
  <c r="B158" i="1"/>
  <c r="B157" i="1"/>
  <c r="B156" i="1"/>
  <c r="C155" i="1"/>
  <c r="D155" i="1" s="1"/>
  <c r="B144" i="1"/>
  <c r="B143" i="1"/>
  <c r="B142" i="1"/>
  <c r="C141" i="1"/>
  <c r="B130" i="1"/>
  <c r="B129" i="1"/>
  <c r="B128" i="1"/>
  <c r="C127" i="1"/>
  <c r="B109" i="1"/>
  <c r="B108" i="1"/>
  <c r="B107" i="1"/>
  <c r="C106" i="1"/>
  <c r="B102" i="1"/>
  <c r="B101" i="1"/>
  <c r="B100" i="1"/>
  <c r="C99" i="1"/>
  <c r="D99" i="1" s="1"/>
  <c r="E99" i="1" s="1"/>
  <c r="F99" i="1" s="1"/>
  <c r="G99" i="1" s="1"/>
  <c r="H99" i="1" s="1"/>
  <c r="I99" i="1" s="1"/>
  <c r="J99" i="1" s="1"/>
  <c r="K99" i="1" s="1"/>
  <c r="L99" i="1" s="1"/>
  <c r="B95" i="1"/>
  <c r="B94" i="1"/>
  <c r="B93" i="1"/>
  <c r="C92" i="1"/>
  <c r="B88" i="1"/>
  <c r="B87" i="1"/>
  <c r="B86" i="1"/>
  <c r="C85" i="1"/>
  <c r="B81" i="1"/>
  <c r="B80" i="1"/>
  <c r="B79" i="1"/>
  <c r="C78" i="1"/>
  <c r="B74" i="1"/>
  <c r="B73" i="1"/>
  <c r="B72" i="1"/>
  <c r="C71" i="1"/>
  <c r="B67" i="1"/>
  <c r="B66" i="1"/>
  <c r="B65" i="1"/>
  <c r="C64" i="1"/>
  <c r="B60" i="1"/>
  <c r="B59" i="1"/>
  <c r="B58" i="1"/>
  <c r="C57" i="1"/>
  <c r="D57" i="1" s="1"/>
  <c r="B53" i="1"/>
  <c r="B52" i="1"/>
  <c r="B51" i="1"/>
  <c r="C50" i="1"/>
  <c r="D50" i="1" s="1"/>
  <c r="E50" i="1" s="1"/>
  <c r="B46" i="1"/>
  <c r="B45" i="1"/>
  <c r="B44" i="1"/>
  <c r="C43" i="1"/>
  <c r="B39" i="1"/>
  <c r="B38" i="1"/>
  <c r="B37" i="1"/>
  <c r="C36" i="1"/>
  <c r="D36" i="1" s="1"/>
  <c r="E36" i="1" s="1"/>
  <c r="F36" i="1" s="1"/>
  <c r="G36" i="1" s="1"/>
  <c r="H36" i="1" s="1"/>
  <c r="I36" i="1" s="1"/>
  <c r="J36" i="1" s="1"/>
  <c r="K36" i="1" s="1"/>
  <c r="L36" i="1" s="1"/>
  <c r="B32" i="1"/>
  <c r="B31" i="1"/>
  <c r="B30" i="1"/>
  <c r="C29" i="1"/>
  <c r="G104" i="1"/>
  <c r="A104" i="1"/>
  <c r="G97" i="1"/>
  <c r="A97" i="1"/>
  <c r="C226" i="1" l="1"/>
  <c r="E226" i="1" s="1"/>
  <c r="G226" i="1" s="1"/>
  <c r="I226" i="1" s="1"/>
  <c r="K226" i="1" s="1"/>
  <c r="C310" i="1"/>
  <c r="E310" i="1" s="1"/>
  <c r="G310" i="1" s="1"/>
  <c r="I310" i="1" s="1"/>
  <c r="K310" i="1" s="1"/>
  <c r="D310" i="1"/>
  <c r="F310" i="1" s="1"/>
  <c r="H310" i="1" s="1"/>
  <c r="J310" i="1" s="1"/>
  <c r="L310" i="1" s="1"/>
  <c r="C114" i="1"/>
  <c r="E114" i="1" s="1"/>
  <c r="G114" i="1" s="1"/>
  <c r="I114" i="1" s="1"/>
  <c r="K114" i="1" s="1"/>
  <c r="D114" i="1"/>
  <c r="F114" i="1" s="1"/>
  <c r="H114" i="1" s="1"/>
  <c r="J114" i="1" s="1"/>
  <c r="L114" i="1" s="1"/>
  <c r="C172" i="1"/>
  <c r="C171" i="1"/>
  <c r="C170" i="1"/>
  <c r="C185" i="1"/>
  <c r="C184" i="1"/>
  <c r="C186" i="1"/>
  <c r="C200" i="1"/>
  <c r="C199" i="1"/>
  <c r="C198" i="1"/>
  <c r="D226" i="1"/>
  <c r="F226" i="1" s="1"/>
  <c r="H226" i="1" s="1"/>
  <c r="J226" i="1" s="1"/>
  <c r="L226" i="1" s="1"/>
  <c r="D100" i="1"/>
  <c r="F100" i="1" s="1"/>
  <c r="H100" i="1" s="1"/>
  <c r="J100" i="1" s="1"/>
  <c r="L100" i="1" s="1"/>
  <c r="C100" i="1"/>
  <c r="E100" i="1" s="1"/>
  <c r="G100" i="1" s="1"/>
  <c r="I100" i="1" s="1"/>
  <c r="K100" i="1" s="1"/>
  <c r="D316" i="1"/>
  <c r="J134" i="1"/>
  <c r="D302" i="1"/>
  <c r="E302" i="1" s="1"/>
  <c r="D239" i="1"/>
  <c r="E239" i="1" s="1"/>
  <c r="D218" i="1"/>
  <c r="E218" i="1" s="1"/>
  <c r="F218" i="1" s="1"/>
  <c r="D211" i="1"/>
  <c r="E211" i="1" s="1"/>
  <c r="F211" i="1" s="1"/>
  <c r="G211" i="1" s="1"/>
  <c r="H211" i="1" s="1"/>
  <c r="I211" i="1" s="1"/>
  <c r="J211" i="1" s="1"/>
  <c r="K211" i="1" s="1"/>
  <c r="L211" i="1" s="1"/>
  <c r="D204" i="1"/>
  <c r="D190" i="1"/>
  <c r="E190" i="1" s="1"/>
  <c r="F190" i="1" s="1"/>
  <c r="G190" i="1" s="1"/>
  <c r="H190" i="1" s="1"/>
  <c r="I190" i="1" s="1"/>
  <c r="J190" i="1" s="1"/>
  <c r="K190" i="1" s="1"/>
  <c r="L190" i="1" s="1"/>
  <c r="D183" i="1"/>
  <c r="D176" i="1"/>
  <c r="E176" i="1" s="1"/>
  <c r="F176" i="1" s="1"/>
  <c r="G176" i="1" s="1"/>
  <c r="D169" i="1"/>
  <c r="E155" i="1"/>
  <c r="F155" i="1" s="1"/>
  <c r="G155" i="1" s="1"/>
  <c r="H155" i="1" s="1"/>
  <c r="I155" i="1" s="1"/>
  <c r="J155" i="1" s="1"/>
  <c r="D141" i="1"/>
  <c r="E141" i="1" s="1"/>
  <c r="F141" i="1" s="1"/>
  <c r="G141" i="1" s="1"/>
  <c r="H141" i="1" s="1"/>
  <c r="I141" i="1" s="1"/>
  <c r="J141" i="1" s="1"/>
  <c r="K141" i="1" s="1"/>
  <c r="L141" i="1" s="1"/>
  <c r="D127" i="1"/>
  <c r="E127" i="1" s="1"/>
  <c r="F127" i="1" s="1"/>
  <c r="G127" i="1" s="1"/>
  <c r="H127" i="1" s="1"/>
  <c r="I127" i="1" s="1"/>
  <c r="D106" i="1"/>
  <c r="E106" i="1" s="1"/>
  <c r="F106" i="1" s="1"/>
  <c r="G106" i="1" s="1"/>
  <c r="H106" i="1" s="1"/>
  <c r="I106" i="1" s="1"/>
  <c r="J106" i="1" s="1"/>
  <c r="K106" i="1" s="1"/>
  <c r="L106" i="1" s="1"/>
  <c r="D92" i="1"/>
  <c r="E92" i="1" s="1"/>
  <c r="F92" i="1" s="1"/>
  <c r="G92" i="1" s="1"/>
  <c r="H92" i="1" s="1"/>
  <c r="I92" i="1" s="1"/>
  <c r="J92" i="1" s="1"/>
  <c r="K92" i="1" s="1"/>
  <c r="L92" i="1" s="1"/>
  <c r="D78" i="1"/>
  <c r="D71" i="1"/>
  <c r="E71" i="1" s="1"/>
  <c r="F71" i="1" s="1"/>
  <c r="G71" i="1" s="1"/>
  <c r="H71" i="1" s="1"/>
  <c r="I71" i="1" s="1"/>
  <c r="J71" i="1" s="1"/>
  <c r="K71" i="1" s="1"/>
  <c r="L71" i="1" s="1"/>
  <c r="D64" i="1"/>
  <c r="E64" i="1" s="1"/>
  <c r="F64" i="1" s="1"/>
  <c r="G64" i="1" s="1"/>
  <c r="H64" i="1" s="1"/>
  <c r="I64" i="1" s="1"/>
  <c r="J64" i="1" s="1"/>
  <c r="K64" i="1" s="1"/>
  <c r="L64" i="1" s="1"/>
  <c r="E57" i="1"/>
  <c r="F57" i="1" s="1"/>
  <c r="G57" i="1" s="1"/>
  <c r="H57" i="1" s="1"/>
  <c r="I57" i="1" s="1"/>
  <c r="J57" i="1" s="1"/>
  <c r="K57" i="1" s="1"/>
  <c r="L57" i="1" s="1"/>
  <c r="F50" i="1"/>
  <c r="D43" i="1"/>
  <c r="E43" i="1" s="1"/>
  <c r="F43" i="1" s="1"/>
  <c r="G43" i="1" s="1"/>
  <c r="H43" i="1" s="1"/>
  <c r="I43" i="1" s="1"/>
  <c r="J43" i="1" s="1"/>
  <c r="K43" i="1" s="1"/>
  <c r="L43" i="1" s="1"/>
  <c r="D29" i="1"/>
  <c r="C107" i="1" l="1"/>
  <c r="E107" i="1" s="1"/>
  <c r="G107" i="1" s="1"/>
  <c r="I107" i="1" s="1"/>
  <c r="K107" i="1" s="1"/>
  <c r="D171" i="1"/>
  <c r="D170" i="1"/>
  <c r="D172" i="1"/>
  <c r="D107" i="1"/>
  <c r="F107" i="1" s="1"/>
  <c r="H107" i="1" s="1"/>
  <c r="J107" i="1" s="1"/>
  <c r="L107" i="1" s="1"/>
  <c r="D185" i="1"/>
  <c r="D186" i="1"/>
  <c r="D184" i="1"/>
  <c r="K134" i="1"/>
  <c r="L134" i="1" s="1"/>
  <c r="E183" i="1"/>
  <c r="E78" i="1"/>
  <c r="G50" i="1"/>
  <c r="E29" i="1"/>
  <c r="D135" i="1" l="1"/>
  <c r="F135" i="1" s="1"/>
  <c r="H135" i="1" s="1"/>
  <c r="C135" i="1"/>
  <c r="E135" i="1" s="1"/>
  <c r="G135" i="1" s="1"/>
  <c r="I135" i="1" s="1"/>
  <c r="E185" i="1"/>
  <c r="E184" i="1"/>
  <c r="E186" i="1"/>
  <c r="F78" i="1"/>
  <c r="H50" i="1"/>
  <c r="F29" i="1"/>
  <c r="G78" i="1" l="1"/>
  <c r="I50" i="1"/>
  <c r="G29" i="1"/>
  <c r="H78" i="1" l="1"/>
  <c r="J50" i="1"/>
  <c r="H29" i="1"/>
  <c r="I78" i="1" l="1"/>
  <c r="K50" i="1"/>
  <c r="I29" i="1"/>
  <c r="J78" i="1" l="1"/>
  <c r="L50" i="1"/>
  <c r="J29" i="1"/>
  <c r="K78" i="1" l="1"/>
  <c r="K29" i="1"/>
  <c r="L78" i="1" l="1"/>
  <c r="L29" i="1"/>
  <c r="C30" i="1" l="1"/>
  <c r="E30" i="1" s="1"/>
  <c r="G30" i="1" s="1"/>
  <c r="I30" i="1" s="1"/>
  <c r="K30" i="1" s="1"/>
  <c r="D30" i="1"/>
  <c r="F30" i="1" s="1"/>
  <c r="H30" i="1" s="1"/>
  <c r="J30" i="1" s="1"/>
  <c r="L30" i="1" s="1"/>
  <c r="F183" i="1"/>
  <c r="F186" i="1" l="1"/>
  <c r="F185" i="1"/>
  <c r="F184" i="1"/>
  <c r="E169" i="1"/>
  <c r="G183" i="1"/>
  <c r="F302" i="1"/>
  <c r="G218" i="1"/>
  <c r="G48" i="1"/>
  <c r="A48" i="1"/>
  <c r="G321" i="1"/>
  <c r="A321" i="1"/>
  <c r="G34" i="1"/>
  <c r="A34" i="1"/>
  <c r="C22" i="1"/>
  <c r="B28" i="1"/>
  <c r="B25" i="1"/>
  <c r="B24" i="1"/>
  <c r="B23" i="1"/>
  <c r="G202" i="1"/>
  <c r="G188" i="1"/>
  <c r="G90" i="1"/>
  <c r="G55" i="1"/>
  <c r="G41" i="1"/>
  <c r="A314" i="1"/>
  <c r="A300" i="1"/>
  <c r="A237" i="1"/>
  <c r="A230" i="1"/>
  <c r="A216" i="1"/>
  <c r="A209" i="1"/>
  <c r="A202" i="1"/>
  <c r="A195" i="1"/>
  <c r="A188" i="1"/>
  <c r="A181" i="1"/>
  <c r="A174" i="1"/>
  <c r="A167" i="1"/>
  <c r="A153" i="1"/>
  <c r="A146" i="1"/>
  <c r="A139" i="1"/>
  <c r="A125" i="1"/>
  <c r="A90" i="1"/>
  <c r="A83" i="1"/>
  <c r="A76" i="1"/>
  <c r="A69" i="1"/>
  <c r="A62" i="1"/>
  <c r="A55" i="1"/>
  <c r="A41" i="1"/>
  <c r="A20" i="1"/>
  <c r="A27" i="1"/>
  <c r="F13" i="1"/>
  <c r="F12" i="1"/>
  <c r="F8" i="1"/>
  <c r="G356" i="1"/>
  <c r="G300" i="1"/>
  <c r="G237" i="1"/>
  <c r="G230" i="1"/>
  <c r="G216" i="1"/>
  <c r="G209" i="1"/>
  <c r="G195" i="1"/>
  <c r="G181" i="1"/>
  <c r="G174" i="1"/>
  <c r="G167" i="1"/>
  <c r="G153" i="1"/>
  <c r="G146" i="1"/>
  <c r="G139" i="1"/>
  <c r="G125" i="1"/>
  <c r="G83" i="1"/>
  <c r="G76" i="1"/>
  <c r="G69" i="1"/>
  <c r="G62" i="1"/>
  <c r="G20" i="1"/>
  <c r="A21" i="1"/>
  <c r="A4" i="3" s="1"/>
  <c r="B13" i="1"/>
  <c r="B18" i="1" s="1"/>
  <c r="B12" i="1"/>
  <c r="B17" i="1" s="1"/>
  <c r="B11" i="1"/>
  <c r="B16" i="1" s="1"/>
  <c r="B10" i="1"/>
  <c r="B15" i="1" s="1"/>
  <c r="B9" i="1"/>
  <c r="C332" i="1" l="1"/>
  <c r="E332" i="1" s="1"/>
  <c r="G332" i="1" s="1"/>
  <c r="I332" i="1" s="1"/>
  <c r="K332" i="1" s="1"/>
  <c r="D332" i="1"/>
  <c r="F332" i="1" s="1"/>
  <c r="H332" i="1" s="1"/>
  <c r="J332" i="1" s="1"/>
  <c r="L332" i="1" s="1"/>
  <c r="C276" i="1"/>
  <c r="E276" i="1" s="1"/>
  <c r="G276" i="1" s="1"/>
  <c r="I276" i="1" s="1"/>
  <c r="K276" i="1" s="1"/>
  <c r="D262" i="1"/>
  <c r="F262" i="1" s="1"/>
  <c r="H262" i="1" s="1"/>
  <c r="J262" i="1" s="1"/>
  <c r="L262" i="1" s="1"/>
  <c r="C269" i="1"/>
  <c r="E269" i="1" s="1"/>
  <c r="G269" i="1" s="1"/>
  <c r="I269" i="1" s="1"/>
  <c r="K269" i="1" s="1"/>
  <c r="D276" i="1"/>
  <c r="F276" i="1" s="1"/>
  <c r="H276" i="1" s="1"/>
  <c r="J276" i="1" s="1"/>
  <c r="L276" i="1" s="1"/>
  <c r="C297" i="1"/>
  <c r="E297" i="1" s="1"/>
  <c r="G297" i="1" s="1"/>
  <c r="I297" i="1" s="1"/>
  <c r="K297" i="1" s="1"/>
  <c r="D269" i="1"/>
  <c r="F269" i="1" s="1"/>
  <c r="H269" i="1" s="1"/>
  <c r="J269" i="1" s="1"/>
  <c r="L269" i="1" s="1"/>
  <c r="D297" i="1"/>
  <c r="F297" i="1" s="1"/>
  <c r="H297" i="1" s="1"/>
  <c r="J297" i="1" s="1"/>
  <c r="L297" i="1" s="1"/>
  <c r="C262" i="1"/>
  <c r="E262" i="1" s="1"/>
  <c r="G262" i="1" s="1"/>
  <c r="I262" i="1" s="1"/>
  <c r="K262" i="1" s="1"/>
  <c r="C255" i="1"/>
  <c r="E255" i="1" s="1"/>
  <c r="G255" i="1" s="1"/>
  <c r="I255" i="1" s="1"/>
  <c r="K255" i="1" s="1"/>
  <c r="C290" i="1"/>
  <c r="E290" i="1" s="1"/>
  <c r="G290" i="1" s="1"/>
  <c r="I290" i="1" s="1"/>
  <c r="K290" i="1" s="1"/>
  <c r="C283" i="1"/>
  <c r="E283" i="1" s="1"/>
  <c r="G283" i="1" s="1"/>
  <c r="I283" i="1" s="1"/>
  <c r="K283" i="1" s="1"/>
  <c r="D290" i="1"/>
  <c r="F290" i="1" s="1"/>
  <c r="H290" i="1" s="1"/>
  <c r="J290" i="1" s="1"/>
  <c r="L290" i="1" s="1"/>
  <c r="D255" i="1"/>
  <c r="F255" i="1" s="1"/>
  <c r="H255" i="1" s="1"/>
  <c r="J255" i="1" s="1"/>
  <c r="L255" i="1" s="1"/>
  <c r="D248" i="1"/>
  <c r="F248" i="1" s="1"/>
  <c r="H248" i="1" s="1"/>
  <c r="J248" i="1" s="1"/>
  <c r="L248" i="1" s="1"/>
  <c r="D283" i="1"/>
  <c r="F283" i="1" s="1"/>
  <c r="H283" i="1" s="1"/>
  <c r="J283" i="1" s="1"/>
  <c r="L283" i="1" s="1"/>
  <c r="C248" i="1"/>
  <c r="E248" i="1" s="1"/>
  <c r="G248" i="1" s="1"/>
  <c r="I248" i="1" s="1"/>
  <c r="K248" i="1" s="1"/>
  <c r="C164" i="1"/>
  <c r="E164" i="1" s="1"/>
  <c r="G164" i="1" s="1"/>
  <c r="I164" i="1" s="1"/>
  <c r="K164" i="1" s="1"/>
  <c r="D164" i="1"/>
  <c r="F164" i="1" s="1"/>
  <c r="H164" i="1" s="1"/>
  <c r="J164" i="1" s="1"/>
  <c r="L164" i="1" s="1"/>
  <c r="D122" i="1"/>
  <c r="F122" i="1" s="1"/>
  <c r="H122" i="1" s="1"/>
  <c r="J122" i="1" s="1"/>
  <c r="L122" i="1" s="1"/>
  <c r="C122" i="1"/>
  <c r="E122" i="1" s="1"/>
  <c r="G122" i="1" s="1"/>
  <c r="I122" i="1" s="1"/>
  <c r="K122" i="1" s="1"/>
  <c r="C311" i="1"/>
  <c r="E311" i="1" s="1"/>
  <c r="G311" i="1" s="1"/>
  <c r="I311" i="1" s="1"/>
  <c r="K311" i="1" s="1"/>
  <c r="C227" i="1"/>
  <c r="E227" i="1" s="1"/>
  <c r="G227" i="1" s="1"/>
  <c r="I227" i="1" s="1"/>
  <c r="K227" i="1" s="1"/>
  <c r="C101" i="1"/>
  <c r="E101" i="1" s="1"/>
  <c r="G101" i="1" s="1"/>
  <c r="I101" i="1" s="1"/>
  <c r="K101" i="1" s="1"/>
  <c r="D311" i="1"/>
  <c r="F311" i="1" s="1"/>
  <c r="H311" i="1" s="1"/>
  <c r="J311" i="1" s="1"/>
  <c r="L311" i="1" s="1"/>
  <c r="D227" i="1"/>
  <c r="F227" i="1" s="1"/>
  <c r="H227" i="1" s="1"/>
  <c r="J227" i="1" s="1"/>
  <c r="L227" i="1" s="1"/>
  <c r="D115" i="1"/>
  <c r="F115" i="1" s="1"/>
  <c r="H115" i="1" s="1"/>
  <c r="J115" i="1" s="1"/>
  <c r="L115" i="1" s="1"/>
  <c r="C115" i="1"/>
  <c r="E115" i="1" s="1"/>
  <c r="G115" i="1" s="1"/>
  <c r="I115" i="1" s="1"/>
  <c r="K115" i="1" s="1"/>
  <c r="D101" i="1"/>
  <c r="F101" i="1" s="1"/>
  <c r="H101" i="1" s="1"/>
  <c r="J101" i="1" s="1"/>
  <c r="L101" i="1" s="1"/>
  <c r="C108" i="1"/>
  <c r="E108" i="1" s="1"/>
  <c r="G108" i="1" s="1"/>
  <c r="I108" i="1" s="1"/>
  <c r="K108" i="1" s="1"/>
  <c r="D108" i="1"/>
  <c r="F108" i="1" s="1"/>
  <c r="H108" i="1" s="1"/>
  <c r="J108" i="1" s="1"/>
  <c r="L108" i="1" s="1"/>
  <c r="D136" i="1"/>
  <c r="F136" i="1" s="1"/>
  <c r="H136" i="1" s="1"/>
  <c r="C136" i="1"/>
  <c r="E136" i="1" s="1"/>
  <c r="G136" i="1" s="1"/>
  <c r="I136" i="1" s="1"/>
  <c r="C31" i="1"/>
  <c r="E31" i="1" s="1"/>
  <c r="G31" i="1" s="1"/>
  <c r="I31" i="1" s="1"/>
  <c r="K31" i="1" s="1"/>
  <c r="D31" i="1"/>
  <c r="F31" i="1" s="1"/>
  <c r="H31" i="1" s="1"/>
  <c r="J31" i="1" s="1"/>
  <c r="L31" i="1" s="1"/>
  <c r="D296" i="1"/>
  <c r="F296" i="1" s="1"/>
  <c r="H296" i="1" s="1"/>
  <c r="J296" i="1" s="1"/>
  <c r="L296" i="1" s="1"/>
  <c r="C296" i="1"/>
  <c r="E296" i="1" s="1"/>
  <c r="G296" i="1" s="1"/>
  <c r="I296" i="1" s="1"/>
  <c r="K296" i="1" s="1"/>
  <c r="D163" i="1"/>
  <c r="F163" i="1" s="1"/>
  <c r="H163" i="1" s="1"/>
  <c r="J163" i="1" s="1"/>
  <c r="L163" i="1" s="1"/>
  <c r="C163" i="1"/>
  <c r="E163" i="1" s="1"/>
  <c r="G163" i="1" s="1"/>
  <c r="I163" i="1" s="1"/>
  <c r="K163" i="1" s="1"/>
  <c r="G186" i="1"/>
  <c r="G185" i="1"/>
  <c r="G184" i="1"/>
  <c r="E171" i="1"/>
  <c r="E170" i="1"/>
  <c r="E172" i="1"/>
  <c r="C37" i="1"/>
  <c r="E37" i="1" s="1"/>
  <c r="G37" i="1" s="1"/>
  <c r="I37" i="1" s="1"/>
  <c r="K37" i="1" s="1"/>
  <c r="D38" i="1"/>
  <c r="F38" i="1" s="1"/>
  <c r="H38" i="1" s="1"/>
  <c r="J38" i="1" s="1"/>
  <c r="L38" i="1" s="1"/>
  <c r="C38" i="1"/>
  <c r="E38" i="1" s="1"/>
  <c r="G38" i="1" s="1"/>
  <c r="I38" i="1" s="1"/>
  <c r="K38" i="1" s="1"/>
  <c r="D37" i="1"/>
  <c r="F37" i="1" s="1"/>
  <c r="H37" i="1" s="1"/>
  <c r="J37" i="1" s="1"/>
  <c r="L37" i="1" s="1"/>
  <c r="C45" i="1"/>
  <c r="E45" i="1" s="1"/>
  <c r="G45" i="1" s="1"/>
  <c r="I45" i="1" s="1"/>
  <c r="K45" i="1" s="1"/>
  <c r="D44" i="1"/>
  <c r="F44" i="1" s="1"/>
  <c r="H44" i="1" s="1"/>
  <c r="J44" i="1" s="1"/>
  <c r="L44" i="1" s="1"/>
  <c r="C44" i="1"/>
  <c r="E44" i="1" s="1"/>
  <c r="G44" i="1" s="1"/>
  <c r="I44" i="1" s="1"/>
  <c r="K44" i="1" s="1"/>
  <c r="D45" i="1"/>
  <c r="F45" i="1" s="1"/>
  <c r="H45" i="1" s="1"/>
  <c r="J45" i="1" s="1"/>
  <c r="L45" i="1" s="1"/>
  <c r="D213" i="1"/>
  <c r="F213" i="1" s="1"/>
  <c r="H213" i="1" s="1"/>
  <c r="J213" i="1" s="1"/>
  <c r="L213" i="1" s="1"/>
  <c r="C213" i="1"/>
  <c r="E213" i="1" s="1"/>
  <c r="G213" i="1" s="1"/>
  <c r="I213" i="1" s="1"/>
  <c r="K213" i="1" s="1"/>
  <c r="D212" i="1"/>
  <c r="F212" i="1" s="1"/>
  <c r="H212" i="1" s="1"/>
  <c r="J212" i="1" s="1"/>
  <c r="L212" i="1" s="1"/>
  <c r="C212" i="1"/>
  <c r="E212" i="1" s="1"/>
  <c r="G212" i="1" s="1"/>
  <c r="I212" i="1" s="1"/>
  <c r="K212" i="1" s="1"/>
  <c r="C73" i="1"/>
  <c r="E73" i="1" s="1"/>
  <c r="G73" i="1" s="1"/>
  <c r="I73" i="1" s="1"/>
  <c r="K73" i="1" s="1"/>
  <c r="D72" i="1"/>
  <c r="F72" i="1" s="1"/>
  <c r="H72" i="1" s="1"/>
  <c r="J72" i="1" s="1"/>
  <c r="L72" i="1" s="1"/>
  <c r="C72" i="1"/>
  <c r="E72" i="1" s="1"/>
  <c r="G72" i="1" s="1"/>
  <c r="I72" i="1" s="1"/>
  <c r="K72" i="1" s="1"/>
  <c r="D73" i="1"/>
  <c r="F73" i="1" s="1"/>
  <c r="H73" i="1" s="1"/>
  <c r="J73" i="1" s="1"/>
  <c r="L73" i="1" s="1"/>
  <c r="D93" i="1"/>
  <c r="F93" i="1" s="1"/>
  <c r="H93" i="1" s="1"/>
  <c r="J93" i="1" s="1"/>
  <c r="L93" i="1" s="1"/>
  <c r="C93" i="1"/>
  <c r="E93" i="1" s="1"/>
  <c r="G93" i="1" s="1"/>
  <c r="I93" i="1" s="1"/>
  <c r="K93" i="1" s="1"/>
  <c r="D94" i="1"/>
  <c r="F94" i="1" s="1"/>
  <c r="H94" i="1" s="1"/>
  <c r="J94" i="1" s="1"/>
  <c r="L94" i="1" s="1"/>
  <c r="C94" i="1"/>
  <c r="E94" i="1" s="1"/>
  <c r="G94" i="1" s="1"/>
  <c r="I94" i="1" s="1"/>
  <c r="K94" i="1" s="1"/>
  <c r="C65" i="1"/>
  <c r="E65" i="1" s="1"/>
  <c r="G65" i="1" s="1"/>
  <c r="I65" i="1" s="1"/>
  <c r="K65" i="1" s="1"/>
  <c r="D66" i="1"/>
  <c r="F66" i="1" s="1"/>
  <c r="H66" i="1" s="1"/>
  <c r="J66" i="1" s="1"/>
  <c r="L66" i="1" s="1"/>
  <c r="C66" i="1"/>
  <c r="E66" i="1" s="1"/>
  <c r="G66" i="1" s="1"/>
  <c r="I66" i="1" s="1"/>
  <c r="K66" i="1" s="1"/>
  <c r="D65" i="1"/>
  <c r="F65" i="1" s="1"/>
  <c r="H65" i="1" s="1"/>
  <c r="J65" i="1" s="1"/>
  <c r="L65" i="1" s="1"/>
  <c r="C59" i="1"/>
  <c r="E59" i="1" s="1"/>
  <c r="G59" i="1" s="1"/>
  <c r="I59" i="1" s="1"/>
  <c r="K59" i="1" s="1"/>
  <c r="D58" i="1"/>
  <c r="F58" i="1" s="1"/>
  <c r="H58" i="1" s="1"/>
  <c r="J58" i="1" s="1"/>
  <c r="L58" i="1" s="1"/>
  <c r="C58" i="1"/>
  <c r="E58" i="1" s="1"/>
  <c r="G58" i="1" s="1"/>
  <c r="I58" i="1" s="1"/>
  <c r="K58" i="1" s="1"/>
  <c r="D59" i="1"/>
  <c r="F59" i="1" s="1"/>
  <c r="H59" i="1" s="1"/>
  <c r="J59" i="1" s="1"/>
  <c r="L59" i="1" s="1"/>
  <c r="C192" i="1"/>
  <c r="E192" i="1" s="1"/>
  <c r="G192" i="1" s="1"/>
  <c r="I192" i="1" s="1"/>
  <c r="K192" i="1" s="1"/>
  <c r="D192" i="1"/>
  <c r="F192" i="1" s="1"/>
  <c r="H192" i="1" s="1"/>
  <c r="J192" i="1" s="1"/>
  <c r="L192" i="1" s="1"/>
  <c r="D191" i="1"/>
  <c r="F191" i="1" s="1"/>
  <c r="H191" i="1" s="1"/>
  <c r="J191" i="1" s="1"/>
  <c r="L191" i="1" s="1"/>
  <c r="C191" i="1"/>
  <c r="E191" i="1" s="1"/>
  <c r="G191" i="1" s="1"/>
  <c r="I191" i="1" s="1"/>
  <c r="K191" i="1" s="1"/>
  <c r="C52" i="1"/>
  <c r="E52" i="1" s="1"/>
  <c r="G52" i="1" s="1"/>
  <c r="I52" i="1" s="1"/>
  <c r="K52" i="1" s="1"/>
  <c r="D51" i="1"/>
  <c r="F51" i="1" s="1"/>
  <c r="H51" i="1" s="1"/>
  <c r="J51" i="1" s="1"/>
  <c r="L51" i="1" s="1"/>
  <c r="C51" i="1"/>
  <c r="E51" i="1" s="1"/>
  <c r="G51" i="1" s="1"/>
  <c r="I51" i="1" s="1"/>
  <c r="K51" i="1" s="1"/>
  <c r="D52" i="1"/>
  <c r="F52" i="1" s="1"/>
  <c r="H52" i="1" s="1"/>
  <c r="J52" i="1" s="1"/>
  <c r="L52" i="1" s="1"/>
  <c r="C80" i="1"/>
  <c r="C79" i="1"/>
  <c r="D80" i="1"/>
  <c r="D79" i="1"/>
  <c r="C129" i="1"/>
  <c r="E129" i="1" s="1"/>
  <c r="G129" i="1" s="1"/>
  <c r="I129" i="1" s="1"/>
  <c r="D128" i="1"/>
  <c r="F128" i="1" s="1"/>
  <c r="H128" i="1" s="1"/>
  <c r="C128" i="1"/>
  <c r="E128" i="1" s="1"/>
  <c r="G128" i="1" s="1"/>
  <c r="I128" i="1" s="1"/>
  <c r="D129" i="1"/>
  <c r="F129" i="1" s="1"/>
  <c r="H129" i="1" s="1"/>
  <c r="C143" i="1"/>
  <c r="E143" i="1" s="1"/>
  <c r="G143" i="1" s="1"/>
  <c r="I143" i="1" s="1"/>
  <c r="K143" i="1" s="1"/>
  <c r="D142" i="1"/>
  <c r="F142" i="1" s="1"/>
  <c r="H142" i="1" s="1"/>
  <c r="J142" i="1" s="1"/>
  <c r="L142" i="1" s="1"/>
  <c r="C142" i="1"/>
  <c r="E142" i="1" s="1"/>
  <c r="G142" i="1" s="1"/>
  <c r="I142" i="1" s="1"/>
  <c r="K142" i="1" s="1"/>
  <c r="D143" i="1"/>
  <c r="F143" i="1" s="1"/>
  <c r="H143" i="1" s="1"/>
  <c r="J143" i="1" s="1"/>
  <c r="L143" i="1" s="1"/>
  <c r="K136" i="1"/>
  <c r="L136" i="1" s="1"/>
  <c r="F169" i="1"/>
  <c r="K155" i="1"/>
  <c r="L155" i="1" s="1"/>
  <c r="A12" i="3"/>
  <c r="A4" i="5"/>
  <c r="H183" i="1"/>
  <c r="H218" i="1"/>
  <c r="I218" i="1" s="1"/>
  <c r="J218" i="1" s="1"/>
  <c r="K218" i="1" s="1"/>
  <c r="L218" i="1" s="1"/>
  <c r="G302" i="1"/>
  <c r="H302" i="1" s="1"/>
  <c r="I302" i="1" s="1"/>
  <c r="J302" i="1" s="1"/>
  <c r="K302" i="1" s="1"/>
  <c r="L302" i="1" s="1"/>
  <c r="D197" i="1"/>
  <c r="B14" i="1"/>
  <c r="D22" i="1"/>
  <c r="E232" i="1"/>
  <c r="D323" i="1"/>
  <c r="D358" i="1"/>
  <c r="F239" i="1"/>
  <c r="C21" i="1"/>
  <c r="C28" i="1" s="1"/>
  <c r="C35" i="1" s="1"/>
  <c r="C49" i="1" s="1"/>
  <c r="B4" i="3"/>
  <c r="B4" i="5" s="1"/>
  <c r="B42" i="1"/>
  <c r="B56" i="1" s="1"/>
  <c r="B63" i="1" s="1"/>
  <c r="B70" i="1" s="1"/>
  <c r="B77" i="1" s="1"/>
  <c r="B84" i="1" s="1"/>
  <c r="B91" i="1" s="1"/>
  <c r="B35" i="1"/>
  <c r="B49" i="1" s="1"/>
  <c r="A56" i="1"/>
  <c r="A84" i="1" s="1"/>
  <c r="A91" i="1" s="1"/>
  <c r="C39" i="1" l="1"/>
  <c r="E39" i="1" s="1"/>
  <c r="G39" i="1" s="1"/>
  <c r="I39" i="1" s="1"/>
  <c r="K39" i="1" s="1"/>
  <c r="C333" i="1"/>
  <c r="E333" i="1" s="1"/>
  <c r="G333" i="1" s="1"/>
  <c r="I333" i="1" s="1"/>
  <c r="K333" i="1" s="1"/>
  <c r="D333" i="1"/>
  <c r="F333" i="1" s="1"/>
  <c r="H333" i="1" s="1"/>
  <c r="J333" i="1" s="1"/>
  <c r="L333" i="1" s="1"/>
  <c r="D130" i="1"/>
  <c r="F130" i="1" s="1"/>
  <c r="H130" i="1" s="1"/>
  <c r="C214" i="1"/>
  <c r="E214" i="1" s="1"/>
  <c r="G214" i="1" s="1"/>
  <c r="I214" i="1" s="1"/>
  <c r="K214" i="1" s="1"/>
  <c r="D144" i="1"/>
  <c r="F144" i="1" s="1"/>
  <c r="H144" i="1" s="1"/>
  <c r="J144" i="1" s="1"/>
  <c r="L144" i="1" s="1"/>
  <c r="F80" i="1"/>
  <c r="E80" i="1"/>
  <c r="F79" i="1"/>
  <c r="E79" i="1"/>
  <c r="D60" i="1"/>
  <c r="F60" i="1" s="1"/>
  <c r="H60" i="1" s="1"/>
  <c r="J60" i="1" s="1"/>
  <c r="L60" i="1" s="1"/>
  <c r="D214" i="1"/>
  <c r="F214" i="1" s="1"/>
  <c r="H214" i="1" s="1"/>
  <c r="J214" i="1" s="1"/>
  <c r="L214" i="1" s="1"/>
  <c r="D193" i="1"/>
  <c r="F193" i="1" s="1"/>
  <c r="H193" i="1" s="1"/>
  <c r="J193" i="1" s="1"/>
  <c r="L193" i="1" s="1"/>
  <c r="D74" i="1"/>
  <c r="F74" i="1" s="1"/>
  <c r="H74" i="1" s="1"/>
  <c r="J74" i="1" s="1"/>
  <c r="L74" i="1" s="1"/>
  <c r="C46" i="1"/>
  <c r="E46" i="1" s="1"/>
  <c r="G46" i="1" s="1"/>
  <c r="I46" i="1" s="1"/>
  <c r="K46" i="1" s="1"/>
  <c r="C53" i="1"/>
  <c r="E53" i="1" s="1"/>
  <c r="G53" i="1" s="1"/>
  <c r="I53" i="1" s="1"/>
  <c r="K53" i="1" s="1"/>
  <c r="C95" i="1"/>
  <c r="E95" i="1" s="1"/>
  <c r="G95" i="1" s="1"/>
  <c r="I95" i="1" s="1"/>
  <c r="K95" i="1" s="1"/>
  <c r="D263" i="1"/>
  <c r="F263" i="1" s="1"/>
  <c r="H263" i="1" s="1"/>
  <c r="J263" i="1" s="1"/>
  <c r="L263" i="1" s="1"/>
  <c r="D270" i="1"/>
  <c r="F270" i="1" s="1"/>
  <c r="H270" i="1" s="1"/>
  <c r="J270" i="1" s="1"/>
  <c r="L270" i="1" s="1"/>
  <c r="C263" i="1"/>
  <c r="E263" i="1" s="1"/>
  <c r="G263" i="1" s="1"/>
  <c r="I263" i="1" s="1"/>
  <c r="K263" i="1" s="1"/>
  <c r="C277" i="1"/>
  <c r="E277" i="1" s="1"/>
  <c r="G277" i="1" s="1"/>
  <c r="I277" i="1" s="1"/>
  <c r="K277" i="1" s="1"/>
  <c r="C298" i="1"/>
  <c r="E298" i="1" s="1"/>
  <c r="G298" i="1" s="1"/>
  <c r="I298" i="1" s="1"/>
  <c r="K298" i="1" s="1"/>
  <c r="D277" i="1"/>
  <c r="F277" i="1" s="1"/>
  <c r="H277" i="1" s="1"/>
  <c r="J277" i="1" s="1"/>
  <c r="L277" i="1" s="1"/>
  <c r="D298" i="1"/>
  <c r="F298" i="1" s="1"/>
  <c r="H298" i="1" s="1"/>
  <c r="J298" i="1" s="1"/>
  <c r="L298" i="1" s="1"/>
  <c r="C270" i="1"/>
  <c r="E270" i="1" s="1"/>
  <c r="G270" i="1" s="1"/>
  <c r="I270" i="1" s="1"/>
  <c r="K270" i="1" s="1"/>
  <c r="C291" i="1"/>
  <c r="E291" i="1" s="1"/>
  <c r="G291" i="1" s="1"/>
  <c r="I291" i="1" s="1"/>
  <c r="K291" i="1" s="1"/>
  <c r="D256" i="1"/>
  <c r="F256" i="1" s="1"/>
  <c r="H256" i="1" s="1"/>
  <c r="J256" i="1" s="1"/>
  <c r="L256" i="1" s="1"/>
  <c r="D249" i="1"/>
  <c r="F249" i="1" s="1"/>
  <c r="H249" i="1" s="1"/>
  <c r="J249" i="1" s="1"/>
  <c r="L249" i="1" s="1"/>
  <c r="C249" i="1"/>
  <c r="E249" i="1" s="1"/>
  <c r="G249" i="1" s="1"/>
  <c r="I249" i="1" s="1"/>
  <c r="K249" i="1" s="1"/>
  <c r="C284" i="1"/>
  <c r="E284" i="1" s="1"/>
  <c r="G284" i="1" s="1"/>
  <c r="I284" i="1" s="1"/>
  <c r="K284" i="1" s="1"/>
  <c r="D284" i="1"/>
  <c r="F284" i="1" s="1"/>
  <c r="H284" i="1" s="1"/>
  <c r="J284" i="1" s="1"/>
  <c r="L284" i="1" s="1"/>
  <c r="C256" i="1"/>
  <c r="E256" i="1" s="1"/>
  <c r="G256" i="1" s="1"/>
  <c r="I256" i="1" s="1"/>
  <c r="K256" i="1" s="1"/>
  <c r="D291" i="1"/>
  <c r="F291" i="1" s="1"/>
  <c r="H291" i="1" s="1"/>
  <c r="J291" i="1" s="1"/>
  <c r="L291" i="1" s="1"/>
  <c r="D123" i="1"/>
  <c r="F123" i="1" s="1"/>
  <c r="H123" i="1" s="1"/>
  <c r="J123" i="1" s="1"/>
  <c r="L123" i="1" s="1"/>
  <c r="C123" i="1"/>
  <c r="E123" i="1" s="1"/>
  <c r="G123" i="1" s="1"/>
  <c r="I123" i="1" s="1"/>
  <c r="K123" i="1" s="1"/>
  <c r="D165" i="1"/>
  <c r="F165" i="1" s="1"/>
  <c r="H165" i="1" s="1"/>
  <c r="J165" i="1" s="1"/>
  <c r="L165" i="1" s="1"/>
  <c r="C165" i="1"/>
  <c r="E165" i="1" s="1"/>
  <c r="G165" i="1" s="1"/>
  <c r="I165" i="1" s="1"/>
  <c r="K165" i="1" s="1"/>
  <c r="D312" i="1"/>
  <c r="F312" i="1" s="1"/>
  <c r="H312" i="1" s="1"/>
  <c r="J312" i="1" s="1"/>
  <c r="L312" i="1" s="1"/>
  <c r="C116" i="1"/>
  <c r="E116" i="1" s="1"/>
  <c r="G116" i="1" s="1"/>
  <c r="I116" i="1" s="1"/>
  <c r="K116" i="1" s="1"/>
  <c r="D102" i="1"/>
  <c r="F102" i="1" s="1"/>
  <c r="H102" i="1" s="1"/>
  <c r="J102" i="1" s="1"/>
  <c r="L102" i="1" s="1"/>
  <c r="C312" i="1"/>
  <c r="E312" i="1" s="1"/>
  <c r="G312" i="1" s="1"/>
  <c r="I312" i="1" s="1"/>
  <c r="K312" i="1" s="1"/>
  <c r="C102" i="1"/>
  <c r="E102" i="1" s="1"/>
  <c r="G102" i="1" s="1"/>
  <c r="I102" i="1" s="1"/>
  <c r="K102" i="1" s="1"/>
  <c r="D228" i="1"/>
  <c r="F228" i="1" s="1"/>
  <c r="H228" i="1" s="1"/>
  <c r="J228" i="1" s="1"/>
  <c r="L228" i="1" s="1"/>
  <c r="C228" i="1"/>
  <c r="E228" i="1" s="1"/>
  <c r="G228" i="1" s="1"/>
  <c r="I228" i="1" s="1"/>
  <c r="K228" i="1" s="1"/>
  <c r="D116" i="1"/>
  <c r="F116" i="1" s="1"/>
  <c r="H116" i="1" s="1"/>
  <c r="J116" i="1" s="1"/>
  <c r="L116" i="1" s="1"/>
  <c r="C109" i="1"/>
  <c r="E109" i="1" s="1"/>
  <c r="G109" i="1" s="1"/>
  <c r="I109" i="1" s="1"/>
  <c r="K109" i="1" s="1"/>
  <c r="D109" i="1"/>
  <c r="F109" i="1" s="1"/>
  <c r="H109" i="1" s="1"/>
  <c r="J109" i="1" s="1"/>
  <c r="L109" i="1" s="1"/>
  <c r="D137" i="1"/>
  <c r="F137" i="1" s="1"/>
  <c r="H137" i="1" s="1"/>
  <c r="C137" i="1"/>
  <c r="E137" i="1" s="1"/>
  <c r="G137" i="1" s="1"/>
  <c r="I137" i="1" s="1"/>
  <c r="D32" i="1"/>
  <c r="F32" i="1" s="1"/>
  <c r="H32" i="1" s="1"/>
  <c r="J32" i="1" s="1"/>
  <c r="L32" i="1" s="1"/>
  <c r="C32" i="1"/>
  <c r="E32" i="1" s="1"/>
  <c r="G32" i="1" s="1"/>
  <c r="I32" i="1" s="1"/>
  <c r="K32" i="1" s="1"/>
  <c r="D53" i="1"/>
  <c r="F53" i="1" s="1"/>
  <c r="H53" i="1" s="1"/>
  <c r="J53" i="1" s="1"/>
  <c r="L53" i="1" s="1"/>
  <c r="D95" i="1"/>
  <c r="F95" i="1" s="1"/>
  <c r="H95" i="1" s="1"/>
  <c r="J95" i="1" s="1"/>
  <c r="L95" i="1" s="1"/>
  <c r="D39" i="1"/>
  <c r="F39" i="1" s="1"/>
  <c r="H39" i="1" s="1"/>
  <c r="J39" i="1" s="1"/>
  <c r="L39" i="1" s="1"/>
  <c r="C130" i="1"/>
  <c r="E130" i="1" s="1"/>
  <c r="G130" i="1" s="1"/>
  <c r="I130" i="1" s="1"/>
  <c r="C81" i="1"/>
  <c r="C60" i="1"/>
  <c r="E60" i="1" s="1"/>
  <c r="G60" i="1" s="1"/>
  <c r="I60" i="1" s="1"/>
  <c r="K60" i="1" s="1"/>
  <c r="C67" i="1"/>
  <c r="E67" i="1" s="1"/>
  <c r="G67" i="1" s="1"/>
  <c r="I67" i="1" s="1"/>
  <c r="K67" i="1" s="1"/>
  <c r="C144" i="1"/>
  <c r="E144" i="1" s="1"/>
  <c r="G144" i="1" s="1"/>
  <c r="I144" i="1" s="1"/>
  <c r="K144" i="1" s="1"/>
  <c r="D81" i="1"/>
  <c r="C193" i="1"/>
  <c r="E193" i="1" s="1"/>
  <c r="G193" i="1" s="1"/>
  <c r="I193" i="1" s="1"/>
  <c r="K193" i="1" s="1"/>
  <c r="D67" i="1"/>
  <c r="F67" i="1" s="1"/>
  <c r="H67" i="1" s="1"/>
  <c r="J67" i="1" s="1"/>
  <c r="L67" i="1" s="1"/>
  <c r="C74" i="1"/>
  <c r="E74" i="1" s="1"/>
  <c r="G74" i="1" s="1"/>
  <c r="I74" i="1" s="1"/>
  <c r="K74" i="1" s="1"/>
  <c r="D46" i="1"/>
  <c r="F46" i="1" s="1"/>
  <c r="H46" i="1" s="1"/>
  <c r="J46" i="1" s="1"/>
  <c r="L46" i="1" s="1"/>
  <c r="D156" i="1"/>
  <c r="F156" i="1" s="1"/>
  <c r="H156" i="1" s="1"/>
  <c r="J156" i="1" s="1"/>
  <c r="L156" i="1" s="1"/>
  <c r="D305" i="1"/>
  <c r="F305" i="1" s="1"/>
  <c r="H305" i="1" s="1"/>
  <c r="J305" i="1" s="1"/>
  <c r="L305" i="1" s="1"/>
  <c r="C220" i="1"/>
  <c r="E220" i="1" s="1"/>
  <c r="G220" i="1" s="1"/>
  <c r="I220" i="1" s="1"/>
  <c r="K220" i="1" s="1"/>
  <c r="C157" i="1"/>
  <c r="E157" i="1" s="1"/>
  <c r="G157" i="1" s="1"/>
  <c r="I157" i="1" s="1"/>
  <c r="K157" i="1" s="1"/>
  <c r="D303" i="1"/>
  <c r="F303" i="1" s="1"/>
  <c r="H303" i="1" s="1"/>
  <c r="J303" i="1" s="1"/>
  <c r="L303" i="1" s="1"/>
  <c r="D158" i="1"/>
  <c r="F158" i="1" s="1"/>
  <c r="H158" i="1" s="1"/>
  <c r="J158" i="1" s="1"/>
  <c r="L158" i="1" s="1"/>
  <c r="D304" i="1"/>
  <c r="F304" i="1" s="1"/>
  <c r="H304" i="1" s="1"/>
  <c r="J304" i="1" s="1"/>
  <c r="L304" i="1" s="1"/>
  <c r="C304" i="1"/>
  <c r="E304" i="1" s="1"/>
  <c r="G304" i="1" s="1"/>
  <c r="I304" i="1" s="1"/>
  <c r="K304" i="1" s="1"/>
  <c r="C219" i="1"/>
  <c r="E219" i="1" s="1"/>
  <c r="G219" i="1" s="1"/>
  <c r="I219" i="1" s="1"/>
  <c r="K219" i="1" s="1"/>
  <c r="C221" i="1"/>
  <c r="E221" i="1" s="1"/>
  <c r="G221" i="1" s="1"/>
  <c r="I221" i="1" s="1"/>
  <c r="K221" i="1" s="1"/>
  <c r="D157" i="1"/>
  <c r="F157" i="1" s="1"/>
  <c r="H157" i="1" s="1"/>
  <c r="J157" i="1" s="1"/>
  <c r="L157" i="1" s="1"/>
  <c r="D221" i="1"/>
  <c r="F221" i="1" s="1"/>
  <c r="H221" i="1" s="1"/>
  <c r="J221" i="1" s="1"/>
  <c r="L221" i="1" s="1"/>
  <c r="C158" i="1"/>
  <c r="E158" i="1" s="1"/>
  <c r="G158" i="1" s="1"/>
  <c r="I158" i="1" s="1"/>
  <c r="K158" i="1" s="1"/>
  <c r="C303" i="1"/>
  <c r="E303" i="1" s="1"/>
  <c r="G303" i="1" s="1"/>
  <c r="I303" i="1" s="1"/>
  <c r="K303" i="1" s="1"/>
  <c r="D219" i="1"/>
  <c r="F219" i="1" s="1"/>
  <c r="H219" i="1" s="1"/>
  <c r="J219" i="1" s="1"/>
  <c r="L219" i="1" s="1"/>
  <c r="C156" i="1"/>
  <c r="E156" i="1" s="1"/>
  <c r="G156" i="1" s="1"/>
  <c r="I156" i="1" s="1"/>
  <c r="K156" i="1" s="1"/>
  <c r="C305" i="1"/>
  <c r="E305" i="1" s="1"/>
  <c r="G305" i="1" s="1"/>
  <c r="I305" i="1" s="1"/>
  <c r="K305" i="1" s="1"/>
  <c r="D220" i="1"/>
  <c r="F220" i="1" s="1"/>
  <c r="H220" i="1" s="1"/>
  <c r="J220" i="1" s="1"/>
  <c r="L220" i="1" s="1"/>
  <c r="I183" i="1"/>
  <c r="H186" i="1"/>
  <c r="H185" i="1"/>
  <c r="H184" i="1"/>
  <c r="F170" i="1"/>
  <c r="F172" i="1"/>
  <c r="F171" i="1"/>
  <c r="D199" i="1"/>
  <c r="D198" i="1"/>
  <c r="D200" i="1"/>
  <c r="H176" i="1"/>
  <c r="K137" i="1"/>
  <c r="L137" i="1" s="1"/>
  <c r="G169" i="1"/>
  <c r="A20" i="3"/>
  <c r="A12" i="5"/>
  <c r="G239" i="1"/>
  <c r="H239" i="1" s="1"/>
  <c r="I239" i="1" s="1"/>
  <c r="J239" i="1" s="1"/>
  <c r="K239" i="1" s="1"/>
  <c r="L239" i="1" s="1"/>
  <c r="E358" i="1"/>
  <c r="E316" i="1"/>
  <c r="E197" i="1"/>
  <c r="E204" i="1"/>
  <c r="E323" i="1"/>
  <c r="D85" i="1"/>
  <c r="F232" i="1"/>
  <c r="G232" i="1" s="1"/>
  <c r="H232" i="1" s="1"/>
  <c r="I232" i="1" s="1"/>
  <c r="J232" i="1" s="1"/>
  <c r="K232" i="1" s="1"/>
  <c r="L232" i="1" s="1"/>
  <c r="E22" i="1"/>
  <c r="A63" i="1"/>
  <c r="A77" i="1" s="1"/>
  <c r="A70" i="1" s="1"/>
  <c r="A42" i="1" s="1"/>
  <c r="A126" i="1" s="1"/>
  <c r="A140" i="1" s="1"/>
  <c r="A147" i="1" s="1"/>
  <c r="A154" i="1" s="1"/>
  <c r="A98" i="1"/>
  <c r="A105" i="1" s="1"/>
  <c r="A112" i="1" s="1"/>
  <c r="A119" i="1" s="1"/>
  <c r="B126" i="1"/>
  <c r="B140" i="1" s="1"/>
  <c r="B147" i="1" s="1"/>
  <c r="B154" i="1" s="1"/>
  <c r="B98" i="1"/>
  <c r="C4" i="3"/>
  <c r="C4" i="5" s="1"/>
  <c r="B12" i="3"/>
  <c r="C42" i="1"/>
  <c r="C56" i="1" s="1"/>
  <c r="C63" i="1" s="1"/>
  <c r="C70" i="1" s="1"/>
  <c r="C77" i="1" s="1"/>
  <c r="C84" i="1" s="1"/>
  <c r="C91" i="1" s="1"/>
  <c r="D21" i="1"/>
  <c r="E21" i="1" s="1"/>
  <c r="F81" i="1" l="1"/>
  <c r="E81" i="1"/>
  <c r="G80" i="1"/>
  <c r="H80" i="1"/>
  <c r="G79" i="1"/>
  <c r="H79" i="1"/>
  <c r="A49" i="1"/>
  <c r="A133" i="1" s="1"/>
  <c r="F323" i="1"/>
  <c r="G323" i="1" s="1"/>
  <c r="H323" i="1" s="1"/>
  <c r="I323" i="1" s="1"/>
  <c r="J323" i="1" s="1"/>
  <c r="K323" i="1" s="1"/>
  <c r="L323" i="1" s="1"/>
  <c r="C242" i="1"/>
  <c r="E242" i="1" s="1"/>
  <c r="G242" i="1" s="1"/>
  <c r="I242" i="1" s="1"/>
  <c r="K242" i="1" s="1"/>
  <c r="C234" i="1"/>
  <c r="E234" i="1" s="1"/>
  <c r="G234" i="1" s="1"/>
  <c r="I234" i="1" s="1"/>
  <c r="K234" i="1" s="1"/>
  <c r="I176" i="1"/>
  <c r="C240" i="1"/>
  <c r="E240" i="1" s="1"/>
  <c r="G240" i="1" s="1"/>
  <c r="I240" i="1" s="1"/>
  <c r="K240" i="1" s="1"/>
  <c r="C233" i="1"/>
  <c r="E233" i="1" s="1"/>
  <c r="G233" i="1" s="1"/>
  <c r="I233" i="1" s="1"/>
  <c r="K233" i="1" s="1"/>
  <c r="F358" i="1"/>
  <c r="D234" i="1"/>
  <c r="F234" i="1" s="1"/>
  <c r="H234" i="1" s="1"/>
  <c r="J234" i="1" s="1"/>
  <c r="L234" i="1" s="1"/>
  <c r="D241" i="1"/>
  <c r="F241" i="1" s="1"/>
  <c r="H241" i="1" s="1"/>
  <c r="J241" i="1" s="1"/>
  <c r="L241" i="1" s="1"/>
  <c r="D240" i="1"/>
  <c r="F240" i="1" s="1"/>
  <c r="H240" i="1" s="1"/>
  <c r="J240" i="1" s="1"/>
  <c r="L240" i="1" s="1"/>
  <c r="D235" i="1"/>
  <c r="F235" i="1" s="1"/>
  <c r="H235" i="1" s="1"/>
  <c r="J235" i="1" s="1"/>
  <c r="L235" i="1" s="1"/>
  <c r="C235" i="1"/>
  <c r="E235" i="1" s="1"/>
  <c r="G235" i="1" s="1"/>
  <c r="I235" i="1" s="1"/>
  <c r="K235" i="1" s="1"/>
  <c r="D233" i="1"/>
  <c r="F233" i="1" s="1"/>
  <c r="H233" i="1" s="1"/>
  <c r="J233" i="1" s="1"/>
  <c r="L233" i="1" s="1"/>
  <c r="C241" i="1"/>
  <c r="E241" i="1" s="1"/>
  <c r="G241" i="1" s="1"/>
  <c r="I241" i="1" s="1"/>
  <c r="K241" i="1" s="1"/>
  <c r="D242" i="1"/>
  <c r="F242" i="1" s="1"/>
  <c r="H242" i="1" s="1"/>
  <c r="J242" i="1" s="1"/>
  <c r="L242" i="1" s="1"/>
  <c r="G171" i="1"/>
  <c r="G170" i="1"/>
  <c r="G172" i="1"/>
  <c r="F197" i="1"/>
  <c r="G197" i="1" s="1"/>
  <c r="E200" i="1"/>
  <c r="E199" i="1"/>
  <c r="E198" i="1"/>
  <c r="I185" i="1"/>
  <c r="I184" i="1"/>
  <c r="I186" i="1"/>
  <c r="J183" i="1"/>
  <c r="K183" i="1" s="1"/>
  <c r="F316" i="1"/>
  <c r="B105" i="1"/>
  <c r="B112" i="1" s="1"/>
  <c r="B119" i="1" s="1"/>
  <c r="B133" i="1"/>
  <c r="A168" i="1"/>
  <c r="A175" i="1" s="1"/>
  <c r="A182" i="1" s="1"/>
  <c r="A189" i="1" s="1"/>
  <c r="A322" i="1" s="1"/>
  <c r="A161" i="1"/>
  <c r="B168" i="1"/>
  <c r="B175" i="1" s="1"/>
  <c r="B182" i="1" s="1"/>
  <c r="B189" i="1" s="1"/>
  <c r="B196" i="1" s="1"/>
  <c r="B203" i="1" s="1"/>
  <c r="B210" i="1" s="1"/>
  <c r="B217" i="1" s="1"/>
  <c r="B161" i="1"/>
  <c r="F22" i="1"/>
  <c r="A28" i="3"/>
  <c r="A20" i="5"/>
  <c r="B20" i="3"/>
  <c r="B12" i="5"/>
  <c r="E85" i="1"/>
  <c r="F204" i="1"/>
  <c r="C126" i="1"/>
  <c r="C140" i="1" s="1"/>
  <c r="C147" i="1" s="1"/>
  <c r="C154" i="1" s="1"/>
  <c r="C98" i="1"/>
  <c r="D28" i="1"/>
  <c r="D35" i="1" s="1"/>
  <c r="D49" i="1" s="1"/>
  <c r="C12" i="3"/>
  <c r="D4" i="3"/>
  <c r="D4" i="5" s="1"/>
  <c r="E28" i="1"/>
  <c r="F21" i="1"/>
  <c r="A196" i="1" l="1"/>
  <c r="A329" i="1" s="1"/>
  <c r="G81" i="1"/>
  <c r="H81" i="1"/>
  <c r="J80" i="1"/>
  <c r="I80" i="1"/>
  <c r="J79" i="1"/>
  <c r="I79" i="1"/>
  <c r="C325" i="1"/>
  <c r="E325" i="1" s="1"/>
  <c r="G325" i="1" s="1"/>
  <c r="I325" i="1" s="1"/>
  <c r="K325" i="1" s="1"/>
  <c r="D324" i="1"/>
  <c r="F324" i="1" s="1"/>
  <c r="H324" i="1" s="1"/>
  <c r="J324" i="1" s="1"/>
  <c r="L324" i="1" s="1"/>
  <c r="D325" i="1"/>
  <c r="F325" i="1" s="1"/>
  <c r="H325" i="1" s="1"/>
  <c r="J325" i="1" s="1"/>
  <c r="L325" i="1" s="1"/>
  <c r="C324" i="1"/>
  <c r="E324" i="1" s="1"/>
  <c r="G324" i="1" s="1"/>
  <c r="I324" i="1" s="1"/>
  <c r="K324" i="1" s="1"/>
  <c r="C326" i="1"/>
  <c r="E326" i="1" s="1"/>
  <c r="G326" i="1" s="1"/>
  <c r="I326" i="1" s="1"/>
  <c r="K326" i="1" s="1"/>
  <c r="D326" i="1"/>
  <c r="F326" i="1" s="1"/>
  <c r="H326" i="1" s="1"/>
  <c r="J326" i="1" s="1"/>
  <c r="L326" i="1" s="1"/>
  <c r="G358" i="1"/>
  <c r="J176" i="1"/>
  <c r="K176" i="1" s="1"/>
  <c r="K184" i="1"/>
  <c r="K186" i="1"/>
  <c r="K185" i="1"/>
  <c r="F85" i="1"/>
  <c r="G316" i="1"/>
  <c r="H316" i="1" s="1"/>
  <c r="I316" i="1" s="1"/>
  <c r="J316" i="1" s="1"/>
  <c r="K316" i="1" s="1"/>
  <c r="L316" i="1" s="1"/>
  <c r="J186" i="1"/>
  <c r="J185" i="1"/>
  <c r="J184" i="1"/>
  <c r="F200" i="1"/>
  <c r="F199" i="1"/>
  <c r="F198" i="1"/>
  <c r="G199" i="1"/>
  <c r="G200" i="1"/>
  <c r="G198" i="1"/>
  <c r="G204" i="1"/>
  <c r="L183" i="1"/>
  <c r="G22" i="1"/>
  <c r="B231" i="1"/>
  <c r="B238" i="1" s="1"/>
  <c r="B224" i="1"/>
  <c r="C105" i="1"/>
  <c r="C112" i="1" s="1"/>
  <c r="C119" i="1" s="1"/>
  <c r="C133" i="1"/>
  <c r="C168" i="1"/>
  <c r="C175" i="1" s="1"/>
  <c r="C182" i="1" s="1"/>
  <c r="C189" i="1" s="1"/>
  <c r="C196" i="1" s="1"/>
  <c r="C203" i="1" s="1"/>
  <c r="C210" i="1" s="1"/>
  <c r="C217" i="1" s="1"/>
  <c r="C161" i="1"/>
  <c r="A36" i="3"/>
  <c r="A28" i="5"/>
  <c r="C20" i="3"/>
  <c r="C12" i="5"/>
  <c r="B28" i="3"/>
  <c r="B20" i="5"/>
  <c r="H197" i="1"/>
  <c r="D42" i="1"/>
  <c r="D56" i="1" s="1"/>
  <c r="D63" i="1" s="1"/>
  <c r="D70" i="1" s="1"/>
  <c r="D77" i="1" s="1"/>
  <c r="D84" i="1" s="1"/>
  <c r="D91" i="1" s="1"/>
  <c r="E4" i="3"/>
  <c r="E4" i="5" s="1"/>
  <c r="D12" i="3"/>
  <c r="E35" i="1"/>
  <c r="E49" i="1" s="1"/>
  <c r="E42" i="1"/>
  <c r="E56" i="1" s="1"/>
  <c r="E63" i="1" s="1"/>
  <c r="E70" i="1" s="1"/>
  <c r="E77" i="1" s="1"/>
  <c r="E84" i="1" s="1"/>
  <c r="E91" i="1" s="1"/>
  <c r="G21" i="1"/>
  <c r="F28" i="1"/>
  <c r="A203" i="1" l="1"/>
  <c r="A364" i="1" s="1"/>
  <c r="A357" i="1"/>
  <c r="A210" i="1" s="1"/>
  <c r="J81" i="1"/>
  <c r="I81" i="1"/>
  <c r="K80" i="1"/>
  <c r="L80" i="1"/>
  <c r="K79" i="1"/>
  <c r="L79" i="1"/>
  <c r="C318" i="1"/>
  <c r="E318" i="1" s="1"/>
  <c r="G318" i="1" s="1"/>
  <c r="I318" i="1" s="1"/>
  <c r="K318" i="1" s="1"/>
  <c r="D318" i="1"/>
  <c r="F318" i="1" s="1"/>
  <c r="H318" i="1" s="1"/>
  <c r="J318" i="1" s="1"/>
  <c r="L318" i="1" s="1"/>
  <c r="H358" i="1"/>
  <c r="D319" i="1"/>
  <c r="F319" i="1" s="1"/>
  <c r="H319" i="1" s="1"/>
  <c r="J319" i="1" s="1"/>
  <c r="L319" i="1" s="1"/>
  <c r="G85" i="1"/>
  <c r="D317" i="1"/>
  <c r="F317" i="1" s="1"/>
  <c r="H317" i="1" s="1"/>
  <c r="J317" i="1" s="1"/>
  <c r="L317" i="1" s="1"/>
  <c r="C319" i="1"/>
  <c r="E319" i="1" s="1"/>
  <c r="G319" i="1" s="1"/>
  <c r="I319" i="1" s="1"/>
  <c r="K319" i="1" s="1"/>
  <c r="C317" i="1"/>
  <c r="E317" i="1" s="1"/>
  <c r="G317" i="1" s="1"/>
  <c r="I317" i="1" s="1"/>
  <c r="K317" i="1" s="1"/>
  <c r="L186" i="1"/>
  <c r="L185" i="1"/>
  <c r="L184" i="1"/>
  <c r="H204" i="1"/>
  <c r="L176" i="1"/>
  <c r="H200" i="1"/>
  <c r="H199" i="1"/>
  <c r="H198" i="1"/>
  <c r="B301" i="1"/>
  <c r="B308" i="1" s="1"/>
  <c r="B329" i="1" s="1"/>
  <c r="B245" i="1"/>
  <c r="B252" i="1" s="1"/>
  <c r="B259" i="1" s="1"/>
  <c r="B266" i="1" s="1"/>
  <c r="B273" i="1" s="1"/>
  <c r="B280" i="1" s="1"/>
  <c r="B287" i="1" s="1"/>
  <c r="B294" i="1" s="1"/>
  <c r="H22" i="1"/>
  <c r="C231" i="1"/>
  <c r="C238" i="1" s="1"/>
  <c r="C224" i="1"/>
  <c r="J135" i="1"/>
  <c r="J136" i="1"/>
  <c r="J137" i="1"/>
  <c r="A44" i="3"/>
  <c r="A36" i="5"/>
  <c r="B36" i="3"/>
  <c r="B28" i="5"/>
  <c r="D20" i="3"/>
  <c r="D12" i="5"/>
  <c r="C28" i="3"/>
  <c r="C20" i="5"/>
  <c r="I197" i="1"/>
  <c r="E126" i="1"/>
  <c r="E140" i="1" s="1"/>
  <c r="E147" i="1" s="1"/>
  <c r="E154" i="1" s="1"/>
  <c r="E98" i="1"/>
  <c r="D126" i="1"/>
  <c r="D140" i="1" s="1"/>
  <c r="D147" i="1" s="1"/>
  <c r="D154" i="1" s="1"/>
  <c r="D98" i="1"/>
  <c r="A379" i="1"/>
  <c r="A238" i="1"/>
  <c r="A266" i="1" s="1"/>
  <c r="A294" i="1" s="1"/>
  <c r="E12" i="3"/>
  <c r="F4" i="3"/>
  <c r="F4" i="5" s="1"/>
  <c r="F35" i="1"/>
  <c r="F49" i="1" s="1"/>
  <c r="F42" i="1"/>
  <c r="F56" i="1" s="1"/>
  <c r="F63" i="1" s="1"/>
  <c r="F70" i="1" s="1"/>
  <c r="F77" i="1" s="1"/>
  <c r="F84" i="1" s="1"/>
  <c r="F91" i="1" s="1"/>
  <c r="H21" i="1"/>
  <c r="G28" i="1"/>
  <c r="K81" i="1" l="1"/>
  <c r="L81" i="1"/>
  <c r="H85" i="1"/>
  <c r="C177" i="1"/>
  <c r="E177" i="1" s="1"/>
  <c r="G177" i="1" s="1"/>
  <c r="I177" i="1" s="1"/>
  <c r="K177" i="1" s="1"/>
  <c r="C179" i="1"/>
  <c r="E179" i="1" s="1"/>
  <c r="G179" i="1" s="1"/>
  <c r="I179" i="1" s="1"/>
  <c r="K179" i="1" s="1"/>
  <c r="D178" i="1"/>
  <c r="F178" i="1" s="1"/>
  <c r="H178" i="1" s="1"/>
  <c r="J178" i="1" s="1"/>
  <c r="L178" i="1" s="1"/>
  <c r="D179" i="1"/>
  <c r="F179" i="1" s="1"/>
  <c r="H179" i="1" s="1"/>
  <c r="J179" i="1" s="1"/>
  <c r="L179" i="1" s="1"/>
  <c r="D177" i="1"/>
  <c r="F177" i="1" s="1"/>
  <c r="H177" i="1" s="1"/>
  <c r="J177" i="1" s="1"/>
  <c r="L177" i="1" s="1"/>
  <c r="C178" i="1"/>
  <c r="E178" i="1" s="1"/>
  <c r="G178" i="1" s="1"/>
  <c r="I178" i="1" s="1"/>
  <c r="K178" i="1" s="1"/>
  <c r="I204" i="1"/>
  <c r="I358" i="1"/>
  <c r="I200" i="1"/>
  <c r="I199" i="1"/>
  <c r="I198" i="1"/>
  <c r="I22" i="1"/>
  <c r="B315" i="1"/>
  <c r="B357" i="1" s="1"/>
  <c r="B364" i="1" s="1"/>
  <c r="B379" i="1" s="1"/>
  <c r="B393" i="1" s="1"/>
  <c r="B322" i="1"/>
  <c r="C301" i="1"/>
  <c r="C308" i="1" s="1"/>
  <c r="C329" i="1" s="1"/>
  <c r="C245" i="1"/>
  <c r="C252" i="1" s="1"/>
  <c r="C259" i="1" s="1"/>
  <c r="C266" i="1" s="1"/>
  <c r="C273" i="1" s="1"/>
  <c r="C280" i="1" s="1"/>
  <c r="C287" i="1" s="1"/>
  <c r="C294" i="1" s="1"/>
  <c r="A217" i="1"/>
  <c r="A308" i="1"/>
  <c r="K135" i="1"/>
  <c r="L135" i="1" s="1"/>
  <c r="D105" i="1"/>
  <c r="D112" i="1" s="1"/>
  <c r="D119" i="1" s="1"/>
  <c r="D133" i="1"/>
  <c r="E105" i="1"/>
  <c r="E112" i="1" s="1"/>
  <c r="E119" i="1" s="1"/>
  <c r="E133" i="1"/>
  <c r="D168" i="1"/>
  <c r="D175" i="1" s="1"/>
  <c r="D182" i="1" s="1"/>
  <c r="D189" i="1" s="1"/>
  <c r="D196" i="1" s="1"/>
  <c r="D203" i="1" s="1"/>
  <c r="D210" i="1" s="1"/>
  <c r="D217" i="1" s="1"/>
  <c r="D161" i="1"/>
  <c r="E168" i="1"/>
  <c r="E175" i="1" s="1"/>
  <c r="E182" i="1" s="1"/>
  <c r="E189" i="1" s="1"/>
  <c r="E196" i="1" s="1"/>
  <c r="E203" i="1" s="1"/>
  <c r="E210" i="1" s="1"/>
  <c r="E217" i="1" s="1"/>
  <c r="E161" i="1"/>
  <c r="A52" i="3"/>
  <c r="A44" i="5"/>
  <c r="C36" i="3"/>
  <c r="C28" i="5"/>
  <c r="D28" i="3"/>
  <c r="D20" i="5"/>
  <c r="E20" i="3"/>
  <c r="E12" i="5"/>
  <c r="B44" i="3"/>
  <c r="B36" i="5"/>
  <c r="J197" i="1"/>
  <c r="F126" i="1"/>
  <c r="F140" i="1" s="1"/>
  <c r="F147" i="1" s="1"/>
  <c r="F154" i="1" s="1"/>
  <c r="F98" i="1"/>
  <c r="F12" i="3"/>
  <c r="G4" i="3"/>
  <c r="G4" i="5" s="1"/>
  <c r="G42" i="1"/>
  <c r="G56" i="1" s="1"/>
  <c r="G63" i="1" s="1"/>
  <c r="G70" i="1" s="1"/>
  <c r="G77" i="1" s="1"/>
  <c r="G84" i="1" s="1"/>
  <c r="G91" i="1" s="1"/>
  <c r="G35" i="1"/>
  <c r="G49" i="1" s="1"/>
  <c r="I21" i="1"/>
  <c r="H28" i="1"/>
  <c r="C322" i="1" l="1"/>
  <c r="J204" i="1"/>
  <c r="J358" i="1"/>
  <c r="K358" i="1" s="1"/>
  <c r="L358" i="1" s="1"/>
  <c r="D361" i="1" s="1"/>
  <c r="I85" i="1"/>
  <c r="J85" i="1" s="1"/>
  <c r="K85" i="1" s="1"/>
  <c r="L85" i="1" s="1"/>
  <c r="C86" i="1" s="1"/>
  <c r="J22" i="1"/>
  <c r="K22" i="1" s="1"/>
  <c r="J199" i="1"/>
  <c r="J198" i="1"/>
  <c r="J200" i="1"/>
  <c r="B386" i="1"/>
  <c r="C315" i="1"/>
  <c r="C357" i="1" s="1"/>
  <c r="C364" i="1" s="1"/>
  <c r="C379" i="1" s="1"/>
  <c r="C386" i="1" s="1"/>
  <c r="A231" i="1"/>
  <c r="A245" i="1"/>
  <c r="A273" i="1" s="1"/>
  <c r="A386" i="1"/>
  <c r="D231" i="1"/>
  <c r="D238" i="1" s="1"/>
  <c r="D224" i="1"/>
  <c r="E231" i="1"/>
  <c r="E238" i="1" s="1"/>
  <c r="E224" i="1"/>
  <c r="F105" i="1"/>
  <c r="F112" i="1" s="1"/>
  <c r="F119" i="1" s="1"/>
  <c r="F133" i="1"/>
  <c r="F168" i="1"/>
  <c r="F175" i="1" s="1"/>
  <c r="F182" i="1" s="1"/>
  <c r="F189" i="1" s="1"/>
  <c r="F196" i="1" s="1"/>
  <c r="F203" i="1" s="1"/>
  <c r="F210" i="1" s="1"/>
  <c r="F217" i="1" s="1"/>
  <c r="F161" i="1"/>
  <c r="A60" i="3"/>
  <c r="A52" i="5"/>
  <c r="C44" i="3"/>
  <c r="C36" i="5"/>
  <c r="F20" i="3"/>
  <c r="F12" i="5"/>
  <c r="B52" i="3"/>
  <c r="B44" i="5"/>
  <c r="E28" i="3"/>
  <c r="E20" i="5"/>
  <c r="D36" i="3"/>
  <c r="D28" i="5"/>
  <c r="K197" i="1"/>
  <c r="G126" i="1"/>
  <c r="G140" i="1" s="1"/>
  <c r="G147" i="1" s="1"/>
  <c r="G154" i="1" s="1"/>
  <c r="G98" i="1"/>
  <c r="H4" i="3"/>
  <c r="H4" i="5" s="1"/>
  <c r="G12" i="3"/>
  <c r="H42" i="1"/>
  <c r="H56" i="1" s="1"/>
  <c r="H63" i="1" s="1"/>
  <c r="H70" i="1" s="1"/>
  <c r="H77" i="1" s="1"/>
  <c r="H84" i="1" s="1"/>
  <c r="H91" i="1" s="1"/>
  <c r="H35" i="1"/>
  <c r="H49" i="1" s="1"/>
  <c r="J21" i="1"/>
  <c r="I28" i="1"/>
  <c r="E86" i="1" l="1"/>
  <c r="G86" i="1" s="1"/>
  <c r="I86" i="1" s="1"/>
  <c r="K86" i="1" s="1"/>
  <c r="D86" i="1"/>
  <c r="F86" i="1" s="1"/>
  <c r="H86" i="1" s="1"/>
  <c r="J86" i="1" s="1"/>
  <c r="L86" i="1" s="1"/>
  <c r="D360" i="1"/>
  <c r="F360" i="1" s="1"/>
  <c r="H360" i="1" s="1"/>
  <c r="J360" i="1" s="1"/>
  <c r="L360" i="1" s="1"/>
  <c r="C360" i="1"/>
  <c r="E360" i="1" s="1"/>
  <c r="G360" i="1" s="1"/>
  <c r="I360" i="1" s="1"/>
  <c r="K360" i="1" s="1"/>
  <c r="D87" i="1"/>
  <c r="F87" i="1" s="1"/>
  <c r="H87" i="1" s="1"/>
  <c r="J87" i="1" s="1"/>
  <c r="L87" i="1" s="1"/>
  <c r="D88" i="1"/>
  <c r="F88" i="1" s="1"/>
  <c r="H88" i="1" s="1"/>
  <c r="J88" i="1" s="1"/>
  <c r="L88" i="1" s="1"/>
  <c r="C361" i="1"/>
  <c r="E361" i="1" s="1"/>
  <c r="G361" i="1" s="1"/>
  <c r="I361" i="1" s="1"/>
  <c r="K361" i="1" s="1"/>
  <c r="K204" i="1"/>
  <c r="C87" i="1"/>
  <c r="E87" i="1" s="1"/>
  <c r="G87" i="1" s="1"/>
  <c r="I87" i="1" s="1"/>
  <c r="K87" i="1" s="1"/>
  <c r="C88" i="1"/>
  <c r="E88" i="1" s="1"/>
  <c r="G88" i="1" s="1"/>
  <c r="I88" i="1" s="1"/>
  <c r="K88" i="1" s="1"/>
  <c r="C359" i="1"/>
  <c r="E359" i="1" s="1"/>
  <c r="G359" i="1" s="1"/>
  <c r="I359" i="1" s="1"/>
  <c r="K359" i="1" s="1"/>
  <c r="F361" i="1"/>
  <c r="H361" i="1" s="1"/>
  <c r="J361" i="1" s="1"/>
  <c r="L361" i="1" s="1"/>
  <c r="D359" i="1"/>
  <c r="F359" i="1" s="1"/>
  <c r="H359" i="1" s="1"/>
  <c r="J359" i="1" s="1"/>
  <c r="L359" i="1" s="1"/>
  <c r="K200" i="1"/>
  <c r="K199" i="1"/>
  <c r="K198" i="1"/>
  <c r="A301" i="1"/>
  <c r="A315" i="1" s="1"/>
  <c r="A259" i="1"/>
  <c r="A287" i="1" s="1"/>
  <c r="C393" i="1"/>
  <c r="D301" i="1"/>
  <c r="D322" i="1" s="1"/>
  <c r="D245" i="1"/>
  <c r="D252" i="1" s="1"/>
  <c r="D259" i="1" s="1"/>
  <c r="D266" i="1" s="1"/>
  <c r="D273" i="1" s="1"/>
  <c r="D280" i="1" s="1"/>
  <c r="D287" i="1" s="1"/>
  <c r="D294" i="1" s="1"/>
  <c r="E301" i="1"/>
  <c r="E322" i="1" s="1"/>
  <c r="E245" i="1"/>
  <c r="E252" i="1" s="1"/>
  <c r="E259" i="1" s="1"/>
  <c r="E266" i="1" s="1"/>
  <c r="E273" i="1" s="1"/>
  <c r="E280" i="1" s="1"/>
  <c r="E287" i="1" s="1"/>
  <c r="E294" i="1" s="1"/>
  <c r="F231" i="1"/>
  <c r="F238" i="1" s="1"/>
  <c r="F224" i="1"/>
  <c r="G105" i="1"/>
  <c r="G112" i="1" s="1"/>
  <c r="G119" i="1" s="1"/>
  <c r="G133" i="1"/>
  <c r="G168" i="1"/>
  <c r="G175" i="1" s="1"/>
  <c r="G182" i="1" s="1"/>
  <c r="G189" i="1" s="1"/>
  <c r="G196" i="1" s="1"/>
  <c r="G203" i="1" s="1"/>
  <c r="G210" i="1" s="1"/>
  <c r="G217" i="1" s="1"/>
  <c r="G161" i="1"/>
  <c r="A68" i="3"/>
  <c r="A60" i="5"/>
  <c r="E36" i="3"/>
  <c r="E28" i="5"/>
  <c r="B60" i="3"/>
  <c r="B52" i="5"/>
  <c r="G20" i="3"/>
  <c r="G12" i="5"/>
  <c r="F28" i="3"/>
  <c r="F20" i="5"/>
  <c r="D44" i="3"/>
  <c r="D36" i="5"/>
  <c r="C52" i="3"/>
  <c r="C44" i="5"/>
  <c r="L197" i="1"/>
  <c r="H126" i="1"/>
  <c r="H140" i="1" s="1"/>
  <c r="H147" i="1" s="1"/>
  <c r="H154" i="1" s="1"/>
  <c r="H98" i="1"/>
  <c r="H12" i="3"/>
  <c r="I4" i="3"/>
  <c r="I4" i="5" s="1"/>
  <c r="I35" i="1"/>
  <c r="I49" i="1" s="1"/>
  <c r="I42" i="1"/>
  <c r="I56" i="1" s="1"/>
  <c r="I63" i="1" s="1"/>
  <c r="I70" i="1" s="1"/>
  <c r="I77" i="1" s="1"/>
  <c r="I84" i="1" s="1"/>
  <c r="I91" i="1" s="1"/>
  <c r="L22" i="1"/>
  <c r="K21" i="1"/>
  <c r="J28" i="1"/>
  <c r="D25" i="1" l="1"/>
  <c r="C23" i="1"/>
  <c r="C24" i="1"/>
  <c r="C25" i="1"/>
  <c r="D24" i="1"/>
  <c r="L204" i="1"/>
  <c r="D207" i="1" s="1"/>
  <c r="F207" i="1" s="1"/>
  <c r="D23" i="1"/>
  <c r="L198" i="1"/>
  <c r="L200" i="1"/>
  <c r="L199" i="1"/>
  <c r="A224" i="1"/>
  <c r="D315" i="1"/>
  <c r="D357" i="1" s="1"/>
  <c r="D364" i="1" s="1"/>
  <c r="D379" i="1" s="1"/>
  <c r="D386" i="1" s="1"/>
  <c r="D308" i="1"/>
  <c r="D329" i="1" s="1"/>
  <c r="F301" i="1"/>
  <c r="F308" i="1" s="1"/>
  <c r="F329" i="1" s="1"/>
  <c r="F245" i="1"/>
  <c r="F252" i="1" s="1"/>
  <c r="F259" i="1" s="1"/>
  <c r="F266" i="1" s="1"/>
  <c r="F273" i="1" s="1"/>
  <c r="F280" i="1" s="1"/>
  <c r="F287" i="1" s="1"/>
  <c r="F294" i="1" s="1"/>
  <c r="E315" i="1"/>
  <c r="E357" i="1" s="1"/>
  <c r="E364" i="1" s="1"/>
  <c r="E379" i="1" s="1"/>
  <c r="E386" i="1" s="1"/>
  <c r="E308" i="1"/>
  <c r="E329" i="1" s="1"/>
  <c r="E393" i="1"/>
  <c r="G231" i="1"/>
  <c r="G238" i="1" s="1"/>
  <c r="G224" i="1"/>
  <c r="H105" i="1"/>
  <c r="H112" i="1" s="1"/>
  <c r="H119" i="1" s="1"/>
  <c r="H133" i="1"/>
  <c r="H168" i="1"/>
  <c r="H175" i="1" s="1"/>
  <c r="H182" i="1" s="1"/>
  <c r="H189" i="1" s="1"/>
  <c r="H196" i="1" s="1"/>
  <c r="H203" i="1" s="1"/>
  <c r="H210" i="1" s="1"/>
  <c r="H217" i="1" s="1"/>
  <c r="H161" i="1"/>
  <c r="A76" i="3"/>
  <c r="A68" i="5"/>
  <c r="F36" i="3"/>
  <c r="F28" i="5"/>
  <c r="G28" i="3"/>
  <c r="G20" i="5"/>
  <c r="C60" i="3"/>
  <c r="C52" i="5"/>
  <c r="B68" i="3"/>
  <c r="B60" i="5"/>
  <c r="H20" i="3"/>
  <c r="H12" i="5"/>
  <c r="D52" i="3"/>
  <c r="D44" i="5"/>
  <c r="E44" i="3"/>
  <c r="E36" i="5"/>
  <c r="I126" i="1"/>
  <c r="I140" i="1" s="1"/>
  <c r="I147" i="1" s="1"/>
  <c r="I154" i="1" s="1"/>
  <c r="I98" i="1"/>
  <c r="I12" i="3"/>
  <c r="J4" i="3"/>
  <c r="J4" i="5" s="1"/>
  <c r="J35" i="1"/>
  <c r="J49" i="1" s="1"/>
  <c r="J42" i="1"/>
  <c r="J56" i="1" s="1"/>
  <c r="J63" i="1" s="1"/>
  <c r="J70" i="1" s="1"/>
  <c r="J77" i="1" s="1"/>
  <c r="J84" i="1" s="1"/>
  <c r="J91" i="1" s="1"/>
  <c r="L21" i="1"/>
  <c r="L28" i="1" s="1"/>
  <c r="K28" i="1"/>
  <c r="F322" i="1" l="1"/>
  <c r="E25" i="1"/>
  <c r="F25" i="1"/>
  <c r="F24" i="1"/>
  <c r="E24" i="1"/>
  <c r="F23" i="1"/>
  <c r="E23" i="1"/>
  <c r="D205" i="1"/>
  <c r="F205" i="1" s="1"/>
  <c r="H205" i="1" s="1"/>
  <c r="J205" i="1" s="1"/>
  <c r="L205" i="1" s="1"/>
  <c r="D206" i="1"/>
  <c r="F206" i="1" s="1"/>
  <c r="H206" i="1" s="1"/>
  <c r="J206" i="1" s="1"/>
  <c r="L206" i="1" s="1"/>
  <c r="C206" i="1"/>
  <c r="E206" i="1" s="1"/>
  <c r="G206" i="1" s="1"/>
  <c r="I206" i="1" s="1"/>
  <c r="K206" i="1" s="1"/>
  <c r="C205" i="1"/>
  <c r="E205" i="1" s="1"/>
  <c r="G205" i="1" s="1"/>
  <c r="I205" i="1" s="1"/>
  <c r="K205" i="1" s="1"/>
  <c r="C207" i="1"/>
  <c r="E207" i="1" s="1"/>
  <c r="G207" i="1" s="1"/>
  <c r="I207" i="1" s="1"/>
  <c r="K207" i="1" s="1"/>
  <c r="H207" i="1"/>
  <c r="J207" i="1" s="1"/>
  <c r="L207" i="1" s="1"/>
  <c r="F315" i="1"/>
  <c r="F357" i="1" s="1"/>
  <c r="F364" i="1" s="1"/>
  <c r="F379" i="1" s="1"/>
  <c r="A393" i="1"/>
  <c r="A252" i="1"/>
  <c r="A280" i="1" s="1"/>
  <c r="D393" i="1"/>
  <c r="G301" i="1"/>
  <c r="G315" i="1" s="1"/>
  <c r="G357" i="1" s="1"/>
  <c r="G364" i="1" s="1"/>
  <c r="G379" i="1" s="1"/>
  <c r="G386" i="1" s="1"/>
  <c r="G245" i="1"/>
  <c r="G252" i="1" s="1"/>
  <c r="G259" i="1" s="1"/>
  <c r="G266" i="1" s="1"/>
  <c r="G273" i="1" s="1"/>
  <c r="G280" i="1" s="1"/>
  <c r="G287" i="1" s="1"/>
  <c r="G294" i="1" s="1"/>
  <c r="F386" i="1"/>
  <c r="F393" i="1"/>
  <c r="H231" i="1"/>
  <c r="H238" i="1" s="1"/>
  <c r="H224" i="1"/>
  <c r="I105" i="1"/>
  <c r="I112" i="1" s="1"/>
  <c r="I119" i="1" s="1"/>
  <c r="I133" i="1"/>
  <c r="I168" i="1"/>
  <c r="I175" i="1" s="1"/>
  <c r="I182" i="1" s="1"/>
  <c r="I189" i="1" s="1"/>
  <c r="I196" i="1" s="1"/>
  <c r="I203" i="1" s="1"/>
  <c r="I210" i="1" s="1"/>
  <c r="I217" i="1" s="1"/>
  <c r="I161" i="1"/>
  <c r="A84" i="3"/>
  <c r="A76" i="5"/>
  <c r="B76" i="3"/>
  <c r="B68" i="5"/>
  <c r="C68" i="3"/>
  <c r="C60" i="5"/>
  <c r="E52" i="3"/>
  <c r="E44" i="5"/>
  <c r="I20" i="3"/>
  <c r="I12" i="5"/>
  <c r="D60" i="3"/>
  <c r="D52" i="5"/>
  <c r="G36" i="3"/>
  <c r="G28" i="5"/>
  <c r="H28" i="3"/>
  <c r="H20" i="5"/>
  <c r="F44" i="3"/>
  <c r="F36" i="5"/>
  <c r="J126" i="1"/>
  <c r="J140" i="1" s="1"/>
  <c r="J147" i="1" s="1"/>
  <c r="J154" i="1" s="1"/>
  <c r="J98" i="1"/>
  <c r="J12" i="3"/>
  <c r="K4" i="3"/>
  <c r="K4" i="5" s="1"/>
  <c r="K35" i="1"/>
  <c r="K49" i="1" s="1"/>
  <c r="K42" i="1"/>
  <c r="K56" i="1" s="1"/>
  <c r="K63" i="1" s="1"/>
  <c r="K70" i="1" s="1"/>
  <c r="K77" i="1" s="1"/>
  <c r="K84" i="1" s="1"/>
  <c r="K91" i="1" s="1"/>
  <c r="L35" i="1"/>
  <c r="L49" i="1" s="1"/>
  <c r="L42" i="1"/>
  <c r="L56" i="1" s="1"/>
  <c r="L63" i="1" s="1"/>
  <c r="L70" i="1" s="1"/>
  <c r="L77" i="1" s="1"/>
  <c r="L84" i="1" s="1"/>
  <c r="L91" i="1" s="1"/>
  <c r="H25" i="1" l="1"/>
  <c r="G25" i="1"/>
  <c r="G24" i="1"/>
  <c r="H24" i="1"/>
  <c r="G23" i="1"/>
  <c r="H23" i="1"/>
  <c r="G308" i="1"/>
  <c r="G329" i="1" s="1"/>
  <c r="G322" i="1"/>
  <c r="G393" i="1"/>
  <c r="H301" i="1"/>
  <c r="H308" i="1" s="1"/>
  <c r="H329" i="1" s="1"/>
  <c r="H245" i="1"/>
  <c r="H252" i="1" s="1"/>
  <c r="H259" i="1" s="1"/>
  <c r="H266" i="1" s="1"/>
  <c r="H273" i="1" s="1"/>
  <c r="H280" i="1" s="1"/>
  <c r="H287" i="1" s="1"/>
  <c r="H294" i="1" s="1"/>
  <c r="I231" i="1"/>
  <c r="I238" i="1" s="1"/>
  <c r="I224" i="1"/>
  <c r="J105" i="1"/>
  <c r="J112" i="1" s="1"/>
  <c r="J119" i="1" s="1"/>
  <c r="J133" i="1"/>
  <c r="J168" i="1"/>
  <c r="J175" i="1" s="1"/>
  <c r="J182" i="1" s="1"/>
  <c r="J189" i="1" s="1"/>
  <c r="J196" i="1" s="1"/>
  <c r="J203" i="1" s="1"/>
  <c r="J210" i="1" s="1"/>
  <c r="J217" i="1" s="1"/>
  <c r="J161" i="1"/>
  <c r="A92" i="3"/>
  <c r="A84" i="5"/>
  <c r="F52" i="3"/>
  <c r="F44" i="5"/>
  <c r="I28" i="3"/>
  <c r="I20" i="5"/>
  <c r="H36" i="3"/>
  <c r="H28" i="5"/>
  <c r="E60" i="3"/>
  <c r="E52" i="5"/>
  <c r="G44" i="3"/>
  <c r="G36" i="5"/>
  <c r="C76" i="3"/>
  <c r="C68" i="5"/>
  <c r="J20" i="3"/>
  <c r="J12" i="5"/>
  <c r="D68" i="3"/>
  <c r="D60" i="5"/>
  <c r="B84" i="3"/>
  <c r="B76" i="5"/>
  <c r="L126" i="1"/>
  <c r="L140" i="1" s="1"/>
  <c r="L147" i="1" s="1"/>
  <c r="L154" i="1" s="1"/>
  <c r="L98" i="1"/>
  <c r="K126" i="1"/>
  <c r="K140" i="1" s="1"/>
  <c r="K147" i="1" s="1"/>
  <c r="K154" i="1" s="1"/>
  <c r="K98" i="1"/>
  <c r="K12" i="3"/>
  <c r="L4" i="3"/>
  <c r="B149" i="1"/>
  <c r="B150" i="1"/>
  <c r="B151" i="1"/>
  <c r="C148" i="1"/>
  <c r="B388" i="1" l="1"/>
  <c r="I25" i="1"/>
  <c r="J25" i="1"/>
  <c r="J24" i="1"/>
  <c r="I24" i="1"/>
  <c r="J23" i="1"/>
  <c r="I23" i="1"/>
  <c r="C150" i="1"/>
  <c r="C149" i="1"/>
  <c r="C151" i="1"/>
  <c r="H322" i="1"/>
  <c r="H315" i="1"/>
  <c r="H357" i="1" s="1"/>
  <c r="H364" i="1" s="1"/>
  <c r="H379" i="1" s="1"/>
  <c r="H386" i="1" s="1"/>
  <c r="I301" i="1"/>
  <c r="I308" i="1" s="1"/>
  <c r="I329" i="1" s="1"/>
  <c r="I245" i="1"/>
  <c r="I252" i="1" s="1"/>
  <c r="I259" i="1" s="1"/>
  <c r="I266" i="1" s="1"/>
  <c r="I273" i="1" s="1"/>
  <c r="I280" i="1" s="1"/>
  <c r="I287" i="1" s="1"/>
  <c r="I294" i="1" s="1"/>
  <c r="B390" i="1"/>
  <c r="B389" i="1"/>
  <c r="J231" i="1"/>
  <c r="J238" i="1" s="1"/>
  <c r="J224" i="1"/>
  <c r="K105" i="1"/>
  <c r="K112" i="1" s="1"/>
  <c r="K119" i="1" s="1"/>
  <c r="K133" i="1"/>
  <c r="L105" i="1"/>
  <c r="L112" i="1" s="1"/>
  <c r="L119" i="1" s="1"/>
  <c r="L133" i="1"/>
  <c r="K168" i="1"/>
  <c r="K175" i="1" s="1"/>
  <c r="K182" i="1" s="1"/>
  <c r="K189" i="1" s="1"/>
  <c r="K196" i="1" s="1"/>
  <c r="K203" i="1" s="1"/>
  <c r="K210" i="1" s="1"/>
  <c r="K217" i="1" s="1"/>
  <c r="K161" i="1"/>
  <c r="L168" i="1"/>
  <c r="L175" i="1" s="1"/>
  <c r="L182" i="1" s="1"/>
  <c r="L189" i="1" s="1"/>
  <c r="L196" i="1" s="1"/>
  <c r="L203" i="1" s="1"/>
  <c r="L210" i="1" s="1"/>
  <c r="L217" i="1" s="1"/>
  <c r="L161" i="1"/>
  <c r="A100" i="3"/>
  <c r="A92" i="5"/>
  <c r="D76" i="3"/>
  <c r="D68" i="5"/>
  <c r="E68" i="3"/>
  <c r="E60" i="5"/>
  <c r="J28" i="3"/>
  <c r="J20" i="5"/>
  <c r="H44" i="3"/>
  <c r="H36" i="5"/>
  <c r="C84" i="3"/>
  <c r="C76" i="5"/>
  <c r="I36" i="3"/>
  <c r="I28" i="5"/>
  <c r="L12" i="3"/>
  <c r="L4" i="5"/>
  <c r="K20" i="3"/>
  <c r="K12" i="5"/>
  <c r="B92" i="3"/>
  <c r="B84" i="5"/>
  <c r="G52" i="3"/>
  <c r="G44" i="5"/>
  <c r="F60" i="3"/>
  <c r="F52" i="5"/>
  <c r="B367" i="1"/>
  <c r="D148" i="1"/>
  <c r="C369" i="1" l="1"/>
  <c r="C395" i="1" s="1"/>
  <c r="C368" i="1"/>
  <c r="C375" i="1"/>
  <c r="C397" i="1" s="1"/>
  <c r="C374" i="1"/>
  <c r="C372" i="1"/>
  <c r="C396" i="1" s="1"/>
  <c r="C371" i="1"/>
  <c r="D401" i="1"/>
  <c r="L25" i="1"/>
  <c r="K25" i="1"/>
  <c r="K24" i="1"/>
  <c r="L24" i="1"/>
  <c r="K23" i="1"/>
  <c r="L23" i="1"/>
  <c r="D151" i="1"/>
  <c r="D150" i="1"/>
  <c r="D149" i="1"/>
  <c r="H393" i="1"/>
  <c r="B376" i="1"/>
  <c r="I322" i="1"/>
  <c r="I315" i="1"/>
  <c r="I357" i="1" s="1"/>
  <c r="I364" i="1" s="1"/>
  <c r="I379" i="1" s="1"/>
  <c r="I386" i="1" s="1"/>
  <c r="J301" i="1"/>
  <c r="J315" i="1" s="1"/>
  <c r="J357" i="1" s="1"/>
  <c r="J364" i="1" s="1"/>
  <c r="J379" i="1" s="1"/>
  <c r="J245" i="1"/>
  <c r="J252" i="1" s="1"/>
  <c r="J259" i="1" s="1"/>
  <c r="J266" i="1" s="1"/>
  <c r="J273" i="1" s="1"/>
  <c r="J280" i="1" s="1"/>
  <c r="J287" i="1" s="1"/>
  <c r="J294" i="1" s="1"/>
  <c r="B370" i="1"/>
  <c r="B373" i="1"/>
  <c r="C400" i="1"/>
  <c r="C401" i="1"/>
  <c r="K231" i="1"/>
  <c r="K238" i="1" s="1"/>
  <c r="K224" i="1"/>
  <c r="L231" i="1"/>
  <c r="L238" i="1" s="1"/>
  <c r="L224" i="1"/>
  <c r="A108" i="3"/>
  <c r="A100" i="5"/>
  <c r="K28" i="3"/>
  <c r="K20" i="5"/>
  <c r="H52" i="3"/>
  <c r="H44" i="5"/>
  <c r="F68" i="3"/>
  <c r="F60" i="5"/>
  <c r="L20" i="3"/>
  <c r="L12" i="5"/>
  <c r="J36" i="3"/>
  <c r="J28" i="5"/>
  <c r="E76" i="3"/>
  <c r="E68" i="5"/>
  <c r="G60" i="3"/>
  <c r="G52" i="5"/>
  <c r="I44" i="3"/>
  <c r="I36" i="5"/>
  <c r="B100" i="3"/>
  <c r="B92" i="5"/>
  <c r="C92" i="3"/>
  <c r="C84" i="5"/>
  <c r="D84" i="3"/>
  <c r="D76" i="5"/>
  <c r="E148" i="1"/>
  <c r="C373" i="1" l="1"/>
  <c r="D372" i="1"/>
  <c r="D396" i="1" s="1"/>
  <c r="D371" i="1"/>
  <c r="C376" i="1"/>
  <c r="D375" i="1"/>
  <c r="D397" i="1" s="1"/>
  <c r="D374" i="1"/>
  <c r="C370" i="1"/>
  <c r="D369" i="1"/>
  <c r="D395" i="1" s="1"/>
  <c r="D368" i="1"/>
  <c r="E401" i="1"/>
  <c r="J322" i="1"/>
  <c r="J308" i="1"/>
  <c r="J329" i="1" s="1"/>
  <c r="E150" i="1"/>
  <c r="E149" i="1"/>
  <c r="E151" i="1"/>
  <c r="I393" i="1"/>
  <c r="L301" i="1"/>
  <c r="L308" i="1" s="1"/>
  <c r="L329" i="1" s="1"/>
  <c r="L245" i="1"/>
  <c r="L252" i="1" s="1"/>
  <c r="L259" i="1" s="1"/>
  <c r="L266" i="1" s="1"/>
  <c r="L273" i="1" s="1"/>
  <c r="L280" i="1" s="1"/>
  <c r="L287" i="1" s="1"/>
  <c r="L294" i="1" s="1"/>
  <c r="K301" i="1"/>
  <c r="K322" i="1" s="1"/>
  <c r="K245" i="1"/>
  <c r="K252" i="1" s="1"/>
  <c r="K259" i="1" s="1"/>
  <c r="K266" i="1" s="1"/>
  <c r="K273" i="1" s="1"/>
  <c r="K280" i="1" s="1"/>
  <c r="K287" i="1" s="1"/>
  <c r="K294" i="1" s="1"/>
  <c r="J386" i="1"/>
  <c r="J393" i="1"/>
  <c r="D400" i="1"/>
  <c r="A116" i="3"/>
  <c r="A108" i="5"/>
  <c r="I52" i="3"/>
  <c r="I44" i="5"/>
  <c r="L28" i="3"/>
  <c r="L20" i="5"/>
  <c r="D92" i="3"/>
  <c r="D84" i="5"/>
  <c r="G68" i="3"/>
  <c r="G60" i="5"/>
  <c r="F76" i="3"/>
  <c r="F68" i="5"/>
  <c r="C100" i="3"/>
  <c r="C92" i="5"/>
  <c r="E84" i="3"/>
  <c r="E76" i="5"/>
  <c r="H60" i="3"/>
  <c r="H52" i="5"/>
  <c r="B108" i="3"/>
  <c r="B100" i="5"/>
  <c r="J44" i="3"/>
  <c r="J36" i="5"/>
  <c r="K36" i="3"/>
  <c r="K28" i="5"/>
  <c r="F148" i="1"/>
  <c r="D376" i="1" l="1"/>
  <c r="D373" i="1"/>
  <c r="D370" i="1"/>
  <c r="E372" i="1"/>
  <c r="E396" i="1" s="1"/>
  <c r="E371" i="1"/>
  <c r="E375" i="1"/>
  <c r="E397" i="1" s="1"/>
  <c r="E374" i="1"/>
  <c r="E369" i="1"/>
  <c r="E395" i="1" s="1"/>
  <c r="E368" i="1"/>
  <c r="F401" i="1"/>
  <c r="K315" i="1"/>
  <c r="K357" i="1" s="1"/>
  <c r="K364" i="1" s="1"/>
  <c r="K379" i="1" s="1"/>
  <c r="K386" i="1" s="1"/>
  <c r="K308" i="1"/>
  <c r="K329" i="1" s="1"/>
  <c r="F151" i="1"/>
  <c r="F150" i="1"/>
  <c r="F149" i="1"/>
  <c r="L322" i="1"/>
  <c r="L315" i="1"/>
  <c r="L357" i="1" s="1"/>
  <c r="L364" i="1" s="1"/>
  <c r="L379" i="1" s="1"/>
  <c r="L393" i="1" s="1"/>
  <c r="E400" i="1"/>
  <c r="A124" i="3"/>
  <c r="A116" i="5"/>
  <c r="H68" i="3"/>
  <c r="H60" i="5"/>
  <c r="G76" i="3"/>
  <c r="G68" i="5"/>
  <c r="K44" i="3"/>
  <c r="K36" i="5"/>
  <c r="E92" i="3"/>
  <c r="E84" i="5"/>
  <c r="D100" i="3"/>
  <c r="D92" i="5"/>
  <c r="J52" i="3"/>
  <c r="J44" i="5"/>
  <c r="C108" i="3"/>
  <c r="C100" i="5"/>
  <c r="L36" i="3"/>
  <c r="L28" i="5"/>
  <c r="B116" i="3"/>
  <c r="B108" i="5"/>
  <c r="F84" i="3"/>
  <c r="F76" i="5"/>
  <c r="I60" i="3"/>
  <c r="I52" i="5"/>
  <c r="G148" i="1"/>
  <c r="E376" i="1" l="1"/>
  <c r="E373" i="1"/>
  <c r="F369" i="1"/>
  <c r="F395" i="1" s="1"/>
  <c r="F368" i="1"/>
  <c r="F372" i="1"/>
  <c r="F396" i="1" s="1"/>
  <c r="F371" i="1"/>
  <c r="F375" i="1"/>
  <c r="F397" i="1" s="1"/>
  <c r="F374" i="1"/>
  <c r="E370" i="1"/>
  <c r="L386" i="1"/>
  <c r="G401" i="1"/>
  <c r="K393" i="1"/>
  <c r="G151" i="1"/>
  <c r="G150" i="1"/>
  <c r="G149" i="1"/>
  <c r="I392" i="1"/>
  <c r="H392" i="1"/>
  <c r="G392" i="1"/>
  <c r="F400" i="1"/>
  <c r="A132" i="3"/>
  <c r="A124" i="5"/>
  <c r="L44" i="3"/>
  <c r="L36" i="5"/>
  <c r="E100" i="3"/>
  <c r="E92" i="5"/>
  <c r="I68" i="3"/>
  <c r="I60" i="5"/>
  <c r="C116" i="3"/>
  <c r="C108" i="5"/>
  <c r="K52" i="3"/>
  <c r="K44" i="5"/>
  <c r="F92" i="3"/>
  <c r="F84" i="5"/>
  <c r="J60" i="3"/>
  <c r="J52" i="5"/>
  <c r="G84" i="3"/>
  <c r="G76" i="5"/>
  <c r="B124" i="3"/>
  <c r="B116" i="5"/>
  <c r="D108" i="3"/>
  <c r="D100" i="5"/>
  <c r="H76" i="3"/>
  <c r="H68" i="5"/>
  <c r="H148" i="1"/>
  <c r="F376" i="1" l="1"/>
  <c r="G369" i="1"/>
  <c r="G368" i="1"/>
  <c r="G372" i="1"/>
  <c r="G371" i="1"/>
  <c r="G375" i="1"/>
  <c r="G374" i="1"/>
  <c r="F373" i="1"/>
  <c r="F370" i="1"/>
  <c r="H401" i="1"/>
  <c r="H151" i="1"/>
  <c r="H150" i="1"/>
  <c r="H149" i="1"/>
  <c r="G400" i="1"/>
  <c r="A140" i="3"/>
  <c r="A132" i="5"/>
  <c r="C124" i="3"/>
  <c r="C116" i="5"/>
  <c r="I76" i="3"/>
  <c r="I68" i="5"/>
  <c r="G92" i="3"/>
  <c r="G84" i="5"/>
  <c r="J68" i="3"/>
  <c r="J60" i="5"/>
  <c r="D116" i="3"/>
  <c r="D108" i="5"/>
  <c r="F100" i="3"/>
  <c r="F92" i="5"/>
  <c r="E108" i="3"/>
  <c r="E100" i="5"/>
  <c r="H84" i="3"/>
  <c r="H76" i="5"/>
  <c r="B132" i="3"/>
  <c r="B124" i="5"/>
  <c r="K60" i="3"/>
  <c r="K52" i="5"/>
  <c r="L52" i="3"/>
  <c r="L44" i="5"/>
  <c r="I148" i="1"/>
  <c r="G376" i="1" l="1"/>
  <c r="G373" i="1"/>
  <c r="H369" i="1"/>
  <c r="H368" i="1"/>
  <c r="H372" i="1"/>
  <c r="H371" i="1"/>
  <c r="G370" i="1"/>
  <c r="H375" i="1"/>
  <c r="H374" i="1"/>
  <c r="I401" i="1"/>
  <c r="I151" i="1"/>
  <c r="I150" i="1"/>
  <c r="I149" i="1"/>
  <c r="H400" i="1"/>
  <c r="A148" i="3"/>
  <c r="A140" i="5"/>
  <c r="H92" i="3"/>
  <c r="H84" i="5"/>
  <c r="J76" i="3"/>
  <c r="J68" i="5"/>
  <c r="L60" i="3"/>
  <c r="L52" i="5"/>
  <c r="E116" i="3"/>
  <c r="E108" i="5"/>
  <c r="G100" i="3"/>
  <c r="G92" i="5"/>
  <c r="K68" i="3"/>
  <c r="K60" i="5"/>
  <c r="I84" i="3"/>
  <c r="I76" i="5"/>
  <c r="F108" i="3"/>
  <c r="F100" i="5"/>
  <c r="B140" i="3"/>
  <c r="B132" i="5"/>
  <c r="D124" i="3"/>
  <c r="D116" i="5"/>
  <c r="C132" i="3"/>
  <c r="C124" i="5"/>
  <c r="J148" i="1"/>
  <c r="H370" i="1" l="1"/>
  <c r="H373" i="1"/>
  <c r="I369" i="1"/>
  <c r="I368" i="1"/>
  <c r="I372" i="1"/>
  <c r="I371" i="1"/>
  <c r="I375" i="1"/>
  <c r="I374" i="1"/>
  <c r="H376" i="1"/>
  <c r="J401" i="1"/>
  <c r="J151" i="1"/>
  <c r="J150" i="1"/>
  <c r="J149" i="1"/>
  <c r="I400" i="1"/>
  <c r="A156" i="3"/>
  <c r="A148" i="5"/>
  <c r="F116" i="3"/>
  <c r="F108" i="5"/>
  <c r="E124" i="3"/>
  <c r="E116" i="5"/>
  <c r="C140" i="3"/>
  <c r="C132" i="5"/>
  <c r="I92" i="3"/>
  <c r="I84" i="5"/>
  <c r="L68" i="3"/>
  <c r="L60" i="5"/>
  <c r="D132" i="3"/>
  <c r="D124" i="5"/>
  <c r="K76" i="3"/>
  <c r="K68" i="5"/>
  <c r="J84" i="3"/>
  <c r="J76" i="5"/>
  <c r="B148" i="3"/>
  <c r="B140" i="5"/>
  <c r="G108" i="3"/>
  <c r="G100" i="5"/>
  <c r="H100" i="3"/>
  <c r="H92" i="5"/>
  <c r="K148" i="1"/>
  <c r="I376" i="1" l="1"/>
  <c r="J369" i="1"/>
  <c r="J368" i="1"/>
  <c r="I373" i="1"/>
  <c r="J372" i="1"/>
  <c r="J371" i="1"/>
  <c r="J375" i="1"/>
  <c r="J374" i="1"/>
  <c r="I370" i="1"/>
  <c r="K401" i="1"/>
  <c r="K149" i="1"/>
  <c r="K151" i="1"/>
  <c r="K150" i="1"/>
  <c r="J400" i="1"/>
  <c r="A164" i="3"/>
  <c r="A156" i="5"/>
  <c r="I100" i="3"/>
  <c r="I92" i="5"/>
  <c r="H108" i="3"/>
  <c r="H100" i="5"/>
  <c r="K84" i="3"/>
  <c r="K76" i="5"/>
  <c r="C148" i="3"/>
  <c r="C140" i="5"/>
  <c r="G116" i="3"/>
  <c r="G108" i="5"/>
  <c r="D140" i="3"/>
  <c r="D132" i="5"/>
  <c r="E132" i="3"/>
  <c r="E124" i="5"/>
  <c r="J92" i="3"/>
  <c r="J84" i="5"/>
  <c r="B156" i="3"/>
  <c r="B148" i="5"/>
  <c r="L76" i="3"/>
  <c r="L68" i="5"/>
  <c r="F124" i="3"/>
  <c r="F116" i="5"/>
  <c r="L148" i="1"/>
  <c r="J373" i="1" l="1"/>
  <c r="J376" i="1"/>
  <c r="J370" i="1"/>
  <c r="K372" i="1"/>
  <c r="K371" i="1"/>
  <c r="K375" i="1"/>
  <c r="K374" i="1"/>
  <c r="K369" i="1"/>
  <c r="K368" i="1"/>
  <c r="L151" i="1"/>
  <c r="L149" i="1"/>
  <c r="L150" i="1"/>
  <c r="K400" i="1"/>
  <c r="A172" i="3"/>
  <c r="A164" i="5"/>
  <c r="J100" i="3"/>
  <c r="J92" i="5"/>
  <c r="C156" i="3"/>
  <c r="C148" i="5"/>
  <c r="F132" i="3"/>
  <c r="F124" i="5"/>
  <c r="E140" i="3"/>
  <c r="E132" i="5"/>
  <c r="K92" i="3"/>
  <c r="K84" i="5"/>
  <c r="L84" i="3"/>
  <c r="L76" i="5"/>
  <c r="D148" i="3"/>
  <c r="D140" i="5"/>
  <c r="H116" i="3"/>
  <c r="H108" i="5"/>
  <c r="B164" i="3"/>
  <c r="B156" i="5"/>
  <c r="G124" i="3"/>
  <c r="G116" i="5"/>
  <c r="I108" i="3"/>
  <c r="I100" i="5"/>
  <c r="K376" i="1" l="1"/>
  <c r="K373" i="1"/>
  <c r="L369" i="1"/>
  <c r="L368" i="1"/>
  <c r="L372" i="1"/>
  <c r="L371" i="1"/>
  <c r="L375" i="1"/>
  <c r="L374" i="1"/>
  <c r="K370" i="1"/>
  <c r="L401" i="1"/>
  <c r="C394" i="1"/>
  <c r="A180" i="3"/>
  <c r="A172" i="5"/>
  <c r="H124" i="3"/>
  <c r="H116" i="5"/>
  <c r="E148" i="3"/>
  <c r="E140" i="5"/>
  <c r="I116" i="3"/>
  <c r="I108" i="5"/>
  <c r="D156" i="3"/>
  <c r="D148" i="5"/>
  <c r="F140" i="3"/>
  <c r="F132" i="5"/>
  <c r="G132" i="3"/>
  <c r="G124" i="5"/>
  <c r="L92" i="3"/>
  <c r="L84" i="5"/>
  <c r="C164" i="3"/>
  <c r="C156" i="5"/>
  <c r="B172" i="3"/>
  <c r="B164" i="5"/>
  <c r="K100" i="3"/>
  <c r="K92" i="5"/>
  <c r="J108" i="3"/>
  <c r="J100" i="5"/>
  <c r="L376" i="1" l="1"/>
  <c r="L370" i="1"/>
  <c r="L373" i="1"/>
  <c r="L400" i="1"/>
  <c r="C380" i="1"/>
  <c r="A188" i="3"/>
  <c r="A180" i="5"/>
  <c r="D164" i="3"/>
  <c r="D156" i="5"/>
  <c r="C172" i="3"/>
  <c r="C164" i="5"/>
  <c r="I124" i="3"/>
  <c r="I116" i="5"/>
  <c r="J116" i="3"/>
  <c r="J108" i="5"/>
  <c r="L100" i="3"/>
  <c r="L92" i="5"/>
  <c r="E156" i="3"/>
  <c r="E148" i="5"/>
  <c r="K108" i="3"/>
  <c r="K100" i="5"/>
  <c r="G140" i="3"/>
  <c r="G132" i="5"/>
  <c r="B180" i="3"/>
  <c r="B172" i="5"/>
  <c r="F148" i="3"/>
  <c r="F140" i="5"/>
  <c r="H132" i="3"/>
  <c r="H124" i="5"/>
  <c r="D380" i="1" l="1"/>
  <c r="C387" i="1"/>
  <c r="C402" i="1"/>
  <c r="A196" i="3"/>
  <c r="A188" i="5"/>
  <c r="J124" i="3"/>
  <c r="J116" i="5"/>
  <c r="I132" i="3"/>
  <c r="I124" i="5"/>
  <c r="G148" i="3"/>
  <c r="G140" i="5"/>
  <c r="H140" i="3"/>
  <c r="H132" i="5"/>
  <c r="F156" i="3"/>
  <c r="F148" i="5"/>
  <c r="C180" i="3"/>
  <c r="C172" i="5"/>
  <c r="K116" i="3"/>
  <c r="K108" i="5"/>
  <c r="E164" i="3"/>
  <c r="E156" i="5"/>
  <c r="B188" i="3"/>
  <c r="B180" i="5"/>
  <c r="L108" i="3"/>
  <c r="L100" i="5"/>
  <c r="D172" i="3"/>
  <c r="D164" i="5"/>
  <c r="C383" i="1"/>
  <c r="C381" i="1"/>
  <c r="C382" i="1"/>
  <c r="E380" i="1" l="1"/>
  <c r="E402" i="1" s="1"/>
  <c r="D402" i="1"/>
  <c r="A204" i="3"/>
  <c r="A196" i="5"/>
  <c r="H148" i="3"/>
  <c r="H140" i="5"/>
  <c r="K124" i="3"/>
  <c r="K116" i="5"/>
  <c r="G156" i="3"/>
  <c r="G148" i="5"/>
  <c r="L116" i="3"/>
  <c r="L108" i="5"/>
  <c r="C188" i="3"/>
  <c r="C180" i="5"/>
  <c r="I140" i="3"/>
  <c r="I132" i="5"/>
  <c r="E172" i="3"/>
  <c r="E164" i="5"/>
  <c r="D180" i="3"/>
  <c r="D172" i="5"/>
  <c r="B196" i="3"/>
  <c r="B188" i="5"/>
  <c r="F164" i="3"/>
  <c r="F156" i="5"/>
  <c r="J132" i="3"/>
  <c r="J124" i="5"/>
  <c r="D383" i="1"/>
  <c r="D382" i="1"/>
  <c r="D381" i="1"/>
  <c r="F380" i="1" l="1"/>
  <c r="A212" i="3"/>
  <c r="A204" i="5"/>
  <c r="D188" i="3"/>
  <c r="D180" i="5"/>
  <c r="L124" i="3"/>
  <c r="L116" i="5"/>
  <c r="J140" i="3"/>
  <c r="J132" i="5"/>
  <c r="E180" i="3"/>
  <c r="E172" i="5"/>
  <c r="G164" i="3"/>
  <c r="G156" i="5"/>
  <c r="F172" i="3"/>
  <c r="F164" i="5"/>
  <c r="I148" i="3"/>
  <c r="I140" i="5"/>
  <c r="K132" i="3"/>
  <c r="K124" i="5"/>
  <c r="B204" i="3"/>
  <c r="B196" i="5"/>
  <c r="C196" i="3"/>
  <c r="C188" i="5"/>
  <c r="H156" i="3"/>
  <c r="H148" i="5"/>
  <c r="E382" i="1"/>
  <c r="E383" i="1"/>
  <c r="E381" i="1"/>
  <c r="G380" i="1" l="1"/>
  <c r="F402" i="1"/>
  <c r="A228" i="3"/>
  <c r="A212" i="5"/>
  <c r="K140" i="3"/>
  <c r="K132" i="5"/>
  <c r="E188" i="3"/>
  <c r="E180" i="5"/>
  <c r="H164" i="3"/>
  <c r="H156" i="5"/>
  <c r="I156" i="3"/>
  <c r="I148" i="5"/>
  <c r="J148" i="3"/>
  <c r="J140" i="5"/>
  <c r="C204" i="3"/>
  <c r="C196" i="5"/>
  <c r="F180" i="3"/>
  <c r="F172" i="5"/>
  <c r="L132" i="3"/>
  <c r="L124" i="5"/>
  <c r="B212" i="3"/>
  <c r="B204" i="5"/>
  <c r="G172" i="3"/>
  <c r="G164" i="5"/>
  <c r="D196" i="3"/>
  <c r="D188" i="5"/>
  <c r="F381" i="1"/>
  <c r="F383" i="1"/>
  <c r="F382" i="1"/>
  <c r="H380" i="1" l="1"/>
  <c r="H402" i="1" s="1"/>
  <c r="G402" i="1"/>
  <c r="A228" i="5"/>
  <c r="A243" i="3"/>
  <c r="L140" i="3"/>
  <c r="L132" i="5"/>
  <c r="I164" i="3"/>
  <c r="I156" i="5"/>
  <c r="D204" i="3"/>
  <c r="D196" i="5"/>
  <c r="F188" i="3"/>
  <c r="F180" i="5"/>
  <c r="H172" i="3"/>
  <c r="H164" i="5"/>
  <c r="G180" i="3"/>
  <c r="G172" i="5"/>
  <c r="C212" i="3"/>
  <c r="C204" i="5"/>
  <c r="E196" i="3"/>
  <c r="E188" i="5"/>
  <c r="B228" i="3"/>
  <c r="B212" i="5"/>
  <c r="J156" i="3"/>
  <c r="J148" i="5"/>
  <c r="K148" i="3"/>
  <c r="K140" i="5"/>
  <c r="G383" i="1"/>
  <c r="G382" i="1"/>
  <c r="G381" i="1"/>
  <c r="I380" i="1" l="1"/>
  <c r="I402" i="1" s="1"/>
  <c r="B228" i="5"/>
  <c r="E204" i="3"/>
  <c r="E196" i="5"/>
  <c r="F196" i="3"/>
  <c r="F188" i="5"/>
  <c r="K156" i="3"/>
  <c r="K148" i="5"/>
  <c r="C228" i="3"/>
  <c r="C212" i="5"/>
  <c r="D212" i="3"/>
  <c r="D204" i="5"/>
  <c r="J164" i="3"/>
  <c r="J156" i="5"/>
  <c r="G188" i="3"/>
  <c r="G180" i="5"/>
  <c r="I172" i="3"/>
  <c r="I164" i="5"/>
  <c r="H180" i="3"/>
  <c r="H172" i="5"/>
  <c r="L148" i="3"/>
  <c r="L140" i="5"/>
  <c r="H382" i="1"/>
  <c r="H383" i="1"/>
  <c r="H381" i="1"/>
  <c r="J380" i="1" l="1"/>
  <c r="J402" i="1" s="1"/>
  <c r="C228" i="5"/>
  <c r="C243" i="3"/>
  <c r="I180" i="3"/>
  <c r="I172" i="5"/>
  <c r="G196" i="3"/>
  <c r="G188" i="5"/>
  <c r="K164" i="3"/>
  <c r="K156" i="5"/>
  <c r="L156" i="3"/>
  <c r="L148" i="5"/>
  <c r="J172" i="3"/>
  <c r="J164" i="5"/>
  <c r="F204" i="3"/>
  <c r="F196" i="5"/>
  <c r="H188" i="3"/>
  <c r="H180" i="5"/>
  <c r="D228" i="3"/>
  <c r="D212" i="5"/>
  <c r="E212" i="3"/>
  <c r="E204" i="5"/>
  <c r="I382" i="1"/>
  <c r="I383" i="1"/>
  <c r="I381" i="1"/>
  <c r="K380" i="1" l="1"/>
  <c r="K402" i="1" s="1"/>
  <c r="D228" i="5"/>
  <c r="D243" i="3"/>
  <c r="L164" i="3"/>
  <c r="L156" i="5"/>
  <c r="H196" i="3"/>
  <c r="H188" i="5"/>
  <c r="K172" i="3"/>
  <c r="K164" i="5"/>
  <c r="G204" i="3"/>
  <c r="G196" i="5"/>
  <c r="F212" i="3"/>
  <c r="F204" i="5"/>
  <c r="E228" i="3"/>
  <c r="E212" i="5"/>
  <c r="J180" i="3"/>
  <c r="J172" i="5"/>
  <c r="I188" i="3"/>
  <c r="I180" i="5"/>
  <c r="J383" i="1"/>
  <c r="J382" i="1"/>
  <c r="J381" i="1"/>
  <c r="L380" i="1" l="1"/>
  <c r="L402" i="1" s="1"/>
  <c r="E228" i="5"/>
  <c r="E243" i="3"/>
  <c r="I196" i="3"/>
  <c r="I188" i="5"/>
  <c r="G212" i="3"/>
  <c r="G204" i="5"/>
  <c r="H204" i="3"/>
  <c r="H196" i="5"/>
  <c r="J188" i="3"/>
  <c r="J180" i="5"/>
  <c r="K180" i="3"/>
  <c r="K172" i="5"/>
  <c r="F228" i="3"/>
  <c r="F212" i="5"/>
  <c r="L172" i="3"/>
  <c r="L164" i="5"/>
  <c r="K382" i="1"/>
  <c r="K383" i="1"/>
  <c r="K381" i="1"/>
  <c r="F228" i="5" l="1"/>
  <c r="F243" i="3"/>
  <c r="J196" i="3"/>
  <c r="J188" i="5"/>
  <c r="H212" i="3"/>
  <c r="H204" i="5"/>
  <c r="G228" i="3"/>
  <c r="G212" i="5"/>
  <c r="L180" i="3"/>
  <c r="L172" i="5"/>
  <c r="K188" i="3"/>
  <c r="K180" i="5"/>
  <c r="I204" i="3"/>
  <c r="I196" i="5"/>
  <c r="L383" i="1"/>
  <c r="L381" i="1"/>
  <c r="L382" i="1"/>
  <c r="G228" i="5" l="1"/>
  <c r="G243" i="3"/>
  <c r="L188" i="3"/>
  <c r="L180" i="5"/>
  <c r="I212" i="3"/>
  <c r="I204" i="5"/>
  <c r="H228" i="3"/>
  <c r="H212" i="5"/>
  <c r="K196" i="3"/>
  <c r="K188" i="5"/>
  <c r="J204" i="3"/>
  <c r="J196" i="5"/>
  <c r="H228" i="5" l="1"/>
  <c r="H243" i="3"/>
  <c r="K204" i="3"/>
  <c r="K196" i="5"/>
  <c r="I228" i="3"/>
  <c r="I212" i="5"/>
  <c r="J212" i="3"/>
  <c r="J204" i="5"/>
  <c r="L196" i="3"/>
  <c r="L188" i="5"/>
  <c r="I228" i="5" l="1"/>
  <c r="I243" i="3"/>
  <c r="L204" i="3"/>
  <c r="L196" i="5"/>
  <c r="J228" i="3"/>
  <c r="J212" i="5"/>
  <c r="K212" i="3"/>
  <c r="K204" i="5"/>
  <c r="J228" i="5" l="1"/>
  <c r="J243" i="3"/>
  <c r="K228" i="3"/>
  <c r="K212" i="5"/>
  <c r="L212" i="3"/>
  <c r="L204" i="5"/>
  <c r="K228" i="5" l="1"/>
  <c r="K243" i="3"/>
  <c r="L228" i="3"/>
  <c r="L212" i="5"/>
  <c r="L228" i="5" l="1"/>
  <c r="L243" i="3"/>
  <c r="C389" i="1"/>
  <c r="C403" i="1"/>
  <c r="C388" i="1"/>
  <c r="C390" i="1" l="1"/>
  <c r="J224" i="5" s="1"/>
  <c r="K224" i="5"/>
  <c r="G224" i="5"/>
  <c r="C214" i="3" l="1"/>
  <c r="C214" i="5" s="1"/>
  <c r="H215" i="3"/>
  <c r="H215" i="5" s="1"/>
  <c r="C221" i="3"/>
  <c r="C236" i="3" s="1"/>
  <c r="H218" i="3"/>
  <c r="H218" i="5" s="1"/>
  <c r="F214" i="3"/>
  <c r="F214" i="5" s="1"/>
  <c r="J215" i="3"/>
  <c r="J215" i="5" s="1"/>
  <c r="H214" i="3"/>
  <c r="H214" i="5" s="1"/>
  <c r="B218" i="3"/>
  <c r="B233" i="3" s="1"/>
  <c r="I224" i="5"/>
  <c r="E215" i="3"/>
  <c r="E215" i="5" s="1"/>
  <c r="K224" i="3"/>
  <c r="L214" i="3"/>
  <c r="L214" i="5" s="1"/>
  <c r="K214" i="3"/>
  <c r="K214" i="5" s="1"/>
  <c r="D224" i="5"/>
  <c r="G215" i="3"/>
  <c r="G215" i="5" s="1"/>
  <c r="L221" i="3"/>
  <c r="L221" i="5" s="1"/>
  <c r="C215" i="3"/>
  <c r="C230" i="3" s="1"/>
  <c r="E218" i="3"/>
  <c r="E218" i="5" s="1"/>
  <c r="H224" i="3"/>
  <c r="F224" i="3"/>
  <c r="C218" i="3"/>
  <c r="C233" i="3" s="1"/>
  <c r="J221" i="3"/>
  <c r="J221" i="5" s="1"/>
  <c r="E224" i="5"/>
  <c r="J218" i="3"/>
  <c r="J218" i="5" s="1"/>
  <c r="D214" i="3"/>
  <c r="D214" i="5" s="1"/>
  <c r="G221" i="3"/>
  <c r="G221" i="5" s="1"/>
  <c r="I224" i="3"/>
  <c r="C224" i="5"/>
  <c r="D221" i="3"/>
  <c r="D221" i="5" s="1"/>
  <c r="I214" i="3"/>
  <c r="I214" i="5" s="1"/>
  <c r="L224" i="3"/>
  <c r="C224" i="3"/>
  <c r="C239" i="3" s="1"/>
  <c r="C239" i="5" s="1"/>
  <c r="F224" i="5"/>
  <c r="B224" i="3"/>
  <c r="B239" i="3" s="1"/>
  <c r="B239" i="5" s="1"/>
  <c r="E214" i="3"/>
  <c r="E214" i="5" s="1"/>
  <c r="B214" i="3"/>
  <c r="D224" i="3"/>
  <c r="I221" i="3"/>
  <c r="I221" i="5" s="1"/>
  <c r="K218" i="3"/>
  <c r="K218" i="5" s="1"/>
  <c r="L218" i="3"/>
  <c r="L218" i="5" s="1"/>
  <c r="K215" i="3"/>
  <c r="K215" i="5" s="1"/>
  <c r="I218" i="3"/>
  <c r="I218" i="5" s="1"/>
  <c r="D215" i="3"/>
  <c r="D215" i="5" s="1"/>
  <c r="J214" i="3"/>
  <c r="J214" i="5" s="1"/>
  <c r="B224" i="5"/>
  <c r="G218" i="3"/>
  <c r="G218" i="5" s="1"/>
  <c r="G224" i="3"/>
  <c r="B215" i="3"/>
  <c r="B230" i="3" s="1"/>
  <c r="F218" i="3"/>
  <c r="F218" i="5" s="1"/>
  <c r="K221" i="3"/>
  <c r="K221" i="5" s="1"/>
  <c r="H224" i="5"/>
  <c r="B221" i="3"/>
  <c r="B236" i="3" s="1"/>
  <c r="F215" i="3"/>
  <c r="D218" i="3"/>
  <c r="D218" i="5" s="1"/>
  <c r="H221" i="3"/>
  <c r="H221" i="5" s="1"/>
  <c r="L215" i="3"/>
  <c r="L215" i="5" s="1"/>
  <c r="I215" i="3"/>
  <c r="I215" i="5" s="1"/>
  <c r="L224" i="5"/>
  <c r="G214" i="3"/>
  <c r="G214" i="5" s="1"/>
  <c r="E224" i="3"/>
  <c r="E221" i="3"/>
  <c r="E221" i="5" s="1"/>
  <c r="F221" i="3"/>
  <c r="F221" i="5" s="1"/>
  <c r="J224" i="3"/>
  <c r="F216" i="3" l="1"/>
  <c r="F231" i="3" s="1"/>
  <c r="F231" i="5" s="1"/>
  <c r="B218" i="5"/>
  <c r="C221" i="5"/>
  <c r="C215" i="5"/>
  <c r="H216" i="3"/>
  <c r="H216" i="5" s="1"/>
  <c r="F215" i="5"/>
  <c r="C216" i="3"/>
  <c r="C216" i="5" s="1"/>
  <c r="D216" i="3"/>
  <c r="D216" i="5" s="1"/>
  <c r="K216" i="3"/>
  <c r="K216" i="5" s="1"/>
  <c r="C218" i="5"/>
  <c r="B216" i="3"/>
  <c r="B231" i="3" s="1"/>
  <c r="B231" i="5" s="1"/>
  <c r="L216" i="3"/>
  <c r="L216" i="5" s="1"/>
  <c r="J216" i="3"/>
  <c r="J231" i="3" s="1"/>
  <c r="J231" i="5" s="1"/>
  <c r="I216" i="3"/>
  <c r="I216" i="5" s="1"/>
  <c r="B215" i="5"/>
  <c r="E216" i="3"/>
  <c r="E231" i="3" s="1"/>
  <c r="E231" i="5" s="1"/>
  <c r="G216" i="3"/>
  <c r="G231" i="3" s="1"/>
  <c r="G231" i="5" s="1"/>
  <c r="B214" i="5"/>
  <c r="B221" i="5"/>
  <c r="B233" i="5"/>
  <c r="B230" i="5"/>
  <c r="C236" i="5"/>
  <c r="C233" i="5"/>
  <c r="C230" i="5"/>
  <c r="B236" i="5"/>
  <c r="H231" i="3" l="1"/>
  <c r="H231" i="5" s="1"/>
  <c r="F216" i="5"/>
  <c r="D231" i="3"/>
  <c r="D231" i="5" s="1"/>
  <c r="C231" i="3"/>
  <c r="C231" i="5" s="1"/>
  <c r="K231" i="3"/>
  <c r="K231" i="5" s="1"/>
  <c r="I231" i="3"/>
  <c r="I231" i="5" s="1"/>
  <c r="B216" i="5"/>
  <c r="J216" i="5"/>
  <c r="G216" i="5"/>
  <c r="L231" i="3"/>
  <c r="L231" i="5" s="1"/>
  <c r="E216" i="5"/>
  <c r="B229" i="3"/>
  <c r="B229" i="5" s="1"/>
  <c r="C229" i="3" l="1"/>
  <c r="C244" i="3" s="1"/>
  <c r="D394" i="1"/>
  <c r="C229" i="5" l="1"/>
  <c r="D387" i="1"/>
  <c r="D230" i="3"/>
  <c r="D403" i="1"/>
  <c r="D236" i="3"/>
  <c r="E394" i="1"/>
  <c r="D239" i="3" l="1"/>
  <c r="D239" i="5" s="1"/>
  <c r="D230" i="5"/>
  <c r="D229" i="3"/>
  <c r="E387" i="1"/>
  <c r="E230" i="3"/>
  <c r="D390" i="1"/>
  <c r="D389" i="1"/>
  <c r="D236" i="5"/>
  <c r="D388" i="1"/>
  <c r="D233" i="3"/>
  <c r="D233" i="5" s="1"/>
  <c r="E403" i="1"/>
  <c r="E236" i="3"/>
  <c r="E239" i="3"/>
  <c r="F394" i="1"/>
  <c r="E230" i="5" l="1"/>
  <c r="E229" i="3"/>
  <c r="F387" i="1"/>
  <c r="F230" i="3"/>
  <c r="D229" i="5"/>
  <c r="D244" i="3"/>
  <c r="E390" i="1"/>
  <c r="E239" i="5"/>
  <c r="E389" i="1"/>
  <c r="E236" i="5"/>
  <c r="E388" i="1"/>
  <c r="E233" i="3"/>
  <c r="E233" i="5" s="1"/>
  <c r="G395" i="1"/>
  <c r="H395" i="1" s="1"/>
  <c r="I395" i="1" s="1"/>
  <c r="J395" i="1" s="1"/>
  <c r="K395" i="1" s="1"/>
  <c r="F403" i="1"/>
  <c r="G394" i="1"/>
  <c r="H152" i="3" l="1"/>
  <c r="J81" i="3"/>
  <c r="F239" i="3"/>
  <c r="G397" i="1"/>
  <c r="H397" i="1" s="1"/>
  <c r="I397" i="1" s="1"/>
  <c r="J397" i="1" s="1"/>
  <c r="K397" i="1" s="1"/>
  <c r="F236" i="3"/>
  <c r="F236" i="5" s="1"/>
  <c r="G396" i="1"/>
  <c r="H396" i="1" s="1"/>
  <c r="I396" i="1" s="1"/>
  <c r="J396" i="1" s="1"/>
  <c r="K396" i="1" s="1"/>
  <c r="I65" i="3"/>
  <c r="I65" i="5" s="1"/>
  <c r="C40" i="3"/>
  <c r="C40" i="5" s="1"/>
  <c r="J200" i="3"/>
  <c r="J200" i="5" s="1"/>
  <c r="H199" i="3"/>
  <c r="H199" i="5" s="1"/>
  <c r="I169" i="3"/>
  <c r="I169" i="5" s="1"/>
  <c r="I209" i="3"/>
  <c r="I209" i="5" s="1"/>
  <c r="B121" i="3"/>
  <c r="B121" i="5" s="1"/>
  <c r="G73" i="3"/>
  <c r="G73" i="5" s="1"/>
  <c r="C223" i="3"/>
  <c r="C225" i="3" s="1"/>
  <c r="C240" i="3" s="1"/>
  <c r="C240" i="5" s="1"/>
  <c r="G17" i="3"/>
  <c r="G17" i="5" s="1"/>
  <c r="J47" i="3"/>
  <c r="J47" i="5" s="1"/>
  <c r="F49" i="3"/>
  <c r="F49" i="5" s="1"/>
  <c r="H191" i="3"/>
  <c r="H191" i="5" s="1"/>
  <c r="L9" i="3"/>
  <c r="L9" i="5" s="1"/>
  <c r="B201" i="3"/>
  <c r="B201" i="5" s="1"/>
  <c r="K185" i="3"/>
  <c r="K185" i="5" s="1"/>
  <c r="J169" i="3"/>
  <c r="J169" i="5" s="1"/>
  <c r="K33" i="3"/>
  <c r="K33" i="5" s="1"/>
  <c r="K209" i="3"/>
  <c r="K209" i="5" s="1"/>
  <c r="L193" i="3"/>
  <c r="L193" i="5" s="1"/>
  <c r="H153" i="3"/>
  <c r="H153" i="5" s="1"/>
  <c r="G201" i="3"/>
  <c r="G201" i="5" s="1"/>
  <c r="D136" i="3"/>
  <c r="D136" i="5" s="1"/>
  <c r="F177" i="3"/>
  <c r="F177" i="5" s="1"/>
  <c r="I89" i="3"/>
  <c r="I89" i="5" s="1"/>
  <c r="D49" i="3"/>
  <c r="D49" i="5" s="1"/>
  <c r="B65" i="3"/>
  <c r="B65" i="5" s="1"/>
  <c r="G185" i="3"/>
  <c r="G185" i="5" s="1"/>
  <c r="H25" i="3"/>
  <c r="H25" i="5" s="1"/>
  <c r="F57" i="3"/>
  <c r="F57" i="5" s="1"/>
  <c r="B113" i="3"/>
  <c r="B113" i="5" s="1"/>
  <c r="D176" i="3"/>
  <c r="D176" i="5" s="1"/>
  <c r="H97" i="3"/>
  <c r="H97" i="5" s="1"/>
  <c r="G169" i="3"/>
  <c r="G169" i="5" s="1"/>
  <c r="E73" i="3"/>
  <c r="E73" i="5" s="1"/>
  <c r="K177" i="3"/>
  <c r="K177" i="5" s="1"/>
  <c r="B25" i="3"/>
  <c r="B25" i="5" s="1"/>
  <c r="D201" i="3"/>
  <c r="D201" i="5" s="1"/>
  <c r="D177" i="3"/>
  <c r="D177" i="5" s="1"/>
  <c r="I121" i="3"/>
  <c r="I121" i="5" s="1"/>
  <c r="K49" i="3"/>
  <c r="K49" i="5" s="1"/>
  <c r="C217" i="3"/>
  <c r="C217" i="5" s="1"/>
  <c r="B49" i="3"/>
  <c r="B49" i="5" s="1"/>
  <c r="G81" i="3"/>
  <c r="G81" i="5" s="1"/>
  <c r="D161" i="3"/>
  <c r="D161" i="5" s="1"/>
  <c r="H49" i="3"/>
  <c r="H49" i="5" s="1"/>
  <c r="F161" i="3"/>
  <c r="F161" i="5" s="1"/>
  <c r="J57" i="3"/>
  <c r="J57" i="5" s="1"/>
  <c r="F137" i="3"/>
  <c r="F137" i="5" s="1"/>
  <c r="L183" i="3"/>
  <c r="L183" i="5" s="1"/>
  <c r="G87" i="3"/>
  <c r="G87" i="5" s="1"/>
  <c r="H193" i="3"/>
  <c r="H193" i="5" s="1"/>
  <c r="G49" i="3"/>
  <c r="G49" i="5" s="1"/>
  <c r="H9" i="3"/>
  <c r="H9" i="5" s="1"/>
  <c r="F209" i="3"/>
  <c r="F209" i="5" s="1"/>
  <c r="J153" i="3"/>
  <c r="J153" i="5" s="1"/>
  <c r="J33" i="3"/>
  <c r="J33" i="5" s="1"/>
  <c r="H57" i="3"/>
  <c r="H57" i="5" s="1"/>
  <c r="E17" i="3"/>
  <c r="E17" i="5" s="1"/>
  <c r="D191" i="3"/>
  <c r="D191" i="5" s="1"/>
  <c r="H185" i="3"/>
  <c r="H185" i="5" s="1"/>
  <c r="B73" i="3"/>
  <c r="B73" i="5" s="1"/>
  <c r="G121" i="3"/>
  <c r="G121" i="5" s="1"/>
  <c r="C129" i="3"/>
  <c r="C129" i="5" s="1"/>
  <c r="D153" i="3"/>
  <c r="D153" i="5" s="1"/>
  <c r="J209" i="3"/>
  <c r="J209" i="5" s="1"/>
  <c r="K105" i="3"/>
  <c r="K105" i="5" s="1"/>
  <c r="H7" i="3"/>
  <c r="H7" i="5" s="1"/>
  <c r="D87" i="3"/>
  <c r="D87" i="5" s="1"/>
  <c r="G97" i="3"/>
  <c r="G97" i="5" s="1"/>
  <c r="B193" i="3"/>
  <c r="B193" i="5" s="1"/>
  <c r="C89" i="3"/>
  <c r="C89" i="5" s="1"/>
  <c r="C209" i="3"/>
  <c r="C209" i="5" s="1"/>
  <c r="J129" i="3"/>
  <c r="J129" i="5" s="1"/>
  <c r="H169" i="3"/>
  <c r="H169" i="5" s="1"/>
  <c r="L97" i="3"/>
  <c r="L97" i="5" s="1"/>
  <c r="G177" i="3"/>
  <c r="G177" i="5" s="1"/>
  <c r="I31" i="3"/>
  <c r="I31" i="5" s="1"/>
  <c r="G89" i="3"/>
  <c r="G89" i="5" s="1"/>
  <c r="L17" i="3"/>
  <c r="L17" i="5" s="1"/>
  <c r="E177" i="3"/>
  <c r="E177" i="5" s="1"/>
  <c r="C201" i="3"/>
  <c r="C201" i="5" s="1"/>
  <c r="L73" i="3"/>
  <c r="L73" i="5" s="1"/>
  <c r="L89" i="3"/>
  <c r="L89" i="5" s="1"/>
  <c r="G145" i="3"/>
  <c r="G145" i="5" s="1"/>
  <c r="F129" i="3"/>
  <c r="F129" i="5" s="1"/>
  <c r="G9" i="3"/>
  <c r="G9" i="5" s="1"/>
  <c r="D39" i="3"/>
  <c r="D39" i="5" s="1"/>
  <c r="D193" i="3"/>
  <c r="D193" i="5" s="1"/>
  <c r="G65" i="3"/>
  <c r="G65" i="5" s="1"/>
  <c r="L25" i="3"/>
  <c r="L25" i="5" s="1"/>
  <c r="L57" i="3"/>
  <c r="L57" i="5" s="1"/>
  <c r="F33" i="3"/>
  <c r="F33" i="5" s="1"/>
  <c r="D105" i="3"/>
  <c r="D105" i="5" s="1"/>
  <c r="K145" i="3"/>
  <c r="K145" i="5" s="1"/>
  <c r="F9" i="3"/>
  <c r="F9" i="5" s="1"/>
  <c r="E25" i="3"/>
  <c r="E25" i="5" s="1"/>
  <c r="C41" i="3"/>
  <c r="C41" i="5" s="1"/>
  <c r="H137" i="3"/>
  <c r="H137" i="5" s="1"/>
  <c r="F105" i="3"/>
  <c r="F105" i="5" s="1"/>
  <c r="H161" i="3"/>
  <c r="H161" i="5" s="1"/>
  <c r="G161" i="3"/>
  <c r="G161" i="5" s="1"/>
  <c r="H201" i="3"/>
  <c r="H201" i="5" s="1"/>
  <c r="H177" i="3"/>
  <c r="H177" i="5" s="1"/>
  <c r="C97" i="3"/>
  <c r="C97" i="5" s="1"/>
  <c r="C25" i="3"/>
  <c r="C25" i="5" s="1"/>
  <c r="F65" i="3"/>
  <c r="F65" i="5" s="1"/>
  <c r="K129" i="3"/>
  <c r="K129" i="5" s="1"/>
  <c r="B223" i="3"/>
  <c r="B223" i="5" s="1"/>
  <c r="B225" i="5" s="1"/>
  <c r="L153" i="3"/>
  <c r="L153" i="5" s="1"/>
  <c r="E169" i="3"/>
  <c r="E169" i="5" s="1"/>
  <c r="B41" i="3"/>
  <c r="B41" i="5" s="1"/>
  <c r="B145" i="3"/>
  <c r="B145" i="5" s="1"/>
  <c r="E121" i="3"/>
  <c r="E121" i="5" s="1"/>
  <c r="D145" i="3"/>
  <c r="D145" i="5" s="1"/>
  <c r="K223" i="3"/>
  <c r="K225" i="3" s="1"/>
  <c r="K240" i="3" s="1"/>
  <c r="K240" i="5" s="1"/>
  <c r="K8" i="3"/>
  <c r="K8" i="5" s="1"/>
  <c r="G143" i="3"/>
  <c r="G143" i="5" s="1"/>
  <c r="B199" i="3"/>
  <c r="B199" i="5" s="1"/>
  <c r="C113" i="3"/>
  <c r="C113" i="5" s="1"/>
  <c r="F89" i="3"/>
  <c r="F89" i="5" s="1"/>
  <c r="I49" i="3"/>
  <c r="I49" i="5" s="1"/>
  <c r="B17" i="3"/>
  <c r="B17" i="5" s="1"/>
  <c r="H33" i="3"/>
  <c r="H33" i="5" s="1"/>
  <c r="L177" i="3"/>
  <c r="L177" i="5" s="1"/>
  <c r="G105" i="3"/>
  <c r="G105" i="5" s="1"/>
  <c r="I81" i="3"/>
  <c r="I81" i="5" s="1"/>
  <c r="D223" i="3"/>
  <c r="D225" i="3" s="1"/>
  <c r="D240" i="3" s="1"/>
  <c r="D240" i="5" s="1"/>
  <c r="F145" i="3"/>
  <c r="F145" i="5" s="1"/>
  <c r="C73" i="3"/>
  <c r="C73" i="5" s="1"/>
  <c r="J73" i="3"/>
  <c r="J73" i="5" s="1"/>
  <c r="K193" i="3"/>
  <c r="K193" i="5" s="1"/>
  <c r="F169" i="3"/>
  <c r="F169" i="5" s="1"/>
  <c r="B105" i="3"/>
  <c r="B105" i="5" s="1"/>
  <c r="D73" i="3"/>
  <c r="D73" i="5" s="1"/>
  <c r="D129" i="3"/>
  <c r="D129" i="5" s="1"/>
  <c r="D25" i="3"/>
  <c r="D25" i="5" s="1"/>
  <c r="L41" i="3"/>
  <c r="L41" i="5" s="1"/>
  <c r="I41" i="3"/>
  <c r="I41" i="5" s="1"/>
  <c r="C121" i="3"/>
  <c r="C121" i="5" s="1"/>
  <c r="K161" i="3"/>
  <c r="K161" i="5" s="1"/>
  <c r="E137" i="3"/>
  <c r="E137" i="5" s="1"/>
  <c r="C65" i="3"/>
  <c r="C65" i="5" s="1"/>
  <c r="J113" i="3"/>
  <c r="J113" i="5" s="1"/>
  <c r="L49" i="3"/>
  <c r="L49" i="5" s="1"/>
  <c r="E9" i="3"/>
  <c r="E9" i="5" s="1"/>
  <c r="D97" i="3"/>
  <c r="D97" i="5" s="1"/>
  <c r="J88" i="3"/>
  <c r="J88" i="5" s="1"/>
  <c r="F208" i="3"/>
  <c r="F208" i="5" s="1"/>
  <c r="F15" i="3"/>
  <c r="F15" i="5" s="1"/>
  <c r="B111" i="3"/>
  <c r="B111" i="5" s="1"/>
  <c r="H89" i="3"/>
  <c r="H89" i="5" s="1"/>
  <c r="L209" i="3"/>
  <c r="L209" i="5" s="1"/>
  <c r="G193" i="3"/>
  <c r="G193" i="5" s="1"/>
  <c r="F223" i="3"/>
  <c r="F225" i="3" s="1"/>
  <c r="F240" i="3" s="1"/>
  <c r="F238" i="3" s="1"/>
  <c r="J137" i="3"/>
  <c r="J137" i="5" s="1"/>
  <c r="B89" i="3"/>
  <c r="B89" i="5" s="1"/>
  <c r="C137" i="3"/>
  <c r="C137" i="5" s="1"/>
  <c r="L161" i="3"/>
  <c r="L161" i="5" s="1"/>
  <c r="F17" i="3"/>
  <c r="F17" i="5" s="1"/>
  <c r="E201" i="3"/>
  <c r="E201" i="5" s="1"/>
  <c r="D9" i="3"/>
  <c r="D9" i="5" s="1"/>
  <c r="F201" i="3"/>
  <c r="F201" i="5" s="1"/>
  <c r="B81" i="3"/>
  <c r="B81" i="5" s="1"/>
  <c r="J177" i="3"/>
  <c r="J177" i="5" s="1"/>
  <c r="B169" i="3"/>
  <c r="B169" i="5" s="1"/>
  <c r="C57" i="3"/>
  <c r="C57" i="5" s="1"/>
  <c r="J9" i="3"/>
  <c r="J9" i="5" s="1"/>
  <c r="K9" i="3"/>
  <c r="K9" i="5" s="1"/>
  <c r="D65" i="3"/>
  <c r="D65" i="5" s="1"/>
  <c r="K169" i="3"/>
  <c r="K169" i="5" s="1"/>
  <c r="I145" i="3"/>
  <c r="I145" i="5" s="1"/>
  <c r="G153" i="3"/>
  <c r="G153" i="5" s="1"/>
  <c r="I129" i="3"/>
  <c r="I129" i="5" s="1"/>
  <c r="C161" i="3"/>
  <c r="C161" i="5" s="1"/>
  <c r="B57" i="3"/>
  <c r="B57" i="5" s="1"/>
  <c r="C9" i="3"/>
  <c r="C9" i="5" s="1"/>
  <c r="G33" i="3"/>
  <c r="G33" i="5" s="1"/>
  <c r="I177" i="3"/>
  <c r="I177" i="5" s="1"/>
  <c r="B79" i="3"/>
  <c r="B79" i="5" s="1"/>
  <c r="K103" i="3"/>
  <c r="K103" i="5" s="1"/>
  <c r="J161" i="3"/>
  <c r="J161" i="5" s="1"/>
  <c r="G223" i="3"/>
  <c r="G223" i="5" s="1"/>
  <c r="G225" i="5" s="1"/>
  <c r="E41" i="3"/>
  <c r="E41" i="5" s="1"/>
  <c r="J41" i="3"/>
  <c r="J41" i="5" s="1"/>
  <c r="I9" i="3"/>
  <c r="I9" i="5" s="1"/>
  <c r="L105" i="3"/>
  <c r="L105" i="5" s="1"/>
  <c r="E89" i="3"/>
  <c r="E89" i="5" s="1"/>
  <c r="D57" i="3"/>
  <c r="D57" i="5" s="1"/>
  <c r="E193" i="3"/>
  <c r="E193" i="5" s="1"/>
  <c r="B97" i="3"/>
  <c r="B97" i="5" s="1"/>
  <c r="I33" i="3"/>
  <c r="I33" i="5" s="1"/>
  <c r="J185" i="3"/>
  <c r="J185" i="5" s="1"/>
  <c r="E129" i="3"/>
  <c r="E129" i="5" s="1"/>
  <c r="K121" i="3"/>
  <c r="K121" i="5" s="1"/>
  <c r="I201" i="3"/>
  <c r="I201" i="5" s="1"/>
  <c r="E97" i="3"/>
  <c r="E97" i="5" s="1"/>
  <c r="J65" i="3"/>
  <c r="J65" i="5" s="1"/>
  <c r="L185" i="3"/>
  <c r="L185" i="5" s="1"/>
  <c r="E65" i="3"/>
  <c r="E65" i="5" s="1"/>
  <c r="H105" i="3"/>
  <c r="H105" i="5" s="1"/>
  <c r="K137" i="3"/>
  <c r="K137" i="5" s="1"/>
  <c r="E185" i="3"/>
  <c r="E185" i="5" s="1"/>
  <c r="D169" i="3"/>
  <c r="D169" i="5" s="1"/>
  <c r="D209" i="3"/>
  <c r="D209" i="5" s="1"/>
  <c r="K41" i="3"/>
  <c r="K41" i="5" s="1"/>
  <c r="I223" i="3"/>
  <c r="I225" i="3" s="1"/>
  <c r="I240" i="3" s="1"/>
  <c r="I240" i="5" s="1"/>
  <c r="F153" i="3"/>
  <c r="F153" i="5" s="1"/>
  <c r="H223" i="3"/>
  <c r="H225" i="3" s="1"/>
  <c r="H240" i="3" s="1"/>
  <c r="H240" i="5" s="1"/>
  <c r="G176" i="3"/>
  <c r="G176" i="5" s="1"/>
  <c r="I120" i="3"/>
  <c r="I120" i="5" s="1"/>
  <c r="H119" i="3"/>
  <c r="H119" i="5" s="1"/>
  <c r="D111" i="3"/>
  <c r="D111" i="5" s="1"/>
  <c r="I17" i="3"/>
  <c r="I17" i="5" s="1"/>
  <c r="E113" i="3"/>
  <c r="E113" i="5" s="1"/>
  <c r="D185" i="3"/>
  <c r="D185" i="5" s="1"/>
  <c r="J145" i="3"/>
  <c r="J145" i="5" s="1"/>
  <c r="F97" i="3"/>
  <c r="F97" i="5" s="1"/>
  <c r="I161" i="3"/>
  <c r="I161" i="5" s="1"/>
  <c r="K57" i="3"/>
  <c r="K57" i="5" s="1"/>
  <c r="K17" i="3"/>
  <c r="K17" i="5" s="1"/>
  <c r="K73" i="3"/>
  <c r="K73" i="5" s="1"/>
  <c r="C145" i="3"/>
  <c r="C145" i="5" s="1"/>
  <c r="K97" i="3"/>
  <c r="K97" i="5" s="1"/>
  <c r="B33" i="3"/>
  <c r="B33" i="5" s="1"/>
  <c r="B185" i="3"/>
  <c r="B185" i="5" s="1"/>
  <c r="B129" i="3"/>
  <c r="B129" i="5" s="1"/>
  <c r="F25" i="3"/>
  <c r="F25" i="5" s="1"/>
  <c r="K201" i="3"/>
  <c r="K201" i="5" s="1"/>
  <c r="E145" i="3"/>
  <c r="E145" i="5" s="1"/>
  <c r="H145" i="3"/>
  <c r="H145" i="5" s="1"/>
  <c r="F73" i="3"/>
  <c r="F73" i="5" s="1"/>
  <c r="L145" i="3"/>
  <c r="L145" i="5" s="1"/>
  <c r="E209" i="3"/>
  <c r="E209" i="5" s="1"/>
  <c r="J97" i="3"/>
  <c r="J97" i="5" s="1"/>
  <c r="L121" i="3"/>
  <c r="L121" i="5" s="1"/>
  <c r="E81" i="3"/>
  <c r="E81" i="5" s="1"/>
  <c r="G209" i="3"/>
  <c r="G209" i="5" s="1"/>
  <c r="D33" i="3"/>
  <c r="D33" i="5" s="1"/>
  <c r="E153" i="3"/>
  <c r="E153" i="5" s="1"/>
  <c r="J49" i="3"/>
  <c r="J49" i="5" s="1"/>
  <c r="J25" i="3"/>
  <c r="J25" i="5" s="1"/>
  <c r="L56" i="3"/>
  <c r="L56" i="5" s="1"/>
  <c r="J167" i="3"/>
  <c r="J167" i="5" s="1"/>
  <c r="H47" i="3"/>
  <c r="H47" i="5" s="1"/>
  <c r="L81" i="3"/>
  <c r="L81" i="5" s="1"/>
  <c r="E57" i="3"/>
  <c r="E57" i="5" s="1"/>
  <c r="H65" i="3"/>
  <c r="H65" i="5" s="1"/>
  <c r="L201" i="3"/>
  <c r="L201" i="5" s="1"/>
  <c r="B209" i="3"/>
  <c r="B209" i="5" s="1"/>
  <c r="H41" i="3"/>
  <c r="H41" i="5" s="1"/>
  <c r="I137" i="3"/>
  <c r="I137" i="5" s="1"/>
  <c r="C33" i="3"/>
  <c r="C33" i="5" s="1"/>
  <c r="C193" i="3"/>
  <c r="C193" i="5" s="1"/>
  <c r="G129" i="3"/>
  <c r="G129" i="5" s="1"/>
  <c r="J121" i="3"/>
  <c r="J121" i="5" s="1"/>
  <c r="E161" i="3"/>
  <c r="E161" i="5" s="1"/>
  <c r="H209" i="3"/>
  <c r="H209" i="5" s="1"/>
  <c r="G25" i="3"/>
  <c r="G25" i="5" s="1"/>
  <c r="I185" i="3"/>
  <c r="I185" i="5" s="1"/>
  <c r="J17" i="3"/>
  <c r="J17" i="5" s="1"/>
  <c r="K65" i="3"/>
  <c r="K65" i="5" s="1"/>
  <c r="F81" i="3"/>
  <c r="F81" i="5" s="1"/>
  <c r="H121" i="3"/>
  <c r="H121" i="5" s="1"/>
  <c r="D137" i="3"/>
  <c r="D137" i="5" s="1"/>
  <c r="I193" i="3"/>
  <c r="I193" i="5" s="1"/>
  <c r="I57" i="3"/>
  <c r="I57" i="5" s="1"/>
  <c r="F41" i="3"/>
  <c r="F41" i="5" s="1"/>
  <c r="F193" i="3"/>
  <c r="F193" i="5" s="1"/>
  <c r="E105" i="3"/>
  <c r="E105" i="5" s="1"/>
  <c r="K89" i="3"/>
  <c r="K89" i="5" s="1"/>
  <c r="E223" i="3"/>
  <c r="E223" i="5" s="1"/>
  <c r="E225" i="5" s="1"/>
  <c r="H81" i="3"/>
  <c r="H81" i="5" s="1"/>
  <c r="K71" i="3"/>
  <c r="K71" i="5" s="1"/>
  <c r="G137" i="3"/>
  <c r="G137" i="5" s="1"/>
  <c r="L223" i="3"/>
  <c r="L225" i="3" s="1"/>
  <c r="L240" i="3" s="1"/>
  <c r="L240" i="5" s="1"/>
  <c r="B137" i="3"/>
  <c r="B137" i="5" s="1"/>
  <c r="C169" i="3"/>
  <c r="C169" i="5" s="1"/>
  <c r="J80" i="3"/>
  <c r="J80" i="5" s="1"/>
  <c r="F159" i="3"/>
  <c r="F159" i="5" s="1"/>
  <c r="L47" i="3"/>
  <c r="L47" i="5" s="1"/>
  <c r="B177" i="3"/>
  <c r="B177" i="5" s="1"/>
  <c r="H129" i="3"/>
  <c r="H129" i="5" s="1"/>
  <c r="I113" i="3"/>
  <c r="I113" i="5" s="1"/>
  <c r="I153" i="3"/>
  <c r="I153" i="5" s="1"/>
  <c r="J105" i="3"/>
  <c r="J105" i="5" s="1"/>
  <c r="D17" i="3"/>
  <c r="D17" i="5" s="1"/>
  <c r="I105" i="3"/>
  <c r="I105" i="5" s="1"/>
  <c r="B161" i="3"/>
  <c r="B161" i="5" s="1"/>
  <c r="C185" i="3"/>
  <c r="C185" i="5" s="1"/>
  <c r="G113" i="3"/>
  <c r="G113" i="5" s="1"/>
  <c r="B9" i="3"/>
  <c r="B9" i="5" s="1"/>
  <c r="H73" i="3"/>
  <c r="H73" i="5" s="1"/>
  <c r="K113" i="3"/>
  <c r="K113" i="5" s="1"/>
  <c r="D81" i="3"/>
  <c r="D81" i="5" s="1"/>
  <c r="L113" i="3"/>
  <c r="L113" i="5" s="1"/>
  <c r="H113" i="3"/>
  <c r="H113" i="5" s="1"/>
  <c r="C153" i="3"/>
  <c r="C153" i="5" s="1"/>
  <c r="I97" i="3"/>
  <c r="I97" i="5" s="1"/>
  <c r="D89" i="3"/>
  <c r="D89" i="5" s="1"/>
  <c r="F185" i="3"/>
  <c r="F185" i="5" s="1"/>
  <c r="H17" i="3"/>
  <c r="H17" i="5" s="1"/>
  <c r="C81" i="3"/>
  <c r="C81" i="5" s="1"/>
  <c r="F113" i="3"/>
  <c r="F113" i="5" s="1"/>
  <c r="L129" i="3"/>
  <c r="L129" i="5" s="1"/>
  <c r="C17" i="3"/>
  <c r="C17" i="5" s="1"/>
  <c r="D192" i="3"/>
  <c r="D192" i="5" s="1"/>
  <c r="J199" i="3"/>
  <c r="J199" i="5" s="1"/>
  <c r="F55" i="3"/>
  <c r="F55" i="5" s="1"/>
  <c r="B153" i="3"/>
  <c r="B153" i="5" s="1"/>
  <c r="E33" i="3"/>
  <c r="E33" i="5" s="1"/>
  <c r="K25" i="3"/>
  <c r="K25" i="5" s="1"/>
  <c r="I25" i="3"/>
  <c r="I25" i="5" s="1"/>
  <c r="J223" i="3"/>
  <c r="J225" i="3" s="1"/>
  <c r="J240" i="3" s="1"/>
  <c r="J240" i="5" s="1"/>
  <c r="C105" i="3"/>
  <c r="C105" i="5" s="1"/>
  <c r="G57" i="3"/>
  <c r="G57" i="5" s="1"/>
  <c r="G41" i="3"/>
  <c r="G41" i="5" s="1"/>
  <c r="D121" i="3"/>
  <c r="D121" i="5" s="1"/>
  <c r="J193" i="3"/>
  <c r="J193" i="5" s="1"/>
  <c r="D41" i="3"/>
  <c r="D41" i="5" s="1"/>
  <c r="C177" i="3"/>
  <c r="C177" i="5" s="1"/>
  <c r="F121" i="3"/>
  <c r="F121" i="5" s="1"/>
  <c r="L137" i="3"/>
  <c r="L137" i="5" s="1"/>
  <c r="J89" i="3"/>
  <c r="J89" i="5" s="1"/>
  <c r="J201" i="3"/>
  <c r="J201" i="5" s="1"/>
  <c r="I73" i="3"/>
  <c r="I73" i="5" s="1"/>
  <c r="L169" i="3"/>
  <c r="L169" i="5" s="1"/>
  <c r="K153" i="3"/>
  <c r="K153" i="5" s="1"/>
  <c r="D113" i="3"/>
  <c r="D113" i="5" s="1"/>
  <c r="L33" i="3"/>
  <c r="L33" i="5" s="1"/>
  <c r="L65" i="3"/>
  <c r="L65" i="5" s="1"/>
  <c r="K81" i="3"/>
  <c r="K81" i="5" s="1"/>
  <c r="E49" i="3"/>
  <c r="E49" i="5" s="1"/>
  <c r="C49" i="3"/>
  <c r="C49" i="5" s="1"/>
  <c r="B220" i="3"/>
  <c r="B220" i="5" s="1"/>
  <c r="K207" i="3"/>
  <c r="E7" i="3"/>
  <c r="E7" i="5" s="1"/>
  <c r="J111" i="3"/>
  <c r="J111" i="5" s="1"/>
  <c r="C88" i="3"/>
  <c r="C88" i="5" s="1"/>
  <c r="E199" i="3"/>
  <c r="B143" i="3"/>
  <c r="B143" i="5" s="1"/>
  <c r="J23" i="3"/>
  <c r="J23" i="5" s="1"/>
  <c r="E128" i="3"/>
  <c r="E128" i="5" s="1"/>
  <c r="I159" i="3"/>
  <c r="I159" i="5" s="1"/>
  <c r="I135" i="3"/>
  <c r="I135" i="5" s="1"/>
  <c r="D207" i="3"/>
  <c r="D207" i="5" s="1"/>
  <c r="J120" i="3"/>
  <c r="J120" i="5" s="1"/>
  <c r="F160" i="3"/>
  <c r="F160" i="5" s="1"/>
  <c r="B184" i="3"/>
  <c r="B184" i="5" s="1"/>
  <c r="I80" i="3"/>
  <c r="I80" i="5" s="1"/>
  <c r="D152" i="3"/>
  <c r="D152" i="5" s="1"/>
  <c r="I8" i="3"/>
  <c r="I8" i="5" s="1"/>
  <c r="B208" i="3"/>
  <c r="B208" i="5" s="1"/>
  <c r="G56" i="3"/>
  <c r="G56" i="5" s="1"/>
  <c r="C7" i="3"/>
  <c r="C7" i="5" s="1"/>
  <c r="I95" i="3"/>
  <c r="I95" i="5" s="1"/>
  <c r="I217" i="3"/>
  <c r="I217" i="5" s="1"/>
  <c r="I47" i="3"/>
  <c r="I47" i="5" s="1"/>
  <c r="E15" i="3"/>
  <c r="E15" i="5" s="1"/>
  <c r="E167" i="3"/>
  <c r="E167" i="5" s="1"/>
  <c r="F87" i="3"/>
  <c r="F87" i="5" s="1"/>
  <c r="G207" i="3"/>
  <c r="G207" i="5" s="1"/>
  <c r="J87" i="3"/>
  <c r="J87" i="5" s="1"/>
  <c r="E183" i="3"/>
  <c r="E183" i="5" s="1"/>
  <c r="E87" i="3"/>
  <c r="E87" i="5" s="1"/>
  <c r="G71" i="3"/>
  <c r="G71" i="5" s="1"/>
  <c r="K7" i="3"/>
  <c r="K7" i="5" s="1"/>
  <c r="L167" i="3"/>
  <c r="L167" i="5" s="1"/>
  <c r="L71" i="3"/>
  <c r="L71" i="5" s="1"/>
  <c r="J7" i="3"/>
  <c r="I71" i="3"/>
  <c r="F95" i="3"/>
  <c r="F95" i="5" s="1"/>
  <c r="G151" i="3"/>
  <c r="G151" i="5" s="1"/>
  <c r="D159" i="3"/>
  <c r="D159" i="5" s="1"/>
  <c r="I111" i="3"/>
  <c r="I111" i="5" s="1"/>
  <c r="J135" i="3"/>
  <c r="J135" i="5" s="1"/>
  <c r="F207" i="3"/>
  <c r="D47" i="3"/>
  <c r="D47" i="5" s="1"/>
  <c r="C191" i="3"/>
  <c r="C191" i="5" s="1"/>
  <c r="B191" i="3"/>
  <c r="B191" i="5" s="1"/>
  <c r="H87" i="3"/>
  <c r="H87" i="5" s="1"/>
  <c r="J128" i="3"/>
  <c r="J128" i="5" s="1"/>
  <c r="L192" i="3"/>
  <c r="L192" i="5" s="1"/>
  <c r="E79" i="3"/>
  <c r="E79" i="5" s="1"/>
  <c r="C167" i="3"/>
  <c r="C167" i="5" s="1"/>
  <c r="E104" i="3"/>
  <c r="E104" i="5" s="1"/>
  <c r="D7" i="3"/>
  <c r="D7" i="5" s="1"/>
  <c r="L207" i="3"/>
  <c r="L207" i="5" s="1"/>
  <c r="D217" i="3"/>
  <c r="D219" i="3" s="1"/>
  <c r="D234" i="3" s="1"/>
  <c r="I23" i="3"/>
  <c r="I23" i="5" s="1"/>
  <c r="D104" i="3"/>
  <c r="D104" i="5" s="1"/>
  <c r="H220" i="3"/>
  <c r="H220" i="5" s="1"/>
  <c r="K64" i="3"/>
  <c r="K64" i="5" s="1"/>
  <c r="I220" i="3"/>
  <c r="I220" i="5" s="1"/>
  <c r="K208" i="3"/>
  <c r="K208" i="5" s="1"/>
  <c r="E144" i="3"/>
  <c r="E144" i="5" s="1"/>
  <c r="D128" i="3"/>
  <c r="D128" i="5" s="1"/>
  <c r="J176" i="3"/>
  <c r="J176" i="5" s="1"/>
  <c r="G191" i="3"/>
  <c r="G191" i="5" s="1"/>
  <c r="J175" i="3"/>
  <c r="J175" i="5" s="1"/>
  <c r="C47" i="3"/>
  <c r="C47" i="5" s="1"/>
  <c r="H111" i="3"/>
  <c r="H111" i="5" s="1"/>
  <c r="H71" i="3"/>
  <c r="H71" i="5" s="1"/>
  <c r="F119" i="3"/>
  <c r="F119" i="5" s="1"/>
  <c r="K167" i="3"/>
  <c r="K167" i="5" s="1"/>
  <c r="E159" i="3"/>
  <c r="E159" i="5" s="1"/>
  <c r="K79" i="3"/>
  <c r="K79" i="5" s="1"/>
  <c r="L95" i="3"/>
  <c r="L95" i="5" s="1"/>
  <c r="H207" i="3"/>
  <c r="H207" i="5" s="1"/>
  <c r="K183" i="3"/>
  <c r="K183" i="5" s="1"/>
  <c r="E103" i="3"/>
  <c r="E103" i="5" s="1"/>
  <c r="G217" i="3"/>
  <c r="G217" i="5" s="1"/>
  <c r="I143" i="3"/>
  <c r="I143" i="5" s="1"/>
  <c r="B23" i="3"/>
  <c r="B23" i="5" s="1"/>
  <c r="D199" i="3"/>
  <c r="D199" i="5" s="1"/>
  <c r="L127" i="3"/>
  <c r="L127" i="5" s="1"/>
  <c r="E143" i="3"/>
  <c r="E143" i="5" s="1"/>
  <c r="B47" i="3"/>
  <c r="D143" i="3"/>
  <c r="D143" i="5" s="1"/>
  <c r="J15" i="3"/>
  <c r="J15" i="5" s="1"/>
  <c r="F199" i="3"/>
  <c r="F199" i="5" s="1"/>
  <c r="G199" i="3"/>
  <c r="G199" i="5" s="1"/>
  <c r="L104" i="3"/>
  <c r="L104" i="5" s="1"/>
  <c r="L7" i="3"/>
  <c r="L7" i="5" s="1"/>
  <c r="G31" i="3"/>
  <c r="G31" i="5" s="1"/>
  <c r="F183" i="3"/>
  <c r="F183" i="5" s="1"/>
  <c r="C64" i="3"/>
  <c r="C64" i="5" s="1"/>
  <c r="H55" i="3"/>
  <c r="H55" i="5" s="1"/>
  <c r="E71" i="3"/>
  <c r="E71" i="5" s="1"/>
  <c r="I199" i="3"/>
  <c r="I199" i="5" s="1"/>
  <c r="F104" i="3"/>
  <c r="F104" i="5" s="1"/>
  <c r="J217" i="3"/>
  <c r="J219" i="3" s="1"/>
  <c r="J219" i="5" s="1"/>
  <c r="J127" i="3"/>
  <c r="J127" i="5" s="1"/>
  <c r="H217" i="3"/>
  <c r="D56" i="3"/>
  <c r="D56" i="5" s="1"/>
  <c r="E48" i="3"/>
  <c r="E48" i="5" s="1"/>
  <c r="J104" i="3"/>
  <c r="J104" i="5" s="1"/>
  <c r="C96" i="3"/>
  <c r="C96" i="5" s="1"/>
  <c r="F112" i="3"/>
  <c r="F112" i="5" s="1"/>
  <c r="C120" i="3"/>
  <c r="C120" i="5" s="1"/>
  <c r="K88" i="3"/>
  <c r="K88" i="5" s="1"/>
  <c r="L88" i="3"/>
  <c r="L88" i="5" s="1"/>
  <c r="G127" i="3"/>
  <c r="G127" i="5" s="1"/>
  <c r="L151" i="3"/>
  <c r="L151" i="5" s="1"/>
  <c r="C143" i="3"/>
  <c r="H167" i="3"/>
  <c r="H167" i="5" s="1"/>
  <c r="J159" i="3"/>
  <c r="J159" i="5" s="1"/>
  <c r="B63" i="3"/>
  <c r="B63" i="5" s="1"/>
  <c r="J143" i="3"/>
  <c r="J143" i="5" s="1"/>
  <c r="I55" i="3"/>
  <c r="I55" i="5" s="1"/>
  <c r="B95" i="3"/>
  <c r="B95" i="5" s="1"/>
  <c r="C39" i="3"/>
  <c r="C39" i="5" s="1"/>
  <c r="E119" i="3"/>
  <c r="E119" i="5" s="1"/>
  <c r="K95" i="3"/>
  <c r="K95" i="5" s="1"/>
  <c r="I103" i="3"/>
  <c r="I103" i="5" s="1"/>
  <c r="G39" i="3"/>
  <c r="G39" i="5" s="1"/>
  <c r="B217" i="3"/>
  <c r="B217" i="5" s="1"/>
  <c r="B15" i="3"/>
  <c r="B15" i="5" s="1"/>
  <c r="F7" i="3"/>
  <c r="F7" i="5" s="1"/>
  <c r="J63" i="3"/>
  <c r="J63" i="5" s="1"/>
  <c r="E47" i="3"/>
  <c r="E47" i="5" s="1"/>
  <c r="D151" i="3"/>
  <c r="D151" i="5" s="1"/>
  <c r="E207" i="3"/>
  <c r="E207" i="5" s="1"/>
  <c r="G167" i="3"/>
  <c r="G167" i="5" s="1"/>
  <c r="K31" i="3"/>
  <c r="K31" i="5" s="1"/>
  <c r="G119" i="3"/>
  <c r="G119" i="5" s="1"/>
  <c r="E63" i="3"/>
  <c r="E63" i="5" s="1"/>
  <c r="B159" i="3"/>
  <c r="B159" i="5" s="1"/>
  <c r="C111" i="3"/>
  <c r="C111" i="5" s="1"/>
  <c r="F151" i="3"/>
  <c r="F151" i="5" s="1"/>
  <c r="F63" i="3"/>
  <c r="F63" i="5" s="1"/>
  <c r="K119" i="3"/>
  <c r="K119" i="5" s="1"/>
  <c r="C72" i="3"/>
  <c r="C72" i="5" s="1"/>
  <c r="C207" i="3"/>
  <c r="C207" i="5" s="1"/>
  <c r="G79" i="3"/>
  <c r="G79" i="5" s="1"/>
  <c r="D55" i="3"/>
  <c r="D55" i="5" s="1"/>
  <c r="I79" i="3"/>
  <c r="I79" i="5" s="1"/>
  <c r="J112" i="3"/>
  <c r="J112" i="5" s="1"/>
  <c r="F128" i="3"/>
  <c r="F128" i="5" s="1"/>
  <c r="D40" i="3"/>
  <c r="D40" i="5" s="1"/>
  <c r="I56" i="3"/>
  <c r="I56" i="5" s="1"/>
  <c r="I144" i="3"/>
  <c r="I144" i="5" s="1"/>
  <c r="J16" i="3"/>
  <c r="J16" i="5" s="1"/>
  <c r="D88" i="3"/>
  <c r="D88" i="5" s="1"/>
  <c r="K112" i="3"/>
  <c r="K112" i="5" s="1"/>
  <c r="H15" i="3"/>
  <c r="H15" i="5" s="1"/>
  <c r="B39" i="3"/>
  <c r="B39" i="5" s="1"/>
  <c r="F127" i="3"/>
  <c r="F127" i="5" s="1"/>
  <c r="E95" i="3"/>
  <c r="E95" i="5" s="1"/>
  <c r="I175" i="3"/>
  <c r="I175" i="5" s="1"/>
  <c r="K15" i="3"/>
  <c r="K15" i="5" s="1"/>
  <c r="B167" i="3"/>
  <c r="B167" i="5" s="1"/>
  <c r="C15" i="3"/>
  <c r="C15" i="5" s="1"/>
  <c r="K111" i="3"/>
  <c r="K111" i="5" s="1"/>
  <c r="H63" i="3"/>
  <c r="H63" i="5" s="1"/>
  <c r="J183" i="3"/>
  <c r="J183" i="5" s="1"/>
  <c r="F135" i="3"/>
  <c r="F135" i="5" s="1"/>
  <c r="L79" i="3"/>
  <c r="L79" i="5" s="1"/>
  <c r="K199" i="3"/>
  <c r="K199" i="5" s="1"/>
  <c r="C55" i="3"/>
  <c r="C55" i="5" s="1"/>
  <c r="K39" i="3"/>
  <c r="K39" i="5" s="1"/>
  <c r="F31" i="3"/>
  <c r="F31" i="5" s="1"/>
  <c r="G111" i="3"/>
  <c r="G111" i="5" s="1"/>
  <c r="B119" i="3"/>
  <c r="B119" i="5" s="1"/>
  <c r="B31" i="3"/>
  <c r="B31" i="5" s="1"/>
  <c r="K23" i="3"/>
  <c r="K23" i="5" s="1"/>
  <c r="L39" i="3"/>
  <c r="L39" i="5" s="1"/>
  <c r="C175" i="3"/>
  <c r="C175" i="5" s="1"/>
  <c r="L23" i="3"/>
  <c r="L23" i="5" s="1"/>
  <c r="K127" i="3"/>
  <c r="K127" i="5" s="1"/>
  <c r="K63" i="3"/>
  <c r="K159" i="3"/>
  <c r="K159" i="5" s="1"/>
  <c r="J8" i="3"/>
  <c r="J8" i="5" s="1"/>
  <c r="K175" i="3"/>
  <c r="K175" i="5" s="1"/>
  <c r="G183" i="3"/>
  <c r="G183" i="5" s="1"/>
  <c r="L159" i="3"/>
  <c r="L159" i="5" s="1"/>
  <c r="H120" i="3"/>
  <c r="H120" i="5" s="1"/>
  <c r="D135" i="3"/>
  <c r="D135" i="5" s="1"/>
  <c r="D79" i="3"/>
  <c r="D79" i="5" s="1"/>
  <c r="J119" i="3"/>
  <c r="J119" i="5" s="1"/>
  <c r="H136" i="3"/>
  <c r="H136" i="5" s="1"/>
  <c r="K136" i="3"/>
  <c r="K136" i="5" s="1"/>
  <c r="H56" i="3"/>
  <c r="H56" i="5" s="1"/>
  <c r="K72" i="3"/>
  <c r="K72" i="5" s="1"/>
  <c r="L128" i="3"/>
  <c r="L128" i="5" s="1"/>
  <c r="C112" i="3"/>
  <c r="C112" i="5" s="1"/>
  <c r="D16" i="3"/>
  <c r="D16" i="5" s="1"/>
  <c r="K104" i="3"/>
  <c r="K104" i="5" s="1"/>
  <c r="E184" i="3"/>
  <c r="E184" i="5" s="1"/>
  <c r="G159" i="3"/>
  <c r="G159" i="5" s="1"/>
  <c r="H39" i="3"/>
  <c r="H39" i="5" s="1"/>
  <c r="C87" i="3"/>
  <c r="C87" i="5" s="1"/>
  <c r="L15" i="3"/>
  <c r="L15" i="5" s="1"/>
  <c r="F47" i="3"/>
  <c r="F47" i="5" s="1"/>
  <c r="K217" i="3"/>
  <c r="K217" i="5" s="1"/>
  <c r="J103" i="3"/>
  <c r="J103" i="5" s="1"/>
  <c r="F191" i="3"/>
  <c r="F191" i="5" s="1"/>
  <c r="I183" i="3"/>
  <c r="I183" i="5" s="1"/>
  <c r="H79" i="3"/>
  <c r="H79" i="5" s="1"/>
  <c r="E151" i="3"/>
  <c r="E151" i="5" s="1"/>
  <c r="F71" i="3"/>
  <c r="F71" i="5" s="1"/>
  <c r="C95" i="3"/>
  <c r="C95" i="5" s="1"/>
  <c r="H183" i="3"/>
  <c r="L55" i="3"/>
  <c r="L55" i="5" s="1"/>
  <c r="D183" i="3"/>
  <c r="D183" i="5" s="1"/>
  <c r="H159" i="3"/>
  <c r="H159" i="5" s="1"/>
  <c r="G95" i="3"/>
  <c r="G95" i="5" s="1"/>
  <c r="H23" i="3"/>
  <c r="H23" i="5" s="1"/>
  <c r="L191" i="3"/>
  <c r="L191" i="5" s="1"/>
  <c r="C135" i="3"/>
  <c r="C135" i="5" s="1"/>
  <c r="C151" i="3"/>
  <c r="C151" i="5" s="1"/>
  <c r="I207" i="3"/>
  <c r="I207" i="5" s="1"/>
  <c r="E23" i="3"/>
  <c r="E23" i="5" s="1"/>
  <c r="J220" i="3"/>
  <c r="J222" i="3" s="1"/>
  <c r="J237" i="3" s="1"/>
  <c r="D71" i="3"/>
  <c r="D71" i="5" s="1"/>
  <c r="B183" i="3"/>
  <c r="B183" i="5" s="1"/>
  <c r="H95" i="3"/>
  <c r="H95" i="5" s="1"/>
  <c r="H168" i="3"/>
  <c r="H168" i="5" s="1"/>
  <c r="C127" i="3"/>
  <c r="C127" i="5" s="1"/>
  <c r="J79" i="3"/>
  <c r="J79" i="5" s="1"/>
  <c r="J207" i="3"/>
  <c r="J207" i="5" s="1"/>
  <c r="J192" i="3"/>
  <c r="J192" i="5" s="1"/>
  <c r="C119" i="3"/>
  <c r="C119" i="5" s="1"/>
  <c r="L87" i="3"/>
  <c r="L87" i="5" s="1"/>
  <c r="D24" i="3"/>
  <c r="D24" i="5" s="1"/>
  <c r="G48" i="3"/>
  <c r="G48" i="5" s="1"/>
  <c r="C168" i="3"/>
  <c r="C168" i="5" s="1"/>
  <c r="L64" i="3"/>
  <c r="L64" i="5" s="1"/>
  <c r="H32" i="3"/>
  <c r="H32" i="5" s="1"/>
  <c r="J32" i="3"/>
  <c r="J32" i="5" s="1"/>
  <c r="E32" i="3"/>
  <c r="E32" i="5" s="1"/>
  <c r="I152" i="3"/>
  <c r="I152" i="5" s="1"/>
  <c r="E39" i="3"/>
  <c r="E39" i="5" s="1"/>
  <c r="B151" i="3"/>
  <c r="B151" i="5" s="1"/>
  <c r="K135" i="3"/>
  <c r="K135" i="5" s="1"/>
  <c r="F217" i="3"/>
  <c r="F219" i="3" s="1"/>
  <c r="F219" i="5" s="1"/>
  <c r="F23" i="3"/>
  <c r="F23" i="5" s="1"/>
  <c r="K143" i="3"/>
  <c r="K143" i="5" s="1"/>
  <c r="E217" i="3"/>
  <c r="E217" i="5" s="1"/>
  <c r="I63" i="3"/>
  <c r="I63" i="5" s="1"/>
  <c r="C31" i="3"/>
  <c r="F39" i="3"/>
  <c r="F39" i="5" s="1"/>
  <c r="L31" i="3"/>
  <c r="L31" i="5" s="1"/>
  <c r="I127" i="3"/>
  <c r="I127" i="5" s="1"/>
  <c r="J95" i="3"/>
  <c r="J95" i="5" s="1"/>
  <c r="H151" i="3"/>
  <c r="H151" i="5" s="1"/>
  <c r="E55" i="3"/>
  <c r="E55" i="5" s="1"/>
  <c r="L119" i="3"/>
  <c r="L119" i="5" s="1"/>
  <c r="C199" i="3"/>
  <c r="C199" i="5" s="1"/>
  <c r="D95" i="3"/>
  <c r="D95" i="5" s="1"/>
  <c r="C23" i="3"/>
  <c r="C23" i="5" s="1"/>
  <c r="C103" i="3"/>
  <c r="C103" i="5" s="1"/>
  <c r="G103" i="3"/>
  <c r="G103" i="5" s="1"/>
  <c r="C159" i="3"/>
  <c r="C159" i="5" s="1"/>
  <c r="L135" i="3"/>
  <c r="L135" i="5" s="1"/>
  <c r="G15" i="3"/>
  <c r="E111" i="3"/>
  <c r="E111" i="5" s="1"/>
  <c r="H103" i="3"/>
  <c r="H31" i="3"/>
  <c r="H31" i="5" s="1"/>
  <c r="J151" i="3"/>
  <c r="J151" i="5" s="1"/>
  <c r="I112" i="3"/>
  <c r="I112" i="5" s="1"/>
  <c r="I119" i="3"/>
  <c r="I119" i="5" s="1"/>
  <c r="K55" i="3"/>
  <c r="K55" i="5" s="1"/>
  <c r="L143" i="3"/>
  <c r="L143" i="5" s="1"/>
  <c r="D127" i="3"/>
  <c r="D127" i="5" s="1"/>
  <c r="C128" i="3"/>
  <c r="C128" i="5" s="1"/>
  <c r="F143" i="3"/>
  <c r="F143" i="5" s="1"/>
  <c r="I15" i="3"/>
  <c r="I15" i="5" s="1"/>
  <c r="F8" i="3"/>
  <c r="F8" i="5" s="1"/>
  <c r="B56" i="3"/>
  <c r="B56" i="5" s="1"/>
  <c r="B16" i="3"/>
  <c r="B16" i="5" s="1"/>
  <c r="E136" i="3"/>
  <c r="E136" i="5" s="1"/>
  <c r="B168" i="3"/>
  <c r="B168" i="5" s="1"/>
  <c r="D184" i="3"/>
  <c r="D184" i="5" s="1"/>
  <c r="C104" i="3"/>
  <c r="C104" i="5" s="1"/>
  <c r="K168" i="3"/>
  <c r="K168" i="5" s="1"/>
  <c r="J191" i="3"/>
  <c r="J191" i="5" s="1"/>
  <c r="B135" i="3"/>
  <c r="B135" i="5" s="1"/>
  <c r="B7" i="3"/>
  <c r="B7" i="5" s="1"/>
  <c r="E175" i="3"/>
  <c r="E175" i="5" s="1"/>
  <c r="E191" i="3"/>
  <c r="E191" i="5" s="1"/>
  <c r="B207" i="3"/>
  <c r="B207" i="5" s="1"/>
  <c r="C79" i="3"/>
  <c r="C79" i="5" s="1"/>
  <c r="K191" i="3"/>
  <c r="K191" i="5" s="1"/>
  <c r="L111" i="3"/>
  <c r="L111" i="5" s="1"/>
  <c r="D31" i="3"/>
  <c r="D31" i="5" s="1"/>
  <c r="D63" i="3"/>
  <c r="D63" i="5" s="1"/>
  <c r="I7" i="3"/>
  <c r="I7" i="5" s="1"/>
  <c r="D119" i="3"/>
  <c r="D119" i="5" s="1"/>
  <c r="F167" i="3"/>
  <c r="F167" i="5" s="1"/>
  <c r="B175" i="3"/>
  <c r="B175" i="5" s="1"/>
  <c r="E127" i="3"/>
  <c r="E127" i="5" s="1"/>
  <c r="C183" i="3"/>
  <c r="C183" i="5" s="1"/>
  <c r="C63" i="3"/>
  <c r="C63" i="5" s="1"/>
  <c r="B71" i="3"/>
  <c r="B71" i="5" s="1"/>
  <c r="L103" i="3"/>
  <c r="L103" i="5" s="1"/>
  <c r="H127" i="3"/>
  <c r="H127" i="5" s="1"/>
  <c r="L63" i="3"/>
  <c r="D15" i="3"/>
  <c r="D15" i="5" s="1"/>
  <c r="J39" i="3"/>
  <c r="J39" i="5" s="1"/>
  <c r="E135" i="3"/>
  <c r="E135" i="5" s="1"/>
  <c r="D23" i="3"/>
  <c r="D23" i="5" s="1"/>
  <c r="F111" i="3"/>
  <c r="F111" i="5" s="1"/>
  <c r="B120" i="3"/>
  <c r="B120" i="5" s="1"/>
  <c r="C71" i="3"/>
  <c r="C71" i="5" s="1"/>
  <c r="G23" i="3"/>
  <c r="G23" i="5" s="1"/>
  <c r="G7" i="3"/>
  <c r="G7" i="5" s="1"/>
  <c r="F88" i="3"/>
  <c r="F88" i="5" s="1"/>
  <c r="K47" i="3"/>
  <c r="K47" i="5" s="1"/>
  <c r="D167" i="3"/>
  <c r="D167" i="5" s="1"/>
  <c r="J48" i="3"/>
  <c r="J48" i="5" s="1"/>
  <c r="L217" i="3"/>
  <c r="L217" i="5" s="1"/>
  <c r="I151" i="3"/>
  <c r="I151" i="5" s="1"/>
  <c r="B55" i="3"/>
  <c r="B55" i="5" s="1"/>
  <c r="H175" i="3"/>
  <c r="H175" i="5" s="1"/>
  <c r="B87" i="3"/>
  <c r="B87" i="5" s="1"/>
  <c r="B127" i="3"/>
  <c r="B127" i="5" s="1"/>
  <c r="K184" i="3"/>
  <c r="K184" i="5" s="1"/>
  <c r="K40" i="3"/>
  <c r="K40" i="5" s="1"/>
  <c r="E56" i="3"/>
  <c r="E56" i="5" s="1"/>
  <c r="E24" i="3"/>
  <c r="E24" i="5" s="1"/>
  <c r="B128" i="3"/>
  <c r="B128" i="5" s="1"/>
  <c r="E16" i="3"/>
  <c r="E16" i="5" s="1"/>
  <c r="C200" i="3"/>
  <c r="C200" i="5" s="1"/>
  <c r="D120" i="3"/>
  <c r="D120" i="5" s="1"/>
  <c r="I191" i="3"/>
  <c r="I191" i="5" s="1"/>
  <c r="L199" i="3"/>
  <c r="L199" i="5" s="1"/>
  <c r="G55" i="3"/>
  <c r="G55" i="5" s="1"/>
  <c r="K151" i="3"/>
  <c r="K151" i="5" s="1"/>
  <c r="J71" i="3"/>
  <c r="J71" i="5" s="1"/>
  <c r="D175" i="3"/>
  <c r="D175" i="5" s="1"/>
  <c r="E31" i="3"/>
  <c r="E31" i="5" s="1"/>
  <c r="K87" i="3"/>
  <c r="K87" i="5" s="1"/>
  <c r="G135" i="3"/>
  <c r="G135" i="5" s="1"/>
  <c r="J55" i="3"/>
  <c r="J55" i="5" s="1"/>
  <c r="D103" i="3"/>
  <c r="D103" i="5" s="1"/>
  <c r="B103" i="3"/>
  <c r="B103" i="5" s="1"/>
  <c r="I167" i="3"/>
  <c r="I167" i="5" s="1"/>
  <c r="G175" i="3"/>
  <c r="G175" i="5" s="1"/>
  <c r="H135" i="3"/>
  <c r="H135" i="5" s="1"/>
  <c r="G47" i="3"/>
  <c r="G47" i="5" s="1"/>
  <c r="G63" i="3"/>
  <c r="G63" i="5" s="1"/>
  <c r="F79" i="3"/>
  <c r="F79" i="5" s="1"/>
  <c r="J31" i="3"/>
  <c r="J31" i="5" s="1"/>
  <c r="F103" i="3"/>
  <c r="F103" i="5" s="1"/>
  <c r="H143" i="3"/>
  <c r="H143" i="5" s="1"/>
  <c r="L175" i="3"/>
  <c r="L175" i="5" s="1"/>
  <c r="I87" i="3"/>
  <c r="I87" i="5" s="1"/>
  <c r="I39" i="3"/>
  <c r="I39" i="5" s="1"/>
  <c r="F175" i="3"/>
  <c r="F175" i="5" s="1"/>
  <c r="K56" i="3"/>
  <c r="K56" i="5" s="1"/>
  <c r="E220" i="3"/>
  <c r="E222" i="3" s="1"/>
  <c r="E237" i="3" s="1"/>
  <c r="F176" i="3"/>
  <c r="F176" i="5" s="1"/>
  <c r="F168" i="3"/>
  <c r="F168" i="5" s="1"/>
  <c r="G160" i="3"/>
  <c r="G160" i="5" s="1"/>
  <c r="G192" i="3"/>
  <c r="G192" i="5" s="1"/>
  <c r="C192" i="3"/>
  <c r="C192" i="5" s="1"/>
  <c r="L200" i="3"/>
  <c r="L200" i="5" s="1"/>
  <c r="B88" i="3"/>
  <c r="B88" i="5" s="1"/>
  <c r="J168" i="3"/>
  <c r="J168" i="5" s="1"/>
  <c r="I176" i="3"/>
  <c r="I176" i="5" s="1"/>
  <c r="K24" i="3"/>
  <c r="K24" i="5" s="1"/>
  <c r="H8" i="3"/>
  <c r="H8" i="5" s="1"/>
  <c r="H144" i="3"/>
  <c r="H144" i="5" s="1"/>
  <c r="C24" i="3"/>
  <c r="C24" i="5" s="1"/>
  <c r="G40" i="3"/>
  <c r="G40" i="5" s="1"/>
  <c r="F144" i="3"/>
  <c r="F144" i="5" s="1"/>
  <c r="G152" i="3"/>
  <c r="G152" i="5" s="1"/>
  <c r="F152" i="3"/>
  <c r="F152" i="5" s="1"/>
  <c r="G168" i="3"/>
  <c r="G168" i="5" s="1"/>
  <c r="C152" i="3"/>
  <c r="C152" i="5" s="1"/>
  <c r="K176" i="3"/>
  <c r="K176" i="5" s="1"/>
  <c r="F24" i="3"/>
  <c r="F24" i="5" s="1"/>
  <c r="L32" i="3"/>
  <c r="L32" i="5" s="1"/>
  <c r="D220" i="3"/>
  <c r="D220" i="5" s="1"/>
  <c r="K32" i="3"/>
  <c r="K32" i="5" s="1"/>
  <c r="L160" i="3"/>
  <c r="L160" i="5" s="1"/>
  <c r="H160" i="3"/>
  <c r="H160" i="5" s="1"/>
  <c r="L136" i="3"/>
  <c r="L136" i="5" s="1"/>
  <c r="L8" i="3"/>
  <c r="L8" i="5" s="1"/>
  <c r="E64" i="3"/>
  <c r="E64" i="5" s="1"/>
  <c r="G144" i="3"/>
  <c r="G144" i="5" s="1"/>
  <c r="H40" i="3"/>
  <c r="H40" i="5" s="1"/>
  <c r="F72" i="3"/>
  <c r="F72" i="5" s="1"/>
  <c r="F192" i="3"/>
  <c r="F192" i="5" s="1"/>
  <c r="L168" i="3"/>
  <c r="L168" i="5" s="1"/>
  <c r="B104" i="3"/>
  <c r="B104" i="5" s="1"/>
  <c r="E112" i="3"/>
  <c r="E112" i="5" s="1"/>
  <c r="C8" i="3"/>
  <c r="C8" i="5" s="1"/>
  <c r="E160" i="3"/>
  <c r="E160" i="5" s="1"/>
  <c r="D32" i="3"/>
  <c r="D32" i="5" s="1"/>
  <c r="F96" i="3"/>
  <c r="F96" i="5" s="1"/>
  <c r="I160" i="3"/>
  <c r="I160" i="5" s="1"/>
  <c r="D48" i="3"/>
  <c r="D48" i="5" s="1"/>
  <c r="B112" i="3"/>
  <c r="B112" i="5" s="1"/>
  <c r="B176" i="3"/>
  <c r="B176" i="5" s="1"/>
  <c r="I48" i="3"/>
  <c r="I48" i="5" s="1"/>
  <c r="J24" i="3"/>
  <c r="J24" i="5" s="1"/>
  <c r="L144" i="3"/>
  <c r="L144" i="5" s="1"/>
  <c r="B96" i="3"/>
  <c r="B96" i="5" s="1"/>
  <c r="C144" i="3"/>
  <c r="C144" i="5" s="1"/>
  <c r="G96" i="3"/>
  <c r="G96" i="5" s="1"/>
  <c r="J152" i="3"/>
  <c r="J152" i="5" s="1"/>
  <c r="K80" i="3"/>
  <c r="K80" i="5" s="1"/>
  <c r="B24" i="3"/>
  <c r="B24" i="5" s="1"/>
  <c r="K152" i="3"/>
  <c r="K152" i="5" s="1"/>
  <c r="C220" i="3"/>
  <c r="C220" i="5" s="1"/>
  <c r="I24" i="3"/>
  <c r="I24" i="5" s="1"/>
  <c r="I128" i="3"/>
  <c r="I128" i="5" s="1"/>
  <c r="J160" i="3"/>
  <c r="J160" i="5" s="1"/>
  <c r="H104" i="3"/>
  <c r="H104" i="5" s="1"/>
  <c r="B48" i="3"/>
  <c r="B48" i="5" s="1"/>
  <c r="G220" i="3"/>
  <c r="G220" i="5" s="1"/>
  <c r="H200" i="3"/>
  <c r="H200" i="5" s="1"/>
  <c r="E192" i="3"/>
  <c r="E192" i="5" s="1"/>
  <c r="D160" i="3"/>
  <c r="D160" i="5" s="1"/>
  <c r="H48" i="3"/>
  <c r="H48" i="5" s="1"/>
  <c r="G88" i="3"/>
  <c r="G88" i="5" s="1"/>
  <c r="I184" i="3"/>
  <c r="I184" i="5" s="1"/>
  <c r="K144" i="3"/>
  <c r="K144" i="5" s="1"/>
  <c r="J144" i="3"/>
  <c r="J144" i="5" s="1"/>
  <c r="E40" i="3"/>
  <c r="E40" i="5" s="1"/>
  <c r="E208" i="3"/>
  <c r="E208" i="5" s="1"/>
  <c r="L80" i="3"/>
  <c r="L80" i="5" s="1"/>
  <c r="J96" i="3"/>
  <c r="J96" i="5" s="1"/>
  <c r="B8" i="3"/>
  <c r="B8" i="5" s="1"/>
  <c r="G32" i="3"/>
  <c r="G32" i="5" s="1"/>
  <c r="F16" i="3"/>
  <c r="F16" i="5" s="1"/>
  <c r="C56" i="3"/>
  <c r="C56" i="5" s="1"/>
  <c r="B192" i="3"/>
  <c r="B192" i="5" s="1"/>
  <c r="B72" i="3"/>
  <c r="B72" i="5" s="1"/>
  <c r="L72" i="3"/>
  <c r="L72" i="5" s="1"/>
  <c r="G104" i="3"/>
  <c r="G104" i="5" s="1"/>
  <c r="G16" i="3"/>
  <c r="G16" i="5" s="1"/>
  <c r="B152" i="3"/>
  <c r="B152" i="5" s="1"/>
  <c r="E8" i="3"/>
  <c r="E8" i="5" s="1"/>
  <c r="D144" i="3"/>
  <c r="D144" i="5" s="1"/>
  <c r="H16" i="3"/>
  <c r="H16" i="5" s="1"/>
  <c r="J136" i="3"/>
  <c r="J136" i="5" s="1"/>
  <c r="L112" i="3"/>
  <c r="L112" i="5" s="1"/>
  <c r="L24" i="3"/>
  <c r="L24" i="5" s="1"/>
  <c r="F64" i="3"/>
  <c r="F64" i="5" s="1"/>
  <c r="F48" i="3"/>
  <c r="F48" i="5" s="1"/>
  <c r="D168" i="3"/>
  <c r="D168" i="5" s="1"/>
  <c r="F32" i="3"/>
  <c r="F32" i="5" s="1"/>
  <c r="G24" i="3"/>
  <c r="G24" i="5" s="1"/>
  <c r="G8" i="3"/>
  <c r="G8" i="5" s="1"/>
  <c r="H192" i="3"/>
  <c r="H192" i="5" s="1"/>
  <c r="F40" i="3"/>
  <c r="F40" i="5" s="1"/>
  <c r="H64" i="3"/>
  <c r="H64" i="5" s="1"/>
  <c r="E88" i="3"/>
  <c r="E88" i="5" s="1"/>
  <c r="J56" i="3"/>
  <c r="J56" i="5" s="1"/>
  <c r="C80" i="3"/>
  <c r="C80" i="5" s="1"/>
  <c r="F200" i="3"/>
  <c r="F200" i="5" s="1"/>
  <c r="I64" i="3"/>
  <c r="I64" i="5" s="1"/>
  <c r="E152" i="3"/>
  <c r="E152" i="5" s="1"/>
  <c r="L152" i="3"/>
  <c r="L152" i="5" s="1"/>
  <c r="L40" i="3"/>
  <c r="L40" i="5" s="1"/>
  <c r="C136" i="3"/>
  <c r="C136" i="5" s="1"/>
  <c r="G80" i="3"/>
  <c r="G80" i="5" s="1"/>
  <c r="I200" i="3"/>
  <c r="I200" i="5" s="1"/>
  <c r="E168" i="3"/>
  <c r="E168" i="5" s="1"/>
  <c r="C160" i="3"/>
  <c r="C160" i="5" s="1"/>
  <c r="C184" i="3"/>
  <c r="C184" i="5" s="1"/>
  <c r="I168" i="3"/>
  <c r="I168" i="5" s="1"/>
  <c r="G120" i="3"/>
  <c r="G120" i="5" s="1"/>
  <c r="I192" i="3"/>
  <c r="I192" i="5" s="1"/>
  <c r="C16" i="3"/>
  <c r="C16" i="5" s="1"/>
  <c r="I88" i="3"/>
  <c r="I88" i="5" s="1"/>
  <c r="I208" i="3"/>
  <c r="I208" i="5" s="1"/>
  <c r="H80" i="3"/>
  <c r="H80" i="5" s="1"/>
  <c r="L184" i="3"/>
  <c r="L184" i="5" s="1"/>
  <c r="F56" i="3"/>
  <c r="F56" i="5" s="1"/>
  <c r="J72" i="3"/>
  <c r="J72" i="5" s="1"/>
  <c r="L220" i="3"/>
  <c r="L220" i="5" s="1"/>
  <c r="I104" i="3"/>
  <c r="I104" i="5" s="1"/>
  <c r="K220" i="3"/>
  <c r="K222" i="3" s="1"/>
  <c r="K222" i="5" s="1"/>
  <c r="K200" i="3"/>
  <c r="K200" i="5" s="1"/>
  <c r="F136" i="3"/>
  <c r="F136" i="5" s="1"/>
  <c r="L96" i="3"/>
  <c r="L96" i="5" s="1"/>
  <c r="J184" i="3"/>
  <c r="J184" i="5" s="1"/>
  <c r="D64" i="3"/>
  <c r="D64" i="5" s="1"/>
  <c r="H128" i="3"/>
  <c r="H128" i="5" s="1"/>
  <c r="B40" i="3"/>
  <c r="B40" i="5" s="1"/>
  <c r="G208" i="3"/>
  <c r="G208" i="5" s="1"/>
  <c r="K16" i="3"/>
  <c r="K16" i="5" s="1"/>
  <c r="H24" i="3"/>
  <c r="H24" i="5" s="1"/>
  <c r="E120" i="3"/>
  <c r="E120" i="5" s="1"/>
  <c r="H208" i="3"/>
  <c r="H208" i="5" s="1"/>
  <c r="K128" i="3"/>
  <c r="K128" i="5" s="1"/>
  <c r="H72" i="3"/>
  <c r="H72" i="5" s="1"/>
  <c r="I72" i="3"/>
  <c r="I72" i="5" s="1"/>
  <c r="J40" i="3"/>
  <c r="J40" i="5" s="1"/>
  <c r="H88" i="3"/>
  <c r="H88" i="5" s="1"/>
  <c r="B136" i="3"/>
  <c r="B136" i="5" s="1"/>
  <c r="L120" i="3"/>
  <c r="L120" i="5" s="1"/>
  <c r="K192" i="3"/>
  <c r="K192" i="5" s="1"/>
  <c r="C176" i="3"/>
  <c r="C176" i="5" s="1"/>
  <c r="C48" i="3"/>
  <c r="C48" i="5" s="1"/>
  <c r="I136" i="3"/>
  <c r="I136" i="5" s="1"/>
  <c r="D72" i="3"/>
  <c r="D72" i="5" s="1"/>
  <c r="K120" i="3"/>
  <c r="K120" i="5" s="1"/>
  <c r="F184" i="3"/>
  <c r="F184" i="5" s="1"/>
  <c r="H112" i="3"/>
  <c r="H112" i="5" s="1"/>
  <c r="B64" i="3"/>
  <c r="B64" i="5" s="1"/>
  <c r="G112" i="3"/>
  <c r="G112" i="5" s="1"/>
  <c r="D80" i="3"/>
  <c r="D80" i="5" s="1"/>
  <c r="D200" i="3"/>
  <c r="D200" i="5" s="1"/>
  <c r="L16" i="3"/>
  <c r="L16" i="5" s="1"/>
  <c r="I40" i="3"/>
  <c r="I40" i="5" s="1"/>
  <c r="F80" i="3"/>
  <c r="F80" i="5" s="1"/>
  <c r="L48" i="3"/>
  <c r="L48" i="5" s="1"/>
  <c r="E200" i="3"/>
  <c r="E200" i="5" s="1"/>
  <c r="D208" i="3"/>
  <c r="D208" i="5" s="1"/>
  <c r="C208" i="3"/>
  <c r="C208" i="5" s="1"/>
  <c r="G200" i="3"/>
  <c r="G200" i="5" s="1"/>
  <c r="H184" i="3"/>
  <c r="H184" i="5" s="1"/>
  <c r="G128" i="3"/>
  <c r="G128" i="5" s="1"/>
  <c r="B80" i="3"/>
  <c r="B80" i="5" s="1"/>
  <c r="B32" i="3"/>
  <c r="B32" i="5" s="1"/>
  <c r="E96" i="3"/>
  <c r="E96" i="5" s="1"/>
  <c r="K48" i="3"/>
  <c r="K48" i="5" s="1"/>
  <c r="F220" i="3"/>
  <c r="F222" i="3" s="1"/>
  <c r="F222" i="5" s="1"/>
  <c r="B160" i="3"/>
  <c r="B160" i="5" s="1"/>
  <c r="J64" i="3"/>
  <c r="J64" i="5" s="1"/>
  <c r="I32" i="3"/>
  <c r="I32" i="5" s="1"/>
  <c r="B144" i="3"/>
  <c r="B144" i="5" s="1"/>
  <c r="J208" i="3"/>
  <c r="J208" i="5" s="1"/>
  <c r="G184" i="3"/>
  <c r="G184" i="5" s="1"/>
  <c r="H176" i="3"/>
  <c r="H176" i="5" s="1"/>
  <c r="G64" i="3"/>
  <c r="G64" i="5" s="1"/>
  <c r="D8" i="3"/>
  <c r="D8" i="5" s="1"/>
  <c r="C32" i="3"/>
  <c r="C32" i="5" s="1"/>
  <c r="I16" i="3"/>
  <c r="I16" i="5" s="1"/>
  <c r="F120" i="3"/>
  <c r="F120" i="5" s="1"/>
  <c r="K160" i="3"/>
  <c r="K160" i="5" s="1"/>
  <c r="G136" i="3"/>
  <c r="G136" i="5" s="1"/>
  <c r="B200" i="3"/>
  <c r="B200" i="5" s="1"/>
  <c r="K96" i="3"/>
  <c r="K96" i="5" s="1"/>
  <c r="E80" i="3"/>
  <c r="E80" i="5" s="1"/>
  <c r="I96" i="3"/>
  <c r="I96" i="5" s="1"/>
  <c r="H96" i="3"/>
  <c r="H96" i="5" s="1"/>
  <c r="G72" i="3"/>
  <c r="G72" i="5" s="1"/>
  <c r="L208" i="3"/>
  <c r="L208" i="5" s="1"/>
  <c r="D96" i="3"/>
  <c r="D96" i="5" s="1"/>
  <c r="E176" i="3"/>
  <c r="E176" i="5" s="1"/>
  <c r="L176" i="3"/>
  <c r="L176" i="5" s="1"/>
  <c r="D112" i="3"/>
  <c r="D112" i="5" s="1"/>
  <c r="E72" i="3"/>
  <c r="E72" i="5" s="1"/>
  <c r="H217" i="5"/>
  <c r="H152" i="5"/>
  <c r="J81" i="5"/>
  <c r="K182" i="3"/>
  <c r="K182" i="5" s="1"/>
  <c r="D70" i="3"/>
  <c r="D70" i="5" s="1"/>
  <c r="B134" i="3"/>
  <c r="B134" i="5" s="1"/>
  <c r="D158" i="3"/>
  <c r="D158" i="5" s="1"/>
  <c r="I38" i="3"/>
  <c r="I38" i="5" s="1"/>
  <c r="C30" i="3"/>
  <c r="C30" i="5" s="1"/>
  <c r="E118" i="3"/>
  <c r="E118" i="5" s="1"/>
  <c r="F126" i="3"/>
  <c r="F126" i="5" s="1"/>
  <c r="I86" i="3"/>
  <c r="I86" i="5" s="1"/>
  <c r="C86" i="3"/>
  <c r="C86" i="5" s="1"/>
  <c r="K30" i="3"/>
  <c r="K30" i="5" s="1"/>
  <c r="B118" i="3"/>
  <c r="B118" i="5" s="1"/>
  <c r="B54" i="3"/>
  <c r="B54" i="5" s="1"/>
  <c r="K102" i="3"/>
  <c r="K102" i="5" s="1"/>
  <c r="J142" i="3"/>
  <c r="J142" i="5" s="1"/>
  <c r="L174" i="3"/>
  <c r="L174" i="5" s="1"/>
  <c r="E6" i="3"/>
  <c r="E6" i="5" s="1"/>
  <c r="J158" i="3"/>
  <c r="J158" i="5" s="1"/>
  <c r="I54" i="3"/>
  <c r="I54" i="5" s="1"/>
  <c r="H198" i="3"/>
  <c r="H198" i="5" s="1"/>
  <c r="I22" i="3"/>
  <c r="I22" i="5" s="1"/>
  <c r="F206" i="3"/>
  <c r="F206" i="5" s="1"/>
  <c r="E14" i="3"/>
  <c r="E14" i="5" s="1"/>
  <c r="J70" i="3"/>
  <c r="J70" i="5" s="1"/>
  <c r="L118" i="3"/>
  <c r="L118" i="5" s="1"/>
  <c r="K150" i="3"/>
  <c r="K150" i="5" s="1"/>
  <c r="B22" i="3"/>
  <c r="B22" i="5" s="1"/>
  <c r="D150" i="3"/>
  <c r="D150" i="5" s="1"/>
  <c r="F78" i="3"/>
  <c r="F78" i="5" s="1"/>
  <c r="F158" i="3"/>
  <c r="F158" i="5" s="1"/>
  <c r="G166" i="3"/>
  <c r="G166" i="5" s="1"/>
  <c r="B174" i="3"/>
  <c r="B174" i="5" s="1"/>
  <c r="G387" i="1"/>
  <c r="G230" i="3"/>
  <c r="G6" i="3"/>
  <c r="G6" i="5" s="1"/>
  <c r="D134" i="3"/>
  <c r="D134" i="5" s="1"/>
  <c r="J134" i="3"/>
  <c r="J134" i="5" s="1"/>
  <c r="K118" i="3"/>
  <c r="K118" i="5" s="1"/>
  <c r="I94" i="3"/>
  <c r="I94" i="5" s="1"/>
  <c r="E30" i="3"/>
  <c r="E30" i="5" s="1"/>
  <c r="H6" i="3"/>
  <c r="H6" i="5" s="1"/>
  <c r="L30" i="3"/>
  <c r="L30" i="5" s="1"/>
  <c r="H94" i="3"/>
  <c r="H94" i="5" s="1"/>
  <c r="F86" i="3"/>
  <c r="F86" i="5" s="1"/>
  <c r="E62" i="3"/>
  <c r="E62" i="5" s="1"/>
  <c r="C46" i="3"/>
  <c r="C46" i="5" s="1"/>
  <c r="F190" i="3"/>
  <c r="F190" i="5" s="1"/>
  <c r="F62" i="3"/>
  <c r="F62" i="5" s="1"/>
  <c r="I78" i="3"/>
  <c r="I78" i="5" s="1"/>
  <c r="I158" i="3"/>
  <c r="I158" i="5" s="1"/>
  <c r="I102" i="3"/>
  <c r="I102" i="5" s="1"/>
  <c r="C38" i="3"/>
  <c r="C38" i="5" s="1"/>
  <c r="K46" i="3"/>
  <c r="K46" i="5" s="1"/>
  <c r="F14" i="3"/>
  <c r="F14" i="5" s="1"/>
  <c r="D86" i="3"/>
  <c r="D86" i="5" s="1"/>
  <c r="G86" i="3"/>
  <c r="G86" i="5" s="1"/>
  <c r="I134" i="3"/>
  <c r="I134" i="5" s="1"/>
  <c r="J54" i="3"/>
  <c r="J54" i="5" s="1"/>
  <c r="F46" i="3"/>
  <c r="F46" i="5" s="1"/>
  <c r="I198" i="3"/>
  <c r="I198" i="5" s="1"/>
  <c r="K94" i="3"/>
  <c r="K94" i="5" s="1"/>
  <c r="J22" i="3"/>
  <c r="J22" i="5" s="1"/>
  <c r="E78" i="3"/>
  <c r="E78" i="5" s="1"/>
  <c r="F38" i="3"/>
  <c r="F38" i="5" s="1"/>
  <c r="L78" i="3"/>
  <c r="L78" i="5" s="1"/>
  <c r="K86" i="3"/>
  <c r="K86" i="5" s="1"/>
  <c r="E166" i="3"/>
  <c r="E166" i="5" s="1"/>
  <c r="D166" i="3"/>
  <c r="D166" i="5" s="1"/>
  <c r="F22" i="3"/>
  <c r="F22" i="5" s="1"/>
  <c r="E46" i="3"/>
  <c r="E46" i="5" s="1"/>
  <c r="E102" i="3"/>
  <c r="E102" i="5" s="1"/>
  <c r="C70" i="3"/>
  <c r="C70" i="5" s="1"/>
  <c r="H110" i="3"/>
  <c r="H110" i="5" s="1"/>
  <c r="D14" i="3"/>
  <c r="D14" i="5" s="1"/>
  <c r="E206" i="3"/>
  <c r="E206" i="5" s="1"/>
  <c r="C158" i="3"/>
  <c r="C158" i="5" s="1"/>
  <c r="K166" i="3"/>
  <c r="K166" i="5" s="1"/>
  <c r="D102" i="3"/>
  <c r="D102" i="5" s="1"/>
  <c r="F150" i="3"/>
  <c r="F150" i="5" s="1"/>
  <c r="K158" i="3"/>
  <c r="K158" i="5" s="1"/>
  <c r="F118" i="3"/>
  <c r="F118" i="5" s="1"/>
  <c r="I6" i="3"/>
  <c r="I6" i="5" s="1"/>
  <c r="C206" i="3"/>
  <c r="C206" i="5" s="1"/>
  <c r="L22" i="3"/>
  <c r="L22" i="5" s="1"/>
  <c r="L166" i="3"/>
  <c r="L166" i="5" s="1"/>
  <c r="K134" i="3"/>
  <c r="K134" i="5" s="1"/>
  <c r="I118" i="3"/>
  <c r="I118" i="5" s="1"/>
  <c r="B110" i="3"/>
  <c r="B110" i="5" s="1"/>
  <c r="I142" i="3"/>
  <c r="I142" i="5" s="1"/>
  <c r="H46" i="3"/>
  <c r="H46" i="5" s="1"/>
  <c r="K206" i="3"/>
  <c r="K206" i="5" s="1"/>
  <c r="G118" i="3"/>
  <c r="G118" i="5" s="1"/>
  <c r="H174" i="3"/>
  <c r="H174" i="5" s="1"/>
  <c r="K14" i="3"/>
  <c r="K14" i="5" s="1"/>
  <c r="D62" i="3"/>
  <c r="D62" i="5" s="1"/>
  <c r="L182" i="3"/>
  <c r="L182" i="5" s="1"/>
  <c r="H166" i="3"/>
  <c r="H166" i="5" s="1"/>
  <c r="F142" i="3"/>
  <c r="F142" i="5" s="1"/>
  <c r="J46" i="3"/>
  <c r="J46" i="5" s="1"/>
  <c r="C182" i="3"/>
  <c r="C182" i="5" s="1"/>
  <c r="G182" i="3"/>
  <c r="G182" i="5" s="1"/>
  <c r="C126" i="3"/>
  <c r="C126" i="5" s="1"/>
  <c r="L86" i="3"/>
  <c r="L86" i="5" s="1"/>
  <c r="G62" i="3"/>
  <c r="G62" i="5" s="1"/>
  <c r="B30" i="3"/>
  <c r="B30" i="5" s="1"/>
  <c r="F198" i="3"/>
  <c r="F198" i="5" s="1"/>
  <c r="J182" i="3"/>
  <c r="J182" i="5" s="1"/>
  <c r="H206" i="3"/>
  <c r="H206" i="5" s="1"/>
  <c r="D206" i="3"/>
  <c r="D206" i="5" s="1"/>
  <c r="C22" i="3"/>
  <c r="C22" i="5" s="1"/>
  <c r="G14" i="3"/>
  <c r="G14" i="5" s="1"/>
  <c r="I30" i="3"/>
  <c r="I30" i="5" s="1"/>
  <c r="C166" i="3"/>
  <c r="C166" i="5" s="1"/>
  <c r="H54" i="3"/>
  <c r="H54" i="5" s="1"/>
  <c r="B166" i="3"/>
  <c r="B166" i="5" s="1"/>
  <c r="D38" i="3"/>
  <c r="D38" i="5" s="1"/>
  <c r="J198" i="3"/>
  <c r="J198" i="5" s="1"/>
  <c r="F166" i="3"/>
  <c r="F166" i="5" s="1"/>
  <c r="D46" i="3"/>
  <c r="D46" i="5" s="1"/>
  <c r="J6" i="3"/>
  <c r="J6" i="5" s="1"/>
  <c r="G142" i="3"/>
  <c r="G142" i="5" s="1"/>
  <c r="B38" i="3"/>
  <c r="B38" i="5" s="1"/>
  <c r="B142" i="3"/>
  <c r="B142" i="5" s="1"/>
  <c r="F110" i="3"/>
  <c r="F110" i="5" s="1"/>
  <c r="H190" i="3"/>
  <c r="H190" i="5" s="1"/>
  <c r="E190" i="3"/>
  <c r="E190" i="5" s="1"/>
  <c r="K62" i="3"/>
  <c r="K62" i="5" s="1"/>
  <c r="J38" i="3"/>
  <c r="J38" i="5" s="1"/>
  <c r="B190" i="3"/>
  <c r="B190" i="5" s="1"/>
  <c r="L6" i="3"/>
  <c r="L6" i="5" s="1"/>
  <c r="C198" i="3"/>
  <c r="C198" i="5" s="1"/>
  <c r="L150" i="3"/>
  <c r="L150" i="5" s="1"/>
  <c r="D110" i="3"/>
  <c r="D110" i="5" s="1"/>
  <c r="K142" i="3"/>
  <c r="K142" i="5" s="1"/>
  <c r="I166" i="3"/>
  <c r="I166" i="5" s="1"/>
  <c r="I126" i="3"/>
  <c r="I126" i="5" s="1"/>
  <c r="G134" i="3"/>
  <c r="G134" i="5" s="1"/>
  <c r="D182" i="3"/>
  <c r="D182" i="5" s="1"/>
  <c r="E182" i="3"/>
  <c r="E182" i="5" s="1"/>
  <c r="G22" i="3"/>
  <c r="G22" i="5" s="1"/>
  <c r="D22" i="3"/>
  <c r="D22" i="5" s="1"/>
  <c r="L190" i="3"/>
  <c r="L190" i="5" s="1"/>
  <c r="L38" i="3"/>
  <c r="L38" i="5" s="1"/>
  <c r="B94" i="3"/>
  <c r="B94" i="5" s="1"/>
  <c r="J86" i="3"/>
  <c r="J86" i="5" s="1"/>
  <c r="L206" i="3"/>
  <c r="L206" i="5" s="1"/>
  <c r="H134" i="3"/>
  <c r="H134" i="5" s="1"/>
  <c r="E142" i="3"/>
  <c r="E142" i="5" s="1"/>
  <c r="F102" i="3"/>
  <c r="F102" i="5" s="1"/>
  <c r="K22" i="3"/>
  <c r="K22" i="5" s="1"/>
  <c r="F54" i="3"/>
  <c r="F54" i="5" s="1"/>
  <c r="K174" i="3"/>
  <c r="K174" i="5" s="1"/>
  <c r="C118" i="3"/>
  <c r="C118" i="5" s="1"/>
  <c r="C6" i="3"/>
  <c r="C6" i="5" s="1"/>
  <c r="E110" i="3"/>
  <c r="E110" i="5" s="1"/>
  <c r="E70" i="3"/>
  <c r="E70" i="5" s="1"/>
  <c r="G110" i="3"/>
  <c r="G110" i="5" s="1"/>
  <c r="L158" i="3"/>
  <c r="L158" i="5" s="1"/>
  <c r="I174" i="3"/>
  <c r="I174" i="5" s="1"/>
  <c r="H126" i="3"/>
  <c r="H126" i="5" s="1"/>
  <c r="K54" i="3"/>
  <c r="K54" i="5" s="1"/>
  <c r="H78" i="3"/>
  <c r="H78" i="5" s="1"/>
  <c r="G102" i="3"/>
  <c r="G102" i="5" s="1"/>
  <c r="D54" i="3"/>
  <c r="D54" i="5" s="1"/>
  <c r="C174" i="3"/>
  <c r="C174" i="5" s="1"/>
  <c r="C62" i="3"/>
  <c r="C62" i="5" s="1"/>
  <c r="L142" i="3"/>
  <c r="L142" i="5" s="1"/>
  <c r="I46" i="3"/>
  <c r="I46" i="5" s="1"/>
  <c r="K198" i="3"/>
  <c r="K198" i="5" s="1"/>
  <c r="B46" i="3"/>
  <c r="B46" i="5" s="1"/>
  <c r="L110" i="3"/>
  <c r="L110" i="5" s="1"/>
  <c r="H14" i="3"/>
  <c r="H14" i="5" s="1"/>
  <c r="E94" i="3"/>
  <c r="E94" i="5" s="1"/>
  <c r="J110" i="3"/>
  <c r="J110" i="5" s="1"/>
  <c r="I150" i="3"/>
  <c r="I150" i="5" s="1"/>
  <c r="C94" i="3"/>
  <c r="C94" i="5" s="1"/>
  <c r="F134" i="3"/>
  <c r="F134" i="5" s="1"/>
  <c r="B182" i="3"/>
  <c r="B182" i="5" s="1"/>
  <c r="L126" i="3"/>
  <c r="L126" i="5" s="1"/>
  <c r="I70" i="3"/>
  <c r="I70" i="5" s="1"/>
  <c r="E150" i="3"/>
  <c r="E150" i="5" s="1"/>
  <c r="B86" i="3"/>
  <c r="B86" i="5" s="1"/>
  <c r="C14" i="3"/>
  <c r="C14" i="5" s="1"/>
  <c r="E22" i="3"/>
  <c r="E22" i="5" s="1"/>
  <c r="D198" i="3"/>
  <c r="D198" i="5" s="1"/>
  <c r="D78" i="3"/>
  <c r="D78" i="5" s="1"/>
  <c r="G198" i="3"/>
  <c r="G198" i="5" s="1"/>
  <c r="K38" i="3"/>
  <c r="K38" i="5" s="1"/>
  <c r="L46" i="3"/>
  <c r="L46" i="5" s="1"/>
  <c r="K190" i="3"/>
  <c r="K190" i="5" s="1"/>
  <c r="J126" i="3"/>
  <c r="J126" i="5" s="1"/>
  <c r="G206" i="3"/>
  <c r="G206" i="5" s="1"/>
  <c r="G126" i="3"/>
  <c r="G126" i="5" s="1"/>
  <c r="L134" i="3"/>
  <c r="L134" i="5" s="1"/>
  <c r="G174" i="3"/>
  <c r="G174" i="5" s="1"/>
  <c r="G94" i="3"/>
  <c r="G94" i="5" s="1"/>
  <c r="L54" i="3"/>
  <c r="L54" i="5" s="1"/>
  <c r="B102" i="3"/>
  <c r="B102" i="5" s="1"/>
  <c r="C134" i="3"/>
  <c r="C134" i="5" s="1"/>
  <c r="B126" i="3"/>
  <c r="B126" i="5" s="1"/>
  <c r="D118" i="3"/>
  <c r="D118" i="5" s="1"/>
  <c r="D190" i="3"/>
  <c r="D190" i="5" s="1"/>
  <c r="J102" i="3"/>
  <c r="J102" i="5" s="1"/>
  <c r="C78" i="3"/>
  <c r="C78" i="5" s="1"/>
  <c r="E126" i="3"/>
  <c r="E126" i="5" s="1"/>
  <c r="G54" i="3"/>
  <c r="G54" i="5" s="1"/>
  <c r="H22" i="3"/>
  <c r="H22" i="5" s="1"/>
  <c r="B62" i="3"/>
  <c r="B62" i="5" s="1"/>
  <c r="C150" i="3"/>
  <c r="C150" i="5" s="1"/>
  <c r="J206" i="3"/>
  <c r="J206" i="5" s="1"/>
  <c r="J190" i="3"/>
  <c r="J190" i="5" s="1"/>
  <c r="B78" i="3"/>
  <c r="B78" i="5" s="1"/>
  <c r="F182" i="3"/>
  <c r="F182" i="5" s="1"/>
  <c r="D94" i="3"/>
  <c r="D94" i="5" s="1"/>
  <c r="I110" i="3"/>
  <c r="I110" i="5" s="1"/>
  <c r="K70" i="3"/>
  <c r="K70" i="5" s="1"/>
  <c r="L94" i="3"/>
  <c r="L94" i="5" s="1"/>
  <c r="K110" i="3"/>
  <c r="K110" i="5" s="1"/>
  <c r="D174" i="3"/>
  <c r="D174" i="5" s="1"/>
  <c r="J174" i="3"/>
  <c r="J174" i="5" s="1"/>
  <c r="B158" i="3"/>
  <c r="B158" i="5" s="1"/>
  <c r="H102" i="3"/>
  <c r="H102" i="5" s="1"/>
  <c r="J30" i="3"/>
  <c r="J30" i="5" s="1"/>
  <c r="B6" i="3"/>
  <c r="B6" i="5" s="1"/>
  <c r="G38" i="3"/>
  <c r="G38" i="5" s="1"/>
  <c r="I182" i="3"/>
  <c r="I182" i="5" s="1"/>
  <c r="F30" i="3"/>
  <c r="F30" i="5" s="1"/>
  <c r="J78" i="3"/>
  <c r="J78" i="5" s="1"/>
  <c r="J62" i="3"/>
  <c r="J62" i="5" s="1"/>
  <c r="G78" i="3"/>
  <c r="G78" i="5" s="1"/>
  <c r="G30" i="3"/>
  <c r="G30" i="5" s="1"/>
  <c r="E38" i="3"/>
  <c r="E38" i="5" s="1"/>
  <c r="E158" i="3"/>
  <c r="E158" i="5" s="1"/>
  <c r="E54" i="3"/>
  <c r="E54" i="5" s="1"/>
  <c r="G150" i="3"/>
  <c r="G150" i="5" s="1"/>
  <c r="H62" i="3"/>
  <c r="H62" i="5" s="1"/>
  <c r="C142" i="3"/>
  <c r="C142" i="5" s="1"/>
  <c r="K6" i="3"/>
  <c r="K6" i="5" s="1"/>
  <c r="G46" i="3"/>
  <c r="G46" i="5" s="1"/>
  <c r="D126" i="3"/>
  <c r="D126" i="5" s="1"/>
  <c r="G158" i="3"/>
  <c r="G158" i="5" s="1"/>
  <c r="H158" i="3"/>
  <c r="H158" i="5" s="1"/>
  <c r="J166" i="3"/>
  <c r="J166" i="5" s="1"/>
  <c r="B70" i="3"/>
  <c r="B70" i="5" s="1"/>
  <c r="F70" i="3"/>
  <c r="F70" i="5" s="1"/>
  <c r="E198" i="3"/>
  <c r="E198" i="5" s="1"/>
  <c r="B198" i="3"/>
  <c r="B198" i="5" s="1"/>
  <c r="I190" i="3"/>
  <c r="I190" i="5" s="1"/>
  <c r="E86" i="3"/>
  <c r="E86" i="5" s="1"/>
  <c r="G190" i="3"/>
  <c r="G190" i="5" s="1"/>
  <c r="C102" i="3"/>
  <c r="C102" i="5" s="1"/>
  <c r="L102" i="3"/>
  <c r="L102" i="5" s="1"/>
  <c r="K78" i="3"/>
  <c r="K78" i="5" s="1"/>
  <c r="H142" i="3"/>
  <c r="H142" i="5" s="1"/>
  <c r="D30" i="3"/>
  <c r="D30" i="5" s="1"/>
  <c r="C54" i="3"/>
  <c r="C54" i="5" s="1"/>
  <c r="J94" i="3"/>
  <c r="J94" i="5" s="1"/>
  <c r="I206" i="3"/>
  <c r="I206" i="5" s="1"/>
  <c r="H70" i="3"/>
  <c r="H70" i="5" s="1"/>
  <c r="H118" i="3"/>
  <c r="H118" i="5" s="1"/>
  <c r="H150" i="3"/>
  <c r="H150" i="5" s="1"/>
  <c r="C110" i="3"/>
  <c r="C110" i="5" s="1"/>
  <c r="F94" i="3"/>
  <c r="F94" i="5" s="1"/>
  <c r="I62" i="3"/>
  <c r="I62" i="5" s="1"/>
  <c r="J118" i="3"/>
  <c r="J118" i="5" s="1"/>
  <c r="H38" i="3"/>
  <c r="H38" i="5" s="1"/>
  <c r="L70" i="3"/>
  <c r="L70" i="5" s="1"/>
  <c r="H182" i="3"/>
  <c r="H182" i="5" s="1"/>
  <c r="I14" i="3"/>
  <c r="I14" i="5" s="1"/>
  <c r="F174" i="3"/>
  <c r="F174" i="5" s="1"/>
  <c r="G70" i="3"/>
  <c r="G70" i="5" s="1"/>
  <c r="D142" i="3"/>
  <c r="D142" i="5" s="1"/>
  <c r="B150" i="3"/>
  <c r="B150" i="5" s="1"/>
  <c r="E174" i="3"/>
  <c r="E174" i="5" s="1"/>
  <c r="H86" i="3"/>
  <c r="H86" i="5" s="1"/>
  <c r="L62" i="3"/>
  <c r="L62" i="5" s="1"/>
  <c r="L14" i="3"/>
  <c r="L14" i="5" s="1"/>
  <c r="D6" i="3"/>
  <c r="D6" i="5" s="1"/>
  <c r="B14" i="3"/>
  <c r="B14" i="5" s="1"/>
  <c r="E134" i="3"/>
  <c r="E134" i="5" s="1"/>
  <c r="B206" i="3"/>
  <c r="B206" i="5" s="1"/>
  <c r="H30" i="3"/>
  <c r="H30" i="5" s="1"/>
  <c r="K126" i="3"/>
  <c r="K126" i="5" s="1"/>
  <c r="L198" i="3"/>
  <c r="L198" i="5" s="1"/>
  <c r="F230" i="5"/>
  <c r="F229" i="3"/>
  <c r="E244" i="3"/>
  <c r="E229" i="5"/>
  <c r="F6" i="3"/>
  <c r="F6" i="5" s="1"/>
  <c r="J14" i="3"/>
  <c r="J14" i="5" s="1"/>
  <c r="J150" i="3"/>
  <c r="J150" i="5" s="1"/>
  <c r="F390" i="1"/>
  <c r="F239" i="5"/>
  <c r="F389" i="1"/>
  <c r="F388" i="1"/>
  <c r="F233" i="3"/>
  <c r="F233" i="5" s="1"/>
  <c r="C190" i="3"/>
  <c r="C190" i="5" s="1"/>
  <c r="G403" i="1"/>
  <c r="H394" i="1"/>
  <c r="G239" i="3" l="1"/>
  <c r="G236" i="3"/>
  <c r="H222" i="3"/>
  <c r="H222" i="5" s="1"/>
  <c r="F90" i="5"/>
  <c r="F50" i="3"/>
  <c r="J130" i="5"/>
  <c r="J138" i="5"/>
  <c r="G18" i="3"/>
  <c r="C154" i="5"/>
  <c r="C114" i="5"/>
  <c r="F90" i="3"/>
  <c r="F210" i="3"/>
  <c r="F220" i="5"/>
  <c r="J82" i="5"/>
  <c r="E222" i="5"/>
  <c r="J122" i="5"/>
  <c r="F237" i="3"/>
  <c r="F235" i="3" s="1"/>
  <c r="L222" i="3"/>
  <c r="L222" i="5" s="1"/>
  <c r="J210" i="5"/>
  <c r="F186" i="5"/>
  <c r="D170" i="5"/>
  <c r="C74" i="5"/>
  <c r="K138" i="5"/>
  <c r="J234" i="3"/>
  <c r="J234" i="5" s="1"/>
  <c r="J217" i="5"/>
  <c r="D130" i="5"/>
  <c r="H114" i="3"/>
  <c r="K186" i="5"/>
  <c r="J122" i="3"/>
  <c r="L138" i="5"/>
  <c r="D238" i="3"/>
  <c r="D247" i="3" s="1"/>
  <c r="L178" i="5"/>
  <c r="L82" i="5"/>
  <c r="L130" i="5"/>
  <c r="H223" i="5"/>
  <c r="H225" i="5" s="1"/>
  <c r="H74" i="5"/>
  <c r="E114" i="5"/>
  <c r="H58" i="5"/>
  <c r="I26" i="5"/>
  <c r="B66" i="5"/>
  <c r="K219" i="3"/>
  <c r="K219" i="5" s="1"/>
  <c r="K170" i="5"/>
  <c r="J186" i="5"/>
  <c r="I82" i="5"/>
  <c r="J178" i="5"/>
  <c r="I50" i="3"/>
  <c r="G15" i="5"/>
  <c r="G18" i="5" s="1"/>
  <c r="G122" i="5"/>
  <c r="C178" i="5"/>
  <c r="J223" i="5"/>
  <c r="J225" i="5" s="1"/>
  <c r="L130" i="3"/>
  <c r="H66" i="5"/>
  <c r="C106" i="5"/>
  <c r="G114" i="5"/>
  <c r="F58" i="5"/>
  <c r="F26" i="5"/>
  <c r="C50" i="5"/>
  <c r="I50" i="5"/>
  <c r="D74" i="5"/>
  <c r="E162" i="5"/>
  <c r="B202" i="5"/>
  <c r="L66" i="3"/>
  <c r="K42" i="5"/>
  <c r="D194" i="5"/>
  <c r="D10" i="5"/>
  <c r="C50" i="3"/>
  <c r="D130" i="3"/>
  <c r="B106" i="5"/>
  <c r="L194" i="5"/>
  <c r="I222" i="3"/>
  <c r="I222" i="5" s="1"/>
  <c r="H26" i="3"/>
  <c r="K138" i="3"/>
  <c r="E10" i="5"/>
  <c r="F234" i="3"/>
  <c r="F232" i="3" s="1"/>
  <c r="G146" i="5"/>
  <c r="D26" i="5"/>
  <c r="J90" i="5"/>
  <c r="C202" i="5"/>
  <c r="L186" i="5"/>
  <c r="F130" i="3"/>
  <c r="L10" i="5"/>
  <c r="I223" i="5"/>
  <c r="I225" i="5" s="1"/>
  <c r="K18" i="5"/>
  <c r="H138" i="5"/>
  <c r="H98" i="3"/>
  <c r="K237" i="3"/>
  <c r="K237" i="5" s="1"/>
  <c r="E10" i="3"/>
  <c r="I106" i="3"/>
  <c r="H219" i="3"/>
  <c r="H234" i="3" s="1"/>
  <c r="H234" i="5" s="1"/>
  <c r="K220" i="5"/>
  <c r="L98" i="5"/>
  <c r="J138" i="3"/>
  <c r="L10" i="3"/>
  <c r="G10" i="5"/>
  <c r="J50" i="5"/>
  <c r="B130" i="3"/>
  <c r="J106" i="3"/>
  <c r="H18" i="3"/>
  <c r="K66" i="3"/>
  <c r="F34" i="5"/>
  <c r="K63" i="5"/>
  <c r="K66" i="5" s="1"/>
  <c r="C90" i="5"/>
  <c r="I82" i="3"/>
  <c r="I162" i="3"/>
  <c r="D154" i="5"/>
  <c r="F162" i="5"/>
  <c r="F106" i="5"/>
  <c r="H122" i="5"/>
  <c r="D66" i="5"/>
  <c r="K202" i="5"/>
  <c r="B10" i="5"/>
  <c r="G194" i="5"/>
  <c r="F34" i="3"/>
  <c r="G26" i="5"/>
  <c r="I170" i="5"/>
  <c r="D162" i="5"/>
  <c r="L90" i="5"/>
  <c r="G58" i="5"/>
  <c r="I154" i="5"/>
  <c r="B130" i="5"/>
  <c r="J162" i="5"/>
  <c r="J106" i="5"/>
  <c r="K98" i="5"/>
  <c r="D210" i="5"/>
  <c r="F130" i="5"/>
  <c r="I106" i="5"/>
  <c r="H162" i="5"/>
  <c r="G66" i="5"/>
  <c r="K130" i="5"/>
  <c r="K146" i="5"/>
  <c r="K50" i="5"/>
  <c r="D18" i="5"/>
  <c r="C26" i="5"/>
  <c r="J26" i="5"/>
  <c r="L210" i="3"/>
  <c r="D114" i="3"/>
  <c r="J26" i="3"/>
  <c r="I178" i="3"/>
  <c r="L223" i="5"/>
  <c r="L225" i="5" s="1"/>
  <c r="K223" i="5"/>
  <c r="K225" i="5" s="1"/>
  <c r="L186" i="3"/>
  <c r="B222" i="3"/>
  <c r="B237" i="3" s="1"/>
  <c r="B237" i="5" s="1"/>
  <c r="C194" i="5"/>
  <c r="J194" i="5"/>
  <c r="H18" i="5"/>
  <c r="H210" i="5"/>
  <c r="K122" i="5"/>
  <c r="C82" i="5"/>
  <c r="D90" i="5"/>
  <c r="D98" i="5"/>
  <c r="H42" i="5"/>
  <c r="H130" i="5"/>
  <c r="C162" i="5"/>
  <c r="C90" i="3"/>
  <c r="G98" i="3"/>
  <c r="G210" i="5"/>
  <c r="I10" i="5"/>
  <c r="H154" i="5"/>
  <c r="G162" i="5"/>
  <c r="E170" i="5"/>
  <c r="F240" i="5"/>
  <c r="K106" i="5"/>
  <c r="C223" i="5"/>
  <c r="C225" i="5" s="1"/>
  <c r="C106" i="3"/>
  <c r="F223" i="5"/>
  <c r="F225" i="5" s="1"/>
  <c r="C202" i="3"/>
  <c r="G178" i="5"/>
  <c r="C10" i="5"/>
  <c r="G154" i="5"/>
  <c r="K194" i="5"/>
  <c r="K130" i="3"/>
  <c r="C74" i="3"/>
  <c r="I130" i="3"/>
  <c r="B186" i="3"/>
  <c r="I146" i="5"/>
  <c r="G50" i="5"/>
  <c r="K114" i="5"/>
  <c r="L154" i="5"/>
  <c r="G34" i="5"/>
  <c r="F18" i="5"/>
  <c r="H146" i="5"/>
  <c r="I178" i="5"/>
  <c r="F18" i="3"/>
  <c r="H130" i="3"/>
  <c r="H186" i="3"/>
  <c r="F74" i="5"/>
  <c r="B138" i="5"/>
  <c r="D106" i="5"/>
  <c r="C238" i="3"/>
  <c r="C238" i="5" s="1"/>
  <c r="B225" i="3"/>
  <c r="B240" i="3" s="1"/>
  <c r="B238" i="3" s="1"/>
  <c r="B238" i="5" s="1"/>
  <c r="D10" i="3"/>
  <c r="C170" i="3"/>
  <c r="F146" i="3"/>
  <c r="G162" i="3"/>
  <c r="J186" i="3"/>
  <c r="K106" i="3"/>
  <c r="J194" i="3"/>
  <c r="F207" i="5"/>
  <c r="F210" i="5" s="1"/>
  <c r="C138" i="3"/>
  <c r="D170" i="3"/>
  <c r="L146" i="5"/>
  <c r="C194" i="3"/>
  <c r="L63" i="5"/>
  <c r="L66" i="5" s="1"/>
  <c r="D114" i="5"/>
  <c r="K18" i="3"/>
  <c r="D82" i="5"/>
  <c r="F106" i="3"/>
  <c r="K186" i="3"/>
  <c r="K170" i="3"/>
  <c r="F66" i="5"/>
  <c r="J220" i="5"/>
  <c r="K98" i="3"/>
  <c r="I18" i="5"/>
  <c r="C122" i="5"/>
  <c r="G114" i="3"/>
  <c r="B50" i="3"/>
  <c r="H50" i="5"/>
  <c r="D202" i="5"/>
  <c r="E138" i="5"/>
  <c r="B162" i="5"/>
  <c r="E146" i="5"/>
  <c r="G106" i="5"/>
  <c r="C130" i="5"/>
  <c r="B146" i="5"/>
  <c r="L162" i="5"/>
  <c r="E122" i="5"/>
  <c r="I90" i="5"/>
  <c r="C98" i="5"/>
  <c r="E194" i="5"/>
  <c r="H90" i="5"/>
  <c r="K74" i="5"/>
  <c r="G74" i="5"/>
  <c r="E154" i="5"/>
  <c r="G98" i="5"/>
  <c r="C34" i="3"/>
  <c r="L194" i="3"/>
  <c r="H26" i="5"/>
  <c r="K58" i="3"/>
  <c r="L170" i="5"/>
  <c r="J170" i="3"/>
  <c r="G225" i="3"/>
  <c r="G240" i="3" s="1"/>
  <c r="G240" i="5" s="1"/>
  <c r="E26" i="5"/>
  <c r="B114" i="5"/>
  <c r="B98" i="5"/>
  <c r="D90" i="3"/>
  <c r="E42" i="3"/>
  <c r="L146" i="3"/>
  <c r="E18" i="5"/>
  <c r="J222" i="5"/>
  <c r="H122" i="3"/>
  <c r="H202" i="5"/>
  <c r="D34" i="3"/>
  <c r="E162" i="3"/>
  <c r="C82" i="3"/>
  <c r="K202" i="3"/>
  <c r="D82" i="3"/>
  <c r="H202" i="3"/>
  <c r="D74" i="3"/>
  <c r="H178" i="5"/>
  <c r="L178" i="3"/>
  <c r="E18" i="3"/>
  <c r="J146" i="5"/>
  <c r="H178" i="3"/>
  <c r="K122" i="3"/>
  <c r="L82" i="3"/>
  <c r="F138" i="5"/>
  <c r="D34" i="5"/>
  <c r="C26" i="3"/>
  <c r="G58" i="3"/>
  <c r="H210" i="3"/>
  <c r="H42" i="3"/>
  <c r="I154" i="3"/>
  <c r="G154" i="3"/>
  <c r="D98" i="3"/>
  <c r="J178" i="3"/>
  <c r="D222" i="3"/>
  <c r="D222" i="5" s="1"/>
  <c r="E74" i="5"/>
  <c r="B219" i="3"/>
  <c r="B234" i="3" s="1"/>
  <c r="B234" i="5" s="1"/>
  <c r="E130" i="3"/>
  <c r="H82" i="3"/>
  <c r="J146" i="3"/>
  <c r="D194" i="3"/>
  <c r="I219" i="3"/>
  <c r="I219" i="5" s="1"/>
  <c r="D18" i="3"/>
  <c r="C186" i="3"/>
  <c r="D210" i="3"/>
  <c r="K50" i="3"/>
  <c r="H154" i="3"/>
  <c r="B114" i="3"/>
  <c r="E106" i="3"/>
  <c r="D154" i="3"/>
  <c r="E170" i="3"/>
  <c r="D202" i="3"/>
  <c r="F162" i="3"/>
  <c r="H10" i="5"/>
  <c r="G122" i="3"/>
  <c r="K194" i="3"/>
  <c r="E130" i="5"/>
  <c r="G210" i="3"/>
  <c r="H82" i="5"/>
  <c r="K42" i="3"/>
  <c r="F178" i="3"/>
  <c r="J130" i="3"/>
  <c r="J162" i="3"/>
  <c r="C162" i="3"/>
  <c r="H98" i="5"/>
  <c r="L98" i="3"/>
  <c r="C170" i="5"/>
  <c r="E98" i="5"/>
  <c r="D146" i="5"/>
  <c r="F82" i="5"/>
  <c r="C18" i="5"/>
  <c r="I34" i="5"/>
  <c r="E50" i="5"/>
  <c r="K82" i="5"/>
  <c r="L26" i="5"/>
  <c r="G138" i="5"/>
  <c r="H34" i="5"/>
  <c r="D138" i="5"/>
  <c r="E58" i="5"/>
  <c r="F202" i="5"/>
  <c r="G90" i="5"/>
  <c r="L202" i="5"/>
  <c r="B178" i="5"/>
  <c r="I210" i="5"/>
  <c r="J202" i="5"/>
  <c r="K210" i="3"/>
  <c r="L34" i="5"/>
  <c r="J10" i="3"/>
  <c r="K26" i="5"/>
  <c r="I58" i="5"/>
  <c r="F42" i="5"/>
  <c r="L74" i="5"/>
  <c r="K162" i="5"/>
  <c r="H114" i="5"/>
  <c r="I122" i="5"/>
  <c r="C42" i="5"/>
  <c r="I98" i="5"/>
  <c r="E202" i="3"/>
  <c r="B202" i="3"/>
  <c r="L170" i="3"/>
  <c r="C138" i="5"/>
  <c r="F217" i="5"/>
  <c r="J90" i="3"/>
  <c r="H138" i="3"/>
  <c r="D162" i="3"/>
  <c r="F66" i="3"/>
  <c r="B106" i="3"/>
  <c r="C186" i="5"/>
  <c r="I42" i="5"/>
  <c r="D50" i="5"/>
  <c r="B42" i="5"/>
  <c r="I74" i="3"/>
  <c r="I186" i="5"/>
  <c r="L210" i="5"/>
  <c r="C66" i="5"/>
  <c r="L50" i="5"/>
  <c r="C210" i="5"/>
  <c r="E66" i="5"/>
  <c r="K178" i="5"/>
  <c r="J18" i="5"/>
  <c r="K154" i="5"/>
  <c r="F98" i="5"/>
  <c r="K90" i="5"/>
  <c r="B154" i="5"/>
  <c r="B74" i="5"/>
  <c r="H170" i="5"/>
  <c r="C146" i="3"/>
  <c r="J154" i="5"/>
  <c r="F122" i="5"/>
  <c r="J114" i="5"/>
  <c r="B194" i="5"/>
  <c r="J74" i="5"/>
  <c r="H106" i="3"/>
  <c r="L122" i="5"/>
  <c r="F10" i="5"/>
  <c r="E90" i="5"/>
  <c r="G202" i="5"/>
  <c r="G130" i="5"/>
  <c r="L106" i="5"/>
  <c r="D58" i="5"/>
  <c r="G82" i="5"/>
  <c r="H162" i="3"/>
  <c r="C154" i="3"/>
  <c r="F146" i="5"/>
  <c r="K10" i="5"/>
  <c r="I194" i="5"/>
  <c r="I138" i="5"/>
  <c r="L114" i="5"/>
  <c r="J58" i="5"/>
  <c r="B18" i="5"/>
  <c r="K58" i="5"/>
  <c r="J42" i="5"/>
  <c r="J98" i="5"/>
  <c r="I114" i="5"/>
  <c r="F154" i="5"/>
  <c r="C58" i="5"/>
  <c r="B122" i="5"/>
  <c r="D186" i="5"/>
  <c r="J66" i="5"/>
  <c r="E186" i="5"/>
  <c r="F178" i="5"/>
  <c r="B34" i="5"/>
  <c r="E106" i="5"/>
  <c r="E34" i="5"/>
  <c r="B186" i="5"/>
  <c r="F170" i="5"/>
  <c r="F114" i="5"/>
  <c r="E42" i="5"/>
  <c r="J170" i="5"/>
  <c r="B66" i="3"/>
  <c r="G170" i="5"/>
  <c r="H194" i="5"/>
  <c r="B82" i="5"/>
  <c r="B58" i="5"/>
  <c r="I58" i="3"/>
  <c r="F26" i="3"/>
  <c r="B98" i="3"/>
  <c r="I90" i="3"/>
  <c r="L50" i="3"/>
  <c r="L202" i="3"/>
  <c r="D58" i="3"/>
  <c r="D219" i="5"/>
  <c r="B42" i="3"/>
  <c r="K207" i="5"/>
  <c r="K210" i="5" s="1"/>
  <c r="B58" i="3"/>
  <c r="L114" i="3"/>
  <c r="L18" i="5"/>
  <c r="F58" i="3"/>
  <c r="I42" i="3"/>
  <c r="G178" i="3"/>
  <c r="L219" i="3"/>
  <c r="C122" i="3"/>
  <c r="K34" i="3"/>
  <c r="H387" i="1"/>
  <c r="H230" i="3"/>
  <c r="C210" i="3"/>
  <c r="J18" i="3"/>
  <c r="H170" i="3"/>
  <c r="I210" i="3"/>
  <c r="D66" i="3"/>
  <c r="L122" i="3"/>
  <c r="E50" i="3"/>
  <c r="L162" i="3"/>
  <c r="B122" i="3"/>
  <c r="E219" i="3"/>
  <c r="E219" i="5" s="1"/>
  <c r="F122" i="3"/>
  <c r="E74" i="3"/>
  <c r="K90" i="3"/>
  <c r="J34" i="3"/>
  <c r="E186" i="3"/>
  <c r="B74" i="3"/>
  <c r="E199" i="5"/>
  <c r="E202" i="5" s="1"/>
  <c r="G202" i="3"/>
  <c r="G138" i="3"/>
  <c r="D217" i="5"/>
  <c r="G146" i="3"/>
  <c r="C219" i="3"/>
  <c r="C219" i="5" s="1"/>
  <c r="K82" i="3"/>
  <c r="D42" i="5"/>
  <c r="L138" i="3"/>
  <c r="B154" i="3"/>
  <c r="E98" i="3"/>
  <c r="K74" i="3"/>
  <c r="C31" i="5"/>
  <c r="C34" i="5" s="1"/>
  <c r="E210" i="5"/>
  <c r="E154" i="3"/>
  <c r="H103" i="5"/>
  <c r="H106" i="5" s="1"/>
  <c r="G186" i="3"/>
  <c r="J114" i="3"/>
  <c r="I114" i="3"/>
  <c r="L90" i="3"/>
  <c r="J82" i="3"/>
  <c r="J154" i="3"/>
  <c r="L154" i="3"/>
  <c r="F186" i="3"/>
  <c r="C130" i="3"/>
  <c r="I138" i="3"/>
  <c r="H183" i="5"/>
  <c r="H186" i="5" s="1"/>
  <c r="E138" i="3"/>
  <c r="H58" i="3"/>
  <c r="B138" i="3"/>
  <c r="K162" i="3"/>
  <c r="G66" i="3"/>
  <c r="B82" i="3"/>
  <c r="I162" i="5"/>
  <c r="B178" i="3"/>
  <c r="G230" i="5"/>
  <c r="G229" i="3"/>
  <c r="H66" i="3"/>
  <c r="D146" i="3"/>
  <c r="G106" i="3"/>
  <c r="F114" i="3"/>
  <c r="E82" i="5"/>
  <c r="C143" i="5"/>
  <c r="C146" i="5" s="1"/>
  <c r="D178" i="3"/>
  <c r="J58" i="3"/>
  <c r="B90" i="5"/>
  <c r="E82" i="3"/>
  <c r="G186" i="5"/>
  <c r="J210" i="3"/>
  <c r="H74" i="3"/>
  <c r="I10" i="3"/>
  <c r="K114" i="3"/>
  <c r="L106" i="3"/>
  <c r="I34" i="3"/>
  <c r="J66" i="3"/>
  <c r="F74" i="3"/>
  <c r="D26" i="3"/>
  <c r="D122" i="3"/>
  <c r="C10" i="3"/>
  <c r="I18" i="3"/>
  <c r="G219" i="3"/>
  <c r="G219" i="5" s="1"/>
  <c r="B170" i="3"/>
  <c r="F82" i="3"/>
  <c r="K34" i="5"/>
  <c r="J74" i="3"/>
  <c r="J98" i="3"/>
  <c r="I170" i="3"/>
  <c r="I71" i="5"/>
  <c r="I74" i="5" s="1"/>
  <c r="F170" i="3"/>
  <c r="E210" i="3"/>
  <c r="I146" i="3"/>
  <c r="E90" i="3"/>
  <c r="I202" i="5"/>
  <c r="F154" i="3"/>
  <c r="B210" i="5"/>
  <c r="D106" i="3"/>
  <c r="G130" i="3"/>
  <c r="J42" i="3"/>
  <c r="D178" i="5"/>
  <c r="E114" i="3"/>
  <c r="E178" i="5"/>
  <c r="B10" i="3"/>
  <c r="B194" i="3"/>
  <c r="B47" i="5"/>
  <c r="B50" i="5" s="1"/>
  <c r="K178" i="3"/>
  <c r="H194" i="3"/>
  <c r="D138" i="3"/>
  <c r="K146" i="3"/>
  <c r="B18" i="3"/>
  <c r="J7" i="5"/>
  <c r="J10" i="5" s="1"/>
  <c r="L34" i="3"/>
  <c r="B90" i="3"/>
  <c r="D223" i="5"/>
  <c r="D225" i="5" s="1"/>
  <c r="G42" i="5"/>
  <c r="F202" i="3"/>
  <c r="B170" i="5"/>
  <c r="J202" i="3"/>
  <c r="B146" i="3"/>
  <c r="G82" i="3"/>
  <c r="L74" i="3"/>
  <c r="G50" i="3"/>
  <c r="D122" i="5"/>
  <c r="E122" i="3"/>
  <c r="C114" i="3"/>
  <c r="B26" i="3"/>
  <c r="J34" i="5"/>
  <c r="B210" i="3"/>
  <c r="C42" i="3"/>
  <c r="E194" i="3"/>
  <c r="J50" i="3"/>
  <c r="G34" i="3"/>
  <c r="F42" i="3"/>
  <c r="G10" i="3"/>
  <c r="E178" i="3"/>
  <c r="I98" i="3"/>
  <c r="D186" i="3"/>
  <c r="G194" i="3"/>
  <c r="G90" i="3"/>
  <c r="B162" i="3"/>
  <c r="E66" i="3"/>
  <c r="D42" i="3"/>
  <c r="I186" i="3"/>
  <c r="G222" i="3"/>
  <c r="G222" i="5" s="1"/>
  <c r="L58" i="5"/>
  <c r="K154" i="3"/>
  <c r="E225" i="3"/>
  <c r="E240" i="3" s="1"/>
  <c r="E238" i="3" s="1"/>
  <c r="E247" i="3" s="1"/>
  <c r="F98" i="3"/>
  <c r="C66" i="3"/>
  <c r="E146" i="3"/>
  <c r="G74" i="3"/>
  <c r="F10" i="3"/>
  <c r="I130" i="5"/>
  <c r="E220" i="5"/>
  <c r="I202" i="3"/>
  <c r="F194" i="5"/>
  <c r="E58" i="3"/>
  <c r="F50" i="5"/>
  <c r="F194" i="3"/>
  <c r="I26" i="3"/>
  <c r="H50" i="3"/>
  <c r="B34" i="3"/>
  <c r="B26" i="5"/>
  <c r="E34" i="3"/>
  <c r="D50" i="3"/>
  <c r="K26" i="3"/>
  <c r="C58" i="3"/>
  <c r="G170" i="3"/>
  <c r="I194" i="3"/>
  <c r="C222" i="3"/>
  <c r="C222" i="5" s="1"/>
  <c r="C18" i="3"/>
  <c r="H90" i="3"/>
  <c r="G26" i="3"/>
  <c r="I122" i="3"/>
  <c r="C98" i="3"/>
  <c r="H146" i="3"/>
  <c r="K10" i="3"/>
  <c r="C178" i="3"/>
  <c r="L26" i="3"/>
  <c r="H34" i="3"/>
  <c r="L18" i="3"/>
  <c r="F244" i="3"/>
  <c r="F229" i="5"/>
  <c r="I66" i="3"/>
  <c r="H10" i="3"/>
  <c r="L42" i="5"/>
  <c r="L42" i="3"/>
  <c r="I66" i="5"/>
  <c r="F138" i="3"/>
  <c r="G390" i="1"/>
  <c r="G239" i="5"/>
  <c r="G389" i="1"/>
  <c r="G236" i="5"/>
  <c r="G388" i="1"/>
  <c r="G233" i="3"/>
  <c r="G233" i="5" s="1"/>
  <c r="E26" i="3"/>
  <c r="L58" i="3"/>
  <c r="G42" i="3"/>
  <c r="E235" i="3"/>
  <c r="E237" i="5"/>
  <c r="H236" i="3"/>
  <c r="H239" i="3"/>
  <c r="I394" i="1"/>
  <c r="H403" i="1"/>
  <c r="F238" i="5"/>
  <c r="F247" i="3"/>
  <c r="D232" i="3"/>
  <c r="D234" i="5"/>
  <c r="J237" i="5"/>
  <c r="L237" i="3" l="1"/>
  <c r="L237" i="5" s="1"/>
  <c r="H237" i="3"/>
  <c r="H237" i="5" s="1"/>
  <c r="F237" i="5"/>
  <c r="D238" i="5"/>
  <c r="K234" i="3"/>
  <c r="K234" i="5" s="1"/>
  <c r="F234" i="5"/>
  <c r="I237" i="3"/>
  <c r="I237" i="5" s="1"/>
  <c r="H219" i="5"/>
  <c r="B235" i="3"/>
  <c r="B235" i="5" s="1"/>
  <c r="C247" i="3"/>
  <c r="B240" i="5"/>
  <c r="B222" i="5"/>
  <c r="I234" i="3"/>
  <c r="I234" i="5" s="1"/>
  <c r="G238" i="3"/>
  <c r="G238" i="5" s="1"/>
  <c r="D237" i="3"/>
  <c r="D235" i="3" s="1"/>
  <c r="D246" i="3" s="1"/>
  <c r="G237" i="3"/>
  <c r="G237" i="5" s="1"/>
  <c r="E238" i="5"/>
  <c r="E234" i="3"/>
  <c r="E234" i="5" s="1"/>
  <c r="C234" i="3"/>
  <c r="C232" i="3" s="1"/>
  <c r="C232" i="5" s="1"/>
  <c r="E240" i="5"/>
  <c r="C237" i="3"/>
  <c r="C237" i="5" s="1"/>
  <c r="B232" i="3"/>
  <c r="B232" i="5" s="1"/>
  <c r="B219" i="5"/>
  <c r="I387" i="1"/>
  <c r="I230" i="3"/>
  <c r="G234" i="3"/>
  <c r="G234" i="5" s="1"/>
  <c r="L234" i="3"/>
  <c r="L234" i="5" s="1"/>
  <c r="L219" i="5"/>
  <c r="H230" i="5"/>
  <c r="H229" i="3"/>
  <c r="G229" i="5"/>
  <c r="G244" i="3"/>
  <c r="H390" i="1"/>
  <c r="H389" i="1"/>
  <c r="H388" i="1"/>
  <c r="H233" i="3"/>
  <c r="E246" i="3"/>
  <c r="E235" i="5"/>
  <c r="I403" i="1"/>
  <c r="I239" i="3"/>
  <c r="I236" i="3"/>
  <c r="J394" i="1"/>
  <c r="F245" i="3"/>
  <c r="F232" i="5"/>
  <c r="D232" i="5"/>
  <c r="D245" i="3"/>
  <c r="F235" i="5"/>
  <c r="F246" i="3"/>
  <c r="D235" i="5" l="1"/>
  <c r="C245" i="3"/>
  <c r="E232" i="3"/>
  <c r="E245" i="3" s="1"/>
  <c r="E248" i="3" s="1"/>
  <c r="G247" i="3"/>
  <c r="D237" i="5"/>
  <c r="G235" i="3"/>
  <c r="G235" i="5" s="1"/>
  <c r="C234" i="5"/>
  <c r="C235" i="3"/>
  <c r="C246" i="3" s="1"/>
  <c r="G232" i="3"/>
  <c r="G245" i="3" s="1"/>
  <c r="J387" i="1"/>
  <c r="J230" i="3"/>
  <c r="H229" i="5"/>
  <c r="H244" i="3"/>
  <c r="I230" i="5"/>
  <c r="I229" i="3"/>
  <c r="I390" i="1"/>
  <c r="H239" i="5"/>
  <c r="H238" i="3"/>
  <c r="I389" i="1"/>
  <c r="H236" i="5"/>
  <c r="H235" i="3"/>
  <c r="I388" i="1"/>
  <c r="I233" i="3"/>
  <c r="H233" i="5"/>
  <c r="H232" i="3"/>
  <c r="D248" i="3"/>
  <c r="F248" i="3"/>
  <c r="J239" i="3"/>
  <c r="J403" i="1"/>
  <c r="J236" i="3"/>
  <c r="K394" i="1"/>
  <c r="C248" i="3" l="1"/>
  <c r="E232" i="5"/>
  <c r="G246" i="3"/>
  <c r="G248" i="3" s="1"/>
  <c r="G232" i="5"/>
  <c r="C235" i="5"/>
  <c r="K387" i="1"/>
  <c r="K230" i="3"/>
  <c r="I244" i="3"/>
  <c r="I229" i="5"/>
  <c r="J230" i="5"/>
  <c r="J229" i="3"/>
  <c r="J390" i="1"/>
  <c r="I239" i="5"/>
  <c r="I238" i="3"/>
  <c r="H238" i="5"/>
  <c r="H247" i="3"/>
  <c r="J389" i="1"/>
  <c r="I236" i="5"/>
  <c r="I235" i="3"/>
  <c r="H246" i="3"/>
  <c r="H235" i="5"/>
  <c r="H245" i="3"/>
  <c r="H232" i="5"/>
  <c r="J388" i="1"/>
  <c r="J233" i="3"/>
  <c r="I233" i="5"/>
  <c r="I232" i="3"/>
  <c r="L394" i="1"/>
  <c r="K403" i="1"/>
  <c r="L395" i="1"/>
  <c r="K239" i="3" l="1"/>
  <c r="L397" i="1"/>
  <c r="K236" i="3"/>
  <c r="L396" i="1"/>
  <c r="L236" i="3" s="1"/>
  <c r="J229" i="5"/>
  <c r="J244" i="3"/>
  <c r="K230" i="5"/>
  <c r="K229" i="3"/>
  <c r="L387" i="1"/>
  <c r="N387" i="1" s="1"/>
  <c r="L230" i="3"/>
  <c r="J239" i="5"/>
  <c r="J238" i="3"/>
  <c r="K390" i="1"/>
  <c r="I238" i="5"/>
  <c r="I247" i="3"/>
  <c r="H248" i="3"/>
  <c r="I246" i="3"/>
  <c r="I235" i="5"/>
  <c r="K389" i="1"/>
  <c r="J236" i="5"/>
  <c r="J235" i="3"/>
  <c r="K388" i="1"/>
  <c r="K233" i="3"/>
  <c r="J233" i="5"/>
  <c r="J232" i="3"/>
  <c r="I232" i="5"/>
  <c r="I245" i="3"/>
  <c r="L403" i="1"/>
  <c r="L239" i="3"/>
  <c r="K229" i="5" l="1"/>
  <c r="K244" i="3"/>
  <c r="L230" i="5"/>
  <c r="L229" i="3"/>
  <c r="L390" i="1"/>
  <c r="N390" i="1" s="1"/>
  <c r="J247" i="3"/>
  <c r="J238" i="5"/>
  <c r="I248" i="3"/>
  <c r="K239" i="5"/>
  <c r="K238" i="3"/>
  <c r="J246" i="3"/>
  <c r="J235" i="5"/>
  <c r="K236" i="5"/>
  <c r="K235" i="3"/>
  <c r="L389" i="1"/>
  <c r="N389" i="1" s="1"/>
  <c r="L388" i="1"/>
  <c r="N388" i="1" s="1"/>
  <c r="L233" i="3"/>
  <c r="J245" i="3"/>
  <c r="J232" i="5"/>
  <c r="K233" i="5"/>
  <c r="K232" i="3"/>
  <c r="L229" i="5" l="1"/>
  <c r="L244" i="3"/>
  <c r="K238" i="5"/>
  <c r="K247" i="3"/>
  <c r="J248" i="3"/>
  <c r="L239" i="5"/>
  <c r="L238" i="3"/>
  <c r="K246" i="3"/>
  <c r="K235" i="5"/>
  <c r="L236" i="5"/>
  <c r="L235" i="3"/>
  <c r="K232" i="5"/>
  <c r="K245" i="3"/>
  <c r="L233" i="5"/>
  <c r="L232" i="3"/>
  <c r="K248" i="3" l="1"/>
  <c r="L247" i="3"/>
  <c r="L238" i="5"/>
  <c r="L235" i="5"/>
  <c r="L246" i="3"/>
  <c r="L245" i="3"/>
  <c r="L232" i="5"/>
  <c r="L248" i="3" l="1"/>
</calcChain>
</file>

<file path=xl/sharedStrings.xml><?xml version="1.0" encoding="utf-8"?>
<sst xmlns="http://schemas.openxmlformats.org/spreadsheetml/2006/main" count="1514" uniqueCount="346">
  <si>
    <t>JEN Demand and Timing Input Data (MVA)</t>
  </si>
  <si>
    <t>Existing MVA</t>
  </si>
  <si>
    <t>Incremental MVA added during Year</t>
  </si>
  <si>
    <t>2023 KPI</t>
  </si>
  <si>
    <t>Moderate ?</t>
  </si>
  <si>
    <t>Unq. ID</t>
  </si>
  <si>
    <t>Project Name</t>
  </si>
  <si>
    <t>Pre 2024</t>
  </si>
  <si>
    <t xml:space="preserve">2024 </t>
  </si>
  <si>
    <t xml:space="preserve">2025 </t>
  </si>
  <si>
    <t xml:space="preserve">2026 </t>
  </si>
  <si>
    <t xml:space="preserve">2027 </t>
  </si>
  <si>
    <t xml:space="preserve">2028 </t>
  </si>
  <si>
    <t xml:space="preserve">2029 </t>
  </si>
  <si>
    <t xml:space="preserve">2030 </t>
  </si>
  <si>
    <t>2031</t>
  </si>
  <si>
    <t>2032</t>
  </si>
  <si>
    <t>2033</t>
  </si>
  <si>
    <t>Total</t>
  </si>
  <si>
    <t>Post 2033</t>
  </si>
  <si>
    <t>Probability of Proceeding</t>
  </si>
  <si>
    <t>Notes</t>
  </si>
  <si>
    <t>Contracted Load (MVA)</t>
  </si>
  <si>
    <t>Project Type</t>
  </si>
  <si>
    <t>Ultimate</t>
  </si>
  <si>
    <t>Type</t>
  </si>
  <si>
    <t>Y</t>
  </si>
  <si>
    <t>A154</t>
  </si>
  <si>
    <t>2. High</t>
  </si>
  <si>
    <t>Major Load</t>
  </si>
  <si>
    <t>A17</t>
  </si>
  <si>
    <t>1. In Flight</t>
  </si>
  <si>
    <t>A197</t>
  </si>
  <si>
    <t>2029 onwards will be 22MVA</t>
  </si>
  <si>
    <t>A26</t>
  </si>
  <si>
    <t>A50</t>
  </si>
  <si>
    <t>A53a</t>
  </si>
  <si>
    <t>3. Medium</t>
  </si>
  <si>
    <t>25 in 2028. Another 10 in 2036</t>
  </si>
  <si>
    <t>A53b</t>
  </si>
  <si>
    <t>A54</t>
  </si>
  <si>
    <t>4. Low</t>
  </si>
  <si>
    <t>A59</t>
  </si>
  <si>
    <t>A60</t>
  </si>
  <si>
    <t>A89</t>
  </si>
  <si>
    <t>A923</t>
  </si>
  <si>
    <t>A997</t>
  </si>
  <si>
    <t>N</t>
  </si>
  <si>
    <t>DC01a</t>
  </si>
  <si>
    <t>ultimate site capacity 100MVA which will trigger TS and SubT works</t>
  </si>
  <si>
    <t>Data Centre</t>
  </si>
  <si>
    <t>DC01b</t>
  </si>
  <si>
    <t>DC01c</t>
  </si>
  <si>
    <t>5. Unlikely</t>
  </si>
  <si>
    <t>DC02a</t>
  </si>
  <si>
    <t>ultimate site capacity 100MVA which will trigger SubT works</t>
  </si>
  <si>
    <t>DC02b</t>
  </si>
  <si>
    <t>DC04a</t>
  </si>
  <si>
    <t>DC06</t>
  </si>
  <si>
    <t>DC07a</t>
  </si>
  <si>
    <t>DC07b</t>
  </si>
  <si>
    <t>DC08</t>
  </si>
  <si>
    <t>0. Cancelled</t>
  </si>
  <si>
    <t>DC09</t>
  </si>
  <si>
    <t>DC10a</t>
  </si>
  <si>
    <t>20 in 2027 and another 50 in 2033 and another 50 in 2035</t>
  </si>
  <si>
    <t>DC10b</t>
  </si>
  <si>
    <t>DC11</t>
  </si>
  <si>
    <t>DC12a</t>
  </si>
  <si>
    <t>DC12b</t>
  </si>
  <si>
    <t>DC13</t>
  </si>
  <si>
    <t>0. On Hold</t>
  </si>
  <si>
    <t>DC17a</t>
  </si>
  <si>
    <t>DC17b</t>
  </si>
  <si>
    <t>DC18a</t>
  </si>
  <si>
    <t>DC18b</t>
  </si>
  <si>
    <t>DC19a</t>
  </si>
  <si>
    <t>DC19b</t>
  </si>
  <si>
    <t>DC20a</t>
  </si>
  <si>
    <t>DC20b</t>
  </si>
  <si>
    <t>DC21</t>
  </si>
  <si>
    <t>15 in 2027 and another 15 in 2029</t>
  </si>
  <si>
    <t>DC22</t>
  </si>
  <si>
    <t>TEMPA</t>
  </si>
  <si>
    <t>TEMPB</t>
  </si>
  <si>
    <t>TEMP16a</t>
  </si>
  <si>
    <t>TEMP16b</t>
  </si>
  <si>
    <t>TEMP5</t>
  </si>
  <si>
    <t>DC24</t>
  </si>
  <si>
    <t>DC26</t>
  </si>
  <si>
    <t>DC27</t>
  </si>
  <si>
    <t>DC28</t>
  </si>
  <si>
    <t>DC29</t>
  </si>
  <si>
    <t>DC30</t>
  </si>
  <si>
    <t>DC32</t>
  </si>
  <si>
    <t>DC04b</t>
  </si>
  <si>
    <t>Cumulative Total</t>
  </si>
  <si>
    <t>Default Uptake</t>
  </si>
  <si>
    <t>Default Incremental Uptake</t>
  </si>
  <si>
    <t>Data Centre and Major Customer Maximum Demand Forecasts and Scenario Forecasts (by Customer)</t>
  </si>
  <si>
    <t>Scenario</t>
  </si>
  <si>
    <t>Connection Likelihood</t>
  </si>
  <si>
    <t>Initial Load Timing</t>
  </si>
  <si>
    <t>Initial Load Magnitude</t>
  </si>
  <si>
    <t>Ultimate Load Timing</t>
  </si>
  <si>
    <t>Ultimate Load Magnitude</t>
  </si>
  <si>
    <t>Competition Win Likelihood
(for not In-Flight)</t>
  </si>
  <si>
    <t>Base</t>
  </si>
  <si>
    <t>Low</t>
  </si>
  <si>
    <t>High</t>
  </si>
  <si>
    <t>In JEN 2024 Underlying Forecast</t>
  </si>
  <si>
    <t>Customer forecast</t>
  </si>
  <si>
    <t>Uptake Scenario</t>
  </si>
  <si>
    <t>Customer Forecast</t>
  </si>
  <si>
    <t>TTS-NEI-NH-WT-TTS</t>
  </si>
  <si>
    <t>TTS EAST</t>
  </si>
  <si>
    <t>EPN</t>
  </si>
  <si>
    <t>TTS-PTN-EPN-EP-TTS</t>
  </si>
  <si>
    <t>NH</t>
  </si>
  <si>
    <t>BLTS-TH-BLTS</t>
  </si>
  <si>
    <t>BLTS66</t>
  </si>
  <si>
    <t>MAT</t>
  </si>
  <si>
    <t>KTS-TMA-MAT-KTS</t>
  </si>
  <si>
    <t>KTS EAST</t>
  </si>
  <si>
    <t>SMTS-ST-SSS-SMTS</t>
  </si>
  <si>
    <t>SMTS</t>
  </si>
  <si>
    <t>TMA</t>
  </si>
  <si>
    <t>KTS-AW-PV/NDT-KTS</t>
  </si>
  <si>
    <t>TH</t>
  </si>
  <si>
    <t>KTS-SHM-SBY-KTS</t>
  </si>
  <si>
    <t>KTS WEST</t>
  </si>
  <si>
    <t>TTS-BD-BMS-COO-VCO-TTS</t>
  </si>
  <si>
    <t>TTS WEST</t>
  </si>
  <si>
    <t>KTS-BY-ES-KTS</t>
  </si>
  <si>
    <t>BLTS-NT-YVE-BLTS</t>
  </si>
  <si>
    <t>Table 3-2 KNOWN CUSTOMER LOAD</t>
  </si>
  <si>
    <t>Data Centres</t>
  </si>
  <si>
    <t>Major Loads</t>
  </si>
  <si>
    <t>Table 3-3 FUTURE MAJOR CUSTOMER LOADS - MAJOR LOADS</t>
  </si>
  <si>
    <t>TOTAL CUSTOMER LOAD (KNOWN + FUTURE MAJOR CUSTOMER)</t>
  </si>
  <si>
    <t>% of Customer Forecast</t>
  </si>
  <si>
    <t>Table 3-4 FUTURE MAJOR CUSTOMER LOADS - DATA CENTRES</t>
  </si>
  <si>
    <t>Chart Data</t>
  </si>
  <si>
    <t>Major Loads+Future Major Cust</t>
  </si>
  <si>
    <t>Data Centres+Future Major Cust</t>
  </si>
  <si>
    <r>
      <t xml:space="preserve">Incremental Load Increase on top of JEN's 2023 Underlying </t>
    </r>
    <r>
      <rPr>
        <b/>
        <sz val="12"/>
        <color rgb="FFFFFF00"/>
        <rFont val="Arial"/>
        <family val="2"/>
      </rPr>
      <t>Summer</t>
    </r>
    <r>
      <rPr>
        <b/>
        <sz val="12"/>
        <color indexed="9"/>
        <rFont val="Arial"/>
        <family val="2"/>
      </rPr>
      <t xml:space="preserve"> Maximum Demand Forecast (by Network Asset)</t>
    </r>
  </si>
  <si>
    <t>&lt;&lt;- Choose type of values to display for each asset (type in "Major Load", "Data Centre", or leave blank for both)</t>
  </si>
  <si>
    <t>BLTS-FW-BLTS</t>
  </si>
  <si>
    <t>Weighted</t>
  </si>
  <si>
    <t>BTS-FF-BTS</t>
  </si>
  <si>
    <t>FT</t>
  </si>
  <si>
    <t>FF</t>
  </si>
  <si>
    <t>AW</t>
  </si>
  <si>
    <t>ST</t>
  </si>
  <si>
    <t>WMTS</t>
  </si>
  <si>
    <t>Table 3-5</t>
  </si>
  <si>
    <t>Table 3-6 TOTAL CUSTOMER LOAD (KNOWN + FUTURE MAJOR CUSTOMER - UNDERLYING)</t>
  </si>
  <si>
    <t>NDS Table 2-1 TOTAL CUSTOMER LOAD (KNOWN + FUTURE MAJOR CUSTOMER - UNDERLYING)</t>
  </si>
  <si>
    <t>Weighting</t>
  </si>
  <si>
    <r>
      <t xml:space="preserve">Incremental Load Increase on top of JEN's 2023 Underlying </t>
    </r>
    <r>
      <rPr>
        <b/>
        <sz val="12"/>
        <color rgb="FFFF0000"/>
        <rFont val="Arial"/>
        <family val="2"/>
      </rPr>
      <t>Winter</t>
    </r>
    <r>
      <rPr>
        <b/>
        <sz val="12"/>
        <color indexed="9"/>
        <rFont val="Arial"/>
        <family val="2"/>
      </rPr>
      <t xml:space="preserve"> Maximum Demand Forecast (by Network Asset)</t>
    </r>
  </si>
  <si>
    <t>percentage of summer demand</t>
  </si>
  <si>
    <t>Data Centre and Major Customer Connection Projects and Upstream Augmentations</t>
  </si>
  <si>
    <t>Refer to Major Customers NDP for further details on the scope of works. Grey items are alternative options to the project listed immediately above.</t>
  </si>
  <si>
    <t>HIGH SCENARIO</t>
  </si>
  <si>
    <t>Identifier</t>
  </si>
  <si>
    <t>Connection Project</t>
  </si>
  <si>
    <t>Trigger</t>
  </si>
  <si>
    <t>Timing</t>
  </si>
  <si>
    <t>Upstream Augmentation Project</t>
  </si>
  <si>
    <t>Terminal Station Augmentation Project</t>
  </si>
  <si>
    <t>DC07</t>
  </si>
  <si>
    <t>New BKN ZSS 66/11kV 2 x 33 MVA (Inflight)</t>
  </si>
  <si>
    <t xml:space="preserve">Connection Agreement </t>
  </si>
  <si>
    <t>9.1.1 Tie TH-FW 66kV line</t>
  </si>
  <si>
    <t>BLTS-BKN-TH-BLTS overload</t>
  </si>
  <si>
    <t>12.1.1 BLTS 2 x 220/66 kV 150 MVA (B2 &amp; B4) Transformers</t>
  </si>
  <si>
    <t>BLTS66 overload</t>
  </si>
  <si>
    <t>Loop BKN into BLTS-TH No.1 66kV Line (Inflight)</t>
  </si>
  <si>
    <t>9.1.1 New 66kV line incomer at FW No.2 66kV bus</t>
  </si>
  <si>
    <t>Third BKN ZSS 66/22kV 33 MVA Transformer and Bus</t>
  </si>
  <si>
    <t>DC7 Load &gt; 33 MVA</t>
  </si>
  <si>
    <t>9.1.3 Second new 66kV circuit from BLTS</t>
  </si>
  <si>
    <t>9.1.2 New BLTS-BKN 66 kV line</t>
  </si>
  <si>
    <t>DC7 Load &gt; 50 MVA</t>
  </si>
  <si>
    <t>Fourth BKN ZSS 66/22kV 33 MVA Transformer and Bus</t>
  </si>
  <si>
    <t>DC7 Load &gt; 66 MVA</t>
  </si>
  <si>
    <t>DC02</t>
  </si>
  <si>
    <t>New NDF ZSS 66/22kV 2 x 75 MVA</t>
  </si>
  <si>
    <t>Loop NDF into BLTS-TH No.2 66kV Line</t>
  </si>
  <si>
    <t>Third NDF ZSS 66/22kV 75 MVA Transformer and Bus</t>
  </si>
  <si>
    <t>DC2 Load &gt; 75 MVA</t>
  </si>
  <si>
    <t>&gt; 2035</t>
  </si>
  <si>
    <t>New PDW ZSS 66/22kV 2 x 50 MVA</t>
  </si>
  <si>
    <t>Loop PDW into BLTS-TH No.2 66kV Line</t>
  </si>
  <si>
    <t>Third PDW ZSS 66/22kV 50 MVA Transformer and Bus</t>
  </si>
  <si>
    <t>DC9 Load &gt; 50 MVA</t>
  </si>
  <si>
    <t>DC19</t>
  </si>
  <si>
    <t>New HDY ZSS 66/22kV 2 x 75 MVA</t>
  </si>
  <si>
    <t>Two new BLTS-HDY 66kV lines</t>
  </si>
  <si>
    <t>Third HDY ZSS 66/22kV 75 MVA Transformer and Bus</t>
  </si>
  <si>
    <t>DC19 Load &gt; 75 MVA</t>
  </si>
  <si>
    <t>Fourth HDY ZSS 66/22kV 75 MVA Transformer and Bus</t>
  </si>
  <si>
    <t>DC19 Load &gt; 150 MVA</t>
  </si>
  <si>
    <t>Committed Project</t>
  </si>
  <si>
    <t>DC25</t>
  </si>
  <si>
    <t>New DC25 ZSS 66/22kV 2 x 75 MVA</t>
  </si>
  <si>
    <t>New DC26 ZSS 66/22kV 2 x 75 MVA</t>
  </si>
  <si>
    <t>New TH21 22kV Feeder (1.0km U/G, 375A)</t>
  </si>
  <si>
    <t>A278</t>
  </si>
  <si>
    <t>First and second 11 kV feeder from FT</t>
  </si>
  <si>
    <t>9.1.5 3rd Transformer and 66kV Works at FT</t>
  </si>
  <si>
    <t>FT overload</t>
  </si>
  <si>
    <t>A279</t>
  </si>
  <si>
    <t>Third and fourth 11 kV feeder from FT</t>
  </si>
  <si>
    <t>Cust. Load &gt; 7 MVA</t>
  </si>
  <si>
    <t>Refer to 11 kV Central Area NDS</t>
  </si>
  <si>
    <t>DC01</t>
  </si>
  <si>
    <t>New NDT ZSS 66/22kV 2 x 50MVA (Inflight)</t>
  </si>
  <si>
    <t>9.2.4 New KTS-ADT-VDT 66 kV line</t>
  </si>
  <si>
    <t>KTS-TMA-MAT-KTS and KTS-AW-NDT-PV-KTS overload</t>
  </si>
  <si>
    <t>12.2.1 KTS 3 x 220/66 kV 225 MVA (B1, B2 &amp; B5) &amp; 1 x 220/66 kV 150 MVA (B6) Transformers</t>
  </si>
  <si>
    <t>KTS East overload</t>
  </si>
  <si>
    <t>Third NDT ZSS 66/22kV 50 MVA Transformer and Bus</t>
  </si>
  <si>
    <t>DC1 Load &gt; 50 MVA</t>
  </si>
  <si>
    <t>9.2.5 New KTS-NDT2.5 66 kV line</t>
  </si>
  <si>
    <t>12.4.1 TMTS New Terminal Station with 2 x 220/66 kV 225 MVA (B1 &amp; B2) Transformers</t>
  </si>
  <si>
    <t>Establish second NDT ZSS 66/22kV 2 x 50MVA</t>
  </si>
  <si>
    <t>DC1 Load &gt; 100 MVA</t>
  </si>
  <si>
    <t>9.2.6 TMTS New Sub-Transmission Loop</t>
  </si>
  <si>
    <t>DC12</t>
  </si>
  <si>
    <t>New VDT ZSS 66/22kV 2 x 50 MVA</t>
  </si>
  <si>
    <t>9.2.3 Augment KTS-AW 66 kV line</t>
  </si>
  <si>
    <t>Loop VDT into KTS-NDT 66kV line</t>
  </si>
  <si>
    <t>9.2.7 SYTS New Sub-Transmission Loop</t>
  </si>
  <si>
    <t>Third VDT ZSS 66/22kV 50MVA Transformer and Bus</t>
  </si>
  <si>
    <t>DC12 Load &gt; 50 MVA</t>
  </si>
  <si>
    <t>DC04</t>
  </si>
  <si>
    <t>New MDT ZSS 66/22kV  2 x 75 MVA</t>
  </si>
  <si>
    <t>9.2.1 New KTS-TMA 66kV line</t>
  </si>
  <si>
    <t>9.2.2 Reconfigure existing KTS-TMA to be KTS-MAT-MDT 66kV line</t>
  </si>
  <si>
    <t>Third MDT ZSS 66/22kV 75 MVA Transformer and Bus</t>
  </si>
  <si>
    <t>DC4 Load &gt; 75 MVA</t>
  </si>
  <si>
    <t>Augment MAT ZSS 66/22kV with 2 x 33 MVA new transformers and buses</t>
  </si>
  <si>
    <t>MAT Load &gt; 60 MVA</t>
  </si>
  <si>
    <t>DC10</t>
  </si>
  <si>
    <t>New MDW ZSS 66/22kV 2 x 75 MVA</t>
  </si>
  <si>
    <t>MAT-MDT 66kV line extension to MDW</t>
  </si>
  <si>
    <t>DC17</t>
  </si>
  <si>
    <t>New ATK ZSS 66/22kV 2 x 75 MVA</t>
  </si>
  <si>
    <t>Third ATK ZSS 66/22kV 75 MVA Transformer and Bus</t>
  </si>
  <si>
    <t>DC17 Load &gt; 75 MVA</t>
  </si>
  <si>
    <t>DC18</t>
  </si>
  <si>
    <t>New ADT ZSS 66/22kV 2 x 75 MVA</t>
  </si>
  <si>
    <t>Loop ADT into TMA-MAT 66kV line</t>
  </si>
  <si>
    <t>Third ADT ZSS 66/22kV 75 MVA Transformer and Bus</t>
  </si>
  <si>
    <t>DC18 Load &gt; 75 MVA</t>
  </si>
  <si>
    <t>New DC27 ZSS 66/22kV 2 x 75 MVA</t>
  </si>
  <si>
    <t>New 22kV feeder from AW</t>
  </si>
  <si>
    <t>Extend 22kV feeder ST34</t>
  </si>
  <si>
    <t>9.4.3 SMTS New Sub-Transmission Loop</t>
  </si>
  <si>
    <t>SMTS-ST-SSS-SMTS overload</t>
  </si>
  <si>
    <t>12.3.2 SMTS 1 x 220/66 kV 225 MVA (B2) Transformer</t>
  </si>
  <si>
    <t>SMTS overload</t>
  </si>
  <si>
    <t>New DC11 ZSS 66/22kV 2 x 50MVA</t>
  </si>
  <si>
    <t>9.4.5 DBTS New Sub-Transmission Loop</t>
  </si>
  <si>
    <t>12.3.1 SMTS 2 x 220/66 kV 225 MVA (B4 &amp; B5) Transformers</t>
  </si>
  <si>
    <t>Third DC11 ZSS 66/22kV 50 MVA Transformer and Bus</t>
  </si>
  <si>
    <t>DC11 Load &gt; 50MVA</t>
  </si>
  <si>
    <t>9.4.1 TTS New Sub-Transmission Loop</t>
  </si>
  <si>
    <t>TTS-BD-BMS-COO-VCO-TTS overload</t>
  </si>
  <si>
    <t>DC20</t>
  </si>
  <si>
    <t>New DC20 ZSS 66/22kV 2 x 75 MVA</t>
  </si>
  <si>
    <t>9.4.2 ST-SSS 66kV Line Extension</t>
  </si>
  <si>
    <t>Third DC20 ZSS 66/22kV 75 MVA Transformer and Bus</t>
  </si>
  <si>
    <t>DC20 Load &gt; 75 MVA</t>
  </si>
  <si>
    <t>Fourth DC20 ZSS 66/22kV 75 MVA Transformer and Bus</t>
  </si>
  <si>
    <t>DC20 Load &gt; 150 MVA</t>
  </si>
  <si>
    <t>New DC21 ZSS 66/22kV 2 x 75 MVA</t>
  </si>
  <si>
    <t>Third DC21 ZSS 66/22kV 75 MVA Transformer and Bus</t>
  </si>
  <si>
    <t>DC21 Load &gt; 75 MVA</t>
  </si>
  <si>
    <t>Fourth DC21 ZSS 66/22kV 75 MVA Transformer and Bus</t>
  </si>
  <si>
    <t>DC21 Load &gt; 150 MVA</t>
  </si>
  <si>
    <t>New DC22 ZSS 66/22kV 2 x 75 MVA</t>
  </si>
  <si>
    <t>Third DC22 ZSS 66/22kV 75 MVA Transformer and Bus</t>
  </si>
  <si>
    <t>DC22 Load &gt; 75 MVA</t>
  </si>
  <si>
    <t>DC23</t>
  </si>
  <si>
    <t>New DC23 ZSS 66/22kV 2 x 75 MVA</t>
  </si>
  <si>
    <t>New DC24 ZSS 66/22kV 2 x 75 MVA</t>
  </si>
  <si>
    <t>Two new feeders from CBN</t>
  </si>
  <si>
    <t>Refer to Northern Growth Corridor NDS</t>
  </si>
  <si>
    <t>ST overload</t>
  </si>
  <si>
    <t xml:space="preserve">NEL ZSS 66/22kV (Existing) </t>
  </si>
  <si>
    <t>9.3.4 Augment TTS-NH(NEI)-NEL-WT-TTS 66 kV loop</t>
  </si>
  <si>
    <t>TTS-NEI-NH-WT-TTS and TTS-PTN-EPN-EP-TTS overload</t>
  </si>
  <si>
    <t>A516</t>
  </si>
  <si>
    <t>New feeders - NEL-012 and NEL-025</t>
  </si>
  <si>
    <t>NEL load increase</t>
  </si>
  <si>
    <t>9.3.1 EPN Third Transformer</t>
  </si>
  <si>
    <t>EPN overload</t>
  </si>
  <si>
    <t>A53B</t>
  </si>
  <si>
    <t>New EPN 22kV Feeder (5.0km U/G, 400A)</t>
  </si>
  <si>
    <t>9.3.3 New Zone Substation to offload NH and EPN</t>
  </si>
  <si>
    <t>NH and EPN overload</t>
  </si>
  <si>
    <t xml:space="preserve">A53A </t>
  </si>
  <si>
    <t>Two new EPN 22kV feeders (2 x 3.5km U/G, 400A)</t>
  </si>
  <si>
    <t>9.3.2 Augment TTS-PTN-EPN-EP-TTS 66 kV loop</t>
  </si>
  <si>
    <t>TTS-PTN-EPN-EP-TTS overload</t>
  </si>
  <si>
    <t xml:space="preserve">TEMP16 </t>
  </si>
  <si>
    <t>Extend 22kV feeder EPN34  (1.7km O/H, 1025A 66kV construction)</t>
  </si>
  <si>
    <t>Cust. Load &gt; 15 MVA</t>
  </si>
  <si>
    <t>9.3.5 Third line into TTS-NEI-NH-WT-TTS</t>
  </si>
  <si>
    <t>TTS-NEI-NH-WT-TTS overload</t>
  </si>
  <si>
    <t>New LTU ZSS 66/22kV 2 x 75 MVA</t>
  </si>
  <si>
    <t>9.3.9 FF #4 6.6kV Bus</t>
  </si>
  <si>
    <t>FF overload</t>
  </si>
  <si>
    <t>Third LTU ZSS 66/22kV 75 MVA Transformer and Bus</t>
  </si>
  <si>
    <t>Cust. Load &gt; 75 MVA</t>
  </si>
  <si>
    <t>9.3.7 FF Conversion</t>
  </si>
  <si>
    <t>BTS-FF-BTS overload</t>
  </si>
  <si>
    <t>Install one new 6.6kV feeder to the customer site from FF (2.5km U/G, 375A)</t>
  </si>
  <si>
    <t>9.3.8 Reconductor BTS-FF 181</t>
  </si>
  <si>
    <t>Install three new 6.6kV feeders to the customer site from FF (7.5km U/G, 375A)</t>
  </si>
  <si>
    <t>A265</t>
  </si>
  <si>
    <t>A56</t>
  </si>
  <si>
    <t>BASE SCENARIO</t>
  </si>
  <si>
    <t>9.3.6 Fourth transformer at FF</t>
  </si>
  <si>
    <t>Install two new 6.6kV feeders to the customer site from FF (5.0km U/G, 375A)</t>
  </si>
  <si>
    <t>LOW SCENARIO - PREFERRED DEVELOPMENT PLAN</t>
  </si>
  <si>
    <t>TEMPB = A447</t>
  </si>
  <si>
    <t>TEMP16 = A123, A139, A373</t>
  </si>
  <si>
    <t>A17 = A17, A26</t>
  </si>
  <si>
    <t>A154 = A278, A279</t>
  </si>
  <si>
    <t>DC01 = A65</t>
  </si>
  <si>
    <t>DC02 = A481, A956</t>
  </si>
  <si>
    <t>DC04 = A193, A509</t>
  </si>
  <si>
    <t>DC07 = A503</t>
  </si>
  <si>
    <t>DC09 = A506, A951</t>
  </si>
  <si>
    <t>DC10 = AXXX, A214</t>
  </si>
  <si>
    <t>DC11 = A101</t>
  </si>
  <si>
    <t>DC12 = A505, A37</t>
  </si>
  <si>
    <t>DC17 = A502</t>
  </si>
  <si>
    <t>DC18 = A501, A85</t>
  </si>
  <si>
    <t>DC19 = A497, A449</t>
  </si>
  <si>
    <t>DC20 = A452</t>
  </si>
  <si>
    <t>DC21 = A453</t>
  </si>
  <si>
    <t>DC22 = A487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</si>
</sst>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"/>
    <numFmt numFmtId="166" formatCode="_(#,##0_);\(#,##0\);_(&quot;-&quot;_)"/>
    <numFmt numFmtId="167" formatCode="_-* #,##0_-;\-* #,##0_-;_-* &quot;-&quot;??_-;_-@_-"/>
    <numFmt numFmtId="168" formatCode="0_ ;\-0\ 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C00000"/>
      <name val="Arial"/>
      <family val="2"/>
    </font>
    <font>
      <sz val="9"/>
      <color rgb="FFFF0000"/>
      <name val="Arial"/>
      <family val="2"/>
    </font>
    <font>
      <sz val="9"/>
      <color rgb="FFF58220"/>
      <name val="Arial"/>
      <family val="2"/>
    </font>
    <font>
      <sz val="9"/>
      <color rgb="FF854006"/>
      <name val="Arial"/>
      <family val="2"/>
    </font>
    <font>
      <b/>
      <sz val="9"/>
      <color rgb="FF26BCD7"/>
      <name val="Arial"/>
      <family val="2"/>
    </font>
    <font>
      <i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i/>
      <sz val="10"/>
      <color indexed="9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  <scheme val="minor"/>
    </font>
    <font>
      <b/>
      <i/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FFFF00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trike/>
      <sz val="8"/>
      <color rgb="FFFF0000"/>
      <name val="Arial"/>
      <family val="2"/>
    </font>
    <font>
      <strike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26CB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</patternFill>
    </fill>
  </fills>
  <borders count="70">
    <border>
      <left/>
      <right/>
      <top/>
      <bottom/>
      <diagonal/>
    </border>
    <border>
      <left/>
      <right style="medium">
        <color rgb="FF7DCCE0"/>
      </right>
      <top style="medium">
        <color rgb="FF7DCCE0"/>
      </top>
      <bottom style="thick">
        <color rgb="FF7DCCE0"/>
      </bottom>
      <diagonal/>
    </border>
    <border>
      <left/>
      <right/>
      <top style="medium">
        <color rgb="FF7DCCE0"/>
      </top>
      <bottom style="thick">
        <color rgb="FF7DCCE0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/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/>
      <diagonal/>
    </border>
    <border>
      <left style="medium">
        <color rgb="FF26BCD7"/>
      </left>
      <right style="medium">
        <color rgb="FF26BCD7"/>
      </right>
      <top style="thick">
        <color rgb="FF7DCCE0"/>
      </top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/>
      <diagonal/>
    </border>
    <border>
      <left/>
      <right style="medium">
        <color rgb="FF7DCCE0"/>
      </right>
      <top/>
      <bottom style="medium">
        <color rgb="FF7DCCE0"/>
      </bottom>
      <diagonal/>
    </border>
    <border>
      <left/>
      <right style="medium">
        <color rgb="FF7DCCE0"/>
      </right>
      <top/>
      <bottom style="thick">
        <color rgb="FF26BC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7DCCE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7DCCE0"/>
      </bottom>
      <diagonal/>
    </border>
    <border>
      <left/>
      <right style="thin">
        <color indexed="64"/>
      </right>
      <top style="thin">
        <color indexed="64"/>
      </top>
      <bottom style="medium">
        <color rgb="FF7DCCE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rgb="FF7F7F7F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6">
    <xf numFmtId="0" fontId="0" fillId="0" borderId="0"/>
    <xf numFmtId="164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25" fillId="0" borderId="0"/>
    <xf numFmtId="0" fontId="27" fillId="9" borderId="24" applyNumberFormat="0" applyAlignment="0" applyProtection="0"/>
  </cellStyleXfs>
  <cellXfs count="243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5" fontId="0" fillId="0" borderId="0" xfId="0" applyNumberFormat="1"/>
    <xf numFmtId="0" fontId="13" fillId="6" borderId="0" xfId="0" applyFont="1" applyFill="1" applyAlignment="1">
      <alignment horizontal="left"/>
    </xf>
    <xf numFmtId="0" fontId="14" fillId="6" borderId="0" xfId="0" applyFont="1" applyFill="1"/>
    <xf numFmtId="0" fontId="13" fillId="6" borderId="0" xfId="0" applyFont="1" applyFill="1" applyAlignment="1">
      <alignment horizontal="left" indent="7"/>
    </xf>
    <xf numFmtId="166" fontId="15" fillId="6" borderId="0" xfId="0" applyNumberFormat="1" applyFont="1" applyFill="1"/>
    <xf numFmtId="167" fontId="17" fillId="7" borderId="0" xfId="0" applyNumberFormat="1" applyFont="1" applyFill="1"/>
    <xf numFmtId="167" fontId="18" fillId="7" borderId="0" xfId="0" applyNumberFormat="1" applyFont="1" applyFill="1"/>
    <xf numFmtId="167" fontId="18" fillId="7" borderId="0" xfId="0" applyNumberFormat="1" applyFont="1" applyFill="1" applyAlignment="1">
      <alignment horizontal="center"/>
    </xf>
    <xf numFmtId="167" fontId="15" fillId="7" borderId="0" xfId="0" applyNumberFormat="1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167" fontId="19" fillId="7" borderId="0" xfId="0" applyNumberFormat="1" applyFont="1" applyFill="1"/>
    <xf numFmtId="166" fontId="17" fillId="7" borderId="0" xfId="0" applyNumberFormat="1" applyFont="1" applyFill="1" applyAlignment="1">
      <alignment horizontal="center" vertical="center"/>
    </xf>
    <xf numFmtId="167" fontId="17" fillId="7" borderId="0" xfId="0" applyNumberFormat="1" applyFont="1" applyFill="1" applyAlignment="1">
      <alignment vertical="center"/>
    </xf>
    <xf numFmtId="167" fontId="20" fillId="8" borderId="14" xfId="0" applyNumberFormat="1" applyFont="1" applyFill="1" applyBorder="1" applyAlignment="1">
      <alignment horizontal="center" vertical="center"/>
    </xf>
    <xf numFmtId="167" fontId="20" fillId="8" borderId="15" xfId="0" applyNumberFormat="1" applyFont="1" applyFill="1" applyBorder="1" applyAlignment="1">
      <alignment horizontal="left" vertical="center"/>
    </xf>
    <xf numFmtId="167" fontId="21" fillId="5" borderId="15" xfId="3" applyNumberFormat="1" applyFont="1" applyBorder="1" applyAlignment="1">
      <alignment horizontal="center" vertical="center" wrapText="1"/>
    </xf>
    <xf numFmtId="167" fontId="20" fillId="8" borderId="15" xfId="0" applyNumberFormat="1" applyFont="1" applyFill="1" applyBorder="1" applyAlignment="1">
      <alignment horizontal="left" vertical="center" wrapText="1"/>
    </xf>
    <xf numFmtId="167" fontId="20" fillId="8" borderId="17" xfId="0" applyNumberFormat="1" applyFont="1" applyFill="1" applyBorder="1" applyAlignment="1">
      <alignment horizontal="left" vertical="center" wrapText="1"/>
    </xf>
    <xf numFmtId="166" fontId="22" fillId="7" borderId="0" xfId="0" applyNumberFormat="1" applyFont="1" applyFill="1" applyAlignment="1">
      <alignment horizontal="center" vertical="center"/>
    </xf>
    <xf numFmtId="166" fontId="22" fillId="0" borderId="19" xfId="0" applyNumberFormat="1" applyFont="1" applyBorder="1" applyAlignment="1">
      <alignment horizontal="center" vertical="center"/>
    </xf>
    <xf numFmtId="166" fontId="22" fillId="7" borderId="0" xfId="0" applyNumberFormat="1" applyFont="1" applyFill="1" applyAlignment="1">
      <alignment vertical="center"/>
    </xf>
    <xf numFmtId="166" fontId="22" fillId="0" borderId="18" xfId="0" applyNumberFormat="1" applyFont="1" applyBorder="1" applyAlignment="1">
      <alignment horizontal="center" vertical="center"/>
    </xf>
    <xf numFmtId="166" fontId="22" fillId="0" borderId="19" xfId="0" applyNumberFormat="1" applyFont="1" applyBorder="1" applyAlignment="1">
      <alignment horizontal="left" vertical="center"/>
    </xf>
    <xf numFmtId="166" fontId="23" fillId="0" borderId="19" xfId="0" applyNumberFormat="1" applyFont="1" applyBorder="1" applyAlignment="1">
      <alignment horizontal="left" vertical="center"/>
    </xf>
    <xf numFmtId="166" fontId="23" fillId="0" borderId="19" xfId="0" applyNumberFormat="1" applyFont="1" applyBorder="1" applyAlignment="1">
      <alignment horizontal="center" vertical="center"/>
    </xf>
    <xf numFmtId="167" fontId="17" fillId="0" borderId="0" xfId="0" applyNumberFormat="1" applyFont="1"/>
    <xf numFmtId="166" fontId="22" fillId="7" borderId="0" xfId="0" applyNumberFormat="1" applyFont="1" applyFill="1" applyAlignment="1">
      <alignment horizontal="left" vertical="center"/>
    </xf>
    <xf numFmtId="164" fontId="17" fillId="7" borderId="0" xfId="1" applyFont="1" applyFill="1"/>
    <xf numFmtId="0" fontId="24" fillId="0" borderId="0" xfId="0" applyFont="1"/>
    <xf numFmtId="166" fontId="22" fillId="0" borderId="21" xfId="0" applyNumberFormat="1" applyFont="1" applyBorder="1" applyAlignment="1">
      <alignment horizontal="left" vertical="center"/>
    </xf>
    <xf numFmtId="165" fontId="15" fillId="6" borderId="0" xfId="0" applyNumberFormat="1" applyFont="1" applyFill="1"/>
    <xf numFmtId="165" fontId="17" fillId="7" borderId="0" xfId="0" applyNumberFormat="1" applyFont="1" applyFill="1"/>
    <xf numFmtId="165" fontId="18" fillId="7" borderId="0" xfId="0" applyNumberFormat="1" applyFont="1" applyFill="1" applyAlignment="1">
      <alignment horizontal="center"/>
    </xf>
    <xf numFmtId="165" fontId="21" fillId="5" borderId="16" xfId="3" applyNumberFormat="1" applyFont="1" applyBorder="1" applyAlignment="1">
      <alignment horizontal="center" vertical="center"/>
    </xf>
    <xf numFmtId="165" fontId="21" fillId="5" borderId="15" xfId="3" applyNumberFormat="1" applyFont="1" applyBorder="1" applyAlignment="1">
      <alignment horizontal="center" vertical="center"/>
    </xf>
    <xf numFmtId="165" fontId="21" fillId="5" borderId="15" xfId="3" applyNumberFormat="1" applyFont="1" applyBorder="1" applyAlignment="1">
      <alignment horizontal="center" vertical="center" wrapText="1"/>
    </xf>
    <xf numFmtId="165" fontId="22" fillId="7" borderId="0" xfId="0" applyNumberFormat="1" applyFont="1" applyFill="1" applyAlignment="1">
      <alignment horizontal="center" vertical="center"/>
    </xf>
    <xf numFmtId="165" fontId="23" fillId="0" borderId="19" xfId="0" applyNumberFormat="1" applyFont="1" applyBorder="1" applyAlignment="1">
      <alignment horizontal="center" vertical="center"/>
    </xf>
    <xf numFmtId="165" fontId="17" fillId="7" borderId="0" xfId="1" applyNumberFormat="1" applyFont="1" applyFill="1"/>
    <xf numFmtId="0" fontId="1" fillId="0" borderId="0" xfId="0" applyFont="1"/>
    <xf numFmtId="9" fontId="3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31" fillId="0" borderId="24" xfId="5" applyNumberFormat="1" applyFont="1" applyFill="1" applyAlignment="1">
      <alignment horizontal="center" vertical="center"/>
    </xf>
    <xf numFmtId="0" fontId="31" fillId="0" borderId="0" xfId="0" applyFont="1"/>
    <xf numFmtId="167" fontId="22" fillId="7" borderId="0" xfId="0" applyNumberFormat="1" applyFont="1" applyFill="1"/>
    <xf numFmtId="0" fontId="33" fillId="0" borderId="0" xfId="0" applyFont="1"/>
    <xf numFmtId="0" fontId="34" fillId="0" borderId="0" xfId="0" applyFont="1"/>
    <xf numFmtId="0" fontId="0" fillId="0" borderId="0" xfId="0" applyAlignment="1">
      <alignment horizontal="center"/>
    </xf>
    <xf numFmtId="0" fontId="0" fillId="0" borderId="25" xfId="0" applyBorder="1"/>
    <xf numFmtId="0" fontId="0" fillId="0" borderId="29" xfId="0" applyBorder="1"/>
    <xf numFmtId="0" fontId="0" fillId="0" borderId="32" xfId="0" applyBorder="1"/>
    <xf numFmtId="0" fontId="0" fillId="0" borderId="36" xfId="0" applyBorder="1"/>
    <xf numFmtId="0" fontId="0" fillId="0" borderId="39" xfId="0" applyBorder="1" applyAlignment="1">
      <alignment horizontal="center"/>
    </xf>
    <xf numFmtId="0" fontId="31" fillId="0" borderId="35" xfId="0" applyFont="1" applyBorder="1"/>
    <xf numFmtId="0" fontId="31" fillId="0" borderId="25" xfId="0" applyFont="1" applyBorder="1"/>
    <xf numFmtId="0" fontId="31" fillId="0" borderId="38" xfId="0" applyFont="1" applyBorder="1" applyAlignment="1">
      <alignment horizontal="center"/>
    </xf>
    <xf numFmtId="0" fontId="31" fillId="0" borderId="29" xfId="0" applyFont="1" applyBorder="1"/>
    <xf numFmtId="0" fontId="31" fillId="0" borderId="30" xfId="0" applyFont="1" applyBorder="1" applyAlignment="1">
      <alignment horizontal="center"/>
    </xf>
    <xf numFmtId="167" fontId="18" fillId="0" borderId="0" xfId="0" applyNumberFormat="1" applyFont="1"/>
    <xf numFmtId="165" fontId="18" fillId="7" borderId="13" xfId="0" applyNumberFormat="1" applyFont="1" applyFill="1" applyBorder="1" applyAlignment="1">
      <alignment horizontal="center"/>
    </xf>
    <xf numFmtId="9" fontId="17" fillId="7" borderId="0" xfId="0" applyNumberFormat="1" applyFont="1" applyFill="1"/>
    <xf numFmtId="166" fontId="22" fillId="0" borderId="18" xfId="2" applyNumberFormat="1" applyFont="1" applyFill="1" applyBorder="1" applyAlignment="1">
      <alignment horizontal="center" vertical="center"/>
    </xf>
    <xf numFmtId="0" fontId="31" fillId="0" borderId="31" xfId="0" applyFont="1" applyBorder="1"/>
    <xf numFmtId="0" fontId="31" fillId="0" borderId="36" xfId="0" applyFont="1" applyBorder="1"/>
    <xf numFmtId="0" fontId="31" fillId="0" borderId="32" xfId="0" applyFont="1" applyBorder="1"/>
    <xf numFmtId="0" fontId="31" fillId="0" borderId="39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165" fontId="18" fillId="7" borderId="13" xfId="0" applyNumberFormat="1" applyFont="1" applyFill="1" applyBorder="1" applyAlignment="1">
      <alignment horizontal="left"/>
    </xf>
    <xf numFmtId="165" fontId="15" fillId="3" borderId="25" xfId="0" applyNumberFormat="1" applyFont="1" applyFill="1" applyBorder="1"/>
    <xf numFmtId="0" fontId="14" fillId="7" borderId="12" xfId="0" applyFont="1" applyFill="1" applyBorder="1"/>
    <xf numFmtId="0" fontId="0" fillId="7" borderId="12" xfId="0" applyFill="1" applyBorder="1" applyAlignment="1">
      <alignment horizontal="center"/>
    </xf>
    <xf numFmtId="0" fontId="16" fillId="7" borderId="12" xfId="0" applyFont="1" applyFill="1" applyBorder="1" applyAlignment="1">
      <alignment horizontal="left" vertical="center" indent="2"/>
    </xf>
    <xf numFmtId="165" fontId="14" fillId="7" borderId="12" xfId="0" applyNumberFormat="1" applyFont="1" applyFill="1" applyBorder="1"/>
    <xf numFmtId="9" fontId="23" fillId="3" borderId="25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7" fillId="0" borderId="29" xfId="0" applyFont="1" applyBorder="1"/>
    <xf numFmtId="0" fontId="37" fillId="0" borderId="25" xfId="0" applyFont="1" applyBorder="1"/>
    <xf numFmtId="0" fontId="37" fillId="0" borderId="30" xfId="0" applyFont="1" applyBorder="1" applyAlignment="1">
      <alignment horizontal="center"/>
    </xf>
    <xf numFmtId="0" fontId="31" fillId="0" borderId="40" xfId="0" applyFont="1" applyBorder="1"/>
    <xf numFmtId="0" fontId="31" fillId="0" borderId="42" xfId="0" applyFont="1" applyBorder="1"/>
    <xf numFmtId="0" fontId="31" fillId="0" borderId="43" xfId="0" applyFont="1" applyBorder="1"/>
    <xf numFmtId="0" fontId="31" fillId="0" borderId="44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6" xfId="0" applyFont="1" applyBorder="1" applyAlignment="1">
      <alignment horizontal="center"/>
    </xf>
    <xf numFmtId="0" fontId="31" fillId="0" borderId="50" xfId="0" applyFont="1" applyBorder="1"/>
    <xf numFmtId="0" fontId="31" fillId="0" borderId="51" xfId="0" applyFont="1" applyBorder="1"/>
    <xf numFmtId="0" fontId="31" fillId="0" borderId="53" xfId="0" applyFont="1" applyBorder="1"/>
    <xf numFmtId="0" fontId="31" fillId="0" borderId="49" xfId="0" applyFont="1" applyBorder="1" applyAlignment="1">
      <alignment horizontal="center"/>
    </xf>
    <xf numFmtId="0" fontId="31" fillId="0" borderId="26" xfId="0" applyFont="1" applyBorder="1"/>
    <xf numFmtId="0" fontId="31" fillId="0" borderId="27" xfId="0" applyFont="1" applyBorder="1"/>
    <xf numFmtId="0" fontId="31" fillId="0" borderId="37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6" fillId="0" borderId="45" xfId="0" applyFont="1" applyBorder="1"/>
    <xf numFmtId="0" fontId="26" fillId="0" borderId="47" xfId="0" applyFont="1" applyBorder="1"/>
    <xf numFmtId="0" fontId="26" fillId="0" borderId="46" xfId="0" applyFont="1" applyBorder="1" applyAlignment="1">
      <alignment horizontal="center"/>
    </xf>
    <xf numFmtId="0" fontId="0" fillId="0" borderId="34" xfId="0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37" xfId="0" applyBorder="1" applyAlignment="1">
      <alignment horizontal="center"/>
    </xf>
    <xf numFmtId="1" fontId="0" fillId="0" borderId="0" xfId="0" applyNumberFormat="1" applyAlignment="1">
      <alignment horizontal="left"/>
    </xf>
    <xf numFmtId="1" fontId="2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0" fillId="0" borderId="24" xfId="5" applyNumberFormat="1" applyFont="1" applyFill="1" applyAlignment="1">
      <alignment horizontal="center" vertical="center"/>
    </xf>
    <xf numFmtId="0" fontId="31" fillId="0" borderId="34" xfId="0" applyFont="1" applyBorder="1"/>
    <xf numFmtId="0" fontId="1" fillId="0" borderId="59" xfId="0" applyFont="1" applyBorder="1"/>
    <xf numFmtId="0" fontId="0" fillId="0" borderId="31" xfId="0" applyBorder="1"/>
    <xf numFmtId="0" fontId="1" fillId="0" borderId="48" xfId="0" applyFont="1" applyBorder="1"/>
    <xf numFmtId="0" fontId="37" fillId="0" borderId="35" xfId="0" applyFont="1" applyBorder="1"/>
    <xf numFmtId="0" fontId="26" fillId="0" borderId="57" xfId="0" applyFont="1" applyBorder="1"/>
    <xf numFmtId="0" fontId="1" fillId="0" borderId="30" xfId="0" applyFont="1" applyBorder="1"/>
    <xf numFmtId="0" fontId="26" fillId="0" borderId="30" xfId="0" applyFont="1" applyBorder="1"/>
    <xf numFmtId="0" fontId="1" fillId="0" borderId="37" xfId="0" applyFont="1" applyBorder="1"/>
    <xf numFmtId="0" fontId="1" fillId="0" borderId="38" xfId="0" applyFont="1" applyBorder="1"/>
    <xf numFmtId="0" fontId="26" fillId="0" borderId="38" xfId="0" applyFont="1" applyBorder="1"/>
    <xf numFmtId="0" fontId="1" fillId="0" borderId="39" xfId="0" applyFont="1" applyBorder="1"/>
    <xf numFmtId="0" fontId="0" fillId="0" borderId="26" xfId="0" applyBorder="1"/>
    <xf numFmtId="0" fontId="26" fillId="0" borderId="39" xfId="0" applyFont="1" applyBorder="1"/>
    <xf numFmtId="0" fontId="26" fillId="0" borderId="61" xfId="0" applyFont="1" applyBorder="1"/>
    <xf numFmtId="0" fontId="26" fillId="0" borderId="37" xfId="0" applyFont="1" applyBorder="1"/>
    <xf numFmtId="0" fontId="26" fillId="0" borderId="52" xfId="0" applyFont="1" applyBorder="1"/>
    <xf numFmtId="0" fontId="26" fillId="0" borderId="60" xfId="0" applyFont="1" applyBorder="1"/>
    <xf numFmtId="0" fontId="26" fillId="0" borderId="62" xfId="0" applyFont="1" applyBorder="1"/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26" fillId="0" borderId="33" xfId="0" applyFont="1" applyBorder="1"/>
    <xf numFmtId="0" fontId="31" fillId="0" borderId="63" xfId="0" applyFont="1" applyBorder="1"/>
    <xf numFmtId="0" fontId="31" fillId="0" borderId="64" xfId="0" applyFont="1" applyBorder="1"/>
    <xf numFmtId="0" fontId="31" fillId="0" borderId="65" xfId="0" applyFont="1" applyBorder="1" applyAlignment="1">
      <alignment horizontal="center"/>
    </xf>
    <xf numFmtId="0" fontId="26" fillId="0" borderId="56" xfId="0" applyFont="1" applyBorder="1"/>
    <xf numFmtId="0" fontId="26" fillId="0" borderId="66" xfId="0" applyFont="1" applyBorder="1"/>
    <xf numFmtId="0" fontId="26" fillId="0" borderId="58" xfId="0" applyFont="1" applyBorder="1"/>
    <xf numFmtId="0" fontId="0" fillId="0" borderId="33" xfId="0" applyBorder="1" applyAlignment="1">
      <alignment horizontal="center"/>
    </xf>
    <xf numFmtId="0" fontId="26" fillId="0" borderId="67" xfId="0" applyFont="1" applyBorder="1"/>
    <xf numFmtId="0" fontId="1" fillId="0" borderId="61" xfId="0" applyFont="1" applyBorder="1"/>
    <xf numFmtId="0" fontId="1" fillId="0" borderId="62" xfId="0" applyFont="1" applyBorder="1"/>
    <xf numFmtId="0" fontId="26" fillId="0" borderId="49" xfId="0" applyFont="1" applyBorder="1"/>
    <xf numFmtId="0" fontId="31" fillId="0" borderId="52" xfId="0" applyFont="1" applyBorder="1" applyAlignment="1">
      <alignment horizontal="center"/>
    </xf>
    <xf numFmtId="0" fontId="1" fillId="0" borderId="44" xfId="0" applyFont="1" applyBorder="1"/>
    <xf numFmtId="166" fontId="39" fillId="0" borderId="18" xfId="0" applyNumberFormat="1" applyFont="1" applyBorder="1" applyAlignment="1">
      <alignment horizontal="center" vertical="center"/>
    </xf>
    <xf numFmtId="166" fontId="39" fillId="0" borderId="19" xfId="0" applyNumberFormat="1" applyFont="1" applyBorder="1" applyAlignment="1">
      <alignment horizontal="center" vertical="center"/>
    </xf>
    <xf numFmtId="166" fontId="39" fillId="0" borderId="19" xfId="0" applyNumberFormat="1" applyFont="1" applyBorder="1" applyAlignment="1">
      <alignment horizontal="left" vertical="center"/>
    </xf>
    <xf numFmtId="165" fontId="38" fillId="0" borderId="24" xfId="5" applyNumberFormat="1" applyFont="1" applyFill="1" applyAlignment="1">
      <alignment horizontal="center" vertical="center"/>
    </xf>
    <xf numFmtId="166" fontId="39" fillId="7" borderId="0" xfId="0" applyNumberFormat="1" applyFont="1" applyFill="1" applyAlignment="1">
      <alignment horizontal="center" vertical="center"/>
    </xf>
    <xf numFmtId="0" fontId="38" fillId="0" borderId="0" xfId="0" applyFont="1"/>
    <xf numFmtId="167" fontId="39" fillId="7" borderId="0" xfId="0" applyNumberFormat="1" applyFont="1" applyFill="1"/>
    <xf numFmtId="166" fontId="39" fillId="7" borderId="0" xfId="0" applyNumberFormat="1" applyFont="1" applyFill="1" applyAlignment="1">
      <alignment vertical="center"/>
    </xf>
    <xf numFmtId="166" fontId="40" fillId="0" borderId="18" xfId="0" applyNumberFormat="1" applyFont="1" applyBorder="1" applyAlignment="1">
      <alignment horizontal="center" vertical="center"/>
    </xf>
    <xf numFmtId="166" fontId="40" fillId="0" borderId="19" xfId="0" applyNumberFormat="1" applyFont="1" applyBorder="1" applyAlignment="1">
      <alignment horizontal="center" vertical="center"/>
    </xf>
    <xf numFmtId="165" fontId="41" fillId="0" borderId="24" xfId="5" applyNumberFormat="1" applyFont="1" applyFill="1" applyAlignment="1">
      <alignment horizontal="center" vertical="center"/>
    </xf>
    <xf numFmtId="165" fontId="42" fillId="0" borderId="24" xfId="5" applyNumberFormat="1" applyFont="1" applyFill="1" applyAlignment="1">
      <alignment horizontal="center" vertical="center"/>
    </xf>
    <xf numFmtId="166" fontId="39" fillId="0" borderId="21" xfId="0" applyNumberFormat="1" applyFont="1" applyBorder="1" applyAlignment="1">
      <alignment horizontal="left" vertical="center"/>
    </xf>
    <xf numFmtId="165" fontId="38" fillId="0" borderId="68" xfId="5" applyNumberFormat="1" applyFont="1" applyFill="1" applyBorder="1" applyAlignment="1">
      <alignment horizontal="center" vertical="center"/>
    </xf>
    <xf numFmtId="166" fontId="39" fillId="0" borderId="69" xfId="0" applyNumberFormat="1" applyFont="1" applyBorder="1" applyAlignment="1">
      <alignment horizontal="center" vertical="center"/>
    </xf>
    <xf numFmtId="165" fontId="31" fillId="0" borderId="68" xfId="5" applyNumberFormat="1" applyFont="1" applyFill="1" applyBorder="1" applyAlignment="1">
      <alignment horizontal="center" vertical="center"/>
    </xf>
    <xf numFmtId="166" fontId="22" fillId="0" borderId="0" xfId="0" applyNumberFormat="1" applyFont="1" applyAlignment="1">
      <alignment horizontal="left" vertical="center"/>
    </xf>
    <xf numFmtId="166" fontId="22" fillId="0" borderId="0" xfId="0" applyNumberFormat="1" applyFont="1" applyAlignment="1">
      <alignment horizontal="center" vertical="center"/>
    </xf>
    <xf numFmtId="166" fontId="22" fillId="0" borderId="20" xfId="0" applyNumberFormat="1" applyFont="1" applyBorder="1" applyAlignment="1">
      <alignment horizontal="left" vertical="center"/>
    </xf>
    <xf numFmtId="166" fontId="22" fillId="0" borderId="20" xfId="0" applyNumberFormat="1" applyFont="1" applyBorder="1" applyAlignment="1">
      <alignment horizontal="center" vertical="center"/>
    </xf>
    <xf numFmtId="166" fontId="39" fillId="0" borderId="20" xfId="0" applyNumberFormat="1" applyFont="1" applyBorder="1" applyAlignment="1">
      <alignment horizontal="left" vertical="center"/>
    </xf>
    <xf numFmtId="166" fontId="39" fillId="0" borderId="20" xfId="0" applyNumberFormat="1" applyFont="1" applyBorder="1" applyAlignment="1">
      <alignment horizontal="center" vertical="center"/>
    </xf>
    <xf numFmtId="166" fontId="39" fillId="0" borderId="0" xfId="0" applyNumberFormat="1" applyFont="1" applyAlignment="1">
      <alignment horizontal="center" vertical="center"/>
    </xf>
    <xf numFmtId="166" fontId="22" fillId="0" borderId="55" xfId="0" applyNumberFormat="1" applyFont="1" applyBorder="1" applyAlignment="1">
      <alignment horizontal="center" vertical="center"/>
    </xf>
    <xf numFmtId="166" fontId="22" fillId="0" borderId="54" xfId="0" applyNumberFormat="1" applyFont="1" applyBorder="1" applyAlignment="1">
      <alignment horizontal="left" vertical="center"/>
    </xf>
    <xf numFmtId="166" fontId="39" fillId="0" borderId="55" xfId="0" applyNumberFormat="1" applyFont="1" applyBorder="1" applyAlignment="1">
      <alignment horizontal="center" vertical="center"/>
    </xf>
    <xf numFmtId="166" fontId="40" fillId="0" borderId="55" xfId="0" applyNumberFormat="1" applyFont="1" applyBorder="1" applyAlignment="1">
      <alignment horizontal="center" vertical="center"/>
    </xf>
    <xf numFmtId="166" fontId="39" fillId="0" borderId="54" xfId="0" applyNumberFormat="1" applyFont="1" applyBorder="1" applyAlignment="1">
      <alignment horizontal="left" vertical="center"/>
    </xf>
    <xf numFmtId="166" fontId="39" fillId="0" borderId="54" xfId="0" applyNumberFormat="1" applyFont="1" applyBorder="1" applyAlignment="1">
      <alignment horizontal="center" vertical="center"/>
    </xf>
    <xf numFmtId="166" fontId="22" fillId="0" borderId="54" xfId="0" applyNumberFormat="1" applyFont="1" applyBorder="1" applyAlignment="1">
      <alignment horizontal="center" vertical="center"/>
    </xf>
    <xf numFmtId="166" fontId="39" fillId="0" borderId="21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/>
    </xf>
    <xf numFmtId="168" fontId="8" fillId="0" borderId="1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65" fontId="9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5" fontId="2" fillId="0" borderId="9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22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32" fillId="0" borderId="9" xfId="0" applyFont="1" applyBorder="1" applyAlignment="1">
      <alignment horizontal="left" vertical="center"/>
    </xf>
    <xf numFmtId="1" fontId="32" fillId="0" borderId="9" xfId="0" applyNumberFormat="1" applyFont="1" applyBorder="1" applyAlignment="1">
      <alignment horizontal="left" vertical="center"/>
    </xf>
    <xf numFmtId="1" fontId="32" fillId="0" borderId="9" xfId="0" applyNumberFormat="1" applyFont="1" applyBorder="1" applyAlignment="1">
      <alignment horizontal="left" vertical="center" wrapText="1"/>
    </xf>
    <xf numFmtId="0" fontId="9" fillId="0" borderId="9" xfId="0" applyFont="1" applyBorder="1" applyAlignment="1">
      <alignment horizontal="right" vertical="center"/>
    </xf>
    <xf numFmtId="1" fontId="9" fillId="0" borderId="9" xfId="0" applyNumberFormat="1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1" fontId="30" fillId="0" borderId="9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left" vertical="center"/>
    </xf>
    <xf numFmtId="9" fontId="1" fillId="0" borderId="1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left" vertical="center"/>
    </xf>
    <xf numFmtId="1" fontId="2" fillId="0" borderId="10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1" fontId="9" fillId="0" borderId="9" xfId="0" applyNumberFormat="1" applyFont="1" applyBorder="1" applyAlignment="1">
      <alignment horizontal="left" vertical="center" wrapText="1"/>
    </xf>
    <xf numFmtId="0" fontId="1" fillId="0" borderId="23" xfId="0" applyFont="1" applyBorder="1"/>
    <xf numFmtId="165" fontId="9" fillId="0" borderId="9" xfId="0" applyNumberFormat="1" applyFont="1" applyBorder="1" applyAlignment="1">
      <alignment horizontal="left" vertical="center" wrapText="1"/>
    </xf>
    <xf numFmtId="0" fontId="1" fillId="0" borderId="22" xfId="0" applyFont="1" applyBorder="1"/>
    <xf numFmtId="0" fontId="0" fillId="0" borderId="11" xfId="0" applyBorder="1" applyAlignment="1">
      <alignment horizontal="left"/>
    </xf>
    <xf numFmtId="9" fontId="30" fillId="0" borderId="9" xfId="0" applyNumberFormat="1" applyFont="1" applyBorder="1" applyAlignment="1">
      <alignment horizontal="left" vertical="center"/>
    </xf>
    <xf numFmtId="166" fontId="22" fillId="8" borderId="19" xfId="0" applyNumberFormat="1" applyFont="1" applyFill="1" applyBorder="1" applyAlignment="1">
      <alignment horizontal="left" vertical="center"/>
    </xf>
    <xf numFmtId="166" fontId="22" fillId="8" borderId="21" xfId="0" applyNumberFormat="1" applyFont="1" applyFill="1" applyBorder="1" applyAlignment="1">
      <alignment horizontal="left" vertical="center"/>
    </xf>
    <xf numFmtId="166" fontId="22" fillId="8" borderId="21" xfId="2" applyNumberFormat="1" applyFont="1" applyFill="1" applyBorder="1" applyAlignment="1">
      <alignment horizontal="left" vertical="center"/>
    </xf>
    <xf numFmtId="166" fontId="39" fillId="8" borderId="19" xfId="0" applyNumberFormat="1" applyFont="1" applyFill="1" applyBorder="1" applyAlignment="1">
      <alignment horizontal="left" vertical="center"/>
    </xf>
    <xf numFmtId="166" fontId="40" fillId="8" borderId="19" xfId="0" applyNumberFormat="1" applyFont="1" applyFill="1" applyBorder="1" applyAlignment="1">
      <alignment horizontal="left" vertical="center"/>
    </xf>
    <xf numFmtId="166" fontId="39" fillId="8" borderId="21" xfId="0" applyNumberFormat="1" applyFont="1" applyFill="1" applyBorder="1" applyAlignment="1">
      <alignment horizontal="left" vertical="center"/>
    </xf>
    <xf numFmtId="0" fontId="31" fillId="8" borderId="40" xfId="0" applyFont="1" applyFill="1" applyBorder="1"/>
    <xf numFmtId="0" fontId="31" fillId="8" borderId="31" xfId="0" applyFont="1" applyFill="1" applyBorder="1"/>
    <xf numFmtId="0" fontId="31" fillId="8" borderId="42" xfId="0" applyFont="1" applyFill="1" applyBorder="1"/>
    <xf numFmtId="0" fontId="31" fillId="8" borderId="36" xfId="0" applyFont="1" applyFill="1" applyBorder="1"/>
    <xf numFmtId="0" fontId="1" fillId="8" borderId="22" xfId="0" applyFont="1" applyFill="1" applyBorder="1" applyAlignment="1">
      <alignment horizontal="left"/>
    </xf>
    <xf numFmtId="0" fontId="1" fillId="8" borderId="23" xfId="0" applyFont="1" applyFill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9" fontId="29" fillId="0" borderId="7" xfId="0" applyNumberFormat="1" applyFont="1" applyBorder="1" applyAlignment="1">
      <alignment horizontal="center" vertical="center" wrapText="1"/>
    </xf>
    <xf numFmtId="9" fontId="29" fillId="0" borderId="4" xfId="0" applyNumberFormat="1" applyFont="1" applyBorder="1" applyAlignment="1">
      <alignment horizontal="center" vertical="center" wrapText="1"/>
    </xf>
    <xf numFmtId="9" fontId="29" fillId="0" borderId="3" xfId="0" applyNumberFormat="1" applyFont="1" applyBorder="1" applyAlignment="1">
      <alignment horizontal="center" vertical="center" wrapText="1"/>
    </xf>
    <xf numFmtId="9" fontId="29" fillId="0" borderId="8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6">
    <cellStyle name="Accent1" xfId="3" builtinId="29"/>
    <cellStyle name="Comma" xfId="1" builtinId="3"/>
    <cellStyle name="Input" xfId="5" builtinId="20"/>
    <cellStyle name="Neutral" xfId="2" builtinId="28"/>
    <cellStyle name="Normal" xfId="0" builtinId="0"/>
    <cellStyle name="Normal 2" xfId="4" xr:uid="{3738C1CC-9031-4B4F-96C2-B7BDF78EE3C6}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_(#,##0_);\(#,##0\);_(&quot;-&quot;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_(#,##0_);\(#,##0\);_(&quot;-&quot;_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_(#,##0_);\(#,##0\);_(&quot;-&quot;_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_(#,##0_);\(#,##0\);_(&quot;-&quot;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7F7F7F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rgb="FF7F7F7F"/>
        </lef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numFmt numFmtId="165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left style="hair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_(#,##0_);\(#,##0\);_(&quot;-&quot;_)"/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_(#,##0_);\(#,##0\);_(&quot;-&quot;_)"/>
      <fill>
        <patternFill patternType="solid">
          <fgColor indexed="64"/>
          <bgColor theme="7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_(#,##0_);\(#,##0\);_(&quot;-&quot;_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Known Major Loads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'Customer Scenario Forecast'!$B$393:$L$393</c:f>
              <c:numCache>
                <c:formatCode>0_ ;\-0\ 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'Customer Scenario Forecast'!$B$400:$L$400</c:f>
              <c:numCache>
                <c:formatCode>0</c:formatCode>
                <c:ptCount val="11"/>
                <c:pt idx="0">
                  <c:v>0</c:v>
                </c:pt>
                <c:pt idx="1">
                  <c:v>55</c:v>
                </c:pt>
                <c:pt idx="2">
                  <c:v>86.660126115562491</c:v>
                </c:pt>
                <c:pt idx="3">
                  <c:v>22.976761904761929</c:v>
                </c:pt>
                <c:pt idx="4">
                  <c:v>8.9531428571428933</c:v>
                </c:pt>
                <c:pt idx="5">
                  <c:v>37.817066666666562</c:v>
                </c:pt>
                <c:pt idx="6">
                  <c:v>10.764571428571458</c:v>
                </c:pt>
                <c:pt idx="7">
                  <c:v>11.232630577812643</c:v>
                </c:pt>
                <c:pt idx="8">
                  <c:v>13.769955416585276</c:v>
                </c:pt>
                <c:pt idx="9">
                  <c:v>10.47994475929886</c:v>
                </c:pt>
                <c:pt idx="10">
                  <c:v>11.658513451892304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08-4BBB-9A4B-310D181ACA10}"/>
            </c:ext>
          </c:extLst>
        </c:ser>
        <c:ser>
          <c:idx val="1"/>
          <c:order val="1"/>
          <c:tx>
            <c:v>Known Data Centres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'Customer Scenario Forecast'!$B$393:$L$393</c:f>
              <c:numCache>
                <c:formatCode>0_ ;\-0\ 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'Customer Scenario Forecast'!$B$401:$L$401</c:f>
              <c:numCache>
                <c:formatCode>0</c:formatCode>
                <c:ptCount val="11"/>
                <c:pt idx="0">
                  <c:v>0</c:v>
                </c:pt>
                <c:pt idx="1">
                  <c:v>24.75</c:v>
                </c:pt>
                <c:pt idx="2">
                  <c:v>19.111052022669533</c:v>
                </c:pt>
                <c:pt idx="3">
                  <c:v>46.780493107940835</c:v>
                </c:pt>
                <c:pt idx="4">
                  <c:v>46.447950296397622</c:v>
                </c:pt>
                <c:pt idx="5">
                  <c:v>44.509102666927276</c:v>
                </c:pt>
                <c:pt idx="6">
                  <c:v>93.6540978698456</c:v>
                </c:pt>
                <c:pt idx="7">
                  <c:v>147.24666926324016</c:v>
                </c:pt>
                <c:pt idx="8">
                  <c:v>177.11192527131777</c:v>
                </c:pt>
                <c:pt idx="9">
                  <c:v>209.19806994332635</c:v>
                </c:pt>
                <c:pt idx="10">
                  <c:v>303.0471821080057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8-4BBB-9A4B-310D181ACA10}"/>
            </c:ext>
          </c:extLst>
        </c:ser>
        <c:ser>
          <c:idx val="2"/>
          <c:order val="2"/>
          <c:tx>
            <c:v>Major Loads including Future Major Cust</c:v>
          </c:tx>
          <c:spPr>
            <a:ln w="635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'Customer Scenario Forecast'!$B$393:$L$393</c:f>
              <c:numCache>
                <c:formatCode>0_ ;\-0\ 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'Customer Scenario Forecast'!$B$402:$L$402</c:f>
              <c:numCache>
                <c:formatCode>0</c:formatCode>
                <c:ptCount val="11"/>
                <c:pt idx="0">
                  <c:v>0</c:v>
                </c:pt>
                <c:pt idx="1">
                  <c:v>55</c:v>
                </c:pt>
                <c:pt idx="2">
                  <c:v>86.660126115562491</c:v>
                </c:pt>
                <c:pt idx="3">
                  <c:v>22.976761904761929</c:v>
                </c:pt>
                <c:pt idx="4">
                  <c:v>8.9531428571428933</c:v>
                </c:pt>
                <c:pt idx="5">
                  <c:v>59.362083720930116</c:v>
                </c:pt>
                <c:pt idx="6">
                  <c:v>37.695842746400899</c:v>
                </c:pt>
                <c:pt idx="7">
                  <c:v>43.550156159207972</c:v>
                </c:pt>
                <c:pt idx="8">
                  <c:v>51.473735261546494</c:v>
                </c:pt>
                <c:pt idx="9">
                  <c:v>53.569978867825967</c:v>
                </c:pt>
                <c:pt idx="10">
                  <c:v>60.134801823985299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08-4BBB-9A4B-310D181ACA10}"/>
            </c:ext>
          </c:extLst>
        </c:ser>
        <c:ser>
          <c:idx val="3"/>
          <c:order val="3"/>
          <c:tx>
            <c:v>Data Centres including Future Major Cust</c:v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'Customer Scenario Forecast'!$B$393:$L$393</c:f>
              <c:numCache>
                <c:formatCode>0_ ;\-0\ 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'Customer Scenario Forecast'!$B$403:$L$403</c:f>
              <c:numCache>
                <c:formatCode>0</c:formatCode>
                <c:ptCount val="11"/>
                <c:pt idx="0">
                  <c:v>0</c:v>
                </c:pt>
                <c:pt idx="1">
                  <c:v>24.75</c:v>
                </c:pt>
                <c:pt idx="2">
                  <c:v>19.111052022669533</c:v>
                </c:pt>
                <c:pt idx="3">
                  <c:v>46.780493107940835</c:v>
                </c:pt>
                <c:pt idx="4">
                  <c:v>46.447950296397622</c:v>
                </c:pt>
                <c:pt idx="5">
                  <c:v>133.45762607090097</c:v>
                </c:pt>
                <c:pt idx="6">
                  <c:v>188.16190398656761</c:v>
                </c:pt>
                <c:pt idx="7">
                  <c:v>240.64261883741256</c:v>
                </c:pt>
                <c:pt idx="8">
                  <c:v>262.72487904764239</c:v>
                </c:pt>
                <c:pt idx="9">
                  <c:v>280.35688866650526</c:v>
                </c:pt>
                <c:pt idx="10">
                  <c:v>353.08072652274086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08-4BBB-9A4B-310D181AC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845167"/>
        <c:axId val="2102844207"/>
      </c:lineChart>
      <c:catAx>
        <c:axId val="2102845167"/>
        <c:scaling>
          <c:orientation val="minMax"/>
        </c:scaling>
        <c:delete val="0"/>
        <c:axPos val="b"/>
        <c:numFmt formatCode="0_ ;\-0\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844207"/>
        <c:crosses val="autoZero"/>
        <c:auto val="1"/>
        <c:lblAlgn val="ctr"/>
        <c:lblOffset val="100"/>
        <c:noMultiLvlLbl val="0"/>
      </c:catAx>
      <c:valAx>
        <c:axId val="210284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845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404</xdr:row>
      <xdr:rowOff>42862</xdr:rowOff>
    </xdr:from>
    <xdr:to>
      <xdr:col>6</xdr:col>
      <xdr:colOff>438149</xdr:colOff>
      <xdr:row>422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7401293-673B-48A0-433F-F04FB3D358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5ADF94-B568-4039-9335-F22440383992}" name="Table4232" displayName="Table4232" ref="C5:V60" totalsRowShown="0" dataDxfId="123" tableBorderDxfId="122">
  <autoFilter ref="C5:V60" xr:uid="{475ADF94-B568-4039-9335-F22440383992}"/>
  <sortState xmlns:xlrd2="http://schemas.microsoft.com/office/spreadsheetml/2017/richdata2" ref="C6:V50">
    <sortCondition ref="D5:D50"/>
  </sortState>
  <tableColumns count="20">
    <tableColumn id="1" xr3:uid="{E75B786F-8FA5-4F10-85E7-FB25E4466198}" name="Moderate ?" dataDxfId="121"/>
    <tableColumn id="2" xr3:uid="{51B7B9C9-A8BE-46E7-BEE7-2787FF98B20B}" name="Unq. ID" dataDxfId="120"/>
    <tableColumn id="3" xr3:uid="{2A50E3E0-47A2-442A-904D-AD312E7F03BA}" name="Project Name" dataDxfId="119"/>
    <tableColumn id="15" xr3:uid="{B8B67A50-8E9D-448F-A1D7-31A160DA7AA3}" name="Pre 2024" dataDxfId="118" dataCellStyle="Input"/>
    <tableColumn id="16" xr3:uid="{ADD03791-CCB2-4E80-A714-8F79E9B56CC3}" name="2024 " dataDxfId="117" dataCellStyle="Input"/>
    <tableColumn id="17" xr3:uid="{EB0EF4C2-5A83-4A3B-8D1E-7F28362C5BE7}" name="2025 " dataDxfId="116" dataCellStyle="Input"/>
    <tableColumn id="18" xr3:uid="{D295AE17-2AE4-4D9E-912A-64D7FD2F4E7A}" name="2026 " dataDxfId="115" dataCellStyle="Input"/>
    <tableColumn id="28" xr3:uid="{3E367383-0F46-495D-8ECF-14587E121B7A}" name="2027 " dataDxfId="114" dataCellStyle="Input"/>
    <tableColumn id="27" xr3:uid="{2DE1282A-ED5C-4CB9-8FCD-7BE5E8D062F4}" name="2028 " dataDxfId="113" dataCellStyle="Input"/>
    <tableColumn id="26" xr3:uid="{635E1FA4-C896-45FC-95EB-6FF59AB818D3}" name="2029 " dataDxfId="112" dataCellStyle="Input"/>
    <tableColumn id="25" xr3:uid="{3EDEF5DA-1605-44C1-BDBD-A3AB18FF2BF3}" name="2030 " dataDxfId="111" dataCellStyle="Input"/>
    <tableColumn id="29" xr3:uid="{C5ECF628-E0E6-4202-9FD6-DB3D14ED8E5E}" name="2031" dataDxfId="110" dataCellStyle="Input"/>
    <tableColumn id="30" xr3:uid="{4FC2510E-072D-40C2-942F-91ECC2E79610}" name="2032" dataDxfId="109" dataCellStyle="Input"/>
    <tableColumn id="31" xr3:uid="{55FD67E5-02E3-4469-B916-B934A6314121}" name="2033" dataDxfId="108" dataCellStyle="Input"/>
    <tableColumn id="19" xr3:uid="{A12D3926-AB9D-4627-BE56-69ACBB170E42}" name="Total" dataDxfId="107" dataCellStyle="Input">
      <calculatedColumnFormula>SUM(F6:P6)</calculatedColumnFormula>
    </tableColumn>
    <tableColumn id="23" xr3:uid="{12D9B4E4-4D0B-40AA-A9F7-B94CEBD28B6F}" name="Post 2033" dataDxfId="106" dataCellStyle="Input"/>
    <tableColumn id="20" xr3:uid="{5656D2B2-AB09-4419-A4AD-17859E026BDF}" name="Probability of Proceeding" dataDxfId="105"/>
    <tableColumn id="21" xr3:uid="{F3A19462-C9A7-4C3D-9085-D246EC8D6AA8}" name="Notes" dataDxfId="104"/>
    <tableColumn id="24" xr3:uid="{F34C69CE-0D71-4237-8CF0-564D723545D4}" name="Contracted Load (MVA)" dataDxfId="103"/>
    <tableColumn id="22" xr3:uid="{BA144BF9-5A94-4249-8F1F-0BC3F21F24B2}" name="Project Type" dataDxfId="102">
      <calculatedColumnFormula>IF(#REF!="","Other Major Projects","Data Centre")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92CB-8326-4F60-8B19-2D07AE7761F4}">
  <sheetPr>
    <pageSetUpPr fitToPage="1"/>
  </sheetPr>
  <dimension ref="A1:XY70"/>
  <sheetViews>
    <sheetView tabSelected="1" zoomScale="85" zoomScaleNormal="85" workbookViewId="0">
      <selection activeCell="E51" sqref="E51:E60"/>
    </sheetView>
  </sheetViews>
  <sheetFormatPr defaultColWidth="7.85546875" defaultRowHeight="9.9499999999999993" outlineLevelRow="1"/>
  <cols>
    <col min="1" max="2" width="1.28515625" style="14" customWidth="1"/>
    <col min="3" max="3" width="15.7109375" style="14" bestFit="1" customWidth="1"/>
    <col min="4" max="4" width="9.5703125" style="14" customWidth="1"/>
    <col min="5" max="5" width="48.7109375" style="15" bestFit="1" customWidth="1"/>
    <col min="6" max="6" width="16.140625" style="40" customWidth="1"/>
    <col min="7" max="7" width="19.5703125" style="40" customWidth="1"/>
    <col min="8" max="8" width="17.42578125" style="40" customWidth="1"/>
    <col min="9" max="18" width="17.85546875" style="40" customWidth="1"/>
    <col min="19" max="19" width="20.5703125" style="14" customWidth="1"/>
    <col min="20" max="20" width="49.42578125" style="14" hidden="1" customWidth="1"/>
    <col min="21" max="21" width="20.28515625" style="14" hidden="1" customWidth="1"/>
    <col min="22" max="22" width="17.28515625" style="14" hidden="1" customWidth="1"/>
    <col min="23" max="23" width="2.7109375" style="14" customWidth="1"/>
    <col min="24" max="30" width="25.7109375" style="14" customWidth="1"/>
    <col min="31" max="31" width="2.7109375" style="14" customWidth="1"/>
    <col min="32" max="62" width="25.7109375" style="14" customWidth="1"/>
    <col min="63" max="229" width="4.7109375" style="14" customWidth="1"/>
    <col min="230" max="231" width="7.85546875" style="14"/>
    <col min="232" max="439" width="4.7109375" style="14" customWidth="1"/>
    <col min="440" max="16384" width="7.85546875" style="14"/>
  </cols>
  <sheetData>
    <row r="1" spans="1:649" s="11" customFormat="1" ht="15.6">
      <c r="A1" s="10" t="s">
        <v>0</v>
      </c>
      <c r="C1" s="10"/>
      <c r="D1" s="12"/>
      <c r="E1" s="12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3"/>
    </row>
    <row r="2" spans="1:649" s="78" customFormat="1" ht="15" thickBot="1">
      <c r="D2" s="79"/>
      <c r="E2" s="80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649" ht="14.45" outlineLevel="1">
      <c r="T3" s="17"/>
      <c r="U3" s="17"/>
      <c r="V3" s="18"/>
      <c r="W3" s="18"/>
      <c r="X3"/>
      <c r="Y3"/>
      <c r="Z3" s="18"/>
      <c r="AA3" s="18"/>
      <c r="AB3" s="18"/>
      <c r="AC3" s="18"/>
      <c r="AD3" s="18"/>
      <c r="AE3" s="18"/>
      <c r="AF3"/>
      <c r="AG3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</row>
    <row r="4" spans="1:649" ht="22.5" customHeight="1" outlineLevel="1">
      <c r="C4" s="19"/>
      <c r="E4" s="67"/>
      <c r="F4" s="68" t="s">
        <v>1</v>
      </c>
      <c r="G4" s="76" t="s">
        <v>2</v>
      </c>
      <c r="H4" s="68"/>
      <c r="I4" s="68"/>
      <c r="J4" s="68"/>
      <c r="K4" s="41"/>
      <c r="L4" s="41"/>
      <c r="M4" s="41"/>
      <c r="N4" s="41"/>
      <c r="O4" s="41"/>
      <c r="P4" s="41"/>
      <c r="Q4" s="41"/>
      <c r="R4" s="41"/>
      <c r="S4" s="16"/>
      <c r="T4" s="20"/>
      <c r="U4" s="20" t="s">
        <v>3</v>
      </c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</row>
    <row r="5" spans="1:649" s="21" customFormat="1" ht="14.45" outlineLevel="1">
      <c r="C5" s="22" t="s">
        <v>4</v>
      </c>
      <c r="D5" s="23" t="s">
        <v>5</v>
      </c>
      <c r="E5" s="23" t="s">
        <v>6</v>
      </c>
      <c r="F5" s="42" t="s">
        <v>7</v>
      </c>
      <c r="G5" s="42" t="s">
        <v>8</v>
      </c>
      <c r="H5" s="42" t="s">
        <v>9</v>
      </c>
      <c r="I5" s="42" t="s">
        <v>10</v>
      </c>
      <c r="J5" s="43" t="s">
        <v>11</v>
      </c>
      <c r="K5" s="43" t="s">
        <v>12</v>
      </c>
      <c r="L5" s="43" t="s">
        <v>13</v>
      </c>
      <c r="M5" s="43" t="s">
        <v>14</v>
      </c>
      <c r="N5" s="43" t="s">
        <v>15</v>
      </c>
      <c r="O5" s="43" t="s">
        <v>16</v>
      </c>
      <c r="P5" s="43" t="s">
        <v>17</v>
      </c>
      <c r="Q5" s="44" t="s">
        <v>18</v>
      </c>
      <c r="R5" s="44" t="s">
        <v>19</v>
      </c>
      <c r="S5" s="24" t="s">
        <v>20</v>
      </c>
      <c r="T5" s="25" t="s">
        <v>21</v>
      </c>
      <c r="U5" s="26" t="s">
        <v>22</v>
      </c>
      <c r="V5" s="26" t="s">
        <v>23</v>
      </c>
      <c r="W5" s="27"/>
      <c r="X5" s="24" t="s">
        <v>24</v>
      </c>
      <c r="Y5" s="24" t="s">
        <v>25</v>
      </c>
      <c r="Z5"/>
      <c r="AA5"/>
      <c r="AB5"/>
      <c r="AC5"/>
      <c r="AD5"/>
      <c r="AE5" s="27"/>
      <c r="AF5"/>
      <c r="AG5"/>
      <c r="AH5"/>
      <c r="AI5"/>
      <c r="AJ5"/>
      <c r="AK5"/>
      <c r="AL5"/>
      <c r="AM5"/>
      <c r="AN5"/>
      <c r="AO5"/>
      <c r="AP5"/>
      <c r="AQ5"/>
      <c r="AR5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  <c r="KQ5" s="27"/>
      <c r="KR5" s="27"/>
      <c r="KS5" s="27"/>
      <c r="KT5" s="27"/>
      <c r="KU5" s="27"/>
      <c r="KV5" s="27"/>
      <c r="KW5" s="27"/>
      <c r="KX5" s="27"/>
      <c r="KY5" s="27"/>
      <c r="KZ5" s="27"/>
      <c r="LA5" s="27"/>
      <c r="LB5" s="27"/>
      <c r="LC5" s="27"/>
      <c r="LD5" s="27"/>
      <c r="LE5" s="27"/>
      <c r="LF5" s="27"/>
      <c r="LG5" s="27"/>
      <c r="LH5" s="27"/>
      <c r="LI5" s="27"/>
      <c r="LJ5" s="27"/>
      <c r="LK5" s="27"/>
      <c r="LL5" s="27"/>
      <c r="LM5" s="27"/>
      <c r="LN5" s="27"/>
      <c r="LO5" s="27"/>
      <c r="LP5" s="27"/>
      <c r="LQ5" s="27"/>
      <c r="LR5" s="27"/>
      <c r="LS5" s="27"/>
      <c r="LT5" s="27"/>
      <c r="LU5" s="27"/>
      <c r="LV5" s="27"/>
      <c r="LW5" s="27"/>
      <c r="LX5" s="27"/>
      <c r="LY5" s="27"/>
      <c r="LZ5" s="27"/>
      <c r="MA5" s="27"/>
      <c r="MB5" s="27"/>
      <c r="MC5" s="27"/>
      <c r="MD5" s="27"/>
      <c r="ME5" s="27"/>
      <c r="MF5" s="27"/>
      <c r="MG5" s="27"/>
      <c r="MH5" s="27"/>
      <c r="MI5" s="27"/>
      <c r="MJ5" s="27"/>
      <c r="MK5" s="27"/>
      <c r="ML5" s="27"/>
      <c r="MM5" s="27"/>
      <c r="MN5" s="27"/>
      <c r="MO5" s="27"/>
      <c r="MP5" s="27"/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7"/>
      <c r="OS5" s="27"/>
      <c r="OT5" s="27"/>
      <c r="OU5" s="27"/>
      <c r="OV5" s="27"/>
      <c r="OW5" s="27"/>
      <c r="OX5" s="27"/>
      <c r="OY5" s="27"/>
      <c r="OZ5" s="27"/>
      <c r="PA5" s="27"/>
      <c r="PB5" s="27"/>
      <c r="PC5" s="27"/>
      <c r="PD5" s="27"/>
      <c r="PE5" s="27"/>
      <c r="PF5" s="27"/>
      <c r="PG5" s="27"/>
      <c r="PH5" s="27"/>
      <c r="PI5" s="27"/>
      <c r="PJ5" s="27"/>
      <c r="PK5" s="27"/>
      <c r="PL5" s="27"/>
      <c r="PM5" s="27"/>
      <c r="PN5" s="27"/>
      <c r="PO5" s="27"/>
      <c r="PP5" s="27"/>
      <c r="PQ5" s="27"/>
      <c r="PR5" s="27"/>
      <c r="PS5" s="27"/>
      <c r="PT5" s="27"/>
      <c r="PU5" s="27"/>
      <c r="PV5" s="27"/>
      <c r="PW5" s="27"/>
      <c r="PZ5" s="27"/>
      <c r="QA5" s="27"/>
      <c r="QB5" s="27"/>
      <c r="QC5" s="27"/>
      <c r="QD5" s="27"/>
      <c r="QE5" s="27"/>
      <c r="QF5" s="27"/>
      <c r="QG5" s="27"/>
      <c r="QH5" s="27"/>
      <c r="QI5" s="27"/>
      <c r="QJ5" s="27"/>
      <c r="QK5" s="27"/>
      <c r="QL5" s="27"/>
      <c r="QM5" s="27"/>
      <c r="QN5" s="27"/>
      <c r="QO5" s="27"/>
      <c r="QP5" s="27"/>
      <c r="QQ5" s="27"/>
      <c r="QR5" s="27"/>
      <c r="QS5" s="27"/>
      <c r="QT5" s="27"/>
      <c r="QU5" s="27"/>
      <c r="QV5" s="27"/>
      <c r="QW5" s="27"/>
      <c r="QX5" s="27"/>
      <c r="QY5" s="27"/>
      <c r="QZ5" s="27"/>
      <c r="RA5" s="27"/>
      <c r="RB5" s="27"/>
      <c r="RC5" s="27"/>
      <c r="RD5" s="27"/>
      <c r="RE5" s="27"/>
      <c r="RF5" s="27"/>
      <c r="RG5" s="27"/>
      <c r="RH5" s="27"/>
      <c r="RI5" s="27"/>
      <c r="RJ5" s="27"/>
      <c r="RK5" s="27"/>
      <c r="RL5" s="27"/>
      <c r="RM5" s="27"/>
      <c r="RN5" s="27"/>
      <c r="RO5" s="27"/>
      <c r="RP5" s="27"/>
      <c r="RQ5" s="27"/>
      <c r="RR5" s="27"/>
      <c r="RS5" s="27"/>
      <c r="RT5" s="27"/>
      <c r="RU5" s="27"/>
      <c r="RV5" s="27"/>
      <c r="RW5" s="27"/>
      <c r="RX5" s="27"/>
      <c r="RY5" s="27"/>
      <c r="RZ5" s="27"/>
      <c r="SA5" s="27"/>
      <c r="SB5" s="27"/>
      <c r="SC5" s="27"/>
      <c r="SD5" s="27"/>
      <c r="SE5" s="27"/>
      <c r="SF5" s="27"/>
      <c r="SG5" s="27"/>
      <c r="SH5" s="27"/>
      <c r="SI5" s="27"/>
      <c r="SJ5" s="27"/>
      <c r="SK5" s="27"/>
      <c r="SL5" s="27"/>
      <c r="SM5" s="27"/>
      <c r="SN5" s="27"/>
      <c r="SO5" s="27"/>
      <c r="SP5" s="27"/>
      <c r="SQ5" s="27"/>
      <c r="SR5" s="27"/>
      <c r="SS5" s="27"/>
      <c r="ST5" s="27"/>
      <c r="SU5" s="27"/>
      <c r="SV5" s="27"/>
      <c r="SW5" s="27"/>
      <c r="SX5" s="27"/>
      <c r="SY5" s="27"/>
      <c r="SZ5" s="27"/>
      <c r="TA5" s="27"/>
      <c r="TB5" s="27"/>
      <c r="TC5" s="27"/>
      <c r="TD5" s="27"/>
      <c r="TE5" s="27"/>
      <c r="TF5" s="27"/>
      <c r="TG5" s="27"/>
      <c r="TH5" s="27"/>
      <c r="TI5" s="27"/>
      <c r="TJ5" s="27"/>
      <c r="TK5" s="27"/>
      <c r="TL5" s="27"/>
      <c r="TM5" s="27"/>
      <c r="TN5" s="27"/>
      <c r="TO5" s="27"/>
      <c r="TP5" s="27"/>
      <c r="TQ5" s="27"/>
      <c r="TR5" s="27"/>
      <c r="TS5" s="27"/>
      <c r="TT5" s="27"/>
      <c r="TU5" s="27"/>
      <c r="TV5" s="27"/>
      <c r="TW5" s="27"/>
      <c r="TX5" s="27"/>
      <c r="TY5" s="27"/>
      <c r="TZ5" s="27"/>
      <c r="UA5" s="27"/>
      <c r="UB5" s="27"/>
      <c r="UC5" s="27"/>
      <c r="UD5" s="27"/>
      <c r="UE5" s="27"/>
      <c r="UF5" s="27"/>
      <c r="UG5" s="27"/>
      <c r="UH5" s="27"/>
      <c r="UI5" s="27"/>
      <c r="UJ5" s="27"/>
      <c r="UK5" s="27"/>
      <c r="UL5" s="27"/>
      <c r="UM5" s="27"/>
      <c r="UN5" s="27"/>
      <c r="UO5" s="27"/>
      <c r="UP5" s="27"/>
      <c r="UQ5" s="27"/>
      <c r="UR5" s="27"/>
      <c r="US5" s="27"/>
      <c r="UT5" s="27"/>
      <c r="UU5" s="27"/>
      <c r="UV5" s="27"/>
      <c r="UW5" s="27"/>
      <c r="UX5" s="27"/>
      <c r="UY5" s="27"/>
      <c r="UZ5" s="27"/>
      <c r="VA5" s="27"/>
      <c r="VB5" s="27"/>
      <c r="VC5" s="27"/>
      <c r="VD5" s="27"/>
      <c r="VE5" s="27"/>
      <c r="VF5" s="27"/>
      <c r="VG5" s="27"/>
      <c r="VH5" s="27"/>
      <c r="VI5" s="27"/>
      <c r="VJ5" s="27"/>
      <c r="VK5" s="27"/>
      <c r="VL5" s="27"/>
      <c r="VM5" s="27"/>
      <c r="VN5" s="27"/>
      <c r="VO5" s="27"/>
      <c r="VP5" s="27"/>
      <c r="VQ5" s="27"/>
      <c r="VR5" s="27"/>
      <c r="VS5" s="27"/>
      <c r="VT5" s="27"/>
      <c r="VU5" s="27"/>
      <c r="VV5" s="27"/>
      <c r="VW5" s="27"/>
      <c r="VX5" s="27"/>
      <c r="VY5" s="27"/>
      <c r="VZ5" s="27"/>
      <c r="WA5" s="27"/>
      <c r="WB5" s="27"/>
      <c r="WC5" s="27"/>
      <c r="WD5" s="27"/>
      <c r="WE5" s="27"/>
      <c r="WF5" s="27"/>
      <c r="WG5" s="27"/>
      <c r="WH5" s="27"/>
      <c r="WI5" s="27"/>
      <c r="WJ5" s="27"/>
      <c r="WK5" s="27"/>
      <c r="WL5" s="27"/>
      <c r="WM5" s="27"/>
      <c r="WN5" s="27"/>
      <c r="WO5" s="27"/>
      <c r="WP5" s="27"/>
      <c r="WQ5" s="27"/>
      <c r="WR5" s="27"/>
      <c r="WS5" s="27"/>
      <c r="WT5" s="27"/>
      <c r="WU5" s="27"/>
      <c r="WV5" s="27"/>
      <c r="WW5" s="27"/>
      <c r="WX5" s="27"/>
      <c r="WY5" s="27"/>
      <c r="WZ5" s="27"/>
      <c r="XA5" s="27"/>
      <c r="XB5" s="27"/>
      <c r="XC5" s="27"/>
      <c r="XD5" s="27"/>
      <c r="XE5" s="27"/>
      <c r="XF5" s="27"/>
      <c r="XG5" s="27"/>
      <c r="XH5" s="27"/>
      <c r="XI5" s="27"/>
      <c r="XJ5" s="27"/>
      <c r="XK5" s="27"/>
      <c r="XL5" s="27"/>
      <c r="XM5" s="27"/>
      <c r="XN5" s="27"/>
      <c r="XO5" s="27"/>
      <c r="XP5" s="27"/>
      <c r="XQ5" s="27"/>
      <c r="XR5" s="27"/>
      <c r="XS5" s="27"/>
      <c r="XT5" s="27"/>
      <c r="XU5" s="27"/>
      <c r="XV5" s="27"/>
      <c r="XW5" s="27"/>
      <c r="XX5" s="27"/>
      <c r="XY5" s="27"/>
    </row>
    <row r="6" spans="1:649" s="53" customFormat="1" ht="14.45" outlineLevel="1">
      <c r="C6" s="30" t="s">
        <v>26</v>
      </c>
      <c r="D6" s="30" t="s">
        <v>27</v>
      </c>
      <c r="E6" s="221"/>
      <c r="F6" s="51"/>
      <c r="G6" s="51">
        <v>4</v>
      </c>
      <c r="H6" s="51">
        <v>4</v>
      </c>
      <c r="I6" s="51">
        <v>4</v>
      </c>
      <c r="J6" s="51"/>
      <c r="K6" s="51"/>
      <c r="L6" s="51"/>
      <c r="M6" s="51"/>
      <c r="N6" s="51"/>
      <c r="O6" s="51"/>
      <c r="P6" s="51"/>
      <c r="Q6" s="51">
        <f t="shared" ref="Q6:Q50" si="0">SUM(F6:P6)</f>
        <v>12</v>
      </c>
      <c r="R6" s="51"/>
      <c r="S6" s="28" t="s">
        <v>28</v>
      </c>
      <c r="T6" s="31"/>
      <c r="U6" s="169"/>
      <c r="V6" s="170" t="e">
        <f>IF(#REF!="","Other Major Projects","Data Centre")</f>
        <v>#REF!</v>
      </c>
      <c r="W6" s="168"/>
      <c r="X6" s="28">
        <f>Table4232[[#This Row],[Post 2033]]+Table4232[[#This Row],[Total]]</f>
        <v>12</v>
      </c>
      <c r="Y6" s="28" t="s">
        <v>29</v>
      </c>
      <c r="Z6" s="52"/>
      <c r="AA6" s="52"/>
      <c r="AB6" s="52"/>
      <c r="AC6" s="52"/>
      <c r="AD6" s="52"/>
      <c r="AE6" s="27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</row>
    <row r="7" spans="1:649" s="53" customFormat="1" ht="14.45" outlineLevel="1">
      <c r="C7" s="30" t="s">
        <v>26</v>
      </c>
      <c r="D7" s="30" t="s">
        <v>30</v>
      </c>
      <c r="E7" s="221"/>
      <c r="F7" s="51"/>
      <c r="G7" s="51">
        <v>7</v>
      </c>
      <c r="H7" s="51"/>
      <c r="I7" s="51"/>
      <c r="J7" s="51"/>
      <c r="K7" s="51"/>
      <c r="L7" s="51"/>
      <c r="M7" s="51"/>
      <c r="N7" s="51"/>
      <c r="O7" s="51"/>
      <c r="P7" s="51"/>
      <c r="Q7" s="51">
        <f t="shared" si="0"/>
        <v>7</v>
      </c>
      <c r="R7" s="51"/>
      <c r="S7" s="28" t="s">
        <v>31</v>
      </c>
      <c r="T7" s="31"/>
      <c r="U7" s="169"/>
      <c r="V7" s="170" t="e">
        <f>IF(#REF!="","Other Major Projects","Data Centre")</f>
        <v>#REF!</v>
      </c>
      <c r="W7" s="168"/>
      <c r="X7" s="28">
        <f>Table4232[[#This Row],[Post 2033]]+Table4232[[#This Row],[Total]]</f>
        <v>7</v>
      </c>
      <c r="Y7" s="28" t="s">
        <v>29</v>
      </c>
      <c r="Z7" s="52"/>
      <c r="AA7" s="52"/>
      <c r="AB7" s="52"/>
      <c r="AC7" s="52"/>
      <c r="AD7" s="52"/>
      <c r="AE7" s="27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  <c r="JF7" s="27"/>
      <c r="JG7" s="27"/>
      <c r="JH7" s="27"/>
      <c r="JI7" s="27"/>
      <c r="JJ7" s="27"/>
      <c r="JK7" s="27"/>
      <c r="JL7" s="27"/>
      <c r="JM7" s="27"/>
      <c r="JN7" s="27"/>
      <c r="JO7" s="27"/>
      <c r="JP7" s="27"/>
      <c r="JQ7" s="27"/>
      <c r="JR7" s="27"/>
      <c r="JS7" s="27"/>
      <c r="JT7" s="27"/>
      <c r="JU7" s="27"/>
      <c r="JV7" s="27"/>
      <c r="JW7" s="27"/>
      <c r="JX7" s="27"/>
      <c r="JY7" s="27"/>
      <c r="JZ7" s="27"/>
      <c r="KA7" s="27"/>
      <c r="KB7" s="27"/>
      <c r="KC7" s="27"/>
      <c r="KD7" s="27"/>
      <c r="KE7" s="27"/>
      <c r="KF7" s="27"/>
      <c r="KG7" s="27"/>
      <c r="KH7" s="27"/>
      <c r="KI7" s="27"/>
      <c r="KJ7" s="27"/>
      <c r="KK7" s="27"/>
      <c r="KL7" s="27"/>
      <c r="KM7" s="27"/>
      <c r="KN7" s="27"/>
      <c r="KO7" s="27"/>
      <c r="KP7" s="27"/>
      <c r="KQ7" s="27"/>
      <c r="KR7" s="27"/>
      <c r="KS7" s="27"/>
      <c r="KT7" s="27"/>
      <c r="KU7" s="27"/>
      <c r="KV7" s="27"/>
      <c r="KW7" s="27"/>
      <c r="KX7" s="27"/>
      <c r="KY7" s="27"/>
      <c r="KZ7" s="27"/>
      <c r="LA7" s="27"/>
      <c r="LB7" s="27"/>
      <c r="LC7" s="27"/>
      <c r="LD7" s="27"/>
      <c r="LE7" s="27"/>
      <c r="LF7" s="27"/>
      <c r="LG7" s="27"/>
      <c r="LH7" s="27"/>
      <c r="LI7" s="27"/>
      <c r="LJ7" s="27"/>
      <c r="LK7" s="27"/>
      <c r="LL7" s="27"/>
      <c r="LM7" s="27"/>
      <c r="LN7" s="27"/>
      <c r="LO7" s="27"/>
      <c r="LP7" s="27"/>
      <c r="LQ7" s="27"/>
      <c r="LR7" s="27"/>
      <c r="LS7" s="27"/>
      <c r="LT7" s="27"/>
      <c r="LU7" s="27"/>
      <c r="LV7" s="27"/>
      <c r="LW7" s="27"/>
      <c r="LX7" s="27"/>
      <c r="LY7" s="27"/>
      <c r="LZ7" s="27"/>
      <c r="MA7" s="27"/>
      <c r="MB7" s="27"/>
      <c r="MC7" s="27"/>
      <c r="MD7" s="27"/>
      <c r="ME7" s="27"/>
      <c r="MF7" s="27"/>
      <c r="MG7" s="27"/>
      <c r="MH7" s="27"/>
      <c r="MI7" s="27"/>
      <c r="MJ7" s="27"/>
      <c r="MK7" s="27"/>
      <c r="ML7" s="27"/>
      <c r="MM7" s="27"/>
      <c r="MN7" s="27"/>
      <c r="MO7" s="27"/>
      <c r="MP7" s="27"/>
      <c r="MQ7" s="27"/>
      <c r="MR7" s="27"/>
      <c r="MS7" s="27"/>
      <c r="MT7" s="27"/>
      <c r="MU7" s="27"/>
      <c r="MV7" s="27"/>
      <c r="MW7" s="27"/>
      <c r="MX7" s="27"/>
      <c r="MY7" s="27"/>
      <c r="MZ7" s="27"/>
      <c r="NA7" s="27"/>
      <c r="NB7" s="27"/>
      <c r="NC7" s="27"/>
      <c r="ND7" s="27"/>
      <c r="NE7" s="27"/>
      <c r="NF7" s="27"/>
      <c r="NG7" s="27"/>
      <c r="NH7" s="27"/>
      <c r="NI7" s="27"/>
      <c r="NJ7" s="27"/>
      <c r="NK7" s="27"/>
      <c r="NL7" s="27"/>
      <c r="NM7" s="27"/>
      <c r="NN7" s="27"/>
      <c r="NO7" s="27"/>
      <c r="NP7" s="27"/>
      <c r="NQ7" s="27"/>
      <c r="NR7" s="27"/>
      <c r="NS7" s="27"/>
      <c r="NT7" s="27"/>
      <c r="NU7" s="27"/>
      <c r="NV7" s="27"/>
      <c r="NW7" s="27"/>
      <c r="NX7" s="27"/>
      <c r="NY7" s="27"/>
      <c r="NZ7" s="27"/>
      <c r="OA7" s="27"/>
      <c r="OB7" s="27"/>
      <c r="OC7" s="27"/>
      <c r="OD7" s="27"/>
      <c r="OE7" s="27"/>
      <c r="OF7" s="27"/>
      <c r="OG7" s="27"/>
      <c r="OH7" s="27"/>
      <c r="OI7" s="27"/>
      <c r="OJ7" s="27"/>
      <c r="OK7" s="27"/>
      <c r="OL7" s="27"/>
      <c r="OM7" s="27"/>
      <c r="ON7" s="27"/>
      <c r="OO7" s="27"/>
      <c r="OP7" s="27"/>
      <c r="OQ7" s="27"/>
      <c r="OR7" s="27"/>
      <c r="OS7" s="27"/>
      <c r="OT7" s="27"/>
      <c r="OU7" s="27"/>
      <c r="OV7" s="27"/>
      <c r="OW7" s="27"/>
      <c r="OX7" s="27"/>
      <c r="OY7" s="27"/>
      <c r="OZ7" s="27"/>
      <c r="PA7" s="27"/>
      <c r="PB7" s="27"/>
      <c r="PC7" s="27"/>
      <c r="PD7" s="27"/>
      <c r="PE7" s="27"/>
      <c r="PF7" s="27"/>
      <c r="PG7" s="27"/>
      <c r="PH7" s="27"/>
      <c r="PI7" s="27"/>
      <c r="PJ7" s="27"/>
      <c r="PK7" s="27"/>
      <c r="PL7" s="27"/>
      <c r="PM7" s="27"/>
      <c r="PN7" s="27"/>
      <c r="PO7" s="27"/>
      <c r="PP7" s="27"/>
      <c r="PQ7" s="27"/>
      <c r="PR7" s="27"/>
      <c r="PS7" s="27"/>
      <c r="PT7" s="27"/>
      <c r="PU7" s="27"/>
      <c r="PV7" s="27"/>
      <c r="PW7" s="27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</row>
    <row r="8" spans="1:649" s="53" customFormat="1" ht="14.45" outlineLevel="1">
      <c r="C8" s="30" t="s">
        <v>26</v>
      </c>
      <c r="D8" s="30" t="s">
        <v>32</v>
      </c>
      <c r="E8" s="221"/>
      <c r="F8" s="51">
        <v>5</v>
      </c>
      <c r="G8" s="51">
        <v>10</v>
      </c>
      <c r="H8" s="51"/>
      <c r="I8" s="51"/>
      <c r="J8" s="51">
        <v>10</v>
      </c>
      <c r="K8" s="51"/>
      <c r="L8" s="51"/>
      <c r="M8" s="51"/>
      <c r="N8" s="51"/>
      <c r="O8" s="51"/>
      <c r="P8" s="51"/>
      <c r="Q8" s="51">
        <f t="shared" si="0"/>
        <v>25</v>
      </c>
      <c r="R8" s="51"/>
      <c r="S8" s="28" t="s">
        <v>31</v>
      </c>
      <c r="T8" s="31" t="s">
        <v>33</v>
      </c>
      <c r="U8" s="169"/>
      <c r="V8" s="170" t="e">
        <f>IF(#REF!="","Other Major Projects","Data Centre")</f>
        <v>#REF!</v>
      </c>
      <c r="W8" s="168"/>
      <c r="X8" s="28">
        <f>Table4232[[#This Row],[Post 2033]]+Table4232[[#This Row],[Total]]</f>
        <v>25</v>
      </c>
      <c r="Y8" s="28" t="s">
        <v>29</v>
      </c>
      <c r="Z8" s="52"/>
      <c r="AA8" s="52"/>
      <c r="AB8" s="52"/>
      <c r="AC8" s="52"/>
      <c r="AD8" s="52"/>
      <c r="AE8" s="27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  <c r="MM8" s="27"/>
      <c r="MN8" s="27"/>
      <c r="MO8" s="27"/>
      <c r="MP8" s="27"/>
      <c r="MQ8" s="27"/>
      <c r="MR8" s="27"/>
      <c r="MS8" s="27"/>
      <c r="MT8" s="27"/>
      <c r="MU8" s="27"/>
      <c r="MV8" s="27"/>
      <c r="MW8" s="27"/>
      <c r="MX8" s="27"/>
      <c r="MY8" s="27"/>
      <c r="MZ8" s="27"/>
      <c r="NA8" s="27"/>
      <c r="NB8" s="27"/>
      <c r="NC8" s="27"/>
      <c r="ND8" s="27"/>
      <c r="NE8" s="27"/>
      <c r="NF8" s="27"/>
      <c r="NG8" s="27"/>
      <c r="NH8" s="27"/>
      <c r="NI8" s="27"/>
      <c r="NJ8" s="27"/>
      <c r="NK8" s="27"/>
      <c r="NL8" s="27"/>
      <c r="NM8" s="27"/>
      <c r="NN8" s="27"/>
      <c r="NO8" s="27"/>
      <c r="NP8" s="27"/>
      <c r="NQ8" s="27"/>
      <c r="NR8" s="27"/>
      <c r="NS8" s="27"/>
      <c r="NT8" s="27"/>
      <c r="NU8" s="27"/>
      <c r="NV8" s="27"/>
      <c r="NW8" s="27"/>
      <c r="NX8" s="27"/>
      <c r="NY8" s="27"/>
      <c r="NZ8" s="27"/>
      <c r="OA8" s="27"/>
      <c r="OB8" s="27"/>
      <c r="OC8" s="27"/>
      <c r="OD8" s="27"/>
      <c r="OE8" s="27"/>
      <c r="OF8" s="27"/>
      <c r="OG8" s="27"/>
      <c r="OH8" s="27"/>
      <c r="OI8" s="27"/>
      <c r="OJ8" s="27"/>
      <c r="OK8" s="27"/>
      <c r="OL8" s="27"/>
      <c r="OM8" s="27"/>
      <c r="ON8" s="27"/>
      <c r="OO8" s="27"/>
      <c r="OP8" s="27"/>
      <c r="OQ8" s="27"/>
      <c r="OR8" s="27"/>
      <c r="OS8" s="27"/>
      <c r="OT8" s="27"/>
      <c r="OU8" s="27"/>
      <c r="OV8" s="27"/>
      <c r="OW8" s="27"/>
      <c r="OX8" s="27"/>
      <c r="OY8" s="27"/>
      <c r="OZ8" s="27"/>
      <c r="PA8" s="27"/>
      <c r="PB8" s="27"/>
      <c r="PC8" s="27"/>
      <c r="PD8" s="27"/>
      <c r="PE8" s="27"/>
      <c r="PF8" s="27"/>
      <c r="PG8" s="27"/>
      <c r="PH8" s="27"/>
      <c r="PI8" s="27"/>
      <c r="PJ8" s="27"/>
      <c r="PK8" s="27"/>
      <c r="PL8" s="27"/>
      <c r="PM8" s="27"/>
      <c r="PN8" s="27"/>
      <c r="PO8" s="27"/>
      <c r="PP8" s="27"/>
      <c r="PQ8" s="27"/>
      <c r="PR8" s="27"/>
      <c r="PS8" s="27"/>
      <c r="PT8" s="27"/>
      <c r="PU8" s="27"/>
      <c r="PV8" s="27"/>
      <c r="PW8" s="27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</row>
    <row r="9" spans="1:649" s="53" customFormat="1" ht="14.45" outlineLevel="1">
      <c r="C9" s="30" t="s">
        <v>26</v>
      </c>
      <c r="D9" s="30" t="s">
        <v>34</v>
      </c>
      <c r="E9" s="221"/>
      <c r="F9" s="51">
        <v>2</v>
      </c>
      <c r="G9" s="51">
        <v>2</v>
      </c>
      <c r="H9" s="51">
        <v>1</v>
      </c>
      <c r="I9" s="51">
        <v>1</v>
      </c>
      <c r="J9" s="51"/>
      <c r="K9" s="51"/>
      <c r="L9" s="51"/>
      <c r="M9" s="51"/>
      <c r="N9" s="51"/>
      <c r="O9" s="51"/>
      <c r="P9" s="51"/>
      <c r="Q9" s="51">
        <f t="shared" si="0"/>
        <v>6</v>
      </c>
      <c r="R9" s="51"/>
      <c r="S9" s="28" t="s">
        <v>31</v>
      </c>
      <c r="T9" s="31"/>
      <c r="U9" s="169"/>
      <c r="V9" s="170" t="e">
        <f>IF(#REF!="","Other Major Projects","Data Centre")</f>
        <v>#REF!</v>
      </c>
      <c r="W9" s="168"/>
      <c r="X9" s="28">
        <f>Table4232[[#This Row],[Post 2033]]+Table4232[[#This Row],[Total]]</f>
        <v>6</v>
      </c>
      <c r="Y9" s="28" t="s">
        <v>29</v>
      </c>
      <c r="Z9" s="52"/>
      <c r="AA9" s="52"/>
      <c r="AB9" s="52"/>
      <c r="AC9" s="52"/>
      <c r="AD9" s="52"/>
      <c r="AE9" s="27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7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7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  <c r="OZ9" s="27"/>
      <c r="PA9" s="27"/>
      <c r="PB9" s="27"/>
      <c r="PC9" s="27"/>
      <c r="PD9" s="27"/>
      <c r="PE9" s="27"/>
      <c r="PF9" s="27"/>
      <c r="PG9" s="27"/>
      <c r="PH9" s="27"/>
      <c r="PI9" s="27"/>
      <c r="PJ9" s="27"/>
      <c r="PK9" s="27"/>
      <c r="PL9" s="27"/>
      <c r="PM9" s="27"/>
      <c r="PN9" s="27"/>
      <c r="PO9" s="27"/>
      <c r="PP9" s="27"/>
      <c r="PQ9" s="27"/>
      <c r="PR9" s="27"/>
      <c r="PS9" s="27"/>
      <c r="PT9" s="27"/>
      <c r="PU9" s="27"/>
      <c r="PV9" s="27"/>
      <c r="PW9" s="27"/>
      <c r="PZ9" s="29"/>
      <c r="QA9" s="29"/>
      <c r="QB9" s="29"/>
      <c r="QC9" s="29"/>
      <c r="QD9" s="29"/>
      <c r="QE9" s="29"/>
      <c r="QF9" s="29"/>
      <c r="QG9" s="29"/>
      <c r="QH9" s="29"/>
      <c r="QI9" s="29"/>
      <c r="QJ9" s="29"/>
      <c r="QK9" s="29"/>
      <c r="QL9" s="29"/>
      <c r="QM9" s="29"/>
      <c r="QN9" s="29"/>
      <c r="QO9" s="29"/>
      <c r="QP9" s="29"/>
      <c r="QQ9" s="29"/>
      <c r="QR9" s="29"/>
      <c r="QS9" s="29"/>
      <c r="QT9" s="29"/>
      <c r="QU9" s="29"/>
      <c r="QV9" s="29"/>
      <c r="QW9" s="29"/>
      <c r="QX9" s="29"/>
      <c r="QY9" s="29"/>
      <c r="QZ9" s="29"/>
      <c r="RA9" s="29"/>
      <c r="RB9" s="29"/>
      <c r="RC9" s="29"/>
      <c r="RD9" s="29"/>
      <c r="RE9" s="29"/>
      <c r="RF9" s="29"/>
      <c r="RG9" s="29"/>
      <c r="RH9" s="29"/>
      <c r="RI9" s="29"/>
      <c r="RJ9" s="29"/>
      <c r="RK9" s="29"/>
      <c r="RL9" s="29"/>
      <c r="RM9" s="29"/>
      <c r="RN9" s="29"/>
      <c r="RO9" s="29"/>
      <c r="RP9" s="29"/>
      <c r="RQ9" s="29"/>
      <c r="RR9" s="29"/>
      <c r="RS9" s="29"/>
      <c r="RT9" s="29"/>
      <c r="RU9" s="29"/>
      <c r="RV9" s="29"/>
      <c r="RW9" s="29"/>
      <c r="RX9" s="29"/>
      <c r="RY9" s="29"/>
      <c r="RZ9" s="29"/>
      <c r="SA9" s="29"/>
      <c r="SB9" s="29"/>
      <c r="SC9" s="29"/>
      <c r="SD9" s="29"/>
      <c r="SE9" s="29"/>
      <c r="SF9" s="29"/>
      <c r="SG9" s="29"/>
      <c r="SH9" s="29"/>
      <c r="SI9" s="29"/>
      <c r="SJ9" s="29"/>
      <c r="SK9" s="29"/>
      <c r="SL9" s="29"/>
      <c r="SM9" s="29"/>
      <c r="SN9" s="29"/>
      <c r="SO9" s="29"/>
      <c r="SP9" s="29"/>
      <c r="SQ9" s="29"/>
      <c r="SR9" s="29"/>
      <c r="SS9" s="29"/>
      <c r="ST9" s="29"/>
      <c r="SU9" s="29"/>
      <c r="SV9" s="29"/>
      <c r="SW9" s="29"/>
      <c r="SX9" s="29"/>
      <c r="SY9" s="29"/>
      <c r="SZ9" s="29"/>
      <c r="TA9" s="29"/>
      <c r="TB9" s="29"/>
      <c r="TC9" s="29"/>
      <c r="TD9" s="29"/>
      <c r="TE9" s="29"/>
      <c r="TF9" s="29"/>
      <c r="TG9" s="29"/>
      <c r="TH9" s="29"/>
      <c r="TI9" s="29"/>
      <c r="TJ9" s="29"/>
      <c r="TK9" s="29"/>
      <c r="TL9" s="29"/>
      <c r="TM9" s="29"/>
      <c r="TN9" s="29"/>
      <c r="TO9" s="29"/>
      <c r="TP9" s="29"/>
      <c r="TQ9" s="29"/>
      <c r="TR9" s="29"/>
      <c r="TS9" s="29"/>
      <c r="TT9" s="29"/>
      <c r="TU9" s="29"/>
      <c r="TV9" s="29"/>
      <c r="TW9" s="29"/>
      <c r="TX9" s="29"/>
      <c r="TY9" s="29"/>
      <c r="TZ9" s="29"/>
      <c r="UA9" s="29"/>
      <c r="UB9" s="29"/>
      <c r="UC9" s="29"/>
      <c r="UD9" s="29"/>
      <c r="UE9" s="29"/>
      <c r="UF9" s="29"/>
      <c r="UG9" s="29"/>
      <c r="UH9" s="29"/>
      <c r="UI9" s="29"/>
      <c r="UJ9" s="29"/>
      <c r="UK9" s="29"/>
      <c r="UL9" s="29"/>
      <c r="UM9" s="29"/>
      <c r="UN9" s="29"/>
      <c r="UO9" s="29"/>
      <c r="UP9" s="29"/>
      <c r="UQ9" s="29"/>
      <c r="UR9" s="29"/>
      <c r="US9" s="29"/>
      <c r="UT9" s="29"/>
      <c r="UU9" s="29"/>
      <c r="UV9" s="29"/>
      <c r="UW9" s="29"/>
      <c r="UX9" s="29"/>
      <c r="UY9" s="29"/>
      <c r="UZ9" s="29"/>
      <c r="VA9" s="29"/>
      <c r="VB9" s="29"/>
      <c r="VC9" s="29"/>
      <c r="VD9" s="29"/>
      <c r="VE9" s="29"/>
      <c r="VF9" s="29"/>
      <c r="VG9" s="29"/>
      <c r="VH9" s="29"/>
      <c r="VI9" s="29"/>
      <c r="VJ9" s="29"/>
      <c r="VK9" s="29"/>
      <c r="VL9" s="29"/>
      <c r="VM9" s="29"/>
      <c r="VN9" s="29"/>
      <c r="VO9" s="29"/>
      <c r="VP9" s="29"/>
      <c r="VQ9" s="29"/>
      <c r="VR9" s="29"/>
      <c r="VS9" s="29"/>
      <c r="VT9" s="29"/>
      <c r="VU9" s="29"/>
      <c r="VV9" s="29"/>
      <c r="VW9" s="29"/>
      <c r="VX9" s="29"/>
      <c r="VY9" s="29"/>
      <c r="VZ9" s="29"/>
      <c r="WA9" s="29"/>
      <c r="WB9" s="29"/>
      <c r="WC9" s="29"/>
      <c r="WD9" s="29"/>
      <c r="WE9" s="29"/>
      <c r="WF9" s="29"/>
      <c r="WG9" s="29"/>
      <c r="WH9" s="29"/>
      <c r="WI9" s="29"/>
      <c r="WJ9" s="29"/>
      <c r="WK9" s="29"/>
      <c r="WL9" s="29"/>
      <c r="WM9" s="29"/>
      <c r="WN9" s="29"/>
      <c r="WO9" s="29"/>
      <c r="WP9" s="29"/>
      <c r="WQ9" s="29"/>
      <c r="WR9" s="29"/>
      <c r="WS9" s="29"/>
      <c r="WT9" s="29"/>
      <c r="WU9" s="29"/>
      <c r="WV9" s="29"/>
      <c r="WW9" s="29"/>
      <c r="WX9" s="29"/>
      <c r="WY9" s="29"/>
      <c r="WZ9" s="29"/>
      <c r="XA9" s="29"/>
      <c r="XB9" s="29"/>
      <c r="XC9" s="29"/>
      <c r="XD9" s="29"/>
      <c r="XE9" s="29"/>
      <c r="XF9" s="29"/>
      <c r="XG9" s="29"/>
      <c r="XH9" s="29"/>
      <c r="XI9" s="29"/>
      <c r="XJ9" s="29"/>
      <c r="XK9" s="29"/>
      <c r="XL9" s="29"/>
      <c r="XM9" s="29"/>
      <c r="XN9" s="29"/>
      <c r="XO9" s="29"/>
      <c r="XP9" s="29"/>
      <c r="XQ9" s="29"/>
      <c r="XR9" s="29"/>
      <c r="XS9" s="29"/>
      <c r="XT9" s="29"/>
      <c r="XU9" s="29"/>
      <c r="XV9" s="29"/>
      <c r="XW9" s="29"/>
      <c r="XX9" s="29"/>
      <c r="XY9" s="29"/>
    </row>
    <row r="10" spans="1:649" s="53" customFormat="1" ht="14.45" outlineLevel="1">
      <c r="C10" s="30" t="s">
        <v>26</v>
      </c>
      <c r="D10" s="28" t="s">
        <v>35</v>
      </c>
      <c r="E10" s="222"/>
      <c r="F10" s="51"/>
      <c r="G10" s="51">
        <v>6</v>
      </c>
      <c r="H10" s="51"/>
      <c r="I10" s="51"/>
      <c r="J10" s="51"/>
      <c r="K10" s="51"/>
      <c r="L10" s="51"/>
      <c r="M10" s="51"/>
      <c r="N10" s="51"/>
      <c r="O10" s="51"/>
      <c r="P10" s="51"/>
      <c r="Q10" s="51">
        <f t="shared" si="0"/>
        <v>6</v>
      </c>
      <c r="R10" s="51"/>
      <c r="S10" s="28" t="s">
        <v>28</v>
      </c>
      <c r="T10" s="31"/>
      <c r="U10" s="169"/>
      <c r="V10" s="170" t="e">
        <f>IF(#REF!="","Other Major Projects","Data Centre")</f>
        <v>#REF!</v>
      </c>
      <c r="W10" s="168"/>
      <c r="X10" s="28">
        <f>Table4232[[#This Row],[Post 2033]]+Table4232[[#This Row],[Total]]</f>
        <v>6</v>
      </c>
      <c r="Y10" s="28" t="s">
        <v>29</v>
      </c>
      <c r="Z10" s="52"/>
      <c r="AA10" s="52"/>
      <c r="AB10" s="52"/>
      <c r="AC10" s="52"/>
      <c r="AD10" s="52"/>
      <c r="AE10" s="27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  <c r="MM10" s="27"/>
      <c r="MN10" s="27"/>
      <c r="MO10" s="27"/>
      <c r="MP10" s="27"/>
      <c r="MQ10" s="27"/>
      <c r="MR10" s="27"/>
      <c r="MS10" s="27"/>
      <c r="MT10" s="27"/>
      <c r="MU10" s="27"/>
      <c r="MV10" s="27"/>
      <c r="MW10" s="27"/>
      <c r="MX10" s="27"/>
      <c r="MY10" s="27"/>
      <c r="MZ10" s="27"/>
      <c r="NA10" s="27"/>
      <c r="NB10" s="27"/>
      <c r="NC10" s="27"/>
      <c r="ND10" s="27"/>
      <c r="NE10" s="27"/>
      <c r="NF10" s="27"/>
      <c r="NG10" s="27"/>
      <c r="NH10" s="27"/>
      <c r="NI10" s="27"/>
      <c r="NJ10" s="27"/>
      <c r="NK10" s="27"/>
      <c r="NL10" s="27"/>
      <c r="NM10" s="27"/>
      <c r="NN10" s="27"/>
      <c r="NO10" s="27"/>
      <c r="NP10" s="27"/>
      <c r="NQ10" s="27"/>
      <c r="NR10" s="27"/>
      <c r="NS10" s="27"/>
      <c r="NT10" s="27"/>
      <c r="NU10" s="27"/>
      <c r="NV10" s="27"/>
      <c r="NW10" s="27"/>
      <c r="NX10" s="27"/>
      <c r="NY10" s="27"/>
      <c r="NZ10" s="27"/>
      <c r="OA10" s="27"/>
      <c r="OB10" s="27"/>
      <c r="OC10" s="27"/>
      <c r="OD10" s="27"/>
      <c r="OE10" s="27"/>
      <c r="OF10" s="27"/>
      <c r="OG10" s="27"/>
      <c r="OH10" s="27"/>
      <c r="OI10" s="27"/>
      <c r="OJ10" s="27"/>
      <c r="OK10" s="27"/>
      <c r="OL10" s="27"/>
      <c r="OM10" s="27"/>
      <c r="ON10" s="27"/>
      <c r="OO10" s="27"/>
      <c r="OP10" s="27"/>
      <c r="OQ10" s="27"/>
      <c r="OR10" s="27"/>
      <c r="OS10" s="27"/>
      <c r="OT10" s="27"/>
      <c r="OU10" s="27"/>
      <c r="OV10" s="27"/>
      <c r="OW10" s="27"/>
      <c r="OX10" s="27"/>
      <c r="OY10" s="27"/>
      <c r="OZ10" s="27"/>
      <c r="PA10" s="27"/>
      <c r="PB10" s="27"/>
      <c r="PC10" s="27"/>
      <c r="PD10" s="27"/>
      <c r="PE10" s="27"/>
      <c r="PF10" s="27"/>
      <c r="PG10" s="27"/>
      <c r="PH10" s="27"/>
      <c r="PI10" s="27"/>
      <c r="PJ10" s="27"/>
      <c r="PK10" s="27"/>
      <c r="PL10" s="27"/>
      <c r="PM10" s="27"/>
      <c r="PN10" s="27"/>
      <c r="PO10" s="27"/>
      <c r="PP10" s="27"/>
      <c r="PQ10" s="27"/>
      <c r="PR10" s="27"/>
      <c r="PS10" s="27"/>
      <c r="PT10" s="27"/>
      <c r="PU10" s="27"/>
      <c r="PV10" s="27"/>
      <c r="PW10" s="27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</row>
    <row r="11" spans="1:649" s="53" customFormat="1" ht="14.45" outlineLevel="1">
      <c r="C11" s="30" t="s">
        <v>26</v>
      </c>
      <c r="D11" s="28" t="s">
        <v>36</v>
      </c>
      <c r="E11" s="222"/>
      <c r="F11" s="51"/>
      <c r="G11" s="51">
        <v>6</v>
      </c>
      <c r="H11" s="51">
        <v>14</v>
      </c>
      <c r="I11" s="51"/>
      <c r="J11" s="51"/>
      <c r="K11" s="51"/>
      <c r="L11" s="51"/>
      <c r="M11" s="51"/>
      <c r="N11" s="51"/>
      <c r="O11" s="51"/>
      <c r="P11" s="51"/>
      <c r="Q11" s="51">
        <f t="shared" si="0"/>
        <v>20</v>
      </c>
      <c r="R11" s="51"/>
      <c r="S11" s="28" t="s">
        <v>37</v>
      </c>
      <c r="T11" s="31" t="s">
        <v>38</v>
      </c>
      <c r="U11" s="169"/>
      <c r="V11" s="170" t="e">
        <f>IF(#REF!="","Other Major Projects","Data Centre")</f>
        <v>#REF!</v>
      </c>
      <c r="W11" s="168"/>
      <c r="X11" s="28">
        <f>Table4232[[#This Row],[Post 2033]]+Table4232[[#This Row],[Total]]</f>
        <v>20</v>
      </c>
      <c r="Y11" s="28" t="s">
        <v>29</v>
      </c>
      <c r="Z11" s="52"/>
      <c r="AA11" s="52"/>
      <c r="AB11" s="52"/>
      <c r="AC11" s="52"/>
      <c r="AD11" s="52"/>
      <c r="AE11" s="27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</row>
    <row r="12" spans="1:649" s="53" customFormat="1" ht="14.45" outlineLevel="1">
      <c r="C12" s="30" t="s">
        <v>26</v>
      </c>
      <c r="D12" s="28" t="s">
        <v>39</v>
      </c>
      <c r="E12" s="222"/>
      <c r="F12" s="51"/>
      <c r="G12" s="51">
        <v>5</v>
      </c>
      <c r="H12" s="51"/>
      <c r="I12" s="51"/>
      <c r="J12" s="51">
        <v>5</v>
      </c>
      <c r="K12" s="51">
        <v>5</v>
      </c>
      <c r="L12" s="51">
        <v>5</v>
      </c>
      <c r="M12" s="51"/>
      <c r="N12" s="51"/>
      <c r="O12" s="51"/>
      <c r="P12" s="51"/>
      <c r="Q12" s="51">
        <f t="shared" si="0"/>
        <v>20</v>
      </c>
      <c r="R12" s="51"/>
      <c r="S12" s="28" t="s">
        <v>37</v>
      </c>
      <c r="T12" s="31"/>
      <c r="U12" s="169"/>
      <c r="V12" s="170" t="e">
        <f>IF(#REF!="","Other Major Projects","Data Centre")</f>
        <v>#REF!</v>
      </c>
      <c r="W12" s="168"/>
      <c r="X12" s="28">
        <f>Table4232[[#This Row],[Post 2033]]+Table4232[[#This Row],[Total]]</f>
        <v>20</v>
      </c>
      <c r="Y12" s="28" t="s">
        <v>29</v>
      </c>
      <c r="Z12" s="52"/>
      <c r="AA12" s="52"/>
      <c r="AB12" s="52"/>
      <c r="AC12" s="52"/>
      <c r="AD12" s="52"/>
      <c r="AE12" s="27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7"/>
      <c r="LZ12" s="27"/>
      <c r="MA12" s="27"/>
      <c r="MB12" s="27"/>
      <c r="MC12" s="27"/>
      <c r="MD12" s="27"/>
      <c r="ME12" s="27"/>
      <c r="MF12" s="27"/>
      <c r="MG12" s="27"/>
      <c r="MH12" s="27"/>
      <c r="MI12" s="27"/>
      <c r="MJ12" s="27"/>
      <c r="MK12" s="27"/>
      <c r="ML12" s="27"/>
      <c r="MM12" s="27"/>
      <c r="MN12" s="27"/>
      <c r="MO12" s="27"/>
      <c r="MP12" s="27"/>
      <c r="MQ12" s="27"/>
      <c r="MR12" s="27"/>
      <c r="MS12" s="27"/>
      <c r="MT12" s="27"/>
      <c r="MU12" s="27"/>
      <c r="MV12" s="27"/>
      <c r="MW12" s="27"/>
      <c r="MX12" s="27"/>
      <c r="MY12" s="27"/>
      <c r="MZ12" s="27"/>
      <c r="NA12" s="27"/>
      <c r="NB12" s="27"/>
      <c r="NC12" s="27"/>
      <c r="ND12" s="27"/>
      <c r="NE12" s="27"/>
      <c r="NF12" s="27"/>
      <c r="NG12" s="27"/>
      <c r="NH12" s="27"/>
      <c r="NI12" s="27"/>
      <c r="NJ12" s="27"/>
      <c r="NK12" s="27"/>
      <c r="NL12" s="27"/>
      <c r="NM12" s="27"/>
      <c r="NN12" s="27"/>
      <c r="NO12" s="27"/>
      <c r="NP12" s="27"/>
      <c r="NQ12" s="27"/>
      <c r="NR12" s="27"/>
      <c r="NS12" s="27"/>
      <c r="NT12" s="27"/>
      <c r="NU12" s="27"/>
      <c r="NV12" s="27"/>
      <c r="NW12" s="27"/>
      <c r="NX12" s="27"/>
      <c r="NY12" s="27"/>
      <c r="NZ12" s="27"/>
      <c r="OA12" s="27"/>
      <c r="OB12" s="27"/>
      <c r="OC12" s="27"/>
      <c r="OD12" s="27"/>
      <c r="OE12" s="27"/>
      <c r="OF12" s="27"/>
      <c r="OG12" s="27"/>
      <c r="OH12" s="27"/>
      <c r="OI12" s="27"/>
      <c r="OJ12" s="27"/>
      <c r="OK12" s="27"/>
      <c r="OL12" s="27"/>
      <c r="OM12" s="27"/>
      <c r="ON12" s="27"/>
      <c r="OO12" s="27"/>
      <c r="OP12" s="27"/>
      <c r="OQ12" s="27"/>
      <c r="OR12" s="27"/>
      <c r="OS12" s="27"/>
      <c r="OT12" s="27"/>
      <c r="OU12" s="27"/>
      <c r="OV12" s="27"/>
      <c r="OW12" s="27"/>
      <c r="OX12" s="27"/>
      <c r="OY12" s="27"/>
      <c r="OZ12" s="27"/>
      <c r="PA12" s="27"/>
      <c r="PB12" s="27"/>
      <c r="PC12" s="27"/>
      <c r="PD12" s="27"/>
      <c r="PE12" s="27"/>
      <c r="PF12" s="27"/>
      <c r="PG12" s="27"/>
      <c r="PH12" s="27"/>
      <c r="PI12" s="27"/>
      <c r="PJ12" s="27"/>
      <c r="PK12" s="27"/>
      <c r="PL12" s="27"/>
      <c r="PM12" s="27"/>
      <c r="PN12" s="27"/>
      <c r="PO12" s="27"/>
      <c r="PP12" s="27"/>
      <c r="PQ12" s="27"/>
      <c r="PR12" s="27"/>
      <c r="PS12" s="27"/>
      <c r="PT12" s="27"/>
      <c r="PU12" s="27"/>
      <c r="PV12" s="27"/>
      <c r="PW12" s="27"/>
      <c r="PZ12" s="29"/>
      <c r="QA12" s="29"/>
      <c r="QB12" s="29"/>
      <c r="QC12" s="29"/>
      <c r="QD12" s="29"/>
      <c r="QE12" s="29"/>
      <c r="QF12" s="29"/>
      <c r="QG12" s="29"/>
      <c r="QH12" s="29"/>
      <c r="QI12" s="29"/>
      <c r="QJ12" s="29"/>
      <c r="QK12" s="29"/>
      <c r="QL12" s="29"/>
      <c r="QM12" s="29"/>
      <c r="QN12" s="29"/>
      <c r="QO12" s="29"/>
      <c r="QP12" s="29"/>
      <c r="QQ12" s="29"/>
      <c r="QR12" s="29"/>
      <c r="QS12" s="29"/>
      <c r="QT12" s="29"/>
      <c r="QU12" s="29"/>
      <c r="QV12" s="29"/>
      <c r="QW12" s="29"/>
      <c r="QX12" s="29"/>
      <c r="QY12" s="29"/>
      <c r="QZ12" s="29"/>
      <c r="RA12" s="29"/>
      <c r="RB12" s="29"/>
      <c r="RC12" s="29"/>
      <c r="RD12" s="29"/>
      <c r="RE12" s="29"/>
      <c r="RF12" s="29"/>
      <c r="RG12" s="29"/>
      <c r="RH12" s="29"/>
      <c r="RI12" s="29"/>
      <c r="RJ12" s="29"/>
      <c r="RK12" s="29"/>
      <c r="RL12" s="29"/>
      <c r="RM12" s="29"/>
      <c r="RN12" s="29"/>
      <c r="RO12" s="29"/>
      <c r="RP12" s="29"/>
      <c r="RQ12" s="29"/>
      <c r="RR12" s="29"/>
      <c r="RS12" s="29"/>
      <c r="RT12" s="29"/>
      <c r="RU12" s="29"/>
      <c r="RV12" s="29"/>
      <c r="RW12" s="29"/>
      <c r="RX12" s="29"/>
      <c r="RY12" s="29"/>
      <c r="RZ12" s="29"/>
      <c r="SA12" s="29"/>
      <c r="SB12" s="29"/>
      <c r="SC12" s="29"/>
      <c r="SD12" s="29"/>
      <c r="SE12" s="29"/>
      <c r="SF12" s="29"/>
      <c r="SG12" s="29"/>
      <c r="SH12" s="29"/>
      <c r="SI12" s="29"/>
      <c r="SJ12" s="29"/>
      <c r="SK12" s="29"/>
      <c r="SL12" s="29"/>
      <c r="SM12" s="29"/>
      <c r="SN12" s="29"/>
      <c r="SO12" s="29"/>
      <c r="SP12" s="29"/>
      <c r="SQ12" s="29"/>
      <c r="SR12" s="29"/>
      <c r="SS12" s="29"/>
      <c r="ST12" s="29"/>
      <c r="SU12" s="29"/>
      <c r="SV12" s="29"/>
      <c r="SW12" s="29"/>
      <c r="SX12" s="29"/>
      <c r="SY12" s="29"/>
      <c r="SZ12" s="29"/>
      <c r="TA12" s="29"/>
      <c r="TB12" s="29"/>
      <c r="TC12" s="29"/>
      <c r="TD12" s="29"/>
      <c r="TE12" s="29"/>
      <c r="TF12" s="29"/>
      <c r="TG12" s="29"/>
      <c r="TH12" s="29"/>
      <c r="TI12" s="29"/>
      <c r="TJ12" s="29"/>
      <c r="TK12" s="29"/>
      <c r="TL12" s="29"/>
      <c r="TM12" s="29"/>
      <c r="TN12" s="29"/>
      <c r="TO12" s="29"/>
      <c r="TP12" s="29"/>
      <c r="TQ12" s="29"/>
      <c r="TR12" s="29"/>
      <c r="TS12" s="29"/>
      <c r="TT12" s="29"/>
      <c r="TU12" s="29"/>
      <c r="TV12" s="29"/>
      <c r="TW12" s="29"/>
      <c r="TX12" s="29"/>
      <c r="TY12" s="29"/>
      <c r="TZ12" s="29"/>
      <c r="UA12" s="29"/>
      <c r="UB12" s="29"/>
      <c r="UC12" s="29"/>
      <c r="UD12" s="29"/>
      <c r="UE12" s="29"/>
      <c r="UF12" s="29"/>
      <c r="UG12" s="29"/>
      <c r="UH12" s="29"/>
      <c r="UI12" s="29"/>
      <c r="UJ12" s="29"/>
      <c r="UK12" s="29"/>
      <c r="UL12" s="29"/>
      <c r="UM12" s="29"/>
      <c r="UN12" s="29"/>
      <c r="UO12" s="29"/>
      <c r="UP12" s="29"/>
      <c r="UQ12" s="29"/>
      <c r="UR12" s="29"/>
      <c r="US12" s="29"/>
      <c r="UT12" s="29"/>
      <c r="UU12" s="29"/>
      <c r="UV12" s="29"/>
      <c r="UW12" s="29"/>
      <c r="UX12" s="29"/>
      <c r="UY12" s="29"/>
      <c r="UZ12" s="29"/>
      <c r="VA12" s="29"/>
      <c r="VB12" s="29"/>
      <c r="VC12" s="29"/>
      <c r="VD12" s="29"/>
      <c r="VE12" s="29"/>
      <c r="VF12" s="29"/>
      <c r="VG12" s="29"/>
      <c r="VH12" s="29"/>
      <c r="VI12" s="29"/>
      <c r="VJ12" s="29"/>
      <c r="VK12" s="29"/>
      <c r="VL12" s="29"/>
      <c r="VM12" s="29"/>
      <c r="VN12" s="29"/>
      <c r="VO12" s="29"/>
      <c r="VP12" s="29"/>
      <c r="VQ12" s="29"/>
      <c r="VR12" s="29"/>
      <c r="VS12" s="29"/>
      <c r="VT12" s="29"/>
      <c r="VU12" s="29"/>
      <c r="VV12" s="29"/>
      <c r="VW12" s="29"/>
      <c r="VX12" s="29"/>
      <c r="VY12" s="29"/>
      <c r="VZ12" s="29"/>
      <c r="WA12" s="29"/>
      <c r="WB12" s="29"/>
      <c r="WC12" s="29"/>
      <c r="WD12" s="29"/>
      <c r="WE12" s="29"/>
      <c r="WF12" s="29"/>
      <c r="WG12" s="29"/>
      <c r="WH12" s="29"/>
      <c r="WI12" s="29"/>
      <c r="WJ12" s="29"/>
      <c r="WK12" s="29"/>
      <c r="WL12" s="29"/>
      <c r="WM12" s="29"/>
      <c r="WN12" s="29"/>
      <c r="WO12" s="29"/>
      <c r="WP12" s="29"/>
      <c r="WQ12" s="29"/>
      <c r="WR12" s="29"/>
      <c r="WS12" s="29"/>
      <c r="WT12" s="29"/>
      <c r="WU12" s="29"/>
      <c r="WV12" s="29"/>
      <c r="WW12" s="29"/>
      <c r="WX12" s="29"/>
      <c r="WY12" s="29"/>
      <c r="WZ12" s="29"/>
      <c r="XA12" s="29"/>
      <c r="XB12" s="29"/>
      <c r="XC12" s="29"/>
      <c r="XD12" s="29"/>
      <c r="XE12" s="29"/>
      <c r="XF12" s="29"/>
      <c r="XG12" s="29"/>
      <c r="XH12" s="29"/>
      <c r="XI12" s="29"/>
      <c r="XJ12" s="29"/>
      <c r="XK12" s="29"/>
      <c r="XL12" s="29"/>
      <c r="XM12" s="29"/>
      <c r="XN12" s="29"/>
      <c r="XO12" s="29"/>
      <c r="XP12" s="29"/>
      <c r="XQ12" s="29"/>
      <c r="XR12" s="29"/>
      <c r="XS12" s="29"/>
      <c r="XT12" s="29"/>
      <c r="XU12" s="29"/>
      <c r="XV12" s="29"/>
      <c r="XW12" s="29"/>
      <c r="XX12" s="29"/>
      <c r="XY12" s="29"/>
    </row>
    <row r="13" spans="1:649" s="53" customFormat="1" ht="14.45" outlineLevel="1">
      <c r="C13" s="30" t="s">
        <v>26</v>
      </c>
      <c r="D13" s="28" t="s">
        <v>40</v>
      </c>
      <c r="E13" s="222"/>
      <c r="F13" s="51"/>
      <c r="G13" s="51">
        <v>10</v>
      </c>
      <c r="H13" s="51"/>
      <c r="I13" s="51"/>
      <c r="J13" s="51"/>
      <c r="K13" s="51"/>
      <c r="L13" s="51"/>
      <c r="M13" s="51"/>
      <c r="N13" s="51"/>
      <c r="O13" s="51"/>
      <c r="P13" s="51"/>
      <c r="Q13" s="51">
        <f t="shared" si="0"/>
        <v>10</v>
      </c>
      <c r="R13" s="51"/>
      <c r="S13" s="28" t="s">
        <v>41</v>
      </c>
      <c r="T13" s="31"/>
      <c r="U13" s="169"/>
      <c r="V13" s="170" t="e">
        <f>IF(#REF!="","Other Major Projects","Data Centre")</f>
        <v>#REF!</v>
      </c>
      <c r="W13" s="168"/>
      <c r="X13" s="28">
        <f>Table4232[[#This Row],[Post 2033]]+Table4232[[#This Row],[Total]]</f>
        <v>10</v>
      </c>
      <c r="Y13" s="28" t="s">
        <v>29</v>
      </c>
      <c r="Z13" s="52"/>
      <c r="AA13" s="52"/>
      <c r="AB13" s="52"/>
      <c r="AC13" s="52"/>
      <c r="AD13" s="52"/>
      <c r="AE13" s="27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  <c r="MM13" s="27"/>
      <c r="MN13" s="27"/>
      <c r="MO13" s="27"/>
      <c r="MP13" s="27"/>
      <c r="MQ13" s="27"/>
      <c r="MR13" s="27"/>
      <c r="MS13" s="27"/>
      <c r="MT13" s="27"/>
      <c r="MU13" s="27"/>
      <c r="MV13" s="27"/>
      <c r="MW13" s="27"/>
      <c r="MX13" s="27"/>
      <c r="MY13" s="27"/>
      <c r="MZ13" s="27"/>
      <c r="NA13" s="27"/>
      <c r="NB13" s="27"/>
      <c r="NC13" s="27"/>
      <c r="ND13" s="27"/>
      <c r="NE13" s="27"/>
      <c r="NF13" s="27"/>
      <c r="NG13" s="27"/>
      <c r="NH13" s="27"/>
      <c r="NI13" s="27"/>
      <c r="NJ13" s="27"/>
      <c r="NK13" s="27"/>
      <c r="NL13" s="27"/>
      <c r="NM13" s="27"/>
      <c r="NN13" s="27"/>
      <c r="NO13" s="27"/>
      <c r="NP13" s="27"/>
      <c r="NQ13" s="27"/>
      <c r="NR13" s="27"/>
      <c r="NS13" s="27"/>
      <c r="NT13" s="27"/>
      <c r="NU13" s="27"/>
      <c r="NV13" s="27"/>
      <c r="NW13" s="27"/>
      <c r="NX13" s="27"/>
      <c r="NY13" s="27"/>
      <c r="NZ13" s="27"/>
      <c r="OA13" s="27"/>
      <c r="OB13" s="27"/>
      <c r="OC13" s="27"/>
      <c r="OD13" s="27"/>
      <c r="OE13" s="27"/>
      <c r="OF13" s="27"/>
      <c r="OG13" s="27"/>
      <c r="OH13" s="27"/>
      <c r="OI13" s="27"/>
      <c r="OJ13" s="27"/>
      <c r="OK13" s="27"/>
      <c r="OL13" s="27"/>
      <c r="OM13" s="27"/>
      <c r="ON13" s="27"/>
      <c r="OO13" s="27"/>
      <c r="OP13" s="27"/>
      <c r="OQ13" s="27"/>
      <c r="OR13" s="27"/>
      <c r="OS13" s="27"/>
      <c r="OT13" s="27"/>
      <c r="OU13" s="27"/>
      <c r="OV13" s="27"/>
      <c r="OW13" s="27"/>
      <c r="OX13" s="27"/>
      <c r="OY13" s="27"/>
      <c r="OZ13" s="27"/>
      <c r="PA13" s="27"/>
      <c r="PB13" s="27"/>
      <c r="PC13" s="27"/>
      <c r="PD13" s="27"/>
      <c r="PE13" s="27"/>
      <c r="PF13" s="27"/>
      <c r="PG13" s="27"/>
      <c r="PH13" s="27"/>
      <c r="PI13" s="27"/>
      <c r="PJ13" s="27"/>
      <c r="PK13" s="27"/>
      <c r="PL13" s="27"/>
      <c r="PM13" s="27"/>
      <c r="PN13" s="27"/>
      <c r="PO13" s="27"/>
      <c r="PP13" s="27"/>
      <c r="PQ13" s="27"/>
      <c r="PR13" s="27"/>
      <c r="PS13" s="27"/>
      <c r="PT13" s="27"/>
      <c r="PU13" s="27"/>
      <c r="PV13" s="27"/>
      <c r="PW13" s="27"/>
      <c r="PZ13" s="29"/>
      <c r="QA13" s="29"/>
      <c r="QB13" s="29"/>
      <c r="QC13" s="29"/>
      <c r="QD13" s="29"/>
      <c r="QE13" s="29"/>
      <c r="QF13" s="29"/>
      <c r="QG13" s="29"/>
      <c r="QH13" s="29"/>
      <c r="QI13" s="29"/>
      <c r="QJ13" s="29"/>
      <c r="QK13" s="29"/>
      <c r="QL13" s="29"/>
      <c r="QM13" s="29"/>
      <c r="QN13" s="29"/>
      <c r="QO13" s="29"/>
      <c r="QP13" s="29"/>
      <c r="QQ13" s="29"/>
      <c r="QR13" s="29"/>
      <c r="QS13" s="29"/>
      <c r="QT13" s="29"/>
      <c r="QU13" s="29"/>
      <c r="QV13" s="29"/>
      <c r="QW13" s="29"/>
      <c r="QX13" s="29"/>
      <c r="QY13" s="29"/>
      <c r="QZ13" s="29"/>
      <c r="RA13" s="29"/>
      <c r="RB13" s="29"/>
      <c r="RC13" s="29"/>
      <c r="RD13" s="29"/>
      <c r="RE13" s="29"/>
      <c r="RF13" s="29"/>
      <c r="RG13" s="29"/>
      <c r="RH13" s="29"/>
      <c r="RI13" s="29"/>
      <c r="RJ13" s="29"/>
      <c r="RK13" s="29"/>
      <c r="RL13" s="29"/>
      <c r="RM13" s="29"/>
      <c r="RN13" s="29"/>
      <c r="RO13" s="29"/>
      <c r="RP13" s="29"/>
      <c r="RQ13" s="29"/>
      <c r="RR13" s="29"/>
      <c r="RS13" s="29"/>
      <c r="RT13" s="29"/>
      <c r="RU13" s="29"/>
      <c r="RV13" s="29"/>
      <c r="RW13" s="29"/>
      <c r="RX13" s="29"/>
      <c r="RY13" s="29"/>
      <c r="RZ13" s="29"/>
      <c r="SA13" s="29"/>
      <c r="SB13" s="29"/>
      <c r="SC13" s="29"/>
      <c r="SD13" s="29"/>
      <c r="SE13" s="29"/>
      <c r="SF13" s="29"/>
      <c r="SG13" s="29"/>
      <c r="SH13" s="29"/>
      <c r="SI13" s="29"/>
      <c r="SJ13" s="29"/>
      <c r="SK13" s="29"/>
      <c r="SL13" s="29"/>
      <c r="SM13" s="29"/>
      <c r="SN13" s="29"/>
      <c r="SO13" s="29"/>
      <c r="SP13" s="29"/>
      <c r="SQ13" s="29"/>
      <c r="SR13" s="29"/>
      <c r="SS13" s="29"/>
      <c r="ST13" s="29"/>
      <c r="SU13" s="29"/>
      <c r="SV13" s="29"/>
      <c r="SW13" s="29"/>
      <c r="SX13" s="29"/>
      <c r="SY13" s="29"/>
      <c r="SZ13" s="29"/>
      <c r="TA13" s="29"/>
      <c r="TB13" s="29"/>
      <c r="TC13" s="29"/>
      <c r="TD13" s="29"/>
      <c r="TE13" s="29"/>
      <c r="TF13" s="29"/>
      <c r="TG13" s="29"/>
      <c r="TH13" s="29"/>
      <c r="TI13" s="29"/>
      <c r="TJ13" s="29"/>
      <c r="TK13" s="29"/>
      <c r="TL13" s="29"/>
      <c r="TM13" s="29"/>
      <c r="TN13" s="29"/>
      <c r="TO13" s="29"/>
      <c r="TP13" s="29"/>
      <c r="TQ13" s="29"/>
      <c r="TR13" s="29"/>
      <c r="TS13" s="29"/>
      <c r="TT13" s="29"/>
      <c r="TU13" s="29"/>
      <c r="TV13" s="29"/>
      <c r="TW13" s="29"/>
      <c r="TX13" s="29"/>
      <c r="TY13" s="29"/>
      <c r="TZ13" s="29"/>
      <c r="UA13" s="29"/>
      <c r="UB13" s="29"/>
      <c r="UC13" s="29"/>
      <c r="UD13" s="29"/>
      <c r="UE13" s="29"/>
      <c r="UF13" s="29"/>
      <c r="UG13" s="29"/>
      <c r="UH13" s="29"/>
      <c r="UI13" s="29"/>
      <c r="UJ13" s="29"/>
      <c r="UK13" s="29"/>
      <c r="UL13" s="29"/>
      <c r="UM13" s="29"/>
      <c r="UN13" s="29"/>
      <c r="UO13" s="29"/>
      <c r="UP13" s="29"/>
      <c r="UQ13" s="29"/>
      <c r="UR13" s="29"/>
      <c r="US13" s="29"/>
      <c r="UT13" s="29"/>
      <c r="UU13" s="29"/>
      <c r="UV13" s="29"/>
      <c r="UW13" s="29"/>
      <c r="UX13" s="29"/>
      <c r="UY13" s="29"/>
      <c r="UZ13" s="29"/>
      <c r="VA13" s="29"/>
      <c r="VB13" s="29"/>
      <c r="VC13" s="29"/>
      <c r="VD13" s="29"/>
      <c r="VE13" s="29"/>
      <c r="VF13" s="29"/>
      <c r="VG13" s="29"/>
      <c r="VH13" s="29"/>
      <c r="VI13" s="29"/>
      <c r="VJ13" s="29"/>
      <c r="VK13" s="29"/>
      <c r="VL13" s="29"/>
      <c r="VM13" s="29"/>
      <c r="VN13" s="29"/>
      <c r="VO13" s="29"/>
      <c r="VP13" s="29"/>
      <c r="VQ13" s="29"/>
      <c r="VR13" s="29"/>
      <c r="VS13" s="29"/>
      <c r="VT13" s="29"/>
      <c r="VU13" s="29"/>
      <c r="VV13" s="29"/>
      <c r="VW13" s="29"/>
      <c r="VX13" s="29"/>
      <c r="VY13" s="29"/>
      <c r="VZ13" s="29"/>
      <c r="WA13" s="29"/>
      <c r="WB13" s="29"/>
      <c r="WC13" s="29"/>
      <c r="WD13" s="29"/>
      <c r="WE13" s="29"/>
      <c r="WF13" s="29"/>
      <c r="WG13" s="29"/>
      <c r="WH13" s="29"/>
      <c r="WI13" s="29"/>
      <c r="WJ13" s="29"/>
      <c r="WK13" s="29"/>
      <c r="WL13" s="29"/>
      <c r="WM13" s="29"/>
      <c r="WN13" s="29"/>
      <c r="WO13" s="29"/>
      <c r="WP13" s="29"/>
      <c r="WQ13" s="29"/>
      <c r="WR13" s="29"/>
      <c r="WS13" s="29"/>
      <c r="WT13" s="29"/>
      <c r="WU13" s="29"/>
      <c r="WV13" s="29"/>
      <c r="WW13" s="29"/>
      <c r="WX13" s="29"/>
      <c r="WY13" s="29"/>
      <c r="WZ13" s="29"/>
      <c r="XA13" s="29"/>
      <c r="XB13" s="29"/>
      <c r="XC13" s="29"/>
      <c r="XD13" s="29"/>
      <c r="XE13" s="29"/>
      <c r="XF13" s="29"/>
      <c r="XG13" s="29"/>
      <c r="XH13" s="29"/>
      <c r="XI13" s="29"/>
      <c r="XJ13" s="29"/>
      <c r="XK13" s="29"/>
      <c r="XL13" s="29"/>
      <c r="XM13" s="29"/>
      <c r="XN13" s="29"/>
      <c r="XO13" s="29"/>
      <c r="XP13" s="29"/>
      <c r="XQ13" s="29"/>
      <c r="XR13" s="29"/>
      <c r="XS13" s="29"/>
      <c r="XT13" s="29"/>
      <c r="XU13" s="29"/>
      <c r="XV13" s="29"/>
      <c r="XW13" s="29"/>
      <c r="XX13" s="29"/>
      <c r="XY13" s="29"/>
    </row>
    <row r="14" spans="1:649" s="53" customFormat="1" ht="14.45" outlineLevel="1">
      <c r="C14" s="30" t="s">
        <v>26</v>
      </c>
      <c r="D14" s="28" t="s">
        <v>42</v>
      </c>
      <c r="E14" s="222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>
        <f t="shared" si="0"/>
        <v>0</v>
      </c>
      <c r="R14" s="51"/>
      <c r="S14" s="28" t="s">
        <v>37</v>
      </c>
      <c r="T14" s="31"/>
      <c r="U14" s="169"/>
      <c r="V14" s="170" t="e">
        <f>IF(#REF!="","Other Major Projects","Data Centre")</f>
        <v>#REF!</v>
      </c>
      <c r="W14" s="168"/>
      <c r="X14" s="28">
        <f>Table4232[[#This Row],[Post 2033]]+Table4232[[#This Row],[Total]]</f>
        <v>0</v>
      </c>
      <c r="Y14" s="28" t="s">
        <v>29</v>
      </c>
      <c r="Z14" s="52"/>
      <c r="AA14" s="52"/>
      <c r="AB14" s="52"/>
      <c r="AC14" s="52"/>
      <c r="AD14" s="52"/>
      <c r="AE14" s="27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Z14" s="29"/>
      <c r="QA14" s="29"/>
      <c r="QB14" s="29"/>
      <c r="QC14" s="29"/>
      <c r="QD14" s="29"/>
      <c r="QE14" s="29"/>
      <c r="QF14" s="29"/>
      <c r="QG14" s="29"/>
      <c r="QH14" s="29"/>
      <c r="QI14" s="29"/>
      <c r="QJ14" s="29"/>
      <c r="QK14" s="29"/>
      <c r="QL14" s="29"/>
      <c r="QM14" s="29"/>
      <c r="QN14" s="29"/>
      <c r="QO14" s="29"/>
      <c r="QP14" s="29"/>
      <c r="QQ14" s="29"/>
      <c r="QR14" s="29"/>
      <c r="QS14" s="29"/>
      <c r="QT14" s="29"/>
      <c r="QU14" s="29"/>
      <c r="QV14" s="29"/>
      <c r="QW14" s="29"/>
      <c r="QX14" s="29"/>
      <c r="QY14" s="29"/>
      <c r="QZ14" s="29"/>
      <c r="RA14" s="29"/>
      <c r="RB14" s="29"/>
      <c r="RC14" s="29"/>
      <c r="RD14" s="29"/>
      <c r="RE14" s="29"/>
      <c r="RF14" s="29"/>
      <c r="RG14" s="29"/>
      <c r="RH14" s="29"/>
      <c r="RI14" s="29"/>
      <c r="RJ14" s="29"/>
      <c r="RK14" s="29"/>
      <c r="RL14" s="29"/>
      <c r="RM14" s="29"/>
      <c r="RN14" s="29"/>
      <c r="RO14" s="29"/>
      <c r="RP14" s="29"/>
      <c r="RQ14" s="29"/>
      <c r="RR14" s="29"/>
      <c r="RS14" s="29"/>
      <c r="RT14" s="29"/>
      <c r="RU14" s="29"/>
      <c r="RV14" s="29"/>
      <c r="RW14" s="29"/>
      <c r="RX14" s="29"/>
      <c r="RY14" s="29"/>
      <c r="RZ14" s="29"/>
      <c r="SA14" s="29"/>
      <c r="SB14" s="29"/>
      <c r="SC14" s="29"/>
      <c r="SD14" s="29"/>
      <c r="SE14" s="29"/>
      <c r="SF14" s="29"/>
      <c r="SG14" s="29"/>
      <c r="SH14" s="29"/>
      <c r="SI14" s="29"/>
      <c r="SJ14" s="29"/>
      <c r="SK14" s="29"/>
      <c r="SL14" s="29"/>
      <c r="SM14" s="29"/>
      <c r="SN14" s="29"/>
      <c r="SO14" s="29"/>
      <c r="SP14" s="29"/>
      <c r="SQ14" s="29"/>
      <c r="SR14" s="29"/>
      <c r="SS14" s="29"/>
      <c r="ST14" s="29"/>
      <c r="SU14" s="29"/>
      <c r="SV14" s="29"/>
      <c r="SW14" s="29"/>
      <c r="SX14" s="29"/>
      <c r="SY14" s="29"/>
      <c r="SZ14" s="29"/>
      <c r="TA14" s="29"/>
      <c r="TB14" s="29"/>
      <c r="TC14" s="29"/>
      <c r="TD14" s="29"/>
      <c r="TE14" s="29"/>
      <c r="TF14" s="29"/>
      <c r="TG14" s="29"/>
      <c r="TH14" s="29"/>
      <c r="TI14" s="29"/>
      <c r="TJ14" s="29"/>
      <c r="TK14" s="29"/>
      <c r="TL14" s="29"/>
      <c r="TM14" s="29"/>
      <c r="TN14" s="29"/>
      <c r="TO14" s="29"/>
      <c r="TP14" s="29"/>
      <c r="TQ14" s="29"/>
      <c r="TR14" s="29"/>
      <c r="TS14" s="29"/>
      <c r="TT14" s="29"/>
      <c r="TU14" s="29"/>
      <c r="TV14" s="29"/>
      <c r="TW14" s="29"/>
      <c r="TX14" s="29"/>
      <c r="TY14" s="29"/>
      <c r="TZ14" s="29"/>
      <c r="UA14" s="29"/>
      <c r="UB14" s="29"/>
      <c r="UC14" s="29"/>
      <c r="UD14" s="29"/>
      <c r="UE14" s="29"/>
      <c r="UF14" s="29"/>
      <c r="UG14" s="29"/>
      <c r="UH14" s="29"/>
      <c r="UI14" s="29"/>
      <c r="UJ14" s="29"/>
      <c r="UK14" s="29"/>
      <c r="UL14" s="29"/>
      <c r="UM14" s="29"/>
      <c r="UN14" s="29"/>
      <c r="UO14" s="29"/>
      <c r="UP14" s="29"/>
      <c r="UQ14" s="29"/>
      <c r="UR14" s="29"/>
      <c r="US14" s="29"/>
      <c r="UT14" s="29"/>
      <c r="UU14" s="29"/>
      <c r="UV14" s="29"/>
      <c r="UW14" s="29"/>
      <c r="UX14" s="29"/>
      <c r="UY14" s="29"/>
      <c r="UZ14" s="29"/>
      <c r="VA14" s="29"/>
      <c r="VB14" s="29"/>
      <c r="VC14" s="29"/>
      <c r="VD14" s="29"/>
      <c r="VE14" s="29"/>
      <c r="VF14" s="29"/>
      <c r="VG14" s="29"/>
      <c r="VH14" s="29"/>
      <c r="VI14" s="29"/>
      <c r="VJ14" s="29"/>
      <c r="VK14" s="29"/>
      <c r="VL14" s="29"/>
      <c r="VM14" s="29"/>
      <c r="VN14" s="29"/>
      <c r="VO14" s="29"/>
      <c r="VP14" s="29"/>
      <c r="VQ14" s="29"/>
      <c r="VR14" s="29"/>
      <c r="VS14" s="29"/>
      <c r="VT14" s="29"/>
      <c r="VU14" s="29"/>
      <c r="VV14" s="29"/>
      <c r="VW14" s="29"/>
      <c r="VX14" s="29"/>
      <c r="VY14" s="29"/>
      <c r="VZ14" s="29"/>
      <c r="WA14" s="29"/>
      <c r="WB14" s="29"/>
      <c r="WC14" s="29"/>
      <c r="WD14" s="29"/>
      <c r="WE14" s="29"/>
      <c r="WF14" s="29"/>
      <c r="WG14" s="29"/>
      <c r="WH14" s="29"/>
      <c r="WI14" s="29"/>
      <c r="WJ14" s="29"/>
      <c r="WK14" s="29"/>
      <c r="WL14" s="29"/>
      <c r="WM14" s="29"/>
      <c r="WN14" s="29"/>
      <c r="WO14" s="29"/>
      <c r="WP14" s="29"/>
      <c r="WQ14" s="29"/>
      <c r="WR14" s="29"/>
      <c r="WS14" s="29"/>
      <c r="WT14" s="29"/>
      <c r="WU14" s="29"/>
      <c r="WV14" s="29"/>
      <c r="WW14" s="29"/>
      <c r="WX14" s="29"/>
      <c r="WY14" s="29"/>
      <c r="WZ14" s="29"/>
      <c r="XA14" s="29"/>
      <c r="XB14" s="29"/>
      <c r="XC14" s="29"/>
      <c r="XD14" s="29"/>
      <c r="XE14" s="29"/>
      <c r="XF14" s="29"/>
      <c r="XG14" s="29"/>
      <c r="XH14" s="29"/>
      <c r="XI14" s="29"/>
      <c r="XJ14" s="29"/>
      <c r="XK14" s="29"/>
      <c r="XL14" s="29"/>
      <c r="XM14" s="29"/>
      <c r="XN14" s="29"/>
      <c r="XO14" s="29"/>
      <c r="XP14" s="29"/>
      <c r="XQ14" s="29"/>
      <c r="XR14" s="29"/>
      <c r="XS14" s="29"/>
      <c r="XT14" s="29"/>
      <c r="XU14" s="29"/>
      <c r="XV14" s="29"/>
      <c r="XW14" s="29"/>
      <c r="XX14" s="29"/>
      <c r="XY14" s="29"/>
    </row>
    <row r="15" spans="1:649" s="53" customFormat="1" ht="14.45" outlineLevel="1">
      <c r="C15" s="70" t="s">
        <v>26</v>
      </c>
      <c r="D15" s="28" t="s">
        <v>43</v>
      </c>
      <c r="E15" s="223"/>
      <c r="F15" s="51">
        <v>25</v>
      </c>
      <c r="G15" s="51">
        <v>9.3601261155625028</v>
      </c>
      <c r="H15" s="51">
        <v>3.9767619047619061</v>
      </c>
      <c r="I15" s="51">
        <v>2.9531428571428586</v>
      </c>
      <c r="J15" s="51">
        <v>8.8170666666666655</v>
      </c>
      <c r="K15" s="51">
        <v>5.7645714285714256</v>
      </c>
      <c r="L15" s="51">
        <v>6.2326305778125191</v>
      </c>
      <c r="M15" s="51">
        <v>6.9699554165852406</v>
      </c>
      <c r="N15" s="51">
        <v>3.6799447592990742</v>
      </c>
      <c r="O15" s="51">
        <v>4.8585134518923834</v>
      </c>
      <c r="P15" s="51">
        <v>5.3604012767897835</v>
      </c>
      <c r="Q15" s="51">
        <f t="shared" si="0"/>
        <v>82.973114455084371</v>
      </c>
      <c r="R15" s="51">
        <v>67.026885544915629</v>
      </c>
      <c r="S15" s="28" t="s">
        <v>28</v>
      </c>
      <c r="T15" s="31"/>
      <c r="U15" s="169"/>
      <c r="V15" s="170" t="e">
        <f>IF(#REF!="","Other Major Projects","Data Centre")</f>
        <v>#REF!</v>
      </c>
      <c r="W15" s="168"/>
      <c r="X15" s="28">
        <f>Table4232[[#This Row],[Post 2033]]+Table4232[[#This Row],[Total]]</f>
        <v>150</v>
      </c>
      <c r="Y15" s="28" t="s">
        <v>29</v>
      </c>
      <c r="Z15" s="52"/>
      <c r="AA15" s="52"/>
      <c r="AB15" s="52"/>
      <c r="AC15" s="52"/>
      <c r="AD15" s="52"/>
      <c r="AE15" s="27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</row>
    <row r="16" spans="1:649" s="53" customFormat="1" ht="14.45" outlineLevel="1">
      <c r="C16" s="30" t="s">
        <v>26</v>
      </c>
      <c r="D16" s="28" t="s">
        <v>44</v>
      </c>
      <c r="E16" s="22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>
        <f t="shared" si="0"/>
        <v>0</v>
      </c>
      <c r="R16" s="51"/>
      <c r="S16" s="28" t="s">
        <v>31</v>
      </c>
      <c r="T16" s="31"/>
      <c r="U16" s="169"/>
      <c r="V16" s="170" t="e">
        <f>IF(#REF!="","Other Major Projects","Data Centre")</f>
        <v>#REF!</v>
      </c>
      <c r="W16" s="168"/>
      <c r="X16" s="28">
        <f>Table4232[[#This Row],[Post 2033]]+Table4232[[#This Row],[Total]]</f>
        <v>0</v>
      </c>
      <c r="Y16" s="28" t="s">
        <v>29</v>
      </c>
      <c r="Z16" s="52"/>
      <c r="AA16" s="52"/>
      <c r="AB16" s="52"/>
      <c r="AC16" s="52"/>
      <c r="AD16" s="52"/>
      <c r="AE16" s="27"/>
      <c r="AF16" s="52"/>
      <c r="AG16" s="52"/>
      <c r="AH16" s="52"/>
      <c r="AI16" s="52"/>
      <c r="AJ16" s="52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Z16" s="29"/>
      <c r="QA16" s="29"/>
      <c r="QB16" s="29"/>
      <c r="QC16" s="29"/>
      <c r="QD16" s="29"/>
      <c r="QE16" s="29"/>
      <c r="QF16" s="29"/>
      <c r="QG16" s="29"/>
      <c r="QH16" s="29"/>
      <c r="QI16" s="29"/>
      <c r="QJ16" s="29"/>
      <c r="QK16" s="29"/>
      <c r="QL16" s="29"/>
      <c r="QM16" s="29"/>
      <c r="QN16" s="29"/>
      <c r="QO16" s="29"/>
      <c r="QP16" s="29"/>
      <c r="QQ16" s="29"/>
      <c r="QR16" s="29"/>
      <c r="QS16" s="29"/>
      <c r="QT16" s="29"/>
      <c r="QU16" s="29"/>
      <c r="QV16" s="29"/>
      <c r="QW16" s="29"/>
      <c r="QX16" s="29"/>
      <c r="QY16" s="29"/>
      <c r="QZ16" s="29"/>
      <c r="RA16" s="29"/>
      <c r="RB16" s="29"/>
      <c r="RC16" s="29"/>
      <c r="RD16" s="29"/>
      <c r="RE16" s="29"/>
      <c r="RF16" s="29"/>
      <c r="RG16" s="29"/>
      <c r="RH16" s="29"/>
      <c r="RI16" s="29"/>
      <c r="RJ16" s="29"/>
      <c r="RK16" s="29"/>
      <c r="RL16" s="29"/>
      <c r="RM16" s="29"/>
      <c r="RN16" s="29"/>
      <c r="RO16" s="29"/>
      <c r="RP16" s="29"/>
      <c r="RQ16" s="29"/>
      <c r="RR16" s="29"/>
      <c r="RS16" s="29"/>
      <c r="RT16" s="29"/>
      <c r="RU16" s="29"/>
      <c r="RV16" s="29"/>
      <c r="RW16" s="29"/>
      <c r="RX16" s="29"/>
      <c r="RY16" s="29"/>
      <c r="RZ16" s="29"/>
      <c r="SA16" s="29"/>
      <c r="SB16" s="29"/>
      <c r="SC16" s="29"/>
      <c r="SD16" s="29"/>
      <c r="SE16" s="29"/>
      <c r="SF16" s="29"/>
      <c r="SG16" s="29"/>
      <c r="SH16" s="29"/>
      <c r="SI16" s="29"/>
      <c r="SJ16" s="29"/>
      <c r="SK16" s="29"/>
      <c r="SL16" s="29"/>
      <c r="SM16" s="29"/>
      <c r="SN16" s="29"/>
      <c r="SO16" s="29"/>
      <c r="SP16" s="29"/>
      <c r="SQ16" s="29"/>
      <c r="SR16" s="29"/>
      <c r="SS16" s="29"/>
      <c r="ST16" s="29"/>
      <c r="SU16" s="29"/>
      <c r="SV16" s="29"/>
      <c r="SW16" s="29"/>
      <c r="SX16" s="29"/>
      <c r="SY16" s="29"/>
      <c r="SZ16" s="29"/>
      <c r="TA16" s="29"/>
      <c r="TB16" s="29"/>
      <c r="TC16" s="29"/>
      <c r="TD16" s="29"/>
      <c r="TE16" s="29"/>
      <c r="TF16" s="29"/>
      <c r="TG16" s="29"/>
      <c r="TH16" s="29"/>
      <c r="TI16" s="29"/>
      <c r="TJ16" s="29"/>
      <c r="TK16" s="29"/>
      <c r="TL16" s="29"/>
      <c r="TM16" s="29"/>
      <c r="TN16" s="29"/>
      <c r="TO16" s="29"/>
      <c r="TP16" s="29"/>
      <c r="TQ16" s="29"/>
      <c r="TR16" s="29"/>
      <c r="TS16" s="29"/>
      <c r="TT16" s="29"/>
      <c r="TU16" s="29"/>
      <c r="TV16" s="29"/>
      <c r="TW16" s="29"/>
      <c r="TX16" s="29"/>
      <c r="TY16" s="29"/>
      <c r="TZ16" s="29"/>
      <c r="UA16" s="29"/>
      <c r="UB16" s="29"/>
      <c r="UC16" s="29"/>
      <c r="UD16" s="29"/>
      <c r="UE16" s="29"/>
      <c r="UF16" s="29"/>
      <c r="UG16" s="29"/>
      <c r="UH16" s="29"/>
      <c r="UI16" s="29"/>
      <c r="UJ16" s="29"/>
      <c r="UK16" s="29"/>
      <c r="UL16" s="29"/>
      <c r="UM16" s="29"/>
      <c r="UN16" s="29"/>
      <c r="UO16" s="29"/>
      <c r="UP16" s="29"/>
      <c r="UQ16" s="29"/>
      <c r="UR16" s="29"/>
      <c r="US16" s="29"/>
      <c r="UT16" s="29"/>
      <c r="UU16" s="29"/>
      <c r="UV16" s="29"/>
      <c r="UW16" s="29"/>
      <c r="UX16" s="29"/>
      <c r="UY16" s="29"/>
      <c r="UZ16" s="29"/>
      <c r="VA16" s="29"/>
      <c r="VB16" s="29"/>
      <c r="VC16" s="29"/>
      <c r="VD16" s="29"/>
      <c r="VE16" s="29"/>
      <c r="VF16" s="29"/>
      <c r="VG16" s="29"/>
      <c r="VH16" s="29"/>
      <c r="VI16" s="29"/>
      <c r="VJ16" s="29"/>
      <c r="VK16" s="29"/>
      <c r="VL16" s="29"/>
      <c r="VM16" s="29"/>
      <c r="VN16" s="29"/>
      <c r="VO16" s="29"/>
      <c r="VP16" s="29"/>
      <c r="VQ16" s="29"/>
      <c r="VR16" s="29"/>
      <c r="VS16" s="29"/>
      <c r="VT16" s="29"/>
      <c r="VU16" s="29"/>
      <c r="VV16" s="29"/>
      <c r="VW16" s="29"/>
      <c r="VX16" s="29"/>
      <c r="VY16" s="29"/>
      <c r="VZ16" s="29"/>
      <c r="WA16" s="29"/>
      <c r="WB16" s="29"/>
      <c r="WC16" s="29"/>
      <c r="WD16" s="29"/>
      <c r="WE16" s="29"/>
      <c r="WF16" s="29"/>
      <c r="WG16" s="29"/>
      <c r="WH16" s="29"/>
      <c r="WI16" s="29"/>
      <c r="WJ16" s="29"/>
      <c r="WK16" s="29"/>
      <c r="WL16" s="29"/>
      <c r="WM16" s="29"/>
      <c r="WN16" s="29"/>
      <c r="WO16" s="29"/>
      <c r="WP16" s="29"/>
      <c r="WQ16" s="29"/>
      <c r="WR16" s="29"/>
      <c r="WS16" s="29"/>
      <c r="WT16" s="29"/>
      <c r="WU16" s="29"/>
      <c r="WV16" s="29"/>
      <c r="WW16" s="29"/>
      <c r="WX16" s="29"/>
      <c r="WY16" s="29"/>
      <c r="WZ16" s="29"/>
      <c r="XA16" s="29"/>
      <c r="XB16" s="29"/>
      <c r="XC16" s="29"/>
      <c r="XD16" s="29"/>
      <c r="XE16" s="29"/>
      <c r="XF16" s="29"/>
      <c r="XG16" s="29"/>
      <c r="XH16" s="29"/>
      <c r="XI16" s="29"/>
      <c r="XJ16" s="29"/>
      <c r="XK16" s="29"/>
      <c r="XL16" s="29"/>
      <c r="XM16" s="29"/>
      <c r="XN16" s="29"/>
      <c r="XO16" s="29"/>
      <c r="XP16" s="29"/>
      <c r="XQ16" s="29"/>
      <c r="XR16" s="29"/>
      <c r="XS16" s="29"/>
      <c r="XT16" s="29"/>
      <c r="XU16" s="29"/>
      <c r="XV16" s="29"/>
      <c r="XW16" s="29"/>
      <c r="XX16" s="29"/>
      <c r="XY16" s="29"/>
    </row>
    <row r="17" spans="3:649" s="53" customFormat="1" ht="14.45" outlineLevel="1">
      <c r="C17" s="30" t="s">
        <v>26</v>
      </c>
      <c r="D17" s="28" t="s">
        <v>45</v>
      </c>
      <c r="E17" s="221"/>
      <c r="F17" s="51">
        <v>12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>
        <f t="shared" si="0"/>
        <v>12</v>
      </c>
      <c r="R17" s="51"/>
      <c r="S17" s="28" t="s">
        <v>31</v>
      </c>
      <c r="T17" s="31"/>
      <c r="U17" s="169"/>
      <c r="V17" s="170" t="e">
        <f>IF(#REF!="","Other Major Projects","Data Centre")</f>
        <v>#REF!</v>
      </c>
      <c r="W17" s="168"/>
      <c r="X17" s="28">
        <f>Table4232[[#This Row],[Post 2033]]+Table4232[[#This Row],[Total]]</f>
        <v>12</v>
      </c>
      <c r="Y17" s="28" t="s">
        <v>29</v>
      </c>
      <c r="Z17" s="52"/>
      <c r="AA17" s="52"/>
      <c r="AB17" s="52"/>
      <c r="AC17" s="52"/>
      <c r="AD17" s="52"/>
      <c r="AE17" s="27"/>
      <c r="AF17" s="52"/>
      <c r="AG17" s="52"/>
      <c r="AH17" s="52"/>
      <c r="AI17" s="52"/>
      <c r="AJ17" s="52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Z17" s="29"/>
      <c r="QA17" s="29"/>
      <c r="QB17" s="29"/>
      <c r="QC17" s="29"/>
      <c r="QD17" s="29"/>
      <c r="QE17" s="29"/>
      <c r="QF17" s="29"/>
      <c r="QG17" s="29"/>
      <c r="QH17" s="29"/>
      <c r="QI17" s="29"/>
      <c r="QJ17" s="29"/>
      <c r="QK17" s="29"/>
      <c r="QL17" s="29"/>
      <c r="QM17" s="29"/>
      <c r="QN17" s="29"/>
      <c r="QO17" s="29"/>
      <c r="QP17" s="29"/>
      <c r="QQ17" s="29"/>
      <c r="QR17" s="29"/>
      <c r="QS17" s="29"/>
      <c r="QT17" s="29"/>
      <c r="QU17" s="29"/>
      <c r="QV17" s="29"/>
      <c r="QW17" s="29"/>
      <c r="QX17" s="29"/>
      <c r="QY17" s="29"/>
      <c r="QZ17" s="29"/>
      <c r="RA17" s="29"/>
      <c r="RB17" s="29"/>
      <c r="RC17" s="29"/>
      <c r="RD17" s="29"/>
      <c r="RE17" s="29"/>
      <c r="RF17" s="29"/>
      <c r="RG17" s="29"/>
      <c r="RH17" s="29"/>
      <c r="RI17" s="29"/>
      <c r="RJ17" s="29"/>
      <c r="RK17" s="29"/>
      <c r="RL17" s="29"/>
      <c r="RM17" s="29"/>
      <c r="RN17" s="29"/>
      <c r="RO17" s="29"/>
      <c r="RP17" s="29"/>
      <c r="RQ17" s="29"/>
      <c r="RR17" s="29"/>
      <c r="RS17" s="29"/>
      <c r="RT17" s="29"/>
      <c r="RU17" s="29"/>
      <c r="RV17" s="29"/>
      <c r="RW17" s="29"/>
      <c r="RX17" s="29"/>
      <c r="RY17" s="29"/>
      <c r="RZ17" s="29"/>
      <c r="SA17" s="29"/>
      <c r="SB17" s="29"/>
      <c r="SC17" s="29"/>
      <c r="SD17" s="29"/>
      <c r="SE17" s="29"/>
      <c r="SF17" s="29"/>
      <c r="SG17" s="29"/>
      <c r="SH17" s="29"/>
      <c r="SI17" s="29"/>
      <c r="SJ17" s="29"/>
      <c r="SK17" s="29"/>
      <c r="SL17" s="29"/>
      <c r="SM17" s="29"/>
      <c r="SN17" s="29"/>
      <c r="SO17" s="29"/>
      <c r="SP17" s="29"/>
      <c r="SQ17" s="29"/>
      <c r="SR17" s="29"/>
      <c r="SS17" s="29"/>
      <c r="ST17" s="29"/>
      <c r="SU17" s="29"/>
      <c r="SV17" s="29"/>
      <c r="SW17" s="29"/>
      <c r="SX17" s="29"/>
      <c r="SY17" s="29"/>
      <c r="SZ17" s="29"/>
      <c r="TA17" s="29"/>
      <c r="TB17" s="29"/>
      <c r="TC17" s="29"/>
      <c r="TD17" s="29"/>
      <c r="TE17" s="29"/>
      <c r="TF17" s="29"/>
      <c r="TG17" s="29"/>
      <c r="TH17" s="29"/>
      <c r="TI17" s="29"/>
      <c r="TJ17" s="29"/>
      <c r="TK17" s="29"/>
      <c r="TL17" s="29"/>
      <c r="TM17" s="29"/>
      <c r="TN17" s="29"/>
      <c r="TO17" s="29"/>
      <c r="TP17" s="29"/>
      <c r="TQ17" s="29"/>
      <c r="TR17" s="29"/>
      <c r="TS17" s="29"/>
      <c r="TT17" s="29"/>
      <c r="TU17" s="29"/>
      <c r="TV17" s="29"/>
      <c r="TW17" s="29"/>
      <c r="TX17" s="29"/>
      <c r="TY17" s="29"/>
      <c r="TZ17" s="29"/>
      <c r="UA17" s="29"/>
      <c r="UB17" s="29"/>
      <c r="UC17" s="29"/>
      <c r="UD17" s="29"/>
      <c r="UE17" s="29"/>
      <c r="UF17" s="29"/>
      <c r="UG17" s="29"/>
      <c r="UH17" s="29"/>
      <c r="UI17" s="29"/>
      <c r="UJ17" s="29"/>
      <c r="UK17" s="29"/>
      <c r="UL17" s="29"/>
      <c r="UM17" s="29"/>
      <c r="UN17" s="29"/>
      <c r="UO17" s="29"/>
      <c r="UP17" s="29"/>
      <c r="UQ17" s="29"/>
      <c r="UR17" s="29"/>
      <c r="US17" s="29"/>
      <c r="UT17" s="29"/>
      <c r="UU17" s="29"/>
      <c r="UV17" s="29"/>
      <c r="UW17" s="29"/>
      <c r="UX17" s="29"/>
      <c r="UY17" s="29"/>
      <c r="UZ17" s="29"/>
      <c r="VA17" s="29"/>
      <c r="VB17" s="29"/>
      <c r="VC17" s="29"/>
      <c r="VD17" s="29"/>
      <c r="VE17" s="29"/>
      <c r="VF17" s="29"/>
      <c r="VG17" s="29"/>
      <c r="VH17" s="29"/>
      <c r="VI17" s="29"/>
      <c r="VJ17" s="29"/>
      <c r="VK17" s="29"/>
      <c r="VL17" s="29"/>
      <c r="VM17" s="29"/>
      <c r="VN17" s="29"/>
      <c r="VO17" s="29"/>
      <c r="VP17" s="29"/>
      <c r="VQ17" s="29"/>
      <c r="VR17" s="29"/>
      <c r="VS17" s="29"/>
      <c r="VT17" s="29"/>
      <c r="VU17" s="29"/>
      <c r="VV17" s="29"/>
      <c r="VW17" s="29"/>
      <c r="VX17" s="29"/>
      <c r="VY17" s="29"/>
      <c r="VZ17" s="29"/>
      <c r="WA17" s="29"/>
      <c r="WB17" s="29"/>
      <c r="WC17" s="29"/>
      <c r="WD17" s="29"/>
      <c r="WE17" s="29"/>
      <c r="WF17" s="29"/>
      <c r="WG17" s="29"/>
      <c r="WH17" s="29"/>
      <c r="WI17" s="29"/>
      <c r="WJ17" s="29"/>
      <c r="WK17" s="29"/>
      <c r="WL17" s="29"/>
      <c r="WM17" s="29"/>
      <c r="WN17" s="29"/>
      <c r="WO17" s="29"/>
      <c r="WP17" s="29"/>
      <c r="WQ17" s="29"/>
      <c r="WR17" s="29"/>
      <c r="WS17" s="29"/>
      <c r="WT17" s="29"/>
      <c r="WU17" s="29"/>
      <c r="WV17" s="29"/>
      <c r="WW17" s="29"/>
      <c r="WX17" s="29"/>
      <c r="WY17" s="29"/>
      <c r="WZ17" s="29"/>
      <c r="XA17" s="29"/>
      <c r="XB17" s="29"/>
      <c r="XC17" s="29"/>
      <c r="XD17" s="29"/>
      <c r="XE17" s="29"/>
      <c r="XF17" s="29"/>
      <c r="XG17" s="29"/>
      <c r="XH17" s="29"/>
      <c r="XI17" s="29"/>
      <c r="XJ17" s="29"/>
      <c r="XK17" s="29"/>
      <c r="XL17" s="29"/>
      <c r="XM17" s="29"/>
      <c r="XN17" s="29"/>
      <c r="XO17" s="29"/>
      <c r="XP17" s="29"/>
      <c r="XQ17" s="29"/>
      <c r="XR17" s="29"/>
      <c r="XS17" s="29"/>
      <c r="XT17" s="29"/>
      <c r="XU17" s="29"/>
      <c r="XV17" s="29"/>
      <c r="XW17" s="29"/>
      <c r="XX17" s="29"/>
      <c r="XY17" s="29"/>
    </row>
    <row r="18" spans="3:649" s="53" customFormat="1" ht="14.45" outlineLevel="1">
      <c r="C18" s="30" t="s">
        <v>26</v>
      </c>
      <c r="D18" s="28" t="s">
        <v>46</v>
      </c>
      <c r="E18" s="221"/>
      <c r="F18" s="51">
        <v>11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>
        <f t="shared" si="0"/>
        <v>11</v>
      </c>
      <c r="R18" s="51"/>
      <c r="S18" s="28" t="s">
        <v>31</v>
      </c>
      <c r="T18" s="31"/>
      <c r="U18" s="169"/>
      <c r="V18" s="170" t="e">
        <f>IF(#REF!="","Other Major Projects","Data Centre")</f>
        <v>#REF!</v>
      </c>
      <c r="W18" s="168"/>
      <c r="X18" s="28">
        <f>Table4232[[#This Row],[Post 2033]]+Table4232[[#This Row],[Total]]</f>
        <v>11</v>
      </c>
      <c r="Y18" s="28" t="s">
        <v>29</v>
      </c>
      <c r="Z18" s="52"/>
      <c r="AA18" s="52"/>
      <c r="AB18" s="52"/>
      <c r="AC18" s="52"/>
      <c r="AD18" s="52"/>
      <c r="AE18" s="27"/>
      <c r="AF18" s="52"/>
      <c r="AG18" s="52"/>
      <c r="AH18" s="52"/>
      <c r="AI18" s="52"/>
      <c r="AJ18" s="52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Z18" s="29"/>
      <c r="QA18" s="29"/>
      <c r="QB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QZ18" s="29"/>
      <c r="RA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RT18" s="29"/>
      <c r="RU18" s="29"/>
      <c r="RV18" s="29"/>
      <c r="RW18" s="29"/>
      <c r="RX18" s="29"/>
      <c r="RY18" s="29"/>
      <c r="RZ18" s="29"/>
      <c r="SA18" s="29"/>
      <c r="SB18" s="29"/>
      <c r="SC18" s="29"/>
      <c r="SD18" s="29"/>
      <c r="SE18" s="29"/>
      <c r="SF18" s="29"/>
      <c r="SG18" s="29"/>
      <c r="SH18" s="29"/>
      <c r="SI18" s="29"/>
      <c r="SJ18" s="29"/>
      <c r="SK18" s="29"/>
      <c r="SL18" s="29"/>
      <c r="SM18" s="29"/>
      <c r="SN18" s="29"/>
      <c r="SO18" s="29"/>
      <c r="SP18" s="29"/>
      <c r="SQ18" s="29"/>
      <c r="SR18" s="29"/>
      <c r="SS18" s="29"/>
      <c r="ST18" s="29"/>
      <c r="SU18" s="29"/>
      <c r="SV18" s="29"/>
      <c r="SW18" s="29"/>
      <c r="SX18" s="29"/>
      <c r="SY18" s="29"/>
      <c r="SZ18" s="29"/>
      <c r="TA18" s="29"/>
      <c r="TB18" s="29"/>
      <c r="TC18" s="29"/>
      <c r="TD18" s="29"/>
      <c r="TE18" s="29"/>
      <c r="TF18" s="29"/>
      <c r="TG18" s="29"/>
      <c r="TH18" s="29"/>
      <c r="TI18" s="29"/>
      <c r="TJ18" s="29"/>
      <c r="TK18" s="29"/>
      <c r="TL18" s="29"/>
      <c r="TM18" s="29"/>
      <c r="TN18" s="29"/>
      <c r="TO18" s="29"/>
      <c r="TP18" s="29"/>
      <c r="TQ18" s="29"/>
      <c r="TR18" s="29"/>
      <c r="TS18" s="29"/>
      <c r="TT18" s="29"/>
      <c r="TU18" s="29"/>
      <c r="TV18" s="29"/>
      <c r="TW18" s="29"/>
      <c r="TX18" s="29"/>
      <c r="TY18" s="29"/>
      <c r="TZ18" s="29"/>
      <c r="UA18" s="29"/>
      <c r="UB18" s="29"/>
      <c r="UC18" s="29"/>
      <c r="UD18" s="29"/>
      <c r="UE18" s="29"/>
      <c r="UF18" s="29"/>
      <c r="UG18" s="29"/>
      <c r="UH18" s="29"/>
      <c r="UI18" s="29"/>
      <c r="UJ18" s="29"/>
      <c r="UK18" s="29"/>
      <c r="UL18" s="29"/>
      <c r="UM18" s="29"/>
      <c r="UN18" s="29"/>
      <c r="UO18" s="29"/>
      <c r="UP18" s="29"/>
      <c r="UQ18" s="29"/>
      <c r="UR18" s="29"/>
      <c r="US18" s="29"/>
      <c r="UT18" s="29"/>
      <c r="UU18" s="29"/>
      <c r="UV18" s="29"/>
      <c r="UW18" s="29"/>
      <c r="UX18" s="29"/>
      <c r="UY18" s="29"/>
      <c r="UZ18" s="29"/>
      <c r="VA18" s="29"/>
      <c r="VB18" s="29"/>
      <c r="VC18" s="29"/>
      <c r="VD18" s="29"/>
      <c r="VE18" s="29"/>
      <c r="VF18" s="29"/>
      <c r="VG18" s="29"/>
      <c r="VH18" s="29"/>
      <c r="VI18" s="29"/>
      <c r="VJ18" s="29"/>
      <c r="VK18" s="29"/>
      <c r="VL18" s="29"/>
      <c r="VM18" s="29"/>
      <c r="VN18" s="29"/>
      <c r="VO18" s="29"/>
      <c r="VP18" s="29"/>
      <c r="VQ18" s="29"/>
      <c r="VR18" s="29"/>
      <c r="VS18" s="29"/>
      <c r="VT18" s="29"/>
      <c r="VU18" s="29"/>
      <c r="VV18" s="29"/>
      <c r="VW18" s="29"/>
      <c r="VX18" s="29"/>
      <c r="VY18" s="29"/>
      <c r="VZ18" s="29"/>
      <c r="WA18" s="29"/>
      <c r="WB18" s="29"/>
      <c r="WC18" s="29"/>
      <c r="WD18" s="29"/>
      <c r="WE18" s="29"/>
      <c r="WF18" s="29"/>
      <c r="WG18" s="29"/>
      <c r="WH18" s="29"/>
      <c r="WI18" s="29"/>
      <c r="WJ18" s="29"/>
      <c r="WK18" s="29"/>
      <c r="WL18" s="29"/>
      <c r="WM18" s="29"/>
      <c r="WN18" s="29"/>
      <c r="WO18" s="29"/>
      <c r="WP18" s="29"/>
      <c r="WQ18" s="29"/>
      <c r="WR18" s="29"/>
      <c r="WS18" s="29"/>
      <c r="WT18" s="29"/>
      <c r="WU18" s="29"/>
      <c r="WV18" s="29"/>
      <c r="WW18" s="29"/>
      <c r="WX18" s="29"/>
      <c r="WY18" s="29"/>
      <c r="WZ18" s="29"/>
      <c r="XA18" s="29"/>
      <c r="XB18" s="29"/>
      <c r="XC18" s="29"/>
      <c r="XD18" s="29"/>
      <c r="XE18" s="29"/>
      <c r="XF18" s="29"/>
      <c r="XG18" s="29"/>
      <c r="XH18" s="29"/>
      <c r="XI18" s="29"/>
      <c r="XJ18" s="29"/>
      <c r="XK18" s="29"/>
      <c r="XL18" s="29"/>
      <c r="XM18" s="29"/>
      <c r="XN18" s="29"/>
      <c r="XO18" s="29"/>
      <c r="XP18" s="29"/>
      <c r="XQ18" s="29"/>
      <c r="XR18" s="29"/>
      <c r="XS18" s="29"/>
      <c r="XT18" s="29"/>
      <c r="XU18" s="29"/>
      <c r="XV18" s="29"/>
      <c r="XW18" s="29"/>
      <c r="XX18" s="29"/>
      <c r="XY18" s="29"/>
    </row>
    <row r="19" spans="3:649" s="53" customFormat="1" ht="14.45" outlineLevel="1">
      <c r="C19" s="30" t="s">
        <v>47</v>
      </c>
      <c r="D19" s="28" t="s">
        <v>48</v>
      </c>
      <c r="E19" s="221"/>
      <c r="F19" s="51">
        <v>6</v>
      </c>
      <c r="G19" s="51">
        <v>4</v>
      </c>
      <c r="H19" s="51">
        <v>2.65</v>
      </c>
      <c r="I19" s="51">
        <v>2.65</v>
      </c>
      <c r="J19" s="51">
        <v>2.65</v>
      </c>
      <c r="K19" s="51">
        <v>2.65</v>
      </c>
      <c r="L19" s="51">
        <v>2.65</v>
      </c>
      <c r="M19" s="51">
        <v>2.65</v>
      </c>
      <c r="N19" s="51">
        <v>2.65</v>
      </c>
      <c r="O19" s="51">
        <v>2.65</v>
      </c>
      <c r="P19" s="51"/>
      <c r="Q19" s="51">
        <f t="shared" si="0"/>
        <v>31.199999999999992</v>
      </c>
      <c r="R19" s="51">
        <v>9</v>
      </c>
      <c r="S19" s="28" t="s">
        <v>31</v>
      </c>
      <c r="T19" s="31" t="s">
        <v>49</v>
      </c>
      <c r="U19" s="169"/>
      <c r="V19" s="170" t="e">
        <f>IF(#REF!="","Other Major Projects","Data Centre")</f>
        <v>#REF!</v>
      </c>
      <c r="W19" s="168"/>
      <c r="X19" s="28">
        <f>Table4232[[#This Row],[Post 2033]]+Table4232[[#This Row],[Total]]</f>
        <v>40.199999999999989</v>
      </c>
      <c r="Y19" s="28" t="s">
        <v>50</v>
      </c>
      <c r="Z19" s="52"/>
      <c r="AA19" s="52"/>
      <c r="AB19" s="52"/>
      <c r="AC19" s="52"/>
      <c r="AD19" s="52"/>
      <c r="AE19" s="27"/>
      <c r="AF19" s="52"/>
      <c r="AG19" s="52"/>
      <c r="AH19" s="52"/>
      <c r="AI19" s="52"/>
      <c r="AJ19" s="52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7"/>
      <c r="JD19" s="27"/>
      <c r="JE19" s="27"/>
      <c r="JF19" s="27"/>
      <c r="JG19" s="27"/>
      <c r="JH19" s="27"/>
      <c r="JI19" s="27"/>
      <c r="JJ19" s="27"/>
      <c r="JK19" s="27"/>
      <c r="JL19" s="27"/>
      <c r="JM19" s="27"/>
      <c r="JN19" s="27"/>
      <c r="JO19" s="27"/>
      <c r="JP19" s="27"/>
      <c r="JQ19" s="27"/>
      <c r="JR19" s="27"/>
      <c r="JS19" s="27"/>
      <c r="JT19" s="27"/>
      <c r="JU19" s="27"/>
      <c r="JV19" s="27"/>
      <c r="JW19" s="27"/>
      <c r="JX19" s="27"/>
      <c r="JY19" s="27"/>
      <c r="JZ19" s="27"/>
      <c r="KA19" s="27"/>
      <c r="KB19" s="27"/>
      <c r="KC19" s="27"/>
      <c r="KD19" s="27"/>
      <c r="KE19" s="27"/>
      <c r="KF19" s="27"/>
      <c r="KG19" s="27"/>
      <c r="KH19" s="27"/>
      <c r="KI19" s="27"/>
      <c r="KJ19" s="27"/>
      <c r="KK19" s="27"/>
      <c r="KL19" s="27"/>
      <c r="KM19" s="27"/>
      <c r="KN19" s="27"/>
      <c r="KO19" s="27"/>
      <c r="KP19" s="27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27"/>
      <c r="LC19" s="27"/>
      <c r="LD19" s="27"/>
      <c r="LE19" s="27"/>
      <c r="LF19" s="27"/>
      <c r="LG19" s="27"/>
      <c r="LH19" s="27"/>
      <c r="LI19" s="27"/>
      <c r="LJ19" s="27"/>
      <c r="LK19" s="27"/>
      <c r="LL19" s="27"/>
      <c r="LM19" s="27"/>
      <c r="LN19" s="27"/>
      <c r="LO19" s="27"/>
      <c r="LP19" s="27"/>
      <c r="LQ19" s="27"/>
      <c r="LR19" s="27"/>
      <c r="LS19" s="27"/>
      <c r="LT19" s="27"/>
      <c r="LU19" s="27"/>
      <c r="LV19" s="27"/>
      <c r="LW19" s="27"/>
      <c r="LX19" s="27"/>
      <c r="LY19" s="27"/>
      <c r="LZ19" s="27"/>
      <c r="MA19" s="27"/>
      <c r="MB19" s="27"/>
      <c r="MC19" s="27"/>
      <c r="MD19" s="27"/>
      <c r="ME19" s="27"/>
      <c r="MF19" s="27"/>
      <c r="MG19" s="27"/>
      <c r="MH19" s="27"/>
      <c r="MI19" s="27"/>
      <c r="MJ19" s="27"/>
      <c r="MK19" s="27"/>
      <c r="ML19" s="27"/>
      <c r="MM19" s="27"/>
      <c r="MN19" s="27"/>
      <c r="MO19" s="27"/>
      <c r="MP19" s="27"/>
      <c r="MQ19" s="27"/>
      <c r="MR19" s="27"/>
      <c r="MS19" s="27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27"/>
      <c r="NH19" s="27"/>
      <c r="NI19" s="27"/>
      <c r="NJ19" s="27"/>
      <c r="NK19" s="27"/>
      <c r="NL19" s="27"/>
      <c r="NM19" s="27"/>
      <c r="NN19" s="27"/>
      <c r="NO19" s="27"/>
      <c r="NP19" s="27"/>
      <c r="NQ19" s="27"/>
      <c r="NR19" s="27"/>
      <c r="NS19" s="27"/>
      <c r="NT19" s="27"/>
      <c r="NU19" s="27"/>
      <c r="NV19" s="27"/>
      <c r="NW19" s="27"/>
      <c r="NX19" s="27"/>
      <c r="NY19" s="27"/>
      <c r="NZ19" s="27"/>
      <c r="OA19" s="27"/>
      <c r="OB19" s="27"/>
      <c r="OC19" s="27"/>
      <c r="OD19" s="27"/>
      <c r="OE19" s="27"/>
      <c r="OF19" s="27"/>
      <c r="OG19" s="27"/>
      <c r="OH19" s="27"/>
      <c r="OI19" s="27"/>
      <c r="OJ19" s="27"/>
      <c r="OK19" s="27"/>
      <c r="OL19" s="27"/>
      <c r="OM19" s="27"/>
      <c r="ON19" s="27"/>
      <c r="OO19" s="27"/>
      <c r="OP19" s="27"/>
      <c r="OQ19" s="27"/>
      <c r="OR19" s="27"/>
      <c r="OS19" s="27"/>
      <c r="OT19" s="27"/>
      <c r="OU19" s="27"/>
      <c r="OV19" s="27"/>
      <c r="OW19" s="27"/>
      <c r="OX19" s="27"/>
      <c r="OY19" s="27"/>
      <c r="OZ19" s="27"/>
      <c r="PA19" s="27"/>
      <c r="PB19" s="27"/>
      <c r="PC19" s="27"/>
      <c r="PD19" s="27"/>
      <c r="PE19" s="27"/>
      <c r="PF19" s="27"/>
      <c r="PG19" s="27"/>
      <c r="PH19" s="27"/>
      <c r="PI19" s="27"/>
      <c r="PJ19" s="27"/>
      <c r="PK19" s="27"/>
      <c r="PL19" s="27"/>
      <c r="PM19" s="27"/>
      <c r="PN19" s="27"/>
      <c r="PO19" s="27"/>
      <c r="PP19" s="27"/>
      <c r="PQ19" s="27"/>
      <c r="PR19" s="27"/>
      <c r="PS19" s="27"/>
      <c r="PT19" s="27"/>
      <c r="PU19" s="27"/>
      <c r="PV19" s="27"/>
      <c r="PW19" s="27"/>
      <c r="PZ19" s="29"/>
      <c r="QA19" s="29"/>
      <c r="QB19" s="29"/>
      <c r="QC19" s="29"/>
      <c r="QD19" s="29"/>
      <c r="QE19" s="29"/>
      <c r="QF19" s="29"/>
      <c r="QG19" s="29"/>
      <c r="QH19" s="29"/>
      <c r="QI19" s="29"/>
      <c r="QJ19" s="29"/>
      <c r="QK19" s="29"/>
      <c r="QL19" s="29"/>
      <c r="QM19" s="29"/>
      <c r="QN19" s="29"/>
      <c r="QO19" s="29"/>
      <c r="QP19" s="29"/>
      <c r="QQ19" s="29"/>
      <c r="QR19" s="29"/>
      <c r="QS19" s="29"/>
      <c r="QT19" s="29"/>
      <c r="QU19" s="29"/>
      <c r="QV19" s="29"/>
      <c r="QW19" s="29"/>
      <c r="QX19" s="29"/>
      <c r="QY19" s="29"/>
      <c r="QZ19" s="29"/>
      <c r="RA19" s="29"/>
      <c r="RB19" s="29"/>
      <c r="RC19" s="29"/>
      <c r="RD19" s="29"/>
      <c r="RE19" s="29"/>
      <c r="RF19" s="29"/>
      <c r="RG19" s="29"/>
      <c r="RH19" s="29"/>
      <c r="RI19" s="29"/>
      <c r="RJ19" s="29"/>
      <c r="RK19" s="29"/>
      <c r="RL19" s="29"/>
      <c r="RM19" s="29"/>
      <c r="RN19" s="29"/>
      <c r="RO19" s="29"/>
      <c r="RP19" s="29"/>
      <c r="RQ19" s="29"/>
      <c r="RR19" s="29"/>
      <c r="RS19" s="29"/>
      <c r="RT19" s="29"/>
      <c r="RU19" s="29"/>
      <c r="RV19" s="29"/>
      <c r="RW19" s="29"/>
      <c r="RX19" s="29"/>
      <c r="RY19" s="29"/>
      <c r="RZ19" s="29"/>
      <c r="SA19" s="29"/>
      <c r="SB19" s="29"/>
      <c r="SC19" s="29"/>
      <c r="SD19" s="29"/>
      <c r="SE19" s="29"/>
      <c r="SF19" s="29"/>
      <c r="SG19" s="29"/>
      <c r="SH19" s="29"/>
      <c r="SI19" s="29"/>
      <c r="SJ19" s="29"/>
      <c r="SK19" s="29"/>
      <c r="SL19" s="29"/>
      <c r="SM19" s="29"/>
      <c r="SN19" s="29"/>
      <c r="SO19" s="29"/>
      <c r="SP19" s="29"/>
      <c r="SQ19" s="29"/>
      <c r="SR19" s="29"/>
      <c r="SS19" s="29"/>
      <c r="ST19" s="29"/>
      <c r="SU19" s="29"/>
      <c r="SV19" s="29"/>
      <c r="SW19" s="29"/>
      <c r="SX19" s="29"/>
      <c r="SY19" s="29"/>
      <c r="SZ19" s="29"/>
      <c r="TA19" s="29"/>
      <c r="TB19" s="29"/>
      <c r="TC19" s="29"/>
      <c r="TD19" s="29"/>
      <c r="TE19" s="29"/>
      <c r="TF19" s="29"/>
      <c r="TG19" s="29"/>
      <c r="TH19" s="29"/>
      <c r="TI19" s="29"/>
      <c r="TJ19" s="29"/>
      <c r="TK19" s="29"/>
      <c r="TL19" s="29"/>
      <c r="TM19" s="29"/>
      <c r="TN19" s="29"/>
      <c r="TO19" s="29"/>
      <c r="TP19" s="29"/>
      <c r="TQ19" s="29"/>
      <c r="TR19" s="29"/>
      <c r="TS19" s="29"/>
      <c r="TT19" s="29"/>
      <c r="TU19" s="29"/>
      <c r="TV19" s="29"/>
      <c r="TW19" s="29"/>
      <c r="TX19" s="29"/>
      <c r="TY19" s="29"/>
      <c r="TZ19" s="29"/>
      <c r="UA19" s="29"/>
      <c r="UB19" s="29"/>
      <c r="UC19" s="29"/>
      <c r="UD19" s="29"/>
      <c r="UE19" s="29"/>
      <c r="UF19" s="29"/>
      <c r="UG19" s="29"/>
      <c r="UH19" s="29"/>
      <c r="UI19" s="29"/>
      <c r="UJ19" s="29"/>
      <c r="UK19" s="29"/>
      <c r="UL19" s="29"/>
      <c r="UM19" s="29"/>
      <c r="UN19" s="29"/>
      <c r="UO19" s="29"/>
      <c r="UP19" s="29"/>
      <c r="UQ19" s="29"/>
      <c r="UR19" s="29"/>
      <c r="US19" s="29"/>
      <c r="UT19" s="29"/>
      <c r="UU19" s="29"/>
      <c r="UV19" s="29"/>
      <c r="UW19" s="29"/>
      <c r="UX19" s="29"/>
      <c r="UY19" s="29"/>
      <c r="UZ19" s="29"/>
      <c r="VA19" s="29"/>
      <c r="VB19" s="29"/>
      <c r="VC19" s="29"/>
      <c r="VD19" s="29"/>
      <c r="VE19" s="29"/>
      <c r="VF19" s="29"/>
      <c r="VG19" s="29"/>
      <c r="VH19" s="29"/>
      <c r="VI19" s="29"/>
      <c r="VJ19" s="29"/>
      <c r="VK19" s="29"/>
      <c r="VL19" s="29"/>
      <c r="VM19" s="29"/>
      <c r="VN19" s="29"/>
      <c r="VO19" s="29"/>
      <c r="VP19" s="29"/>
      <c r="VQ19" s="29"/>
      <c r="VR19" s="29"/>
      <c r="VS19" s="29"/>
      <c r="VT19" s="29"/>
      <c r="VU19" s="29"/>
      <c r="VV19" s="29"/>
      <c r="VW19" s="29"/>
      <c r="VX19" s="29"/>
      <c r="VY19" s="29"/>
      <c r="VZ19" s="29"/>
      <c r="WA19" s="29"/>
      <c r="WB19" s="29"/>
      <c r="WC19" s="29"/>
      <c r="WD19" s="29"/>
      <c r="WE19" s="29"/>
      <c r="WF19" s="29"/>
      <c r="WG19" s="29"/>
      <c r="WH19" s="29"/>
      <c r="WI19" s="29"/>
      <c r="WJ19" s="29"/>
      <c r="WK19" s="29"/>
      <c r="WL19" s="29"/>
      <c r="WM19" s="29"/>
      <c r="WN19" s="29"/>
      <c r="WO19" s="29"/>
      <c r="WP19" s="29"/>
      <c r="WQ19" s="29"/>
      <c r="WR19" s="29"/>
      <c r="WS19" s="29"/>
      <c r="WT19" s="29"/>
      <c r="WU19" s="29"/>
      <c r="WV19" s="29"/>
      <c r="WW19" s="29"/>
      <c r="WX19" s="29"/>
      <c r="WY19" s="29"/>
      <c r="WZ19" s="29"/>
      <c r="XA19" s="29"/>
      <c r="XB19" s="29"/>
      <c r="XC19" s="29"/>
      <c r="XD19" s="29"/>
      <c r="XE19" s="29"/>
      <c r="XF19" s="29"/>
      <c r="XG19" s="29"/>
      <c r="XH19" s="29"/>
      <c r="XI19" s="29"/>
      <c r="XJ19" s="29"/>
      <c r="XK19" s="29"/>
      <c r="XL19" s="29"/>
      <c r="XM19" s="29"/>
      <c r="XN19" s="29"/>
      <c r="XO19" s="29"/>
      <c r="XP19" s="29"/>
      <c r="XQ19" s="29"/>
      <c r="XR19" s="29"/>
      <c r="XS19" s="29"/>
      <c r="XT19" s="29"/>
      <c r="XU19" s="29"/>
      <c r="XV19" s="29"/>
      <c r="XW19" s="29"/>
      <c r="XX19" s="29"/>
      <c r="XY19" s="29"/>
    </row>
    <row r="20" spans="3:649" s="53" customFormat="1" ht="14.45" outlineLevel="1">
      <c r="C20" s="30" t="s">
        <v>26</v>
      </c>
      <c r="D20" s="28" t="s">
        <v>51</v>
      </c>
      <c r="E20" s="221"/>
      <c r="F20" s="51"/>
      <c r="G20" s="51"/>
      <c r="H20" s="51"/>
      <c r="I20" s="51"/>
      <c r="J20" s="51"/>
      <c r="K20" s="51"/>
      <c r="L20" s="51"/>
      <c r="M20" s="51"/>
      <c r="N20" s="51">
        <v>5.8500788222265641</v>
      </c>
      <c r="O20" s="51">
        <v>2.4854761904761915</v>
      </c>
      <c r="P20" s="51">
        <v>1.8457142857142865</v>
      </c>
      <c r="Q20" s="51">
        <f t="shared" si="0"/>
        <v>10.181269298417043</v>
      </c>
      <c r="R20" s="51">
        <v>39.818730701582957</v>
      </c>
      <c r="S20" s="28" t="s">
        <v>28</v>
      </c>
      <c r="T20" s="31" t="s">
        <v>49</v>
      </c>
      <c r="U20" s="169"/>
      <c r="V20" s="170" t="e">
        <f>IF(#REF!="","Other Major Projects","Data Centre")</f>
        <v>#REF!</v>
      </c>
      <c r="W20" s="168"/>
      <c r="X20" s="28">
        <f>Table4232[[#This Row],[Post 2033]]+Table4232[[#This Row],[Total]]</f>
        <v>50</v>
      </c>
      <c r="Y20" s="28" t="s">
        <v>50</v>
      </c>
      <c r="Z20" s="52"/>
      <c r="AA20" s="52"/>
      <c r="AB20" s="52"/>
      <c r="AC20" s="52"/>
      <c r="AD20" s="52"/>
      <c r="AE20" s="27"/>
      <c r="AF20" s="52"/>
      <c r="AG20" s="52"/>
      <c r="AH20" s="52"/>
      <c r="AI20" s="52"/>
      <c r="AJ20" s="52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7"/>
      <c r="JD20" s="27"/>
      <c r="JE20" s="27"/>
      <c r="JF20" s="27"/>
      <c r="JG20" s="27"/>
      <c r="JH20" s="27"/>
      <c r="JI20" s="27"/>
      <c r="JJ20" s="27"/>
      <c r="JK20" s="27"/>
      <c r="JL20" s="27"/>
      <c r="JM20" s="27"/>
      <c r="JN20" s="27"/>
      <c r="JO20" s="27"/>
      <c r="JP20" s="27"/>
      <c r="JQ20" s="27"/>
      <c r="JR20" s="27"/>
      <c r="JS20" s="27"/>
      <c r="JT20" s="27"/>
      <c r="JU20" s="27"/>
      <c r="JV20" s="27"/>
      <c r="JW20" s="27"/>
      <c r="JX20" s="27"/>
      <c r="JY20" s="27"/>
      <c r="JZ20" s="27"/>
      <c r="KA20" s="27"/>
      <c r="KB20" s="27"/>
      <c r="KC20" s="27"/>
      <c r="KD20" s="27"/>
      <c r="KE20" s="27"/>
      <c r="KF20" s="27"/>
      <c r="KG20" s="27"/>
      <c r="KH20" s="27"/>
      <c r="KI20" s="27"/>
      <c r="KJ20" s="27"/>
      <c r="KK20" s="27"/>
      <c r="KL20" s="27"/>
      <c r="KM20" s="27"/>
      <c r="KN20" s="27"/>
      <c r="KO20" s="27"/>
      <c r="KP20" s="27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27"/>
      <c r="LC20" s="27"/>
      <c r="LD20" s="27"/>
      <c r="LE20" s="27"/>
      <c r="LF20" s="27"/>
      <c r="LG20" s="27"/>
      <c r="LH20" s="27"/>
      <c r="LI20" s="27"/>
      <c r="LJ20" s="27"/>
      <c r="LK20" s="27"/>
      <c r="LL20" s="27"/>
      <c r="LM20" s="27"/>
      <c r="LN20" s="27"/>
      <c r="LO20" s="27"/>
      <c r="LP20" s="27"/>
      <c r="LQ20" s="27"/>
      <c r="LR20" s="27"/>
      <c r="LS20" s="27"/>
      <c r="LT20" s="27"/>
      <c r="LU20" s="27"/>
      <c r="LV20" s="27"/>
      <c r="LW20" s="27"/>
      <c r="LX20" s="27"/>
      <c r="LY20" s="27"/>
      <c r="LZ20" s="27"/>
      <c r="MA20" s="27"/>
      <c r="MB20" s="27"/>
      <c r="MC20" s="27"/>
      <c r="MD20" s="27"/>
      <c r="ME20" s="27"/>
      <c r="MF20" s="27"/>
      <c r="MG20" s="27"/>
      <c r="MH20" s="27"/>
      <c r="MI20" s="27"/>
      <c r="MJ20" s="27"/>
      <c r="MK20" s="27"/>
      <c r="ML20" s="27"/>
      <c r="MM20" s="27"/>
      <c r="MN20" s="27"/>
      <c r="MO20" s="27"/>
      <c r="MP20" s="27"/>
      <c r="MQ20" s="27"/>
      <c r="MR20" s="27"/>
      <c r="MS20" s="27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27"/>
      <c r="NH20" s="27"/>
      <c r="NI20" s="27"/>
      <c r="NJ20" s="27"/>
      <c r="NK20" s="27"/>
      <c r="NL20" s="27"/>
      <c r="NM20" s="27"/>
      <c r="NN20" s="27"/>
      <c r="NO20" s="27"/>
      <c r="NP20" s="27"/>
      <c r="NQ20" s="27"/>
      <c r="NR20" s="27"/>
      <c r="NS20" s="27"/>
      <c r="NT20" s="27"/>
      <c r="NU20" s="27"/>
      <c r="NV20" s="27"/>
      <c r="NW20" s="27"/>
      <c r="NX20" s="27"/>
      <c r="NY20" s="27"/>
      <c r="NZ20" s="27"/>
      <c r="OA20" s="27"/>
      <c r="OB20" s="27"/>
      <c r="OC20" s="27"/>
      <c r="OD20" s="27"/>
      <c r="OE20" s="27"/>
      <c r="OF20" s="27"/>
      <c r="OG20" s="27"/>
      <c r="OH20" s="27"/>
      <c r="OI20" s="27"/>
      <c r="OJ20" s="27"/>
      <c r="OK20" s="27"/>
      <c r="OL20" s="27"/>
      <c r="OM20" s="27"/>
      <c r="ON20" s="27"/>
      <c r="OO20" s="27"/>
      <c r="OP20" s="27"/>
      <c r="OQ20" s="27"/>
      <c r="OR20" s="27"/>
      <c r="OS20" s="27"/>
      <c r="OT20" s="27"/>
      <c r="OU20" s="27"/>
      <c r="OV20" s="27"/>
      <c r="OW20" s="27"/>
      <c r="OX20" s="27"/>
      <c r="OY20" s="27"/>
      <c r="OZ20" s="27"/>
      <c r="PA20" s="27"/>
      <c r="PB20" s="27"/>
      <c r="PC20" s="27"/>
      <c r="PD20" s="27"/>
      <c r="PE20" s="27"/>
      <c r="PF20" s="27"/>
      <c r="PG20" s="27"/>
      <c r="PH20" s="27"/>
      <c r="PI20" s="27"/>
      <c r="PJ20" s="27"/>
      <c r="PK20" s="27"/>
      <c r="PL20" s="27"/>
      <c r="PM20" s="27"/>
      <c r="PN20" s="27"/>
      <c r="PO20" s="27"/>
      <c r="PP20" s="27"/>
      <c r="PQ20" s="27"/>
      <c r="PR20" s="27"/>
      <c r="PS20" s="27"/>
      <c r="PT20" s="27"/>
      <c r="PU20" s="27"/>
      <c r="PV20" s="27"/>
      <c r="PW20" s="27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  <c r="SI20" s="29"/>
      <c r="SJ20" s="29"/>
      <c r="SK20" s="29"/>
      <c r="SL20" s="29"/>
      <c r="SM20" s="29"/>
      <c r="SN20" s="29"/>
      <c r="SO20" s="29"/>
      <c r="SP20" s="29"/>
      <c r="SQ20" s="29"/>
      <c r="SR20" s="29"/>
      <c r="SS20" s="29"/>
      <c r="ST20" s="29"/>
      <c r="SU20" s="29"/>
      <c r="SV20" s="29"/>
      <c r="SW20" s="29"/>
      <c r="SX20" s="29"/>
      <c r="SY20" s="29"/>
      <c r="SZ20" s="29"/>
      <c r="TA20" s="29"/>
      <c r="TB20" s="29"/>
      <c r="TC20" s="29"/>
      <c r="TD20" s="29"/>
      <c r="TE20" s="29"/>
      <c r="TF20" s="29"/>
      <c r="TG20" s="29"/>
      <c r="TH20" s="29"/>
      <c r="TI20" s="29"/>
      <c r="TJ20" s="29"/>
      <c r="TK20" s="29"/>
      <c r="TL20" s="29"/>
      <c r="TM20" s="29"/>
      <c r="TN20" s="29"/>
      <c r="TO20" s="29"/>
      <c r="TP20" s="29"/>
      <c r="TQ20" s="29"/>
      <c r="TR20" s="29"/>
      <c r="TS20" s="29"/>
      <c r="TT20" s="29"/>
      <c r="TU20" s="29"/>
      <c r="TV20" s="29"/>
      <c r="TW20" s="29"/>
      <c r="TX20" s="29"/>
      <c r="TY20" s="29"/>
      <c r="TZ20" s="29"/>
      <c r="UA20" s="29"/>
      <c r="UB20" s="29"/>
      <c r="UC20" s="29"/>
      <c r="UD20" s="29"/>
      <c r="UE20" s="29"/>
      <c r="UF20" s="29"/>
      <c r="UG20" s="29"/>
      <c r="UH20" s="29"/>
      <c r="UI20" s="29"/>
      <c r="UJ20" s="29"/>
      <c r="UK20" s="29"/>
      <c r="UL20" s="29"/>
      <c r="UM20" s="29"/>
      <c r="UN20" s="29"/>
      <c r="UO20" s="29"/>
      <c r="UP20" s="29"/>
      <c r="UQ20" s="29"/>
      <c r="UR20" s="29"/>
      <c r="US20" s="29"/>
      <c r="UT20" s="29"/>
      <c r="UU20" s="29"/>
      <c r="UV20" s="29"/>
      <c r="UW20" s="29"/>
      <c r="UX20" s="29"/>
      <c r="UY20" s="29"/>
      <c r="UZ20" s="29"/>
      <c r="VA20" s="29"/>
      <c r="VB20" s="29"/>
      <c r="VC20" s="29"/>
      <c r="VD20" s="29"/>
      <c r="VE20" s="29"/>
      <c r="VF20" s="29"/>
      <c r="VG20" s="29"/>
      <c r="VH20" s="29"/>
      <c r="VI20" s="29"/>
      <c r="VJ20" s="29"/>
      <c r="VK20" s="29"/>
      <c r="VL20" s="29"/>
      <c r="VM20" s="29"/>
      <c r="VN20" s="29"/>
      <c r="VO20" s="29"/>
      <c r="VP20" s="29"/>
      <c r="VQ20" s="29"/>
      <c r="VR20" s="29"/>
      <c r="VS20" s="29"/>
      <c r="VT20" s="29"/>
      <c r="VU20" s="29"/>
      <c r="VV20" s="29"/>
      <c r="VW20" s="29"/>
      <c r="VX20" s="29"/>
      <c r="VY20" s="29"/>
      <c r="VZ20" s="29"/>
      <c r="WA20" s="29"/>
      <c r="WB20" s="29"/>
      <c r="WC20" s="29"/>
      <c r="WD20" s="29"/>
      <c r="WE20" s="29"/>
      <c r="WF20" s="29"/>
      <c r="WG20" s="29"/>
      <c r="WH20" s="29"/>
      <c r="WI20" s="29"/>
      <c r="WJ20" s="29"/>
      <c r="WK20" s="29"/>
      <c r="WL20" s="29"/>
      <c r="WM20" s="29"/>
      <c r="WN20" s="29"/>
      <c r="WO20" s="29"/>
      <c r="WP20" s="29"/>
      <c r="WQ20" s="29"/>
      <c r="WR20" s="29"/>
      <c r="WS20" s="29"/>
      <c r="WT20" s="29"/>
      <c r="WU20" s="29"/>
      <c r="WV20" s="29"/>
      <c r="WW20" s="29"/>
      <c r="WX20" s="29"/>
      <c r="WY20" s="29"/>
      <c r="WZ20" s="29"/>
      <c r="XA20" s="29"/>
      <c r="XB20" s="29"/>
      <c r="XC20" s="29"/>
      <c r="XD20" s="29"/>
      <c r="XE20" s="29"/>
      <c r="XF20" s="29"/>
      <c r="XG20" s="29"/>
      <c r="XH20" s="29"/>
      <c r="XI20" s="29"/>
      <c r="XJ20" s="29"/>
      <c r="XK20" s="29"/>
      <c r="XL20" s="29"/>
      <c r="XM20" s="29"/>
      <c r="XN20" s="29"/>
      <c r="XO20" s="29"/>
      <c r="XP20" s="29"/>
      <c r="XQ20" s="29"/>
      <c r="XR20" s="29"/>
      <c r="XS20" s="29"/>
      <c r="XT20" s="29"/>
      <c r="XU20" s="29"/>
      <c r="XV20" s="29"/>
      <c r="XW20" s="29"/>
      <c r="XX20" s="29"/>
      <c r="XY20" s="29"/>
    </row>
    <row r="21" spans="3:649" s="53" customFormat="1" ht="14.45" outlineLevel="1">
      <c r="C21" s="30" t="s">
        <v>26</v>
      </c>
      <c r="D21" s="28" t="s">
        <v>52</v>
      </c>
      <c r="E21" s="22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>
        <f t="shared" si="0"/>
        <v>0</v>
      </c>
      <c r="R21" s="51">
        <v>100</v>
      </c>
      <c r="S21" s="28" t="s">
        <v>53</v>
      </c>
      <c r="T21" s="31" t="s">
        <v>49</v>
      </c>
      <c r="U21" s="169"/>
      <c r="V21" s="170" t="e">
        <f>IF(#REF!="","Other Major Projects","Data Centre")</f>
        <v>#REF!</v>
      </c>
      <c r="W21" s="168"/>
      <c r="X21" s="28">
        <f>Table4232[[#This Row],[Post 2033]]+Table4232[[#This Row],[Total]]</f>
        <v>100</v>
      </c>
      <c r="Y21" s="28" t="s">
        <v>50</v>
      </c>
      <c r="Z21" s="52"/>
      <c r="AA21" s="52"/>
      <c r="AB21" s="52"/>
      <c r="AC21" s="52"/>
      <c r="AD21" s="52"/>
      <c r="AE21" s="27"/>
      <c r="AF21" s="52"/>
      <c r="AG21" s="52"/>
      <c r="AH21" s="52"/>
      <c r="AI21" s="52"/>
      <c r="AJ21" s="52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</row>
    <row r="22" spans="3:649" s="53" customFormat="1" ht="14.45" outlineLevel="1">
      <c r="C22" s="30" t="s">
        <v>47</v>
      </c>
      <c r="D22" s="28" t="s">
        <v>54</v>
      </c>
      <c r="E22" s="221"/>
      <c r="F22" s="51">
        <v>3.75</v>
      </c>
      <c r="G22" s="51">
        <v>11.25</v>
      </c>
      <c r="H22" s="51">
        <v>5</v>
      </c>
      <c r="I22" s="51"/>
      <c r="J22" s="51"/>
      <c r="K22" s="51">
        <v>-20</v>
      </c>
      <c r="L22" s="51"/>
      <c r="M22" s="51"/>
      <c r="N22" s="51"/>
      <c r="O22" s="51"/>
      <c r="P22" s="51"/>
      <c r="Q22" s="51">
        <f t="shared" si="0"/>
        <v>0</v>
      </c>
      <c r="R22" s="51"/>
      <c r="S22" s="28" t="s">
        <v>31</v>
      </c>
      <c r="T22" s="31" t="s">
        <v>55</v>
      </c>
      <c r="U22" s="169"/>
      <c r="V22" s="170" t="e">
        <f>IF(#REF!="","Other Major Projects","Data Centre")</f>
        <v>#REF!</v>
      </c>
      <c r="W22" s="168"/>
      <c r="X22" s="28">
        <f>Table4232[[#This Row],[Post 2033]]+Table4232[[#This Row],[Total]]</f>
        <v>0</v>
      </c>
      <c r="Y22" s="28" t="s">
        <v>50</v>
      </c>
      <c r="Z22" s="52"/>
      <c r="AA22" s="52"/>
      <c r="AB22" s="52"/>
      <c r="AC22" s="52"/>
      <c r="AD22" s="52"/>
      <c r="AE22" s="27"/>
      <c r="AF22" s="52"/>
      <c r="AG22" s="52"/>
      <c r="AH22" s="52"/>
      <c r="AI22" s="52"/>
      <c r="AJ22" s="52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7"/>
      <c r="JD22" s="27"/>
      <c r="JE22" s="27"/>
      <c r="JF22" s="27"/>
      <c r="JG22" s="27"/>
      <c r="JH22" s="27"/>
      <c r="JI22" s="27"/>
      <c r="JJ22" s="27"/>
      <c r="JK22" s="27"/>
      <c r="JL22" s="27"/>
      <c r="JM22" s="27"/>
      <c r="JN22" s="27"/>
      <c r="JO22" s="27"/>
      <c r="JP22" s="27"/>
      <c r="JQ22" s="27"/>
      <c r="JR22" s="27"/>
      <c r="JS22" s="27"/>
      <c r="JT22" s="27"/>
      <c r="JU22" s="27"/>
      <c r="JV22" s="27"/>
      <c r="JW22" s="27"/>
      <c r="JX22" s="27"/>
      <c r="JY22" s="27"/>
      <c r="JZ22" s="27"/>
      <c r="KA22" s="27"/>
      <c r="KB22" s="27"/>
      <c r="KC22" s="27"/>
      <c r="KD22" s="27"/>
      <c r="KE22" s="27"/>
      <c r="KF22" s="27"/>
      <c r="KG22" s="27"/>
      <c r="KH22" s="27"/>
      <c r="KI22" s="27"/>
      <c r="KJ22" s="27"/>
      <c r="KK22" s="27"/>
      <c r="KL22" s="27"/>
      <c r="KM22" s="27"/>
      <c r="KN22" s="27"/>
      <c r="KO22" s="27"/>
      <c r="KP22" s="27"/>
      <c r="KQ22" s="27"/>
      <c r="KR22" s="27"/>
      <c r="KS22" s="27"/>
      <c r="KT22" s="27"/>
      <c r="KU22" s="27"/>
      <c r="KV22" s="27"/>
      <c r="KW22" s="27"/>
      <c r="KX22" s="27"/>
      <c r="KY22" s="27"/>
      <c r="KZ22" s="27"/>
      <c r="LA22" s="27"/>
      <c r="LB22" s="27"/>
      <c r="LC22" s="27"/>
      <c r="LD22" s="27"/>
      <c r="LE22" s="27"/>
      <c r="LF22" s="27"/>
      <c r="LG22" s="27"/>
      <c r="LH22" s="27"/>
      <c r="LI22" s="27"/>
      <c r="LJ22" s="27"/>
      <c r="LK22" s="27"/>
      <c r="LL22" s="27"/>
      <c r="LM22" s="27"/>
      <c r="LN22" s="27"/>
      <c r="LO22" s="27"/>
      <c r="LP22" s="27"/>
      <c r="LQ22" s="27"/>
      <c r="LR22" s="27"/>
      <c r="LS22" s="27"/>
      <c r="LT22" s="27"/>
      <c r="LU22" s="27"/>
      <c r="LV22" s="27"/>
      <c r="LW22" s="27"/>
      <c r="LX22" s="27"/>
      <c r="LY22" s="27"/>
      <c r="LZ22" s="27"/>
      <c r="MA22" s="27"/>
      <c r="MB22" s="27"/>
      <c r="MC22" s="27"/>
      <c r="MD22" s="27"/>
      <c r="ME22" s="27"/>
      <c r="MF22" s="27"/>
      <c r="MG22" s="27"/>
      <c r="MH22" s="27"/>
      <c r="MI22" s="27"/>
      <c r="MJ22" s="27"/>
      <c r="MK22" s="27"/>
      <c r="ML22" s="27"/>
      <c r="MM22" s="27"/>
      <c r="MN22" s="27"/>
      <c r="MO22" s="27"/>
      <c r="MP22" s="27"/>
      <c r="MQ22" s="27"/>
      <c r="MR22" s="27"/>
      <c r="MS22" s="27"/>
      <c r="MT22" s="27"/>
      <c r="MU22" s="27"/>
      <c r="MV22" s="27"/>
      <c r="MW22" s="27"/>
      <c r="MX22" s="27"/>
      <c r="MY22" s="27"/>
      <c r="MZ22" s="27"/>
      <c r="NA22" s="27"/>
      <c r="NB22" s="27"/>
      <c r="NC22" s="27"/>
      <c r="ND22" s="27"/>
      <c r="NE22" s="27"/>
      <c r="NF22" s="27"/>
      <c r="NG22" s="27"/>
      <c r="NH22" s="27"/>
      <c r="NI22" s="27"/>
      <c r="NJ22" s="27"/>
      <c r="NK22" s="27"/>
      <c r="NL22" s="27"/>
      <c r="NM22" s="27"/>
      <c r="NN22" s="27"/>
      <c r="NO22" s="27"/>
      <c r="NP22" s="27"/>
      <c r="NQ22" s="27"/>
      <c r="NR22" s="27"/>
      <c r="NS22" s="27"/>
      <c r="NT22" s="27"/>
      <c r="NU22" s="27"/>
      <c r="NV22" s="27"/>
      <c r="NW22" s="27"/>
      <c r="NX22" s="27"/>
      <c r="NY22" s="27"/>
      <c r="NZ22" s="27"/>
      <c r="OA22" s="27"/>
      <c r="OB22" s="27"/>
      <c r="OC22" s="27"/>
      <c r="OD22" s="27"/>
      <c r="OE22" s="27"/>
      <c r="OF22" s="27"/>
      <c r="OG22" s="27"/>
      <c r="OH22" s="27"/>
      <c r="OI22" s="27"/>
      <c r="OJ22" s="27"/>
      <c r="OK22" s="27"/>
      <c r="OL22" s="27"/>
      <c r="OM22" s="27"/>
      <c r="ON22" s="27"/>
      <c r="OO22" s="27"/>
      <c r="OP22" s="27"/>
      <c r="OQ22" s="27"/>
      <c r="OR22" s="27"/>
      <c r="OS22" s="27"/>
      <c r="OT22" s="27"/>
      <c r="OU22" s="27"/>
      <c r="OV22" s="27"/>
      <c r="OW22" s="27"/>
      <c r="OX22" s="27"/>
      <c r="OY22" s="27"/>
      <c r="OZ22" s="27"/>
      <c r="PA22" s="27"/>
      <c r="PB22" s="27"/>
      <c r="PC22" s="27"/>
      <c r="PD22" s="27"/>
      <c r="PE22" s="27"/>
      <c r="PF22" s="27"/>
      <c r="PG22" s="27"/>
      <c r="PH22" s="27"/>
      <c r="PI22" s="27"/>
      <c r="PJ22" s="27"/>
      <c r="PK22" s="27"/>
      <c r="PL22" s="27"/>
      <c r="PM22" s="27"/>
      <c r="PN22" s="27"/>
      <c r="PO22" s="27"/>
      <c r="PP22" s="27"/>
      <c r="PQ22" s="27"/>
      <c r="PR22" s="27"/>
      <c r="PS22" s="27"/>
      <c r="PT22" s="27"/>
      <c r="PU22" s="27"/>
      <c r="PV22" s="27"/>
      <c r="PW22" s="27"/>
      <c r="PZ22" s="29"/>
      <c r="QA22" s="29"/>
      <c r="QB22" s="29"/>
      <c r="QC22" s="29"/>
      <c r="QD22" s="29"/>
      <c r="QE22" s="29"/>
      <c r="QF22" s="29"/>
      <c r="QG22" s="29"/>
      <c r="QH22" s="29"/>
      <c r="QI22" s="29"/>
      <c r="QJ22" s="29"/>
      <c r="QK22" s="29"/>
      <c r="QL22" s="29"/>
      <c r="QM22" s="29"/>
      <c r="QN22" s="29"/>
      <c r="QO22" s="29"/>
      <c r="QP22" s="29"/>
      <c r="QQ22" s="29"/>
      <c r="QR22" s="29"/>
      <c r="QS22" s="29"/>
      <c r="QT22" s="29"/>
      <c r="QU22" s="29"/>
      <c r="QV22" s="29"/>
      <c r="QW22" s="29"/>
      <c r="QX22" s="29"/>
      <c r="QY22" s="29"/>
      <c r="QZ22" s="29"/>
      <c r="RA22" s="29"/>
      <c r="RB22" s="29"/>
      <c r="RC22" s="29"/>
      <c r="RD22" s="29"/>
      <c r="RE22" s="29"/>
      <c r="RF22" s="29"/>
      <c r="RG22" s="29"/>
      <c r="RH22" s="29"/>
      <c r="RI22" s="29"/>
      <c r="RJ22" s="29"/>
      <c r="RK22" s="29"/>
      <c r="RL22" s="29"/>
      <c r="RM22" s="29"/>
      <c r="RN22" s="29"/>
      <c r="RO22" s="29"/>
      <c r="RP22" s="29"/>
      <c r="RQ22" s="29"/>
      <c r="RR22" s="29"/>
      <c r="RS22" s="29"/>
      <c r="RT22" s="29"/>
      <c r="RU22" s="29"/>
      <c r="RV22" s="29"/>
      <c r="RW22" s="29"/>
      <c r="RX22" s="29"/>
      <c r="RY22" s="29"/>
      <c r="RZ22" s="29"/>
      <c r="SA22" s="29"/>
      <c r="SB22" s="29"/>
      <c r="SC22" s="29"/>
      <c r="SD22" s="29"/>
      <c r="SE22" s="29"/>
      <c r="SF22" s="29"/>
      <c r="SG22" s="29"/>
      <c r="SH22" s="29"/>
      <c r="SI22" s="29"/>
      <c r="SJ22" s="29"/>
      <c r="SK22" s="29"/>
      <c r="SL22" s="29"/>
      <c r="SM22" s="29"/>
      <c r="SN22" s="29"/>
      <c r="SO22" s="29"/>
      <c r="SP22" s="29"/>
      <c r="SQ22" s="29"/>
      <c r="SR22" s="29"/>
      <c r="SS22" s="29"/>
      <c r="ST22" s="29"/>
      <c r="SU22" s="29"/>
      <c r="SV22" s="29"/>
      <c r="SW22" s="29"/>
      <c r="SX22" s="29"/>
      <c r="SY22" s="29"/>
      <c r="SZ22" s="29"/>
      <c r="TA22" s="29"/>
      <c r="TB22" s="29"/>
      <c r="TC22" s="29"/>
      <c r="TD22" s="29"/>
      <c r="TE22" s="29"/>
      <c r="TF22" s="29"/>
      <c r="TG22" s="29"/>
      <c r="TH22" s="29"/>
      <c r="TI22" s="29"/>
      <c r="TJ22" s="29"/>
      <c r="TK22" s="29"/>
      <c r="TL22" s="29"/>
      <c r="TM22" s="29"/>
      <c r="TN22" s="29"/>
      <c r="TO22" s="29"/>
      <c r="TP22" s="29"/>
      <c r="TQ22" s="29"/>
      <c r="TR22" s="29"/>
      <c r="TS22" s="29"/>
      <c r="TT22" s="29"/>
      <c r="TU22" s="29"/>
      <c r="TV22" s="29"/>
      <c r="TW22" s="29"/>
      <c r="TX22" s="29"/>
      <c r="TY22" s="29"/>
      <c r="TZ22" s="29"/>
      <c r="UA22" s="29"/>
      <c r="UB22" s="29"/>
      <c r="UC22" s="29"/>
      <c r="UD22" s="29"/>
      <c r="UE22" s="29"/>
      <c r="UF22" s="29"/>
      <c r="UG22" s="29"/>
      <c r="UH22" s="29"/>
      <c r="UI22" s="29"/>
      <c r="UJ22" s="29"/>
      <c r="UK22" s="29"/>
      <c r="UL22" s="29"/>
      <c r="UM22" s="29"/>
      <c r="UN22" s="29"/>
      <c r="UO22" s="29"/>
      <c r="UP22" s="29"/>
      <c r="UQ22" s="29"/>
      <c r="UR22" s="29"/>
      <c r="US22" s="29"/>
      <c r="UT22" s="29"/>
      <c r="UU22" s="29"/>
      <c r="UV22" s="29"/>
      <c r="UW22" s="29"/>
      <c r="UX22" s="29"/>
      <c r="UY22" s="29"/>
      <c r="UZ22" s="29"/>
      <c r="VA22" s="29"/>
      <c r="VB22" s="29"/>
      <c r="VC22" s="29"/>
      <c r="VD22" s="29"/>
      <c r="VE22" s="29"/>
      <c r="VF22" s="29"/>
      <c r="VG22" s="29"/>
      <c r="VH22" s="29"/>
      <c r="VI22" s="29"/>
      <c r="VJ22" s="29"/>
      <c r="VK22" s="29"/>
      <c r="VL22" s="29"/>
      <c r="VM22" s="29"/>
      <c r="VN22" s="29"/>
      <c r="VO22" s="29"/>
      <c r="VP22" s="29"/>
      <c r="VQ22" s="29"/>
      <c r="VR22" s="29"/>
      <c r="VS22" s="29"/>
      <c r="VT22" s="29"/>
      <c r="VU22" s="29"/>
      <c r="VV22" s="29"/>
      <c r="VW22" s="29"/>
      <c r="VX22" s="29"/>
      <c r="VY22" s="29"/>
      <c r="VZ22" s="29"/>
      <c r="WA22" s="29"/>
      <c r="WB22" s="29"/>
      <c r="WC22" s="29"/>
      <c r="WD22" s="29"/>
      <c r="WE22" s="29"/>
      <c r="WF22" s="29"/>
      <c r="WG22" s="29"/>
      <c r="WH22" s="29"/>
      <c r="WI22" s="29"/>
      <c r="WJ22" s="29"/>
      <c r="WK22" s="29"/>
      <c r="WL22" s="29"/>
      <c r="WM22" s="29"/>
      <c r="WN22" s="29"/>
      <c r="WO22" s="29"/>
      <c r="WP22" s="29"/>
      <c r="WQ22" s="29"/>
      <c r="WR22" s="29"/>
      <c r="WS22" s="29"/>
      <c r="WT22" s="29"/>
      <c r="WU22" s="29"/>
      <c r="WV22" s="29"/>
      <c r="WW22" s="29"/>
      <c r="WX22" s="29"/>
      <c r="WY22" s="29"/>
      <c r="WZ22" s="29"/>
      <c r="XA22" s="29"/>
      <c r="XB22" s="29"/>
      <c r="XC22" s="29"/>
      <c r="XD22" s="29"/>
      <c r="XE22" s="29"/>
      <c r="XF22" s="29"/>
      <c r="XG22" s="29"/>
      <c r="XH22" s="29"/>
      <c r="XI22" s="29"/>
      <c r="XJ22" s="29"/>
      <c r="XK22" s="29"/>
      <c r="XL22" s="29"/>
      <c r="XM22" s="29"/>
      <c r="XN22" s="29"/>
      <c r="XO22" s="29"/>
      <c r="XP22" s="29"/>
      <c r="XQ22" s="29"/>
      <c r="XR22" s="29"/>
      <c r="XS22" s="29"/>
      <c r="XT22" s="29"/>
      <c r="XU22" s="29"/>
      <c r="XV22" s="29"/>
      <c r="XW22" s="29"/>
      <c r="XX22" s="29"/>
      <c r="XY22" s="29"/>
    </row>
    <row r="23" spans="3:649" s="53" customFormat="1" ht="14.45" outlineLevel="1">
      <c r="C23" s="30" t="s">
        <v>26</v>
      </c>
      <c r="D23" s="28" t="s">
        <v>56</v>
      </c>
      <c r="E23" s="221"/>
      <c r="F23" s="51"/>
      <c r="G23" s="51"/>
      <c r="H23" s="51"/>
      <c r="I23" s="51"/>
      <c r="J23" s="51"/>
      <c r="K23" s="51">
        <v>20</v>
      </c>
      <c r="L23" s="51">
        <v>17.550236466679692</v>
      </c>
      <c r="M23" s="51">
        <v>7.4564285714285745</v>
      </c>
      <c r="N23" s="51">
        <v>5.53714285714286</v>
      </c>
      <c r="O23" s="51">
        <v>16.532</v>
      </c>
      <c r="P23" s="51">
        <v>10.808571428571423</v>
      </c>
      <c r="Q23" s="51">
        <f t="shared" si="0"/>
        <v>77.884379323822557</v>
      </c>
      <c r="R23" s="51">
        <v>72.115620676177443</v>
      </c>
      <c r="S23" s="28" t="s">
        <v>37</v>
      </c>
      <c r="T23" s="31" t="s">
        <v>55</v>
      </c>
      <c r="U23" s="169"/>
      <c r="V23" s="170" t="e">
        <f>IF(#REF!="","Other Major Projects","Data Centre")</f>
        <v>#REF!</v>
      </c>
      <c r="W23" s="168"/>
      <c r="X23" s="28">
        <f>Table4232[[#This Row],[Post 2033]]+Table4232[[#This Row],[Total]]</f>
        <v>150</v>
      </c>
      <c r="Y23" s="28" t="s">
        <v>50</v>
      </c>
      <c r="Z23" s="52"/>
      <c r="AA23" s="52"/>
      <c r="AB23" s="52"/>
      <c r="AC23" s="52"/>
      <c r="AD23" s="52"/>
      <c r="AE23" s="27"/>
      <c r="AF23" s="52"/>
      <c r="AG23" s="52"/>
      <c r="AH23" s="52"/>
      <c r="AI23" s="52"/>
      <c r="AJ23" s="52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  <c r="KB23" s="27"/>
      <c r="KC23" s="27"/>
      <c r="KD23" s="27"/>
      <c r="KE23" s="27"/>
      <c r="KF23" s="27"/>
      <c r="KG23" s="27"/>
      <c r="KH23" s="27"/>
      <c r="KI23" s="27"/>
      <c r="KJ23" s="27"/>
      <c r="KK23" s="27"/>
      <c r="KL23" s="27"/>
      <c r="KM23" s="27"/>
      <c r="KN23" s="27"/>
      <c r="KO23" s="27"/>
      <c r="KP23" s="27"/>
      <c r="KQ23" s="27"/>
      <c r="KR23" s="27"/>
      <c r="KS23" s="27"/>
      <c r="KT23" s="27"/>
      <c r="KU23" s="27"/>
      <c r="KV23" s="27"/>
      <c r="KW23" s="27"/>
      <c r="KX23" s="27"/>
      <c r="KY23" s="27"/>
      <c r="KZ23" s="27"/>
      <c r="LA23" s="27"/>
      <c r="LB23" s="27"/>
      <c r="LC23" s="27"/>
      <c r="LD23" s="27"/>
      <c r="LE23" s="27"/>
      <c r="LF23" s="27"/>
      <c r="LG23" s="27"/>
      <c r="LH23" s="27"/>
      <c r="LI23" s="27"/>
      <c r="LJ23" s="27"/>
      <c r="LK23" s="27"/>
      <c r="LL23" s="27"/>
      <c r="LM23" s="27"/>
      <c r="LN23" s="27"/>
      <c r="LO23" s="27"/>
      <c r="LP23" s="27"/>
      <c r="LQ23" s="27"/>
      <c r="LR23" s="27"/>
      <c r="LS23" s="27"/>
      <c r="LT23" s="27"/>
      <c r="LU23" s="27"/>
      <c r="LV23" s="27"/>
      <c r="LW23" s="27"/>
      <c r="LX23" s="27"/>
      <c r="LY23" s="27"/>
      <c r="LZ23" s="27"/>
      <c r="MA23" s="27"/>
      <c r="MB23" s="27"/>
      <c r="MC23" s="27"/>
      <c r="MD23" s="27"/>
      <c r="ME23" s="27"/>
      <c r="MF23" s="27"/>
      <c r="MG23" s="27"/>
      <c r="MH23" s="27"/>
      <c r="MI23" s="27"/>
      <c r="MJ23" s="27"/>
      <c r="MK23" s="27"/>
      <c r="ML23" s="27"/>
      <c r="MM23" s="27"/>
      <c r="MN23" s="27"/>
      <c r="MO23" s="27"/>
      <c r="MP23" s="27"/>
      <c r="MQ23" s="27"/>
      <c r="MR23" s="27"/>
      <c r="MS23" s="27"/>
      <c r="MT23" s="27"/>
      <c r="MU23" s="27"/>
      <c r="MV23" s="27"/>
      <c r="MW23" s="27"/>
      <c r="MX23" s="27"/>
      <c r="MY23" s="27"/>
      <c r="MZ23" s="27"/>
      <c r="NA23" s="27"/>
      <c r="NB23" s="27"/>
      <c r="NC23" s="27"/>
      <c r="ND23" s="27"/>
      <c r="NE23" s="27"/>
      <c r="NF23" s="27"/>
      <c r="NG23" s="27"/>
      <c r="NH23" s="27"/>
      <c r="NI23" s="27"/>
      <c r="NJ23" s="27"/>
      <c r="NK23" s="27"/>
      <c r="NL23" s="27"/>
      <c r="NM23" s="27"/>
      <c r="NN23" s="27"/>
      <c r="NO23" s="27"/>
      <c r="NP23" s="27"/>
      <c r="NQ23" s="27"/>
      <c r="NR23" s="27"/>
      <c r="NS23" s="27"/>
      <c r="NT23" s="27"/>
      <c r="NU23" s="27"/>
      <c r="NV23" s="27"/>
      <c r="NW23" s="27"/>
      <c r="NX23" s="27"/>
      <c r="NY23" s="27"/>
      <c r="NZ23" s="27"/>
      <c r="OA23" s="27"/>
      <c r="OB23" s="27"/>
      <c r="OC23" s="27"/>
      <c r="OD23" s="27"/>
      <c r="OE23" s="27"/>
      <c r="OF23" s="27"/>
      <c r="OG23" s="27"/>
      <c r="OH23" s="27"/>
      <c r="OI23" s="27"/>
      <c r="OJ23" s="27"/>
      <c r="OK23" s="27"/>
      <c r="OL23" s="27"/>
      <c r="OM23" s="27"/>
      <c r="ON23" s="27"/>
      <c r="OO23" s="27"/>
      <c r="OP23" s="27"/>
      <c r="OQ23" s="27"/>
      <c r="OR23" s="27"/>
      <c r="OS23" s="27"/>
      <c r="OT23" s="27"/>
      <c r="OU23" s="27"/>
      <c r="OV23" s="27"/>
      <c r="OW23" s="27"/>
      <c r="OX23" s="27"/>
      <c r="OY23" s="27"/>
      <c r="OZ23" s="27"/>
      <c r="PA23" s="27"/>
      <c r="PB23" s="27"/>
      <c r="PC23" s="27"/>
      <c r="PD23" s="27"/>
      <c r="PE23" s="27"/>
      <c r="PF23" s="27"/>
      <c r="PG23" s="27"/>
      <c r="PH23" s="27"/>
      <c r="PI23" s="27"/>
      <c r="PJ23" s="27"/>
      <c r="PK23" s="27"/>
      <c r="PL23" s="27"/>
      <c r="PM23" s="27"/>
      <c r="PN23" s="27"/>
      <c r="PO23" s="27"/>
      <c r="PP23" s="27"/>
      <c r="PQ23" s="27"/>
      <c r="PR23" s="27"/>
      <c r="PS23" s="27"/>
      <c r="PT23" s="27"/>
      <c r="PU23" s="27"/>
      <c r="PV23" s="27"/>
      <c r="PW23" s="27"/>
      <c r="PZ23" s="29"/>
      <c r="QA23" s="29"/>
      <c r="QB23" s="29"/>
      <c r="QC23" s="29"/>
      <c r="QD23" s="29"/>
      <c r="QE23" s="29"/>
      <c r="QF23" s="29"/>
      <c r="QG23" s="29"/>
      <c r="QH23" s="29"/>
      <c r="QI23" s="29"/>
      <c r="QJ23" s="29"/>
      <c r="QK23" s="29"/>
      <c r="QL23" s="29"/>
      <c r="QM23" s="29"/>
      <c r="QN23" s="29"/>
      <c r="QO23" s="29"/>
      <c r="QP23" s="29"/>
      <c r="QQ23" s="29"/>
      <c r="QR23" s="29"/>
      <c r="QS23" s="29"/>
      <c r="QT23" s="29"/>
      <c r="QU23" s="29"/>
      <c r="QV23" s="29"/>
      <c r="QW23" s="29"/>
      <c r="QX23" s="29"/>
      <c r="QY23" s="29"/>
      <c r="QZ23" s="29"/>
      <c r="RA23" s="29"/>
      <c r="RB23" s="29"/>
      <c r="RC23" s="29"/>
      <c r="RD23" s="29"/>
      <c r="RE23" s="29"/>
      <c r="RF23" s="29"/>
      <c r="RG23" s="29"/>
      <c r="RH23" s="29"/>
      <c r="RI23" s="29"/>
      <c r="RJ23" s="29"/>
      <c r="RK23" s="29"/>
      <c r="RL23" s="29"/>
      <c r="RM23" s="29"/>
      <c r="RN23" s="29"/>
      <c r="RO23" s="29"/>
      <c r="RP23" s="29"/>
      <c r="RQ23" s="29"/>
      <c r="RR23" s="29"/>
      <c r="RS23" s="29"/>
      <c r="RT23" s="29"/>
      <c r="RU23" s="29"/>
      <c r="RV23" s="29"/>
      <c r="RW23" s="29"/>
      <c r="RX23" s="29"/>
      <c r="RY23" s="29"/>
      <c r="RZ23" s="29"/>
      <c r="SA23" s="29"/>
      <c r="SB23" s="29"/>
      <c r="SC23" s="29"/>
      <c r="SD23" s="29"/>
      <c r="SE23" s="29"/>
      <c r="SF23" s="29"/>
      <c r="SG23" s="29"/>
      <c r="SH23" s="29"/>
      <c r="SI23" s="29"/>
      <c r="SJ23" s="29"/>
      <c r="SK23" s="29"/>
      <c r="SL23" s="29"/>
      <c r="SM23" s="29"/>
      <c r="SN23" s="29"/>
      <c r="SO23" s="29"/>
      <c r="SP23" s="29"/>
      <c r="SQ23" s="29"/>
      <c r="SR23" s="29"/>
      <c r="SS23" s="29"/>
      <c r="ST23" s="29"/>
      <c r="SU23" s="29"/>
      <c r="SV23" s="29"/>
      <c r="SW23" s="29"/>
      <c r="SX23" s="29"/>
      <c r="SY23" s="29"/>
      <c r="SZ23" s="29"/>
      <c r="TA23" s="29"/>
      <c r="TB23" s="29"/>
      <c r="TC23" s="29"/>
      <c r="TD23" s="29"/>
      <c r="TE23" s="29"/>
      <c r="TF23" s="29"/>
      <c r="TG23" s="29"/>
      <c r="TH23" s="29"/>
      <c r="TI23" s="29"/>
      <c r="TJ23" s="29"/>
      <c r="TK23" s="29"/>
      <c r="TL23" s="29"/>
      <c r="TM23" s="29"/>
      <c r="TN23" s="29"/>
      <c r="TO23" s="29"/>
      <c r="TP23" s="29"/>
      <c r="TQ23" s="29"/>
      <c r="TR23" s="29"/>
      <c r="TS23" s="29"/>
      <c r="TT23" s="29"/>
      <c r="TU23" s="29"/>
      <c r="TV23" s="29"/>
      <c r="TW23" s="29"/>
      <c r="TX23" s="29"/>
      <c r="TY23" s="29"/>
      <c r="TZ23" s="29"/>
      <c r="UA23" s="29"/>
      <c r="UB23" s="29"/>
      <c r="UC23" s="29"/>
      <c r="UD23" s="29"/>
      <c r="UE23" s="29"/>
      <c r="UF23" s="29"/>
      <c r="UG23" s="29"/>
      <c r="UH23" s="29"/>
      <c r="UI23" s="29"/>
      <c r="UJ23" s="29"/>
      <c r="UK23" s="29"/>
      <c r="UL23" s="29"/>
      <c r="UM23" s="29"/>
      <c r="UN23" s="29"/>
      <c r="UO23" s="29"/>
      <c r="UP23" s="29"/>
      <c r="UQ23" s="29"/>
      <c r="UR23" s="29"/>
      <c r="US23" s="29"/>
      <c r="UT23" s="29"/>
      <c r="UU23" s="29"/>
      <c r="UV23" s="29"/>
      <c r="UW23" s="29"/>
      <c r="UX23" s="29"/>
      <c r="UY23" s="29"/>
      <c r="UZ23" s="29"/>
      <c r="VA23" s="29"/>
      <c r="VB23" s="29"/>
      <c r="VC23" s="29"/>
      <c r="VD23" s="29"/>
      <c r="VE23" s="29"/>
      <c r="VF23" s="29"/>
      <c r="VG23" s="29"/>
      <c r="VH23" s="29"/>
      <c r="VI23" s="29"/>
      <c r="VJ23" s="29"/>
      <c r="VK23" s="29"/>
      <c r="VL23" s="29"/>
      <c r="VM23" s="29"/>
      <c r="VN23" s="29"/>
      <c r="VO23" s="29"/>
      <c r="VP23" s="29"/>
      <c r="VQ23" s="29"/>
      <c r="VR23" s="29"/>
      <c r="VS23" s="29"/>
      <c r="VT23" s="29"/>
      <c r="VU23" s="29"/>
      <c r="VV23" s="29"/>
      <c r="VW23" s="29"/>
      <c r="VX23" s="29"/>
      <c r="VY23" s="29"/>
      <c r="VZ23" s="29"/>
      <c r="WA23" s="29"/>
      <c r="WB23" s="29"/>
      <c r="WC23" s="29"/>
      <c r="WD23" s="29"/>
      <c r="WE23" s="29"/>
      <c r="WF23" s="29"/>
      <c r="WG23" s="29"/>
      <c r="WH23" s="29"/>
      <c r="WI23" s="29"/>
      <c r="WJ23" s="29"/>
      <c r="WK23" s="29"/>
      <c r="WL23" s="29"/>
      <c r="WM23" s="29"/>
      <c r="WN23" s="29"/>
      <c r="WO23" s="29"/>
      <c r="WP23" s="29"/>
      <c r="WQ23" s="29"/>
      <c r="WR23" s="29"/>
      <c r="WS23" s="29"/>
      <c r="WT23" s="29"/>
      <c r="WU23" s="29"/>
      <c r="WV23" s="29"/>
      <c r="WW23" s="29"/>
      <c r="WX23" s="29"/>
      <c r="WY23" s="29"/>
      <c r="WZ23" s="29"/>
      <c r="XA23" s="29"/>
      <c r="XB23" s="29"/>
      <c r="XC23" s="29"/>
      <c r="XD23" s="29"/>
      <c r="XE23" s="29"/>
      <c r="XF23" s="29"/>
      <c r="XG23" s="29"/>
      <c r="XH23" s="29"/>
      <c r="XI23" s="29"/>
      <c r="XJ23" s="29"/>
      <c r="XK23" s="29"/>
      <c r="XL23" s="29"/>
      <c r="XM23" s="29"/>
      <c r="XN23" s="29"/>
      <c r="XO23" s="29"/>
      <c r="XP23" s="29"/>
      <c r="XQ23" s="29"/>
      <c r="XR23" s="29"/>
      <c r="XS23" s="29"/>
      <c r="XT23" s="29"/>
      <c r="XU23" s="29"/>
      <c r="XV23" s="29"/>
      <c r="XW23" s="29"/>
      <c r="XX23" s="29"/>
      <c r="XY23" s="29"/>
    </row>
    <row r="24" spans="3:649" s="53" customFormat="1" ht="14.45" outlineLevel="1">
      <c r="C24" s="30" t="s">
        <v>47</v>
      </c>
      <c r="D24" s="28" t="s">
        <v>57</v>
      </c>
      <c r="E24" s="221"/>
      <c r="F24" s="51"/>
      <c r="G24" s="51"/>
      <c r="H24" s="51">
        <v>16.899999999999999</v>
      </c>
      <c r="I24" s="51">
        <v>2.4000000000000021</v>
      </c>
      <c r="J24" s="51">
        <v>3.6999999999999993</v>
      </c>
      <c r="K24" s="51">
        <v>14.399999999999999</v>
      </c>
      <c r="L24" s="51">
        <v>14.5</v>
      </c>
      <c r="M24" s="51">
        <v>13.899999999999999</v>
      </c>
      <c r="N24" s="51">
        <v>1.7999999999999972</v>
      </c>
      <c r="O24" s="51">
        <v>1.9000000000000057</v>
      </c>
      <c r="P24" s="51">
        <v>1.7999999999999972</v>
      </c>
      <c r="Q24" s="51">
        <f t="shared" si="0"/>
        <v>71.3</v>
      </c>
      <c r="R24" s="51">
        <v>78.7</v>
      </c>
      <c r="S24" s="28" t="s">
        <v>31</v>
      </c>
      <c r="T24" s="31"/>
      <c r="U24" s="169"/>
      <c r="V24" s="170" t="s">
        <v>50</v>
      </c>
      <c r="W24" s="168"/>
      <c r="X24" s="28">
        <f>Table4232[[#This Row],[Post 2033]]+Table4232[[#This Row],[Total]]</f>
        <v>150</v>
      </c>
      <c r="Y24" s="28" t="s">
        <v>50</v>
      </c>
      <c r="Z24" s="52"/>
      <c r="AA24" s="52"/>
      <c r="AB24" s="52"/>
      <c r="AC24" s="52"/>
      <c r="AD24" s="52"/>
      <c r="AE24" s="27"/>
      <c r="AF24" s="52"/>
      <c r="AG24" s="52"/>
      <c r="AH24" s="52"/>
      <c r="AI24" s="52"/>
      <c r="AJ24" s="52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  <c r="KB24" s="27"/>
      <c r="KC24" s="27"/>
      <c r="KD24" s="27"/>
      <c r="KE24" s="27"/>
      <c r="KF24" s="27"/>
      <c r="KG24" s="27"/>
      <c r="KH24" s="27"/>
      <c r="KI24" s="27"/>
      <c r="KJ24" s="27"/>
      <c r="KK24" s="27"/>
      <c r="KL24" s="27"/>
      <c r="KM24" s="27"/>
      <c r="KN24" s="27"/>
      <c r="KO24" s="27"/>
      <c r="KP24" s="27"/>
      <c r="KQ24" s="27"/>
      <c r="KR24" s="27"/>
      <c r="KS24" s="27"/>
      <c r="KT24" s="27"/>
      <c r="KU24" s="27"/>
      <c r="KV24" s="27"/>
      <c r="KW24" s="27"/>
      <c r="KX24" s="27"/>
      <c r="KY24" s="27"/>
      <c r="KZ24" s="27"/>
      <c r="LA24" s="27"/>
      <c r="LB24" s="27"/>
      <c r="LC24" s="27"/>
      <c r="LD24" s="27"/>
      <c r="LE24" s="27"/>
      <c r="LF24" s="27"/>
      <c r="LG24" s="27"/>
      <c r="LH24" s="27"/>
      <c r="LI24" s="27"/>
      <c r="LJ24" s="27"/>
      <c r="LK24" s="27"/>
      <c r="LL24" s="27"/>
      <c r="LM24" s="27"/>
      <c r="LN24" s="27"/>
      <c r="LO24" s="27"/>
      <c r="LP24" s="27"/>
      <c r="LQ24" s="27"/>
      <c r="LR24" s="27"/>
      <c r="LS24" s="27"/>
      <c r="LT24" s="27"/>
      <c r="LU24" s="27"/>
      <c r="LV24" s="27"/>
      <c r="LW24" s="27"/>
      <c r="LX24" s="27"/>
      <c r="LY24" s="27"/>
      <c r="LZ24" s="27"/>
      <c r="MA24" s="27"/>
      <c r="MB24" s="27"/>
      <c r="MC24" s="27"/>
      <c r="MD24" s="27"/>
      <c r="ME24" s="27"/>
      <c r="MF24" s="27"/>
      <c r="MG24" s="27"/>
      <c r="MH24" s="27"/>
      <c r="MI24" s="27"/>
      <c r="MJ24" s="27"/>
      <c r="MK24" s="27"/>
      <c r="ML24" s="27"/>
      <c r="MM24" s="27"/>
      <c r="MN24" s="27"/>
      <c r="MO24" s="27"/>
      <c r="MP24" s="27"/>
      <c r="MQ24" s="27"/>
      <c r="MR24" s="27"/>
      <c r="MS24" s="27"/>
      <c r="MT24" s="27"/>
      <c r="MU24" s="27"/>
      <c r="MV24" s="27"/>
      <c r="MW24" s="27"/>
      <c r="MX24" s="27"/>
      <c r="MY24" s="27"/>
      <c r="MZ24" s="27"/>
      <c r="NA24" s="27"/>
      <c r="NB24" s="27"/>
      <c r="NC24" s="27"/>
      <c r="ND24" s="27"/>
      <c r="NE24" s="27"/>
      <c r="NF24" s="27"/>
      <c r="NG24" s="27"/>
      <c r="NH24" s="27"/>
      <c r="NI24" s="27"/>
      <c r="NJ24" s="27"/>
      <c r="NK24" s="27"/>
      <c r="NL24" s="27"/>
      <c r="NM24" s="27"/>
      <c r="NN24" s="27"/>
      <c r="NO24" s="27"/>
      <c r="NP24" s="27"/>
      <c r="NQ24" s="27"/>
      <c r="NR24" s="27"/>
      <c r="NS24" s="27"/>
      <c r="NT24" s="27"/>
      <c r="NU24" s="27"/>
      <c r="NV24" s="27"/>
      <c r="NW24" s="27"/>
      <c r="NX24" s="27"/>
      <c r="NY24" s="27"/>
      <c r="NZ24" s="27"/>
      <c r="OA24" s="27"/>
      <c r="OB24" s="27"/>
      <c r="OC24" s="27"/>
      <c r="OD24" s="27"/>
      <c r="OE24" s="27"/>
      <c r="OF24" s="27"/>
      <c r="OG24" s="27"/>
      <c r="OH24" s="27"/>
      <c r="OI24" s="27"/>
      <c r="OJ24" s="27"/>
      <c r="OK24" s="27"/>
      <c r="OL24" s="27"/>
      <c r="OM24" s="27"/>
      <c r="ON24" s="27"/>
      <c r="OO24" s="27"/>
      <c r="OP24" s="27"/>
      <c r="OQ24" s="27"/>
      <c r="OR24" s="27"/>
      <c r="OS24" s="27"/>
      <c r="OT24" s="27"/>
      <c r="OU24" s="27"/>
      <c r="OV24" s="27"/>
      <c r="OW24" s="27"/>
      <c r="OX24" s="27"/>
      <c r="OY24" s="27"/>
      <c r="OZ24" s="27"/>
      <c r="PA24" s="27"/>
      <c r="PB24" s="27"/>
      <c r="PC24" s="27"/>
      <c r="PD24" s="27"/>
      <c r="PE24" s="27"/>
      <c r="PF24" s="27"/>
      <c r="PG24" s="27"/>
      <c r="PH24" s="27"/>
      <c r="PI24" s="27"/>
      <c r="PJ24" s="27"/>
      <c r="PK24" s="27"/>
      <c r="PL24" s="27"/>
      <c r="PM24" s="27"/>
      <c r="PN24" s="27"/>
      <c r="PO24" s="27"/>
      <c r="PP24" s="27"/>
      <c r="PQ24" s="27"/>
      <c r="PR24" s="27"/>
      <c r="PS24" s="27"/>
      <c r="PT24" s="27"/>
      <c r="PU24" s="27"/>
      <c r="PV24" s="27"/>
      <c r="PW24" s="27"/>
      <c r="PZ24" s="29"/>
      <c r="QA24" s="29"/>
      <c r="QB24" s="29"/>
      <c r="QC24" s="29"/>
      <c r="QD24" s="29"/>
      <c r="QE24" s="29"/>
      <c r="QF24" s="29"/>
      <c r="QG24" s="29"/>
      <c r="QH24" s="29"/>
      <c r="QI24" s="29"/>
      <c r="QJ24" s="29"/>
      <c r="QK24" s="29"/>
      <c r="QL24" s="29"/>
      <c r="QM24" s="29"/>
      <c r="QN24" s="29"/>
      <c r="QO24" s="29"/>
      <c r="QP24" s="29"/>
      <c r="QQ24" s="29"/>
      <c r="QR24" s="29"/>
      <c r="QS24" s="29"/>
      <c r="QT24" s="29"/>
      <c r="QU24" s="29"/>
      <c r="QV24" s="29"/>
      <c r="QW24" s="29"/>
      <c r="QX24" s="29"/>
      <c r="QY24" s="29"/>
      <c r="QZ24" s="29"/>
      <c r="RA24" s="29"/>
      <c r="RB24" s="29"/>
      <c r="RC24" s="29"/>
      <c r="RD24" s="29"/>
      <c r="RE24" s="29"/>
      <c r="RF24" s="29"/>
      <c r="RG24" s="29"/>
      <c r="RH24" s="29"/>
      <c r="RI24" s="29"/>
      <c r="RJ24" s="29"/>
      <c r="RK24" s="29"/>
      <c r="RL24" s="29"/>
      <c r="RM24" s="29"/>
      <c r="RN24" s="29"/>
      <c r="RO24" s="29"/>
      <c r="RP24" s="29"/>
      <c r="RQ24" s="29"/>
      <c r="RR24" s="29"/>
      <c r="RS24" s="29"/>
      <c r="RT24" s="29"/>
      <c r="RU24" s="29"/>
      <c r="RV24" s="29"/>
      <c r="RW24" s="29"/>
      <c r="RX24" s="29"/>
      <c r="RY24" s="29"/>
      <c r="RZ24" s="29"/>
      <c r="SA24" s="29"/>
      <c r="SB24" s="29"/>
      <c r="SC24" s="29"/>
      <c r="SD24" s="29"/>
      <c r="SE24" s="29"/>
      <c r="SF24" s="29"/>
      <c r="SG24" s="29"/>
      <c r="SH24" s="29"/>
      <c r="SI24" s="29"/>
      <c r="SJ24" s="29"/>
      <c r="SK24" s="29"/>
      <c r="SL24" s="29"/>
      <c r="SM24" s="29"/>
      <c r="SN24" s="29"/>
      <c r="SO24" s="29"/>
      <c r="SP24" s="29"/>
      <c r="SQ24" s="29"/>
      <c r="SR24" s="29"/>
      <c r="SS24" s="29"/>
      <c r="ST24" s="29"/>
      <c r="SU24" s="29"/>
      <c r="SV24" s="29"/>
      <c r="SW24" s="29"/>
      <c r="SX24" s="29"/>
      <c r="SY24" s="29"/>
      <c r="SZ24" s="29"/>
      <c r="TA24" s="29"/>
      <c r="TB24" s="29"/>
      <c r="TC24" s="29"/>
      <c r="TD24" s="29"/>
      <c r="TE24" s="29"/>
      <c r="TF24" s="29"/>
      <c r="TG24" s="29"/>
      <c r="TH24" s="29"/>
      <c r="TI24" s="29"/>
      <c r="TJ24" s="29"/>
      <c r="TK24" s="29"/>
      <c r="TL24" s="29"/>
      <c r="TM24" s="29"/>
      <c r="TN24" s="29"/>
      <c r="TO24" s="29"/>
      <c r="TP24" s="29"/>
      <c r="TQ24" s="29"/>
      <c r="TR24" s="29"/>
      <c r="TS24" s="29"/>
      <c r="TT24" s="29"/>
      <c r="TU24" s="29"/>
      <c r="TV24" s="29"/>
      <c r="TW24" s="29"/>
      <c r="TX24" s="29"/>
      <c r="TY24" s="29"/>
      <c r="TZ24" s="29"/>
      <c r="UA24" s="29"/>
      <c r="UB24" s="29"/>
      <c r="UC24" s="29"/>
      <c r="UD24" s="29"/>
      <c r="UE24" s="29"/>
      <c r="UF24" s="29"/>
      <c r="UG24" s="29"/>
      <c r="UH24" s="29"/>
      <c r="UI24" s="29"/>
      <c r="UJ24" s="29"/>
      <c r="UK24" s="29"/>
      <c r="UL24" s="29"/>
      <c r="UM24" s="29"/>
      <c r="UN24" s="29"/>
      <c r="UO24" s="29"/>
      <c r="UP24" s="29"/>
      <c r="UQ24" s="29"/>
      <c r="UR24" s="29"/>
      <c r="US24" s="29"/>
      <c r="UT24" s="29"/>
      <c r="UU24" s="29"/>
      <c r="UV24" s="29"/>
      <c r="UW24" s="29"/>
      <c r="UX24" s="29"/>
      <c r="UY24" s="29"/>
      <c r="UZ24" s="29"/>
      <c r="VA24" s="29"/>
      <c r="VB24" s="29"/>
      <c r="VC24" s="29"/>
      <c r="VD24" s="29"/>
      <c r="VE24" s="29"/>
      <c r="VF24" s="29"/>
      <c r="VG24" s="29"/>
      <c r="VH24" s="29"/>
      <c r="VI24" s="29"/>
      <c r="VJ24" s="29"/>
      <c r="VK24" s="29"/>
      <c r="VL24" s="29"/>
      <c r="VM24" s="29"/>
      <c r="VN24" s="29"/>
      <c r="VO24" s="29"/>
      <c r="VP24" s="29"/>
      <c r="VQ24" s="29"/>
      <c r="VR24" s="29"/>
      <c r="VS24" s="29"/>
      <c r="VT24" s="29"/>
      <c r="VU24" s="29"/>
      <c r="VV24" s="29"/>
      <c r="VW24" s="29"/>
      <c r="VX24" s="29"/>
      <c r="VY24" s="29"/>
      <c r="VZ24" s="29"/>
      <c r="WA24" s="29"/>
      <c r="WB24" s="29"/>
      <c r="WC24" s="29"/>
      <c r="WD24" s="29"/>
      <c r="WE24" s="29"/>
      <c r="WF24" s="29"/>
      <c r="WG24" s="29"/>
      <c r="WH24" s="29"/>
      <c r="WI24" s="29"/>
      <c r="WJ24" s="29"/>
      <c r="WK24" s="29"/>
      <c r="WL24" s="29"/>
      <c r="WM24" s="29"/>
      <c r="WN24" s="29"/>
      <c r="WO24" s="29"/>
      <c r="WP24" s="29"/>
      <c r="WQ24" s="29"/>
      <c r="WR24" s="29"/>
      <c r="WS24" s="29"/>
      <c r="WT24" s="29"/>
      <c r="WU24" s="29"/>
      <c r="WV24" s="29"/>
      <c r="WW24" s="29"/>
      <c r="WX24" s="29"/>
      <c r="WY24" s="29"/>
      <c r="WZ24" s="29"/>
      <c r="XA24" s="29"/>
      <c r="XB24" s="29"/>
      <c r="XC24" s="29"/>
      <c r="XD24" s="29"/>
      <c r="XE24" s="29"/>
      <c r="XF24" s="29"/>
      <c r="XG24" s="29"/>
      <c r="XH24" s="29"/>
      <c r="XI24" s="29"/>
      <c r="XJ24" s="29"/>
      <c r="XK24" s="29"/>
      <c r="XL24" s="29"/>
      <c r="XM24" s="29"/>
      <c r="XN24" s="29"/>
      <c r="XO24" s="29"/>
      <c r="XP24" s="29"/>
      <c r="XQ24" s="29"/>
      <c r="XR24" s="29"/>
      <c r="XS24" s="29"/>
      <c r="XT24" s="29"/>
      <c r="XU24" s="29"/>
      <c r="XV24" s="29"/>
      <c r="XW24" s="29"/>
      <c r="XX24" s="29"/>
      <c r="XY24" s="29"/>
    </row>
    <row r="25" spans="3:649" s="53" customFormat="1" ht="14.45" outlineLevel="1">
      <c r="C25" s="30" t="s">
        <v>26</v>
      </c>
      <c r="D25" s="28" t="s">
        <v>58</v>
      </c>
      <c r="E25" s="221"/>
      <c r="F25" s="51">
        <v>15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>
        <f t="shared" si="0"/>
        <v>15</v>
      </c>
      <c r="R25" s="51"/>
      <c r="S25" s="28" t="s">
        <v>31</v>
      </c>
      <c r="T25" s="31"/>
      <c r="U25" s="169">
        <v>14</v>
      </c>
      <c r="V25" s="170" t="e">
        <f>IF(#REF!="","Other Major Projects","Data Centre")</f>
        <v>#REF!</v>
      </c>
      <c r="W25" s="168"/>
      <c r="X25" s="28">
        <f>Table4232[[#This Row],[Post 2033]]+Table4232[[#This Row],[Total]]</f>
        <v>15</v>
      </c>
      <c r="Y25" s="28" t="s">
        <v>50</v>
      </c>
      <c r="Z25" s="52"/>
      <c r="AA25" s="27"/>
      <c r="AB25" s="27"/>
      <c r="AC25" s="27"/>
      <c r="AD25" s="27"/>
      <c r="AE25" s="27"/>
      <c r="AF25" s="52"/>
      <c r="AG25" s="52"/>
      <c r="AH25" s="52"/>
      <c r="AI25" s="52"/>
      <c r="AJ25" s="52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Z25" s="29"/>
      <c r="QA25" s="29"/>
      <c r="QB25" s="29"/>
      <c r="QC25" s="29"/>
      <c r="QD25" s="29"/>
      <c r="QE25" s="29"/>
      <c r="QF25" s="29"/>
      <c r="QG25" s="29"/>
      <c r="QH25" s="29"/>
      <c r="QI25" s="29"/>
      <c r="QJ25" s="29"/>
      <c r="QK25" s="29"/>
      <c r="QL25" s="29"/>
      <c r="QM25" s="29"/>
      <c r="QN25" s="29"/>
      <c r="QO25" s="29"/>
      <c r="QP25" s="29"/>
      <c r="QQ25" s="29"/>
      <c r="QR25" s="29"/>
      <c r="QS25" s="29"/>
      <c r="QT25" s="29"/>
      <c r="QU25" s="29"/>
      <c r="QV25" s="29"/>
      <c r="QW25" s="29"/>
      <c r="QX25" s="29"/>
      <c r="QY25" s="29"/>
      <c r="QZ25" s="29"/>
      <c r="RA25" s="29"/>
      <c r="RB25" s="29"/>
      <c r="RC25" s="29"/>
      <c r="RD25" s="29"/>
      <c r="RE25" s="29"/>
      <c r="RF25" s="29"/>
      <c r="RG25" s="29"/>
      <c r="RH25" s="29"/>
      <c r="RI25" s="29"/>
      <c r="RJ25" s="29"/>
      <c r="RK25" s="29"/>
      <c r="RL25" s="29"/>
      <c r="RM25" s="29"/>
      <c r="RN25" s="29"/>
      <c r="RO25" s="29"/>
      <c r="RP25" s="29"/>
      <c r="RQ25" s="29"/>
      <c r="RR25" s="29"/>
      <c r="RS25" s="29"/>
      <c r="RT25" s="29"/>
      <c r="RU25" s="29"/>
      <c r="RV25" s="29"/>
      <c r="RW25" s="29"/>
      <c r="RX25" s="29"/>
      <c r="RY25" s="29"/>
      <c r="RZ25" s="29"/>
      <c r="SA25" s="29"/>
      <c r="SB25" s="29"/>
      <c r="SC25" s="29"/>
      <c r="SD25" s="29"/>
      <c r="SE25" s="29"/>
      <c r="SF25" s="29"/>
      <c r="SG25" s="29"/>
      <c r="SH25" s="29"/>
      <c r="SI25" s="29"/>
      <c r="SJ25" s="29"/>
      <c r="SK25" s="29"/>
      <c r="SL25" s="29"/>
      <c r="SM25" s="29"/>
      <c r="SN25" s="29"/>
      <c r="SO25" s="29"/>
      <c r="SP25" s="29"/>
      <c r="SQ25" s="29"/>
      <c r="SR25" s="29"/>
      <c r="SS25" s="29"/>
      <c r="ST25" s="29"/>
      <c r="SU25" s="29"/>
      <c r="SV25" s="29"/>
      <c r="SW25" s="29"/>
      <c r="SX25" s="29"/>
      <c r="SY25" s="29"/>
      <c r="SZ25" s="29"/>
      <c r="TA25" s="29"/>
      <c r="TB25" s="29"/>
      <c r="TC25" s="29"/>
      <c r="TD25" s="29"/>
      <c r="TE25" s="29"/>
      <c r="TF25" s="29"/>
      <c r="TG25" s="29"/>
      <c r="TH25" s="29"/>
      <c r="TI25" s="29"/>
      <c r="TJ25" s="29"/>
      <c r="TK25" s="29"/>
      <c r="TL25" s="29"/>
      <c r="TM25" s="29"/>
      <c r="TN25" s="29"/>
      <c r="TO25" s="29"/>
      <c r="TP25" s="29"/>
      <c r="TQ25" s="29"/>
      <c r="TR25" s="29"/>
      <c r="TS25" s="29"/>
      <c r="TT25" s="29"/>
      <c r="TU25" s="29"/>
      <c r="TV25" s="29"/>
      <c r="TW25" s="29"/>
      <c r="TX25" s="29"/>
      <c r="TY25" s="29"/>
      <c r="TZ25" s="29"/>
      <c r="UA25" s="29"/>
      <c r="UB25" s="29"/>
      <c r="UC25" s="29"/>
      <c r="UD25" s="29"/>
      <c r="UE25" s="29"/>
      <c r="UF25" s="29"/>
      <c r="UG25" s="29"/>
      <c r="UH25" s="29"/>
      <c r="UI25" s="29"/>
      <c r="UJ25" s="29"/>
      <c r="UK25" s="29"/>
      <c r="UL25" s="29"/>
      <c r="UM25" s="29"/>
      <c r="UN25" s="29"/>
      <c r="UO25" s="29"/>
      <c r="UP25" s="29"/>
      <c r="UQ25" s="29"/>
      <c r="UR25" s="29"/>
      <c r="US25" s="29"/>
      <c r="UT25" s="29"/>
      <c r="UU25" s="29"/>
      <c r="UV25" s="29"/>
      <c r="UW25" s="29"/>
      <c r="UX25" s="29"/>
      <c r="UY25" s="29"/>
      <c r="UZ25" s="29"/>
      <c r="VA25" s="29"/>
      <c r="VB25" s="29"/>
      <c r="VC25" s="29"/>
      <c r="VD25" s="29"/>
      <c r="VE25" s="29"/>
      <c r="VF25" s="29"/>
      <c r="VG25" s="29"/>
      <c r="VH25" s="29"/>
      <c r="VI25" s="29"/>
      <c r="VJ25" s="29"/>
      <c r="VK25" s="29"/>
      <c r="VL25" s="29"/>
      <c r="VM25" s="29"/>
      <c r="VN25" s="29"/>
      <c r="VO25" s="29"/>
      <c r="VP25" s="29"/>
      <c r="VQ25" s="29"/>
      <c r="VR25" s="29"/>
      <c r="VS25" s="29"/>
      <c r="VT25" s="29"/>
      <c r="VU25" s="29"/>
      <c r="VV25" s="29"/>
      <c r="VW25" s="29"/>
      <c r="VX25" s="29"/>
      <c r="VY25" s="29"/>
      <c r="VZ25" s="29"/>
      <c r="WA25" s="29"/>
      <c r="WB25" s="29"/>
      <c r="WC25" s="29"/>
      <c r="WD25" s="29"/>
      <c r="WE25" s="29"/>
      <c r="WF25" s="29"/>
      <c r="WG25" s="29"/>
      <c r="WH25" s="29"/>
      <c r="WI25" s="29"/>
      <c r="WJ25" s="29"/>
      <c r="WK25" s="29"/>
      <c r="WL25" s="29"/>
      <c r="WM25" s="29"/>
      <c r="WN25" s="29"/>
      <c r="WO25" s="29"/>
      <c r="WP25" s="29"/>
      <c r="WQ25" s="29"/>
      <c r="WR25" s="29"/>
      <c r="WS25" s="29"/>
      <c r="WT25" s="29"/>
      <c r="WU25" s="29"/>
      <c r="WV25" s="29"/>
      <c r="WW25" s="29"/>
      <c r="WX25" s="29"/>
      <c r="WY25" s="29"/>
      <c r="WZ25" s="29"/>
      <c r="XA25" s="29"/>
      <c r="XB25" s="29"/>
      <c r="XC25" s="29"/>
      <c r="XD25" s="29"/>
      <c r="XE25" s="29"/>
      <c r="XF25" s="29"/>
      <c r="XG25" s="29"/>
      <c r="XH25" s="29"/>
      <c r="XI25" s="29"/>
      <c r="XJ25" s="29"/>
      <c r="XK25" s="29"/>
      <c r="XL25" s="29"/>
      <c r="XM25" s="29"/>
      <c r="XN25" s="29"/>
      <c r="XO25" s="29"/>
      <c r="XP25" s="29"/>
      <c r="XQ25" s="29"/>
      <c r="XR25" s="29"/>
      <c r="XS25" s="29"/>
      <c r="XT25" s="29"/>
      <c r="XU25" s="29"/>
      <c r="XV25" s="29"/>
      <c r="XW25" s="29"/>
      <c r="XX25" s="29"/>
      <c r="XY25" s="29"/>
    </row>
    <row r="26" spans="3:649" s="53" customFormat="1" ht="14.45" outlineLevel="1">
      <c r="C26" s="30" t="s">
        <v>47</v>
      </c>
      <c r="D26" s="28" t="s">
        <v>59</v>
      </c>
      <c r="E26" s="221"/>
      <c r="F26" s="51"/>
      <c r="G26" s="51">
        <v>3.8610520226695324</v>
      </c>
      <c r="H26" s="51">
        <v>1.6404142857142863</v>
      </c>
      <c r="I26" s="51">
        <v>1.2181714285714291</v>
      </c>
      <c r="J26" s="51">
        <v>3.6370399999999998</v>
      </c>
      <c r="K26" s="51">
        <v>2.3778857142857133</v>
      </c>
      <c r="L26" s="51">
        <v>2.5709601133476641</v>
      </c>
      <c r="M26" s="51">
        <v>2.8751066093414117</v>
      </c>
      <c r="N26" s="51">
        <v>1.5179772132108682</v>
      </c>
      <c r="O26" s="51">
        <v>2.0041367989056083</v>
      </c>
      <c r="P26" s="51">
        <v>2.2111655266757859</v>
      </c>
      <c r="Q26" s="51">
        <f t="shared" si="0"/>
        <v>23.913909712722301</v>
      </c>
      <c r="R26" s="51">
        <v>9.086090287277699</v>
      </c>
      <c r="S26" s="28" t="s">
        <v>31</v>
      </c>
      <c r="T26" s="31"/>
      <c r="U26" s="169">
        <v>30</v>
      </c>
      <c r="V26" s="170" t="e">
        <f>IF(#REF!="","Other Major Projects","Data Centre")</f>
        <v>#REF!</v>
      </c>
      <c r="W26" s="168"/>
      <c r="X26" s="28">
        <f>Table4232[[#This Row],[Post 2033]]+Table4232[[#This Row],[Total]]</f>
        <v>33</v>
      </c>
      <c r="Y26" s="28" t="s">
        <v>50</v>
      </c>
      <c r="Z26" s="52"/>
      <c r="AA26" s="27"/>
      <c r="AB26" s="27"/>
      <c r="AC26" s="27"/>
      <c r="AD26" s="27"/>
      <c r="AE26" s="27"/>
      <c r="AF26" s="52"/>
      <c r="AG26" s="52"/>
      <c r="AH26" s="52"/>
      <c r="AI26" s="52"/>
      <c r="AJ26" s="52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  <c r="KW26" s="27"/>
      <c r="KX26" s="27"/>
      <c r="KY26" s="27"/>
      <c r="KZ26" s="27"/>
      <c r="LA26" s="27"/>
      <c r="LB26" s="27"/>
      <c r="LC26" s="27"/>
      <c r="LD26" s="27"/>
      <c r="LE26" s="27"/>
      <c r="LF26" s="27"/>
      <c r="LG26" s="27"/>
      <c r="LH26" s="27"/>
      <c r="LI26" s="27"/>
      <c r="LJ26" s="27"/>
      <c r="LK26" s="27"/>
      <c r="LL26" s="27"/>
      <c r="LM26" s="27"/>
      <c r="LN26" s="27"/>
      <c r="LO26" s="27"/>
      <c r="LP26" s="27"/>
      <c r="LQ26" s="27"/>
      <c r="LR26" s="27"/>
      <c r="LS26" s="27"/>
      <c r="LT26" s="27"/>
      <c r="LU26" s="27"/>
      <c r="LV26" s="27"/>
      <c r="LW26" s="27"/>
      <c r="LX26" s="27"/>
      <c r="LY26" s="27"/>
      <c r="LZ26" s="27"/>
      <c r="MA26" s="27"/>
      <c r="MB26" s="27"/>
      <c r="MC26" s="27"/>
      <c r="MD26" s="27"/>
      <c r="ME26" s="27"/>
      <c r="MF26" s="27"/>
      <c r="MG26" s="27"/>
      <c r="MH26" s="27"/>
      <c r="MI26" s="27"/>
      <c r="MJ26" s="27"/>
      <c r="MK26" s="27"/>
      <c r="ML26" s="27"/>
      <c r="MM26" s="27"/>
      <c r="MN26" s="27"/>
      <c r="MO26" s="27"/>
      <c r="MP26" s="27"/>
      <c r="MQ26" s="27"/>
      <c r="MR26" s="27"/>
      <c r="MS26" s="27"/>
      <c r="MT26" s="27"/>
      <c r="MU26" s="27"/>
      <c r="MV26" s="27"/>
      <c r="MW26" s="27"/>
      <c r="MX26" s="27"/>
      <c r="MY26" s="27"/>
      <c r="MZ26" s="27"/>
      <c r="NA26" s="27"/>
      <c r="NB26" s="27"/>
      <c r="NC26" s="27"/>
      <c r="ND26" s="27"/>
      <c r="NE26" s="27"/>
      <c r="NF26" s="27"/>
      <c r="NG26" s="27"/>
      <c r="NH26" s="27"/>
      <c r="NI26" s="27"/>
      <c r="NJ26" s="27"/>
      <c r="NK26" s="27"/>
      <c r="NL26" s="27"/>
      <c r="NM26" s="27"/>
      <c r="NN26" s="27"/>
      <c r="NO26" s="27"/>
      <c r="NP26" s="27"/>
      <c r="NQ26" s="27"/>
      <c r="NR26" s="27"/>
      <c r="NS26" s="27"/>
      <c r="NT26" s="27"/>
      <c r="NU26" s="27"/>
      <c r="NV26" s="27"/>
      <c r="NW26" s="27"/>
      <c r="NX26" s="27"/>
      <c r="NY26" s="27"/>
      <c r="NZ26" s="27"/>
      <c r="OA26" s="27"/>
      <c r="OB26" s="27"/>
      <c r="OC26" s="27"/>
      <c r="OD26" s="27"/>
      <c r="OE26" s="27"/>
      <c r="OF26" s="27"/>
      <c r="OG26" s="27"/>
      <c r="OH26" s="27"/>
      <c r="OI26" s="27"/>
      <c r="OJ26" s="27"/>
      <c r="OK26" s="27"/>
      <c r="OL26" s="27"/>
      <c r="OM26" s="27"/>
      <c r="ON26" s="27"/>
      <c r="OO26" s="27"/>
      <c r="OP26" s="27"/>
      <c r="OQ26" s="27"/>
      <c r="OR26" s="27"/>
      <c r="OS26" s="27"/>
      <c r="OT26" s="27"/>
      <c r="OU26" s="27"/>
      <c r="OV26" s="27"/>
      <c r="OW26" s="27"/>
      <c r="OX26" s="27"/>
      <c r="OY26" s="27"/>
      <c r="OZ26" s="27"/>
      <c r="PA26" s="27"/>
      <c r="PB26" s="27"/>
      <c r="PC26" s="27"/>
      <c r="PD26" s="27"/>
      <c r="PE26" s="27"/>
      <c r="PF26" s="27"/>
      <c r="PG26" s="27"/>
      <c r="PH26" s="27"/>
      <c r="PI26" s="27"/>
      <c r="PJ26" s="27"/>
      <c r="PK26" s="27"/>
      <c r="PL26" s="27"/>
      <c r="PM26" s="27"/>
      <c r="PN26" s="27"/>
      <c r="PO26" s="27"/>
      <c r="PP26" s="27"/>
      <c r="PQ26" s="27"/>
      <c r="PR26" s="27"/>
      <c r="PS26" s="27"/>
      <c r="PT26" s="27"/>
      <c r="PU26" s="27"/>
      <c r="PV26" s="27"/>
      <c r="PW26" s="27"/>
      <c r="PZ26" s="29"/>
      <c r="QA26" s="29"/>
      <c r="QB26" s="29"/>
      <c r="QC26" s="29"/>
      <c r="QD26" s="29"/>
      <c r="QE26" s="29"/>
      <c r="QF26" s="29"/>
      <c r="QG26" s="29"/>
      <c r="QH26" s="29"/>
      <c r="QI26" s="29"/>
      <c r="QJ26" s="29"/>
      <c r="QK26" s="29"/>
      <c r="QL26" s="29"/>
      <c r="QM26" s="29"/>
      <c r="QN26" s="29"/>
      <c r="QO26" s="29"/>
      <c r="QP26" s="29"/>
      <c r="QQ26" s="29"/>
      <c r="QR26" s="29"/>
      <c r="QS26" s="29"/>
      <c r="QT26" s="29"/>
      <c r="QU26" s="29"/>
      <c r="QV26" s="29"/>
      <c r="QW26" s="29"/>
      <c r="QX26" s="29"/>
      <c r="QY26" s="29"/>
      <c r="QZ26" s="29"/>
      <c r="RA26" s="29"/>
      <c r="RB26" s="29"/>
      <c r="RC26" s="29"/>
      <c r="RD26" s="29"/>
      <c r="RE26" s="29"/>
      <c r="RF26" s="29"/>
      <c r="RG26" s="29"/>
      <c r="RH26" s="29"/>
      <c r="RI26" s="29"/>
      <c r="RJ26" s="29"/>
      <c r="RK26" s="29"/>
      <c r="RL26" s="29"/>
      <c r="RM26" s="29"/>
      <c r="RN26" s="29"/>
      <c r="RO26" s="29"/>
      <c r="RP26" s="29"/>
      <c r="RQ26" s="29"/>
      <c r="RR26" s="29"/>
      <c r="RS26" s="29"/>
      <c r="RT26" s="29"/>
      <c r="RU26" s="29"/>
      <c r="RV26" s="29"/>
      <c r="RW26" s="29"/>
      <c r="RX26" s="29"/>
      <c r="RY26" s="29"/>
      <c r="RZ26" s="29"/>
      <c r="SA26" s="29"/>
      <c r="SB26" s="29"/>
      <c r="SC26" s="29"/>
      <c r="SD26" s="29"/>
      <c r="SE26" s="29"/>
      <c r="SF26" s="29"/>
      <c r="SG26" s="29"/>
      <c r="SH26" s="29"/>
      <c r="SI26" s="29"/>
      <c r="SJ26" s="29"/>
      <c r="SK26" s="29"/>
      <c r="SL26" s="29"/>
      <c r="SM26" s="29"/>
      <c r="SN26" s="29"/>
      <c r="SO26" s="29"/>
      <c r="SP26" s="29"/>
      <c r="SQ26" s="29"/>
      <c r="SR26" s="29"/>
      <c r="SS26" s="29"/>
      <c r="ST26" s="29"/>
      <c r="SU26" s="29"/>
      <c r="SV26" s="29"/>
      <c r="SW26" s="29"/>
      <c r="SX26" s="29"/>
      <c r="SY26" s="29"/>
      <c r="SZ26" s="29"/>
      <c r="TA26" s="29"/>
      <c r="TB26" s="29"/>
      <c r="TC26" s="29"/>
      <c r="TD26" s="29"/>
      <c r="TE26" s="29"/>
      <c r="TF26" s="29"/>
      <c r="TG26" s="29"/>
      <c r="TH26" s="29"/>
      <c r="TI26" s="29"/>
      <c r="TJ26" s="29"/>
      <c r="TK26" s="29"/>
      <c r="TL26" s="29"/>
      <c r="TM26" s="29"/>
      <c r="TN26" s="29"/>
      <c r="TO26" s="29"/>
      <c r="TP26" s="29"/>
      <c r="TQ26" s="29"/>
      <c r="TR26" s="29"/>
      <c r="TS26" s="29"/>
      <c r="TT26" s="29"/>
      <c r="TU26" s="29"/>
      <c r="TV26" s="29"/>
      <c r="TW26" s="29"/>
      <c r="TX26" s="29"/>
      <c r="TY26" s="29"/>
      <c r="TZ26" s="29"/>
      <c r="UA26" s="29"/>
      <c r="UB26" s="29"/>
      <c r="UC26" s="29"/>
      <c r="UD26" s="29"/>
      <c r="UE26" s="29"/>
      <c r="UF26" s="29"/>
      <c r="UG26" s="29"/>
      <c r="UH26" s="29"/>
      <c r="UI26" s="29"/>
      <c r="UJ26" s="29"/>
      <c r="UK26" s="29"/>
      <c r="UL26" s="29"/>
      <c r="UM26" s="29"/>
      <c r="UN26" s="29"/>
      <c r="UO26" s="29"/>
      <c r="UP26" s="29"/>
      <c r="UQ26" s="29"/>
      <c r="UR26" s="29"/>
      <c r="US26" s="29"/>
      <c r="UT26" s="29"/>
      <c r="UU26" s="29"/>
      <c r="UV26" s="29"/>
      <c r="UW26" s="29"/>
      <c r="UX26" s="29"/>
      <c r="UY26" s="29"/>
      <c r="UZ26" s="29"/>
      <c r="VA26" s="29"/>
      <c r="VB26" s="29"/>
      <c r="VC26" s="29"/>
      <c r="VD26" s="29"/>
      <c r="VE26" s="29"/>
      <c r="VF26" s="29"/>
      <c r="VG26" s="29"/>
      <c r="VH26" s="29"/>
      <c r="VI26" s="29"/>
      <c r="VJ26" s="29"/>
      <c r="VK26" s="29"/>
      <c r="VL26" s="29"/>
      <c r="VM26" s="29"/>
      <c r="VN26" s="29"/>
      <c r="VO26" s="29"/>
      <c r="VP26" s="29"/>
      <c r="VQ26" s="29"/>
      <c r="VR26" s="29"/>
      <c r="VS26" s="29"/>
      <c r="VT26" s="29"/>
      <c r="VU26" s="29"/>
      <c r="VV26" s="29"/>
      <c r="VW26" s="29"/>
      <c r="VX26" s="29"/>
      <c r="VY26" s="29"/>
      <c r="VZ26" s="29"/>
      <c r="WA26" s="29"/>
      <c r="WB26" s="29"/>
      <c r="WC26" s="29"/>
      <c r="WD26" s="29"/>
      <c r="WE26" s="29"/>
      <c r="WF26" s="29"/>
      <c r="WG26" s="29"/>
      <c r="WH26" s="29"/>
      <c r="WI26" s="29"/>
      <c r="WJ26" s="29"/>
      <c r="WK26" s="29"/>
      <c r="WL26" s="29"/>
      <c r="WM26" s="29"/>
      <c r="WN26" s="29"/>
      <c r="WO26" s="29"/>
      <c r="WP26" s="29"/>
      <c r="WQ26" s="29"/>
      <c r="WR26" s="29"/>
      <c r="WS26" s="29"/>
      <c r="WT26" s="29"/>
      <c r="WU26" s="29"/>
      <c r="WV26" s="29"/>
      <c r="WW26" s="29"/>
      <c r="WX26" s="29"/>
      <c r="WY26" s="29"/>
      <c r="WZ26" s="29"/>
      <c r="XA26" s="29"/>
      <c r="XB26" s="29"/>
      <c r="XC26" s="29"/>
      <c r="XD26" s="29"/>
      <c r="XE26" s="29"/>
      <c r="XF26" s="29"/>
      <c r="XG26" s="29"/>
      <c r="XH26" s="29"/>
      <c r="XI26" s="29"/>
      <c r="XJ26" s="29"/>
      <c r="XK26" s="29"/>
      <c r="XL26" s="29"/>
      <c r="XM26" s="29"/>
      <c r="XN26" s="29"/>
      <c r="XO26" s="29"/>
      <c r="XP26" s="29"/>
      <c r="XQ26" s="29"/>
      <c r="XR26" s="29"/>
      <c r="XS26" s="29"/>
      <c r="XT26" s="29"/>
      <c r="XU26" s="29"/>
      <c r="XV26" s="29"/>
      <c r="XW26" s="29"/>
      <c r="XX26" s="29"/>
      <c r="XY26" s="29"/>
    </row>
    <row r="27" spans="3:649" s="53" customFormat="1" ht="14.45" outlineLevel="1">
      <c r="C27" s="30" t="s">
        <v>26</v>
      </c>
      <c r="D27" s="28" t="s">
        <v>60</v>
      </c>
      <c r="E27" s="221"/>
      <c r="F27" s="51"/>
      <c r="G27" s="51"/>
      <c r="H27" s="51"/>
      <c r="I27" s="51"/>
      <c r="J27" s="51">
        <v>5.8500788222265641</v>
      </c>
      <c r="K27" s="51">
        <v>2.4854761904761915</v>
      </c>
      <c r="L27" s="51">
        <v>1.8457142857142865</v>
      </c>
      <c r="M27" s="51">
        <v>5.5106666666666664</v>
      </c>
      <c r="N27" s="51">
        <v>3.602857142857141</v>
      </c>
      <c r="O27" s="51">
        <v>3.8953941111328243</v>
      </c>
      <c r="P27" s="51">
        <v>4.3562221353657753</v>
      </c>
      <c r="Q27" s="51">
        <f t="shared" si="0"/>
        <v>27.546409354439447</v>
      </c>
      <c r="R27" s="51">
        <v>22.453590645560553</v>
      </c>
      <c r="S27" s="28" t="s">
        <v>28</v>
      </c>
      <c r="T27" s="31"/>
      <c r="U27" s="169">
        <v>30</v>
      </c>
      <c r="V27" s="170" t="e">
        <f>IF(#REF!="","Other Major Projects","Data Centre")</f>
        <v>#REF!</v>
      </c>
      <c r="W27" s="168"/>
      <c r="X27" s="28">
        <f>Table4232[[#This Row],[Post 2033]]+Table4232[[#This Row],[Total]]</f>
        <v>50</v>
      </c>
      <c r="Y27" s="28" t="s">
        <v>50</v>
      </c>
      <c r="Z27" s="52"/>
      <c r="AA27" s="27"/>
      <c r="AB27" s="27"/>
      <c r="AC27" s="27"/>
      <c r="AD27" s="27"/>
      <c r="AE27" s="27"/>
      <c r="AF27" s="52"/>
      <c r="AG27" s="52"/>
      <c r="AH27" s="52"/>
      <c r="AI27" s="52"/>
      <c r="AJ27" s="52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Z27" s="29"/>
      <c r="QA27" s="29"/>
      <c r="QB27" s="29"/>
      <c r="QC27" s="29"/>
      <c r="QD27" s="29"/>
      <c r="QE27" s="29"/>
      <c r="QF27" s="29"/>
      <c r="QG27" s="29"/>
      <c r="QH27" s="29"/>
      <c r="QI27" s="29"/>
      <c r="QJ27" s="29"/>
      <c r="QK27" s="29"/>
      <c r="QL27" s="29"/>
      <c r="QM27" s="29"/>
      <c r="QN27" s="29"/>
      <c r="QO27" s="29"/>
      <c r="QP27" s="29"/>
      <c r="QQ27" s="29"/>
      <c r="QR27" s="29"/>
      <c r="QS27" s="29"/>
      <c r="QT27" s="29"/>
      <c r="QU27" s="29"/>
      <c r="QV27" s="29"/>
      <c r="QW27" s="29"/>
      <c r="QX27" s="29"/>
      <c r="QY27" s="29"/>
      <c r="QZ27" s="29"/>
      <c r="RA27" s="29"/>
      <c r="RB27" s="29"/>
      <c r="RC27" s="29"/>
      <c r="RD27" s="29"/>
      <c r="RE27" s="29"/>
      <c r="RF27" s="29"/>
      <c r="RG27" s="29"/>
      <c r="RH27" s="29"/>
      <c r="RI27" s="29"/>
      <c r="RJ27" s="29"/>
      <c r="RK27" s="29"/>
      <c r="RL27" s="29"/>
      <c r="RM27" s="29"/>
      <c r="RN27" s="29"/>
      <c r="RO27" s="29"/>
      <c r="RP27" s="29"/>
      <c r="RQ27" s="29"/>
      <c r="RR27" s="29"/>
      <c r="RS27" s="29"/>
      <c r="RT27" s="29"/>
      <c r="RU27" s="29"/>
      <c r="RV27" s="29"/>
      <c r="RW27" s="29"/>
      <c r="RX27" s="29"/>
      <c r="RY27" s="29"/>
      <c r="RZ27" s="29"/>
      <c r="SA27" s="29"/>
      <c r="SB27" s="29"/>
      <c r="SC27" s="29"/>
      <c r="SD27" s="29"/>
      <c r="SE27" s="29"/>
      <c r="SF27" s="29"/>
      <c r="SG27" s="29"/>
      <c r="SH27" s="29"/>
      <c r="SI27" s="29"/>
      <c r="SJ27" s="29"/>
      <c r="SK27" s="29"/>
      <c r="SL27" s="29"/>
      <c r="SM27" s="29"/>
      <c r="SN27" s="29"/>
      <c r="SO27" s="29"/>
      <c r="SP27" s="29"/>
      <c r="SQ27" s="29"/>
      <c r="SR27" s="29"/>
      <c r="SS27" s="29"/>
      <c r="ST27" s="29"/>
      <c r="SU27" s="29"/>
      <c r="SV27" s="29"/>
      <c r="SW27" s="29"/>
      <c r="SX27" s="29"/>
      <c r="SY27" s="29"/>
      <c r="SZ27" s="29"/>
      <c r="TA27" s="29"/>
      <c r="TB27" s="29"/>
      <c r="TC27" s="29"/>
      <c r="TD27" s="29"/>
      <c r="TE27" s="29"/>
      <c r="TF27" s="29"/>
      <c r="TG27" s="29"/>
      <c r="TH27" s="29"/>
      <c r="TI27" s="29"/>
      <c r="TJ27" s="29"/>
      <c r="TK27" s="29"/>
      <c r="TL27" s="29"/>
      <c r="TM27" s="29"/>
      <c r="TN27" s="29"/>
      <c r="TO27" s="29"/>
      <c r="TP27" s="29"/>
      <c r="TQ27" s="29"/>
      <c r="TR27" s="29"/>
      <c r="TS27" s="29"/>
      <c r="TT27" s="29"/>
      <c r="TU27" s="29"/>
      <c r="TV27" s="29"/>
      <c r="TW27" s="29"/>
      <c r="TX27" s="29"/>
      <c r="TY27" s="29"/>
      <c r="TZ27" s="29"/>
      <c r="UA27" s="29"/>
      <c r="UB27" s="29"/>
      <c r="UC27" s="29"/>
      <c r="UD27" s="29"/>
      <c r="UE27" s="29"/>
      <c r="UF27" s="29"/>
      <c r="UG27" s="29"/>
      <c r="UH27" s="29"/>
      <c r="UI27" s="29"/>
      <c r="UJ27" s="29"/>
      <c r="UK27" s="29"/>
      <c r="UL27" s="29"/>
      <c r="UM27" s="29"/>
      <c r="UN27" s="29"/>
      <c r="UO27" s="29"/>
      <c r="UP27" s="29"/>
      <c r="UQ27" s="29"/>
      <c r="UR27" s="29"/>
      <c r="US27" s="29"/>
      <c r="UT27" s="29"/>
      <c r="UU27" s="29"/>
      <c r="UV27" s="29"/>
      <c r="UW27" s="29"/>
      <c r="UX27" s="29"/>
      <c r="UY27" s="29"/>
      <c r="UZ27" s="29"/>
      <c r="VA27" s="29"/>
      <c r="VB27" s="29"/>
      <c r="VC27" s="29"/>
      <c r="VD27" s="29"/>
      <c r="VE27" s="29"/>
      <c r="VF27" s="29"/>
      <c r="VG27" s="29"/>
      <c r="VH27" s="29"/>
      <c r="VI27" s="29"/>
      <c r="VJ27" s="29"/>
      <c r="VK27" s="29"/>
      <c r="VL27" s="29"/>
      <c r="VM27" s="29"/>
      <c r="VN27" s="29"/>
      <c r="VO27" s="29"/>
      <c r="VP27" s="29"/>
      <c r="VQ27" s="29"/>
      <c r="VR27" s="29"/>
      <c r="VS27" s="29"/>
      <c r="VT27" s="29"/>
      <c r="VU27" s="29"/>
      <c r="VV27" s="29"/>
      <c r="VW27" s="29"/>
      <c r="VX27" s="29"/>
      <c r="VY27" s="29"/>
      <c r="VZ27" s="29"/>
      <c r="WA27" s="29"/>
      <c r="WB27" s="29"/>
      <c r="WC27" s="29"/>
      <c r="WD27" s="29"/>
      <c r="WE27" s="29"/>
      <c r="WF27" s="29"/>
      <c r="WG27" s="29"/>
      <c r="WH27" s="29"/>
      <c r="WI27" s="29"/>
      <c r="WJ27" s="29"/>
      <c r="WK27" s="29"/>
      <c r="WL27" s="29"/>
      <c r="WM27" s="29"/>
      <c r="WN27" s="29"/>
      <c r="WO27" s="29"/>
      <c r="WP27" s="29"/>
      <c r="WQ27" s="29"/>
      <c r="WR27" s="29"/>
      <c r="WS27" s="29"/>
      <c r="WT27" s="29"/>
      <c r="WU27" s="29"/>
      <c r="WV27" s="29"/>
      <c r="WW27" s="29"/>
      <c r="WX27" s="29"/>
      <c r="WY27" s="29"/>
      <c r="WZ27" s="29"/>
      <c r="XA27" s="29"/>
      <c r="XB27" s="29"/>
      <c r="XC27" s="29"/>
      <c r="XD27" s="29"/>
      <c r="XE27" s="29"/>
      <c r="XF27" s="29"/>
      <c r="XG27" s="29"/>
      <c r="XH27" s="29"/>
      <c r="XI27" s="29"/>
      <c r="XJ27" s="29"/>
      <c r="XK27" s="29"/>
      <c r="XL27" s="29"/>
      <c r="XM27" s="29"/>
      <c r="XN27" s="29"/>
      <c r="XO27" s="29"/>
      <c r="XP27" s="29"/>
      <c r="XQ27" s="29"/>
      <c r="XR27" s="29"/>
      <c r="XS27" s="29"/>
      <c r="XT27" s="29"/>
      <c r="XU27" s="29"/>
      <c r="XV27" s="29"/>
      <c r="XW27" s="29"/>
      <c r="XX27" s="29"/>
      <c r="XY27" s="29"/>
    </row>
    <row r="28" spans="3:649" s="53" customFormat="1" ht="14.45" outlineLevel="1">
      <c r="C28" s="30" t="s">
        <v>26</v>
      </c>
      <c r="D28" s="28" t="s">
        <v>61</v>
      </c>
      <c r="E28" s="22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>
        <f t="shared" si="0"/>
        <v>0</v>
      </c>
      <c r="R28" s="51"/>
      <c r="S28" s="28" t="s">
        <v>62</v>
      </c>
      <c r="T28" s="31"/>
      <c r="U28" s="169"/>
      <c r="V28" s="170" t="e">
        <f>IF(#REF!="","Other Major Projects","Data Centre")</f>
        <v>#REF!</v>
      </c>
      <c r="W28" s="168"/>
      <c r="X28" s="28">
        <f>Table4232[[#This Row],[Post 2033]]+Table4232[[#This Row],[Total]]</f>
        <v>0</v>
      </c>
      <c r="Y28" s="28" t="s">
        <v>50</v>
      </c>
      <c r="Z28" s="52"/>
      <c r="AA28" s="27"/>
      <c r="AB28" s="27"/>
      <c r="AC28" s="27"/>
      <c r="AD28" s="27"/>
      <c r="AE28" s="27"/>
      <c r="AF28" s="52"/>
      <c r="AG28" s="52"/>
      <c r="AH28" s="52"/>
      <c r="AI28" s="52"/>
      <c r="AJ28" s="52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7"/>
      <c r="KI28" s="27"/>
      <c r="KJ28" s="27"/>
      <c r="KK28" s="27"/>
      <c r="KL28" s="27"/>
      <c r="KM28" s="27"/>
      <c r="KN28" s="27"/>
      <c r="KO28" s="27"/>
      <c r="KP28" s="27"/>
      <c r="KQ28" s="27"/>
      <c r="KR28" s="27"/>
      <c r="KS28" s="27"/>
      <c r="KT28" s="27"/>
      <c r="KU28" s="27"/>
      <c r="KV28" s="27"/>
      <c r="KW28" s="27"/>
      <c r="KX28" s="27"/>
      <c r="KY28" s="27"/>
      <c r="KZ28" s="27"/>
      <c r="LA28" s="27"/>
      <c r="LB28" s="27"/>
      <c r="LC28" s="27"/>
      <c r="LD28" s="27"/>
      <c r="LE28" s="27"/>
      <c r="LF28" s="27"/>
      <c r="LG28" s="27"/>
      <c r="LH28" s="27"/>
      <c r="LI28" s="27"/>
      <c r="LJ28" s="27"/>
      <c r="LK28" s="27"/>
      <c r="LL28" s="27"/>
      <c r="LM28" s="27"/>
      <c r="LN28" s="27"/>
      <c r="LO28" s="27"/>
      <c r="LP28" s="27"/>
      <c r="LQ28" s="27"/>
      <c r="LR28" s="27"/>
      <c r="LS28" s="27"/>
      <c r="LT28" s="27"/>
      <c r="LU28" s="27"/>
      <c r="LV28" s="27"/>
      <c r="LW28" s="27"/>
      <c r="LX28" s="27"/>
      <c r="LY28" s="27"/>
      <c r="LZ28" s="27"/>
      <c r="MA28" s="27"/>
      <c r="MB28" s="27"/>
      <c r="MC28" s="27"/>
      <c r="MD28" s="27"/>
      <c r="ME28" s="27"/>
      <c r="MF28" s="27"/>
      <c r="MG28" s="27"/>
      <c r="MH28" s="27"/>
      <c r="MI28" s="27"/>
      <c r="MJ28" s="27"/>
      <c r="MK28" s="27"/>
      <c r="ML28" s="27"/>
      <c r="MM28" s="27"/>
      <c r="MN28" s="27"/>
      <c r="MO28" s="27"/>
      <c r="MP28" s="27"/>
      <c r="MQ28" s="27"/>
      <c r="MR28" s="27"/>
      <c r="MS28" s="27"/>
      <c r="MT28" s="27"/>
      <c r="MU28" s="27"/>
      <c r="MV28" s="27"/>
      <c r="MW28" s="27"/>
      <c r="MX28" s="27"/>
      <c r="MY28" s="27"/>
      <c r="MZ28" s="27"/>
      <c r="NA28" s="27"/>
      <c r="NB28" s="27"/>
      <c r="NC28" s="27"/>
      <c r="ND28" s="27"/>
      <c r="NE28" s="27"/>
      <c r="NF28" s="27"/>
      <c r="NG28" s="27"/>
      <c r="NH28" s="27"/>
      <c r="NI28" s="27"/>
      <c r="NJ28" s="27"/>
      <c r="NK28" s="27"/>
      <c r="NL28" s="27"/>
      <c r="NM28" s="27"/>
      <c r="NN28" s="27"/>
      <c r="NO28" s="27"/>
      <c r="NP28" s="27"/>
      <c r="NQ28" s="27"/>
      <c r="NR28" s="27"/>
      <c r="NS28" s="27"/>
      <c r="NT28" s="27"/>
      <c r="NU28" s="27"/>
      <c r="NV28" s="27"/>
      <c r="NW28" s="27"/>
      <c r="NX28" s="27"/>
      <c r="NY28" s="27"/>
      <c r="NZ28" s="27"/>
      <c r="OA28" s="27"/>
      <c r="OB28" s="27"/>
      <c r="OC28" s="27"/>
      <c r="OD28" s="27"/>
      <c r="OE28" s="27"/>
      <c r="OF28" s="27"/>
      <c r="OG28" s="27"/>
      <c r="OH28" s="27"/>
      <c r="OI28" s="27"/>
      <c r="OJ28" s="27"/>
      <c r="OK28" s="27"/>
      <c r="OL28" s="27"/>
      <c r="OM28" s="27"/>
      <c r="ON28" s="27"/>
      <c r="OO28" s="27"/>
      <c r="OP28" s="27"/>
      <c r="OQ28" s="27"/>
      <c r="OR28" s="27"/>
      <c r="OS28" s="27"/>
      <c r="OT28" s="27"/>
      <c r="OU28" s="27"/>
      <c r="OV28" s="27"/>
      <c r="OW28" s="27"/>
      <c r="OX28" s="27"/>
      <c r="OY28" s="27"/>
      <c r="OZ28" s="27"/>
      <c r="PA28" s="27"/>
      <c r="PB28" s="27"/>
      <c r="PC28" s="27"/>
      <c r="PD28" s="27"/>
      <c r="PE28" s="27"/>
      <c r="PF28" s="27"/>
      <c r="PG28" s="27"/>
      <c r="PH28" s="27"/>
      <c r="PI28" s="27"/>
      <c r="PJ28" s="27"/>
      <c r="PK28" s="27"/>
      <c r="PL28" s="27"/>
      <c r="PM28" s="27"/>
      <c r="PN28" s="27"/>
      <c r="PO28" s="27"/>
      <c r="PP28" s="27"/>
      <c r="PQ28" s="27"/>
      <c r="PR28" s="27"/>
      <c r="PS28" s="27"/>
      <c r="PT28" s="27"/>
      <c r="PU28" s="27"/>
      <c r="PV28" s="27"/>
      <c r="PW28" s="27"/>
      <c r="PZ28" s="29"/>
      <c r="QA28" s="29"/>
      <c r="QB28" s="29"/>
      <c r="QC28" s="29"/>
      <c r="QD28" s="29"/>
      <c r="QE28" s="29"/>
      <c r="QF28" s="29"/>
      <c r="QG28" s="29"/>
      <c r="QH28" s="29"/>
      <c r="QI28" s="29"/>
      <c r="QJ28" s="29"/>
      <c r="QK28" s="29"/>
      <c r="QL28" s="29"/>
      <c r="QM28" s="29"/>
      <c r="QN28" s="29"/>
      <c r="QO28" s="29"/>
      <c r="QP28" s="29"/>
      <c r="QQ28" s="29"/>
      <c r="QR28" s="29"/>
      <c r="QS28" s="29"/>
      <c r="QT28" s="29"/>
      <c r="QU28" s="29"/>
      <c r="QV28" s="29"/>
      <c r="QW28" s="29"/>
      <c r="QX28" s="29"/>
      <c r="QY28" s="29"/>
      <c r="QZ28" s="29"/>
      <c r="RA28" s="29"/>
      <c r="RB28" s="29"/>
      <c r="RC28" s="29"/>
      <c r="RD28" s="29"/>
      <c r="RE28" s="29"/>
      <c r="RF28" s="29"/>
      <c r="RG28" s="29"/>
      <c r="RH28" s="29"/>
      <c r="RI28" s="29"/>
      <c r="RJ28" s="29"/>
      <c r="RK28" s="29"/>
      <c r="RL28" s="29"/>
      <c r="RM28" s="29"/>
      <c r="RN28" s="29"/>
      <c r="RO28" s="29"/>
      <c r="RP28" s="29"/>
      <c r="RQ28" s="29"/>
      <c r="RR28" s="29"/>
      <c r="RS28" s="29"/>
      <c r="RT28" s="29"/>
      <c r="RU28" s="29"/>
      <c r="RV28" s="29"/>
      <c r="RW28" s="29"/>
      <c r="RX28" s="29"/>
      <c r="RY28" s="29"/>
      <c r="RZ28" s="29"/>
      <c r="SA28" s="29"/>
      <c r="SB28" s="29"/>
      <c r="SC28" s="29"/>
      <c r="SD28" s="29"/>
      <c r="SE28" s="29"/>
      <c r="SF28" s="29"/>
      <c r="SG28" s="29"/>
      <c r="SH28" s="29"/>
      <c r="SI28" s="29"/>
      <c r="SJ28" s="29"/>
      <c r="SK28" s="29"/>
      <c r="SL28" s="29"/>
      <c r="SM28" s="29"/>
      <c r="SN28" s="29"/>
      <c r="SO28" s="29"/>
      <c r="SP28" s="29"/>
      <c r="SQ28" s="29"/>
      <c r="SR28" s="29"/>
      <c r="SS28" s="29"/>
      <c r="ST28" s="29"/>
      <c r="SU28" s="29"/>
      <c r="SV28" s="29"/>
      <c r="SW28" s="29"/>
      <c r="SX28" s="29"/>
      <c r="SY28" s="29"/>
      <c r="SZ28" s="29"/>
      <c r="TA28" s="29"/>
      <c r="TB28" s="29"/>
      <c r="TC28" s="29"/>
      <c r="TD28" s="29"/>
      <c r="TE28" s="29"/>
      <c r="TF28" s="29"/>
      <c r="TG28" s="29"/>
      <c r="TH28" s="29"/>
      <c r="TI28" s="29"/>
      <c r="TJ28" s="29"/>
      <c r="TK28" s="29"/>
      <c r="TL28" s="29"/>
      <c r="TM28" s="29"/>
      <c r="TN28" s="29"/>
      <c r="TO28" s="29"/>
      <c r="TP28" s="29"/>
      <c r="TQ28" s="29"/>
      <c r="TR28" s="29"/>
      <c r="TS28" s="29"/>
      <c r="TT28" s="29"/>
      <c r="TU28" s="29"/>
      <c r="TV28" s="29"/>
      <c r="TW28" s="29"/>
      <c r="TX28" s="29"/>
      <c r="TY28" s="29"/>
      <c r="TZ28" s="29"/>
      <c r="UA28" s="29"/>
      <c r="UB28" s="29"/>
      <c r="UC28" s="29"/>
      <c r="UD28" s="29"/>
      <c r="UE28" s="29"/>
      <c r="UF28" s="29"/>
      <c r="UG28" s="29"/>
      <c r="UH28" s="29"/>
      <c r="UI28" s="29"/>
      <c r="UJ28" s="29"/>
      <c r="UK28" s="29"/>
      <c r="UL28" s="29"/>
      <c r="UM28" s="29"/>
      <c r="UN28" s="29"/>
      <c r="UO28" s="29"/>
      <c r="UP28" s="29"/>
      <c r="UQ28" s="29"/>
      <c r="UR28" s="29"/>
      <c r="US28" s="29"/>
      <c r="UT28" s="29"/>
      <c r="UU28" s="29"/>
      <c r="UV28" s="29"/>
      <c r="UW28" s="29"/>
      <c r="UX28" s="29"/>
      <c r="UY28" s="29"/>
      <c r="UZ28" s="29"/>
      <c r="VA28" s="29"/>
      <c r="VB28" s="29"/>
      <c r="VC28" s="29"/>
      <c r="VD28" s="29"/>
      <c r="VE28" s="29"/>
      <c r="VF28" s="29"/>
      <c r="VG28" s="29"/>
      <c r="VH28" s="29"/>
      <c r="VI28" s="29"/>
      <c r="VJ28" s="29"/>
      <c r="VK28" s="29"/>
      <c r="VL28" s="29"/>
      <c r="VM28" s="29"/>
      <c r="VN28" s="29"/>
      <c r="VO28" s="29"/>
      <c r="VP28" s="29"/>
      <c r="VQ28" s="29"/>
      <c r="VR28" s="29"/>
      <c r="VS28" s="29"/>
      <c r="VT28" s="29"/>
      <c r="VU28" s="29"/>
      <c r="VV28" s="29"/>
      <c r="VW28" s="29"/>
      <c r="VX28" s="29"/>
      <c r="VY28" s="29"/>
      <c r="VZ28" s="29"/>
      <c r="WA28" s="29"/>
      <c r="WB28" s="29"/>
      <c r="WC28" s="29"/>
      <c r="WD28" s="29"/>
      <c r="WE28" s="29"/>
      <c r="WF28" s="29"/>
      <c r="WG28" s="29"/>
      <c r="WH28" s="29"/>
      <c r="WI28" s="29"/>
      <c r="WJ28" s="29"/>
      <c r="WK28" s="29"/>
      <c r="WL28" s="29"/>
      <c r="WM28" s="29"/>
      <c r="WN28" s="29"/>
      <c r="WO28" s="29"/>
      <c r="WP28" s="29"/>
      <c r="WQ28" s="29"/>
      <c r="WR28" s="29"/>
      <c r="WS28" s="29"/>
      <c r="WT28" s="29"/>
      <c r="WU28" s="29"/>
      <c r="WV28" s="29"/>
      <c r="WW28" s="29"/>
      <c r="WX28" s="29"/>
      <c r="WY28" s="29"/>
      <c r="WZ28" s="29"/>
      <c r="XA28" s="29"/>
      <c r="XB28" s="29"/>
      <c r="XC28" s="29"/>
      <c r="XD28" s="29"/>
      <c r="XE28" s="29"/>
      <c r="XF28" s="29"/>
      <c r="XG28" s="29"/>
      <c r="XH28" s="29"/>
      <c r="XI28" s="29"/>
      <c r="XJ28" s="29"/>
      <c r="XK28" s="29"/>
      <c r="XL28" s="29"/>
      <c r="XM28" s="29"/>
      <c r="XN28" s="29"/>
      <c r="XO28" s="29"/>
      <c r="XP28" s="29"/>
      <c r="XQ28" s="29"/>
      <c r="XR28" s="29"/>
      <c r="XS28" s="29"/>
      <c r="XT28" s="29"/>
      <c r="XU28" s="29"/>
      <c r="XV28" s="29"/>
      <c r="XW28" s="29"/>
      <c r="XX28" s="29"/>
      <c r="XY28" s="29"/>
    </row>
    <row r="29" spans="3:649" s="53" customFormat="1" ht="14.45" outlineLevel="1">
      <c r="C29" s="30" t="s">
        <v>26</v>
      </c>
      <c r="D29" s="28" t="s">
        <v>63</v>
      </c>
      <c r="E29" s="222"/>
      <c r="F29" s="51"/>
      <c r="G29" s="51"/>
      <c r="H29" s="51"/>
      <c r="I29" s="51"/>
      <c r="J29" s="51"/>
      <c r="K29" s="51"/>
      <c r="L29" s="51">
        <v>11.700157644453128</v>
      </c>
      <c r="M29" s="51">
        <v>4.970952380952383</v>
      </c>
      <c r="N29" s="51">
        <v>3.6914285714285731</v>
      </c>
      <c r="O29" s="51">
        <v>11.021333333333333</v>
      </c>
      <c r="P29" s="51">
        <v>7.205714285714282</v>
      </c>
      <c r="Q29" s="51">
        <f t="shared" si="0"/>
        <v>38.589586215881695</v>
      </c>
      <c r="R29" s="51">
        <v>61.410413784118305</v>
      </c>
      <c r="S29" s="28" t="s">
        <v>37</v>
      </c>
      <c r="T29" s="31"/>
      <c r="U29" s="169"/>
      <c r="V29" s="170" t="e">
        <f>IF(#REF!="","Other Major Projects","Data Centre")</f>
        <v>#REF!</v>
      </c>
      <c r="W29" s="168"/>
      <c r="X29" s="28">
        <f>Table4232[[#This Row],[Post 2033]]+Table4232[[#This Row],[Total]]</f>
        <v>100</v>
      </c>
      <c r="Y29" s="28" t="s">
        <v>50</v>
      </c>
      <c r="Z29" s="52"/>
      <c r="AA29" s="27"/>
      <c r="AB29" s="27"/>
      <c r="AC29" s="27"/>
      <c r="AD29" s="27"/>
      <c r="AE29" s="27"/>
      <c r="AF29" s="52"/>
      <c r="AG29" s="52"/>
      <c r="AH29" s="52"/>
      <c r="AI29" s="52"/>
      <c r="AJ29" s="52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7"/>
      <c r="JD29" s="27"/>
      <c r="JE29" s="27"/>
      <c r="JF29" s="27"/>
      <c r="JG29" s="27"/>
      <c r="JH29" s="27"/>
      <c r="JI29" s="27"/>
      <c r="JJ29" s="27"/>
      <c r="JK29" s="27"/>
      <c r="JL29" s="27"/>
      <c r="JM29" s="27"/>
      <c r="JN29" s="27"/>
      <c r="JO29" s="27"/>
      <c r="JP29" s="27"/>
      <c r="JQ29" s="27"/>
      <c r="JR29" s="27"/>
      <c r="JS29" s="27"/>
      <c r="JT29" s="27"/>
      <c r="JU29" s="27"/>
      <c r="JV29" s="27"/>
      <c r="JW29" s="27"/>
      <c r="JX29" s="27"/>
      <c r="JY29" s="27"/>
      <c r="JZ29" s="27"/>
      <c r="KA29" s="27"/>
      <c r="KB29" s="27"/>
      <c r="KC29" s="27"/>
      <c r="KD29" s="27"/>
      <c r="KE29" s="27"/>
      <c r="KF29" s="27"/>
      <c r="KG29" s="27"/>
      <c r="KH29" s="27"/>
      <c r="KI29" s="27"/>
      <c r="KJ29" s="27"/>
      <c r="KK29" s="27"/>
      <c r="KL29" s="27"/>
      <c r="KM29" s="27"/>
      <c r="KN29" s="27"/>
      <c r="KO29" s="27"/>
      <c r="KP29" s="27"/>
      <c r="KQ29" s="27"/>
      <c r="KR29" s="27"/>
      <c r="KS29" s="27"/>
      <c r="KT29" s="27"/>
      <c r="KU29" s="27"/>
      <c r="KV29" s="27"/>
      <c r="KW29" s="27"/>
      <c r="KX29" s="27"/>
      <c r="KY29" s="27"/>
      <c r="KZ29" s="27"/>
      <c r="LA29" s="27"/>
      <c r="LB29" s="27"/>
      <c r="LC29" s="27"/>
      <c r="LD29" s="27"/>
      <c r="LE29" s="27"/>
      <c r="LF29" s="27"/>
      <c r="LG29" s="27"/>
      <c r="LH29" s="27"/>
      <c r="LI29" s="27"/>
      <c r="LJ29" s="27"/>
      <c r="LK29" s="27"/>
      <c r="LL29" s="27"/>
      <c r="LM29" s="27"/>
      <c r="LN29" s="27"/>
      <c r="LO29" s="27"/>
      <c r="LP29" s="27"/>
      <c r="LQ29" s="27"/>
      <c r="LR29" s="27"/>
      <c r="LS29" s="27"/>
      <c r="LT29" s="27"/>
      <c r="LU29" s="27"/>
      <c r="LV29" s="27"/>
      <c r="LW29" s="27"/>
      <c r="LX29" s="27"/>
      <c r="LY29" s="27"/>
      <c r="LZ29" s="27"/>
      <c r="MA29" s="27"/>
      <c r="MB29" s="27"/>
      <c r="MC29" s="27"/>
      <c r="MD29" s="27"/>
      <c r="ME29" s="27"/>
      <c r="MF29" s="27"/>
      <c r="MG29" s="27"/>
      <c r="MH29" s="27"/>
      <c r="MI29" s="27"/>
      <c r="MJ29" s="27"/>
      <c r="MK29" s="27"/>
      <c r="ML29" s="27"/>
      <c r="MM29" s="27"/>
      <c r="MN29" s="27"/>
      <c r="MO29" s="27"/>
      <c r="MP29" s="27"/>
      <c r="MQ29" s="27"/>
      <c r="MR29" s="27"/>
      <c r="MS29" s="27"/>
      <c r="MT29" s="27"/>
      <c r="MU29" s="27"/>
      <c r="MV29" s="27"/>
      <c r="MW29" s="27"/>
      <c r="MX29" s="27"/>
      <c r="MY29" s="27"/>
      <c r="MZ29" s="27"/>
      <c r="NA29" s="27"/>
      <c r="NB29" s="27"/>
      <c r="NC29" s="27"/>
      <c r="ND29" s="27"/>
      <c r="NE29" s="27"/>
      <c r="NF29" s="27"/>
      <c r="NG29" s="27"/>
      <c r="NH29" s="27"/>
      <c r="NI29" s="27"/>
      <c r="NJ29" s="27"/>
      <c r="NK29" s="27"/>
      <c r="NL29" s="27"/>
      <c r="NM29" s="27"/>
      <c r="NN29" s="27"/>
      <c r="NO29" s="27"/>
      <c r="NP29" s="27"/>
      <c r="NQ29" s="27"/>
      <c r="NR29" s="27"/>
      <c r="NS29" s="27"/>
      <c r="NT29" s="27"/>
      <c r="NU29" s="27"/>
      <c r="NV29" s="27"/>
      <c r="NW29" s="27"/>
      <c r="NX29" s="27"/>
      <c r="NY29" s="27"/>
      <c r="NZ29" s="27"/>
      <c r="OA29" s="27"/>
      <c r="OB29" s="27"/>
      <c r="OC29" s="27"/>
      <c r="OD29" s="27"/>
      <c r="OE29" s="27"/>
      <c r="OF29" s="27"/>
      <c r="OG29" s="27"/>
      <c r="OH29" s="27"/>
      <c r="OI29" s="27"/>
      <c r="OJ29" s="27"/>
      <c r="OK29" s="27"/>
      <c r="OL29" s="27"/>
      <c r="OM29" s="27"/>
      <c r="ON29" s="27"/>
      <c r="OO29" s="27"/>
      <c r="OP29" s="27"/>
      <c r="OQ29" s="27"/>
      <c r="OR29" s="27"/>
      <c r="OS29" s="27"/>
      <c r="OT29" s="27"/>
      <c r="OU29" s="27"/>
      <c r="OV29" s="27"/>
      <c r="OW29" s="27"/>
      <c r="OX29" s="27"/>
      <c r="OY29" s="27"/>
      <c r="OZ29" s="27"/>
      <c r="PA29" s="27"/>
      <c r="PB29" s="27"/>
      <c r="PC29" s="27"/>
      <c r="PD29" s="27"/>
      <c r="PE29" s="27"/>
      <c r="PF29" s="27"/>
      <c r="PG29" s="27"/>
      <c r="PH29" s="27"/>
      <c r="PI29" s="27"/>
      <c r="PJ29" s="27"/>
      <c r="PK29" s="27"/>
      <c r="PL29" s="27"/>
      <c r="PM29" s="27"/>
      <c r="PN29" s="27"/>
      <c r="PO29" s="27"/>
      <c r="PP29" s="27"/>
      <c r="PQ29" s="27"/>
      <c r="PR29" s="27"/>
      <c r="PS29" s="27"/>
      <c r="PT29" s="27"/>
      <c r="PU29" s="27"/>
      <c r="PV29" s="27"/>
      <c r="PW29" s="27"/>
      <c r="PZ29" s="29"/>
      <c r="QA29" s="29"/>
      <c r="QB29" s="29"/>
      <c r="QC29" s="29"/>
      <c r="QD29" s="29"/>
      <c r="QE29" s="29"/>
      <c r="QF29" s="29"/>
      <c r="QG29" s="29"/>
      <c r="QH29" s="29"/>
      <c r="QI29" s="29"/>
      <c r="QJ29" s="29"/>
      <c r="QK29" s="29"/>
      <c r="QL29" s="29"/>
      <c r="QM29" s="29"/>
      <c r="QN29" s="29"/>
      <c r="QO29" s="29"/>
      <c r="QP29" s="29"/>
      <c r="QQ29" s="29"/>
      <c r="QR29" s="29"/>
      <c r="QS29" s="29"/>
      <c r="QT29" s="29"/>
      <c r="QU29" s="29"/>
      <c r="QV29" s="29"/>
      <c r="QW29" s="29"/>
      <c r="QX29" s="29"/>
      <c r="QY29" s="29"/>
      <c r="QZ29" s="29"/>
      <c r="RA29" s="29"/>
      <c r="RB29" s="29"/>
      <c r="RC29" s="29"/>
      <c r="RD29" s="29"/>
      <c r="RE29" s="29"/>
      <c r="RF29" s="29"/>
      <c r="RG29" s="29"/>
      <c r="RH29" s="29"/>
      <c r="RI29" s="29"/>
      <c r="RJ29" s="29"/>
      <c r="RK29" s="29"/>
      <c r="RL29" s="29"/>
      <c r="RM29" s="29"/>
      <c r="RN29" s="29"/>
      <c r="RO29" s="29"/>
      <c r="RP29" s="29"/>
      <c r="RQ29" s="29"/>
      <c r="RR29" s="29"/>
      <c r="RS29" s="29"/>
      <c r="RT29" s="29"/>
      <c r="RU29" s="29"/>
      <c r="RV29" s="29"/>
      <c r="RW29" s="29"/>
      <c r="RX29" s="29"/>
      <c r="RY29" s="29"/>
      <c r="RZ29" s="29"/>
      <c r="SA29" s="29"/>
      <c r="SB29" s="29"/>
      <c r="SC29" s="29"/>
      <c r="SD29" s="29"/>
      <c r="SE29" s="29"/>
      <c r="SF29" s="29"/>
      <c r="SG29" s="29"/>
      <c r="SH29" s="29"/>
      <c r="SI29" s="29"/>
      <c r="SJ29" s="29"/>
      <c r="SK29" s="29"/>
      <c r="SL29" s="29"/>
      <c r="SM29" s="29"/>
      <c r="SN29" s="29"/>
      <c r="SO29" s="29"/>
      <c r="SP29" s="29"/>
      <c r="SQ29" s="29"/>
      <c r="SR29" s="29"/>
      <c r="SS29" s="29"/>
      <c r="ST29" s="29"/>
      <c r="SU29" s="29"/>
      <c r="SV29" s="29"/>
      <c r="SW29" s="29"/>
      <c r="SX29" s="29"/>
      <c r="SY29" s="29"/>
      <c r="SZ29" s="29"/>
      <c r="TA29" s="29"/>
      <c r="TB29" s="29"/>
      <c r="TC29" s="29"/>
      <c r="TD29" s="29"/>
      <c r="TE29" s="29"/>
      <c r="TF29" s="29"/>
      <c r="TG29" s="29"/>
      <c r="TH29" s="29"/>
      <c r="TI29" s="29"/>
      <c r="TJ29" s="29"/>
      <c r="TK29" s="29"/>
      <c r="TL29" s="29"/>
      <c r="TM29" s="29"/>
      <c r="TN29" s="29"/>
      <c r="TO29" s="29"/>
      <c r="TP29" s="29"/>
      <c r="TQ29" s="29"/>
      <c r="TR29" s="29"/>
      <c r="TS29" s="29"/>
      <c r="TT29" s="29"/>
      <c r="TU29" s="29"/>
      <c r="TV29" s="29"/>
      <c r="TW29" s="29"/>
      <c r="TX29" s="29"/>
      <c r="TY29" s="29"/>
      <c r="TZ29" s="29"/>
      <c r="UA29" s="29"/>
      <c r="UB29" s="29"/>
      <c r="UC29" s="29"/>
      <c r="UD29" s="29"/>
      <c r="UE29" s="29"/>
      <c r="UF29" s="29"/>
      <c r="UG29" s="29"/>
      <c r="UH29" s="29"/>
      <c r="UI29" s="29"/>
      <c r="UJ29" s="29"/>
      <c r="UK29" s="29"/>
      <c r="UL29" s="29"/>
      <c r="UM29" s="29"/>
      <c r="UN29" s="29"/>
      <c r="UO29" s="29"/>
      <c r="UP29" s="29"/>
      <c r="UQ29" s="29"/>
      <c r="UR29" s="29"/>
      <c r="US29" s="29"/>
      <c r="UT29" s="29"/>
      <c r="UU29" s="29"/>
      <c r="UV29" s="29"/>
      <c r="UW29" s="29"/>
      <c r="UX29" s="29"/>
      <c r="UY29" s="29"/>
      <c r="UZ29" s="29"/>
      <c r="VA29" s="29"/>
      <c r="VB29" s="29"/>
      <c r="VC29" s="29"/>
      <c r="VD29" s="29"/>
      <c r="VE29" s="29"/>
      <c r="VF29" s="29"/>
      <c r="VG29" s="29"/>
      <c r="VH29" s="29"/>
      <c r="VI29" s="29"/>
      <c r="VJ29" s="29"/>
      <c r="VK29" s="29"/>
      <c r="VL29" s="29"/>
      <c r="VM29" s="29"/>
      <c r="VN29" s="29"/>
      <c r="VO29" s="29"/>
      <c r="VP29" s="29"/>
      <c r="VQ29" s="29"/>
      <c r="VR29" s="29"/>
      <c r="VS29" s="29"/>
      <c r="VT29" s="29"/>
      <c r="VU29" s="29"/>
      <c r="VV29" s="29"/>
      <c r="VW29" s="29"/>
      <c r="VX29" s="29"/>
      <c r="VY29" s="29"/>
      <c r="VZ29" s="29"/>
      <c r="WA29" s="29"/>
      <c r="WB29" s="29"/>
      <c r="WC29" s="29"/>
      <c r="WD29" s="29"/>
      <c r="WE29" s="29"/>
      <c r="WF29" s="29"/>
      <c r="WG29" s="29"/>
      <c r="WH29" s="29"/>
      <c r="WI29" s="29"/>
      <c r="WJ29" s="29"/>
      <c r="WK29" s="29"/>
      <c r="WL29" s="29"/>
      <c r="WM29" s="29"/>
      <c r="WN29" s="29"/>
      <c r="WO29" s="29"/>
      <c r="WP29" s="29"/>
      <c r="WQ29" s="29"/>
      <c r="WR29" s="29"/>
      <c r="WS29" s="29"/>
      <c r="WT29" s="29"/>
      <c r="WU29" s="29"/>
      <c r="WV29" s="29"/>
      <c r="WW29" s="29"/>
      <c r="WX29" s="29"/>
      <c r="WY29" s="29"/>
      <c r="WZ29" s="29"/>
      <c r="XA29" s="29"/>
      <c r="XB29" s="29"/>
      <c r="XC29" s="29"/>
      <c r="XD29" s="29"/>
      <c r="XE29" s="29"/>
      <c r="XF29" s="29"/>
      <c r="XG29" s="29"/>
      <c r="XH29" s="29"/>
      <c r="XI29" s="29"/>
      <c r="XJ29" s="29"/>
      <c r="XK29" s="29"/>
      <c r="XL29" s="29"/>
      <c r="XM29" s="29"/>
      <c r="XN29" s="29"/>
      <c r="XO29" s="29"/>
      <c r="XP29" s="29"/>
      <c r="XQ29" s="29"/>
      <c r="XR29" s="29"/>
      <c r="XS29" s="29"/>
      <c r="XT29" s="29"/>
      <c r="XU29" s="29"/>
      <c r="XV29" s="29"/>
      <c r="XW29" s="29"/>
      <c r="XX29" s="29"/>
      <c r="XY29" s="29"/>
    </row>
    <row r="30" spans="3:649" s="157" customFormat="1" ht="14.45" outlineLevel="1">
      <c r="C30" s="151" t="s">
        <v>26</v>
      </c>
      <c r="D30" s="152" t="s">
        <v>64</v>
      </c>
      <c r="E30" s="224"/>
      <c r="F30" s="154"/>
      <c r="G30" s="154"/>
      <c r="H30" s="154"/>
      <c r="I30" s="154"/>
      <c r="J30" s="154"/>
      <c r="K30" s="154"/>
      <c r="L30" s="154"/>
      <c r="M30" s="154">
        <v>8.7751182333398461</v>
      </c>
      <c r="N30" s="154">
        <v>3.7282142857142873</v>
      </c>
      <c r="O30" s="154">
        <v>2.76857142857143</v>
      </c>
      <c r="P30" s="154">
        <v>8.266</v>
      </c>
      <c r="Q30" s="154">
        <f t="shared" si="0"/>
        <v>23.537903947625566</v>
      </c>
      <c r="R30" s="154">
        <v>51.462096052374434</v>
      </c>
      <c r="S30" s="152" t="s">
        <v>28</v>
      </c>
      <c r="T30" s="153" t="s">
        <v>65</v>
      </c>
      <c r="U30" s="171"/>
      <c r="V30" s="172" t="e">
        <f>IF(#REF!="","Other Major Projects","Data Centre")</f>
        <v>#REF!</v>
      </c>
      <c r="W30" s="173"/>
      <c r="X30" s="152">
        <f>Table4232[[#This Row],[Post 2033]]+Table4232[[#This Row],[Total]]</f>
        <v>75</v>
      </c>
      <c r="Y30" s="152" t="s">
        <v>50</v>
      </c>
      <c r="Z30" s="156"/>
      <c r="AA30" s="155"/>
      <c r="AB30" s="155"/>
      <c r="AC30" s="155"/>
      <c r="AD30" s="155"/>
      <c r="AE30" s="155"/>
      <c r="AF30" s="156"/>
      <c r="AG30" s="156"/>
      <c r="AH30" s="156"/>
      <c r="AI30" s="156"/>
      <c r="AJ30" s="156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  <c r="IJ30" s="155"/>
      <c r="IK30" s="155"/>
      <c r="IL30" s="155"/>
      <c r="IM30" s="155"/>
      <c r="IN30" s="155"/>
      <c r="IO30" s="155"/>
      <c r="IP30" s="155"/>
      <c r="IQ30" s="155"/>
      <c r="IR30" s="155"/>
      <c r="IS30" s="155"/>
      <c r="IT30" s="155"/>
      <c r="IU30" s="155"/>
      <c r="IV30" s="155"/>
      <c r="IW30" s="155"/>
      <c r="IX30" s="155"/>
      <c r="IY30" s="155"/>
      <c r="IZ30" s="155"/>
      <c r="JA30" s="155"/>
      <c r="JB30" s="155"/>
      <c r="JC30" s="155"/>
      <c r="JD30" s="155"/>
      <c r="JE30" s="155"/>
      <c r="JF30" s="155"/>
      <c r="JG30" s="155"/>
      <c r="JH30" s="155"/>
      <c r="JI30" s="155"/>
      <c r="JJ30" s="155"/>
      <c r="JK30" s="155"/>
      <c r="JL30" s="155"/>
      <c r="JM30" s="155"/>
      <c r="JN30" s="155"/>
      <c r="JO30" s="155"/>
      <c r="JP30" s="155"/>
      <c r="JQ30" s="155"/>
      <c r="JR30" s="155"/>
      <c r="JS30" s="155"/>
      <c r="JT30" s="155"/>
      <c r="JU30" s="155"/>
      <c r="JV30" s="155"/>
      <c r="JW30" s="155"/>
      <c r="JX30" s="155"/>
      <c r="JY30" s="155"/>
      <c r="JZ30" s="155"/>
      <c r="KA30" s="155"/>
      <c r="KB30" s="155"/>
      <c r="KC30" s="155"/>
      <c r="KD30" s="155"/>
      <c r="KE30" s="155"/>
      <c r="KF30" s="155"/>
      <c r="KG30" s="155"/>
      <c r="KH30" s="155"/>
      <c r="KI30" s="155"/>
      <c r="KJ30" s="155"/>
      <c r="KK30" s="155"/>
      <c r="KL30" s="155"/>
      <c r="KM30" s="155"/>
      <c r="KN30" s="155"/>
      <c r="KO30" s="155"/>
      <c r="KP30" s="155"/>
      <c r="KQ30" s="155"/>
      <c r="KR30" s="155"/>
      <c r="KS30" s="155"/>
      <c r="KT30" s="155"/>
      <c r="KU30" s="155"/>
      <c r="KV30" s="155"/>
      <c r="KW30" s="155"/>
      <c r="KX30" s="155"/>
      <c r="KY30" s="155"/>
      <c r="KZ30" s="155"/>
      <c r="LA30" s="155"/>
      <c r="LB30" s="155"/>
      <c r="LC30" s="155"/>
      <c r="LD30" s="155"/>
      <c r="LE30" s="155"/>
      <c r="LF30" s="155"/>
      <c r="LG30" s="155"/>
      <c r="LH30" s="155"/>
      <c r="LI30" s="155"/>
      <c r="LJ30" s="155"/>
      <c r="LK30" s="155"/>
      <c r="LL30" s="155"/>
      <c r="LM30" s="155"/>
      <c r="LN30" s="155"/>
      <c r="LO30" s="155"/>
      <c r="LP30" s="155"/>
      <c r="LQ30" s="155"/>
      <c r="LR30" s="155"/>
      <c r="LS30" s="155"/>
      <c r="LT30" s="155"/>
      <c r="LU30" s="155"/>
      <c r="LV30" s="155"/>
      <c r="LW30" s="155"/>
      <c r="LX30" s="155"/>
      <c r="LY30" s="155"/>
      <c r="LZ30" s="155"/>
      <c r="MA30" s="155"/>
      <c r="MB30" s="155"/>
      <c r="MC30" s="155"/>
      <c r="MD30" s="155"/>
      <c r="ME30" s="155"/>
      <c r="MF30" s="155"/>
      <c r="MG30" s="155"/>
      <c r="MH30" s="155"/>
      <c r="MI30" s="155"/>
      <c r="MJ30" s="155"/>
      <c r="MK30" s="155"/>
      <c r="ML30" s="155"/>
      <c r="MM30" s="155"/>
      <c r="MN30" s="155"/>
      <c r="MO30" s="155"/>
      <c r="MP30" s="155"/>
      <c r="MQ30" s="155"/>
      <c r="MR30" s="155"/>
      <c r="MS30" s="155"/>
      <c r="MT30" s="155"/>
      <c r="MU30" s="155"/>
      <c r="MV30" s="155"/>
      <c r="MW30" s="155"/>
      <c r="MX30" s="155"/>
      <c r="MY30" s="155"/>
      <c r="MZ30" s="155"/>
      <c r="NA30" s="155"/>
      <c r="NB30" s="155"/>
      <c r="NC30" s="155"/>
      <c r="ND30" s="155"/>
      <c r="NE30" s="155"/>
      <c r="NF30" s="155"/>
      <c r="NG30" s="155"/>
      <c r="NH30" s="155"/>
      <c r="NI30" s="155"/>
      <c r="NJ30" s="155"/>
      <c r="NK30" s="155"/>
      <c r="NL30" s="155"/>
      <c r="NM30" s="155"/>
      <c r="NN30" s="155"/>
      <c r="NO30" s="155"/>
      <c r="NP30" s="155"/>
      <c r="NQ30" s="155"/>
      <c r="NR30" s="155"/>
      <c r="NS30" s="155"/>
      <c r="NT30" s="155"/>
      <c r="NU30" s="155"/>
      <c r="NV30" s="155"/>
      <c r="NW30" s="155"/>
      <c r="NX30" s="155"/>
      <c r="NY30" s="155"/>
      <c r="NZ30" s="155"/>
      <c r="OA30" s="155"/>
      <c r="OB30" s="155"/>
      <c r="OC30" s="155"/>
      <c r="OD30" s="155"/>
      <c r="OE30" s="155"/>
      <c r="OF30" s="155"/>
      <c r="OG30" s="155"/>
      <c r="OH30" s="155"/>
      <c r="OI30" s="155"/>
      <c r="OJ30" s="155"/>
      <c r="OK30" s="155"/>
      <c r="OL30" s="155"/>
      <c r="OM30" s="155"/>
      <c r="ON30" s="155"/>
      <c r="OO30" s="155"/>
      <c r="OP30" s="155"/>
      <c r="OQ30" s="155"/>
      <c r="OR30" s="155"/>
      <c r="OS30" s="155"/>
      <c r="OT30" s="155"/>
      <c r="OU30" s="155"/>
      <c r="OV30" s="155"/>
      <c r="OW30" s="155"/>
      <c r="OX30" s="155"/>
      <c r="OY30" s="155"/>
      <c r="OZ30" s="155"/>
      <c r="PA30" s="155"/>
      <c r="PB30" s="155"/>
      <c r="PC30" s="155"/>
      <c r="PD30" s="155"/>
      <c r="PE30" s="155"/>
      <c r="PF30" s="155"/>
      <c r="PG30" s="155"/>
      <c r="PH30" s="155"/>
      <c r="PI30" s="155"/>
      <c r="PJ30" s="155"/>
      <c r="PK30" s="155"/>
      <c r="PL30" s="155"/>
      <c r="PM30" s="155"/>
      <c r="PN30" s="155"/>
      <c r="PO30" s="155"/>
      <c r="PP30" s="155"/>
      <c r="PQ30" s="155"/>
      <c r="PR30" s="155"/>
      <c r="PS30" s="155"/>
      <c r="PT30" s="155"/>
      <c r="PU30" s="155"/>
      <c r="PV30" s="155"/>
      <c r="PW30" s="155"/>
      <c r="PZ30" s="158"/>
      <c r="QA30" s="158"/>
      <c r="QB30" s="158"/>
      <c r="QC30" s="158"/>
      <c r="QD30" s="158"/>
      <c r="QE30" s="158"/>
      <c r="QF30" s="158"/>
      <c r="QG30" s="158"/>
      <c r="QH30" s="158"/>
      <c r="QI30" s="158"/>
      <c r="QJ30" s="158"/>
      <c r="QK30" s="158"/>
      <c r="QL30" s="158"/>
      <c r="QM30" s="158"/>
      <c r="QN30" s="158"/>
      <c r="QO30" s="158"/>
      <c r="QP30" s="158"/>
      <c r="QQ30" s="158"/>
      <c r="QR30" s="158"/>
      <c r="QS30" s="158"/>
      <c r="QT30" s="158"/>
      <c r="QU30" s="158"/>
      <c r="QV30" s="158"/>
      <c r="QW30" s="158"/>
      <c r="QX30" s="158"/>
      <c r="QY30" s="158"/>
      <c r="QZ30" s="158"/>
      <c r="RA30" s="158"/>
      <c r="RB30" s="158"/>
      <c r="RC30" s="158"/>
      <c r="RD30" s="158"/>
      <c r="RE30" s="158"/>
      <c r="RF30" s="158"/>
      <c r="RG30" s="158"/>
      <c r="RH30" s="158"/>
      <c r="RI30" s="158"/>
      <c r="RJ30" s="158"/>
      <c r="RK30" s="158"/>
      <c r="RL30" s="158"/>
      <c r="RM30" s="158"/>
      <c r="RN30" s="158"/>
      <c r="RO30" s="158"/>
      <c r="RP30" s="158"/>
      <c r="RQ30" s="158"/>
      <c r="RR30" s="158"/>
      <c r="RS30" s="158"/>
      <c r="RT30" s="158"/>
      <c r="RU30" s="158"/>
      <c r="RV30" s="158"/>
      <c r="RW30" s="158"/>
      <c r="RX30" s="158"/>
      <c r="RY30" s="158"/>
      <c r="RZ30" s="158"/>
      <c r="SA30" s="158"/>
      <c r="SB30" s="158"/>
      <c r="SC30" s="158"/>
      <c r="SD30" s="158"/>
      <c r="SE30" s="158"/>
      <c r="SF30" s="158"/>
      <c r="SG30" s="158"/>
      <c r="SH30" s="158"/>
      <c r="SI30" s="158"/>
      <c r="SJ30" s="158"/>
      <c r="SK30" s="158"/>
      <c r="SL30" s="158"/>
      <c r="SM30" s="158"/>
      <c r="SN30" s="158"/>
      <c r="SO30" s="158"/>
      <c r="SP30" s="158"/>
      <c r="SQ30" s="158"/>
      <c r="SR30" s="158"/>
      <c r="SS30" s="158"/>
      <c r="ST30" s="158"/>
      <c r="SU30" s="158"/>
      <c r="SV30" s="158"/>
      <c r="SW30" s="158"/>
      <c r="SX30" s="158"/>
      <c r="SY30" s="158"/>
      <c r="SZ30" s="158"/>
      <c r="TA30" s="158"/>
      <c r="TB30" s="158"/>
      <c r="TC30" s="158"/>
      <c r="TD30" s="158"/>
      <c r="TE30" s="158"/>
      <c r="TF30" s="158"/>
      <c r="TG30" s="158"/>
      <c r="TH30" s="158"/>
      <c r="TI30" s="158"/>
      <c r="TJ30" s="158"/>
      <c r="TK30" s="158"/>
      <c r="TL30" s="158"/>
      <c r="TM30" s="158"/>
      <c r="TN30" s="158"/>
      <c r="TO30" s="158"/>
      <c r="TP30" s="158"/>
      <c r="TQ30" s="158"/>
      <c r="TR30" s="158"/>
      <c r="TS30" s="158"/>
      <c r="TT30" s="158"/>
      <c r="TU30" s="158"/>
      <c r="TV30" s="158"/>
      <c r="TW30" s="158"/>
      <c r="TX30" s="158"/>
      <c r="TY30" s="158"/>
      <c r="TZ30" s="158"/>
      <c r="UA30" s="158"/>
      <c r="UB30" s="158"/>
      <c r="UC30" s="158"/>
      <c r="UD30" s="158"/>
      <c r="UE30" s="158"/>
      <c r="UF30" s="158"/>
      <c r="UG30" s="158"/>
      <c r="UH30" s="158"/>
      <c r="UI30" s="158"/>
      <c r="UJ30" s="158"/>
      <c r="UK30" s="158"/>
      <c r="UL30" s="158"/>
      <c r="UM30" s="158"/>
      <c r="UN30" s="158"/>
      <c r="UO30" s="158"/>
      <c r="UP30" s="158"/>
      <c r="UQ30" s="158"/>
      <c r="UR30" s="158"/>
      <c r="US30" s="158"/>
      <c r="UT30" s="158"/>
      <c r="UU30" s="158"/>
      <c r="UV30" s="158"/>
      <c r="UW30" s="158"/>
      <c r="UX30" s="158"/>
      <c r="UY30" s="158"/>
      <c r="UZ30" s="158"/>
      <c r="VA30" s="158"/>
      <c r="VB30" s="158"/>
      <c r="VC30" s="158"/>
      <c r="VD30" s="158"/>
      <c r="VE30" s="158"/>
      <c r="VF30" s="158"/>
      <c r="VG30" s="158"/>
      <c r="VH30" s="158"/>
      <c r="VI30" s="158"/>
      <c r="VJ30" s="158"/>
      <c r="VK30" s="158"/>
      <c r="VL30" s="158"/>
      <c r="VM30" s="158"/>
      <c r="VN30" s="158"/>
      <c r="VO30" s="158"/>
      <c r="VP30" s="158"/>
      <c r="VQ30" s="158"/>
      <c r="VR30" s="158"/>
      <c r="VS30" s="158"/>
      <c r="VT30" s="158"/>
      <c r="VU30" s="158"/>
      <c r="VV30" s="158"/>
      <c r="VW30" s="158"/>
      <c r="VX30" s="158"/>
      <c r="VY30" s="158"/>
      <c r="VZ30" s="158"/>
      <c r="WA30" s="158"/>
      <c r="WB30" s="158"/>
      <c r="WC30" s="158"/>
      <c r="WD30" s="158"/>
      <c r="WE30" s="158"/>
      <c r="WF30" s="158"/>
      <c r="WG30" s="158"/>
      <c r="WH30" s="158"/>
      <c r="WI30" s="158"/>
      <c r="WJ30" s="158"/>
      <c r="WK30" s="158"/>
      <c r="WL30" s="158"/>
      <c r="WM30" s="158"/>
      <c r="WN30" s="158"/>
      <c r="WO30" s="158"/>
      <c r="WP30" s="158"/>
      <c r="WQ30" s="158"/>
      <c r="WR30" s="158"/>
      <c r="WS30" s="158"/>
      <c r="WT30" s="158"/>
      <c r="WU30" s="158"/>
      <c r="WV30" s="158"/>
      <c r="WW30" s="158"/>
      <c r="WX30" s="158"/>
      <c r="WY30" s="158"/>
      <c r="WZ30" s="158"/>
      <c r="XA30" s="158"/>
      <c r="XB30" s="158"/>
      <c r="XC30" s="158"/>
      <c r="XD30" s="158"/>
      <c r="XE30" s="158"/>
      <c r="XF30" s="158"/>
      <c r="XG30" s="158"/>
      <c r="XH30" s="158"/>
      <c r="XI30" s="158"/>
      <c r="XJ30" s="158"/>
      <c r="XK30" s="158"/>
      <c r="XL30" s="158"/>
      <c r="XM30" s="158"/>
      <c r="XN30" s="158"/>
      <c r="XO30" s="158"/>
      <c r="XP30" s="158"/>
      <c r="XQ30" s="158"/>
      <c r="XR30" s="158"/>
      <c r="XS30" s="158"/>
      <c r="XT30" s="158"/>
      <c r="XU30" s="158"/>
      <c r="XV30" s="158"/>
      <c r="XW30" s="158"/>
      <c r="XX30" s="158"/>
      <c r="XY30" s="158"/>
    </row>
    <row r="31" spans="3:649" s="53" customFormat="1" ht="14.45" outlineLevel="1">
      <c r="C31" s="30" t="s">
        <v>26</v>
      </c>
      <c r="D31" s="28" t="s">
        <v>66</v>
      </c>
      <c r="E31" s="221"/>
      <c r="F31" s="51"/>
      <c r="G31" s="51"/>
      <c r="H31" s="51"/>
      <c r="I31" s="51"/>
      <c r="J31" s="51"/>
      <c r="K31" s="51"/>
      <c r="L31" s="51"/>
      <c r="M31" s="51"/>
      <c r="N31" s="154">
        <f>150*$G70</f>
        <v>17.550236466679692</v>
      </c>
      <c r="O31" s="154">
        <f t="shared" ref="O31:P31" si="1">150*$G70</f>
        <v>17.550236466679692</v>
      </c>
      <c r="P31" s="154">
        <f t="shared" si="1"/>
        <v>17.550236466679692</v>
      </c>
      <c r="Q31" s="154">
        <f t="shared" si="0"/>
        <v>52.650709400039077</v>
      </c>
      <c r="R31" s="154">
        <f>150-Table4232[[#This Row],[Total]]</f>
        <v>97.349290599960923</v>
      </c>
      <c r="S31" s="28" t="s">
        <v>53</v>
      </c>
      <c r="T31" s="31" t="s">
        <v>65</v>
      </c>
      <c r="U31" s="169"/>
      <c r="V31" s="170" t="e">
        <f>IF(#REF!="","Other Major Projects","Data Centre")</f>
        <v>#REF!</v>
      </c>
      <c r="W31" s="168"/>
      <c r="X31" s="28">
        <f>Table4232[[#This Row],[Post 2033]]+Table4232[[#This Row],[Total]]</f>
        <v>150</v>
      </c>
      <c r="Y31" s="28" t="s">
        <v>50</v>
      </c>
      <c r="Z31" s="52"/>
      <c r="AA31" s="27"/>
      <c r="AB31" s="27"/>
      <c r="AC31" s="27"/>
      <c r="AD31" s="27"/>
      <c r="AE31" s="27"/>
      <c r="AF31" s="52"/>
      <c r="AG31" s="52"/>
      <c r="AH31" s="52"/>
      <c r="AI31" s="52"/>
      <c r="AJ31" s="52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7"/>
      <c r="JD31" s="27"/>
      <c r="JE31" s="27"/>
      <c r="JF31" s="27"/>
      <c r="JG31" s="27"/>
      <c r="JH31" s="27"/>
      <c r="JI31" s="27"/>
      <c r="JJ31" s="27"/>
      <c r="JK31" s="27"/>
      <c r="JL31" s="27"/>
      <c r="JM31" s="27"/>
      <c r="JN31" s="27"/>
      <c r="JO31" s="27"/>
      <c r="JP31" s="27"/>
      <c r="JQ31" s="27"/>
      <c r="JR31" s="27"/>
      <c r="JS31" s="27"/>
      <c r="JT31" s="27"/>
      <c r="JU31" s="27"/>
      <c r="JV31" s="27"/>
      <c r="JW31" s="27"/>
      <c r="JX31" s="27"/>
      <c r="JY31" s="27"/>
      <c r="JZ31" s="27"/>
      <c r="KA31" s="27"/>
      <c r="KB31" s="27"/>
      <c r="KC31" s="27"/>
      <c r="KD31" s="27"/>
      <c r="KE31" s="27"/>
      <c r="KF31" s="27"/>
      <c r="KG31" s="27"/>
      <c r="KH31" s="27"/>
      <c r="KI31" s="27"/>
      <c r="KJ31" s="27"/>
      <c r="KK31" s="27"/>
      <c r="KL31" s="27"/>
      <c r="KM31" s="27"/>
      <c r="KN31" s="27"/>
      <c r="KO31" s="27"/>
      <c r="KP31" s="27"/>
      <c r="KQ31" s="27"/>
      <c r="KR31" s="27"/>
      <c r="KS31" s="27"/>
      <c r="KT31" s="27"/>
      <c r="KU31" s="27"/>
      <c r="KV31" s="27"/>
      <c r="KW31" s="27"/>
      <c r="KX31" s="27"/>
      <c r="KY31" s="27"/>
      <c r="KZ31" s="27"/>
      <c r="LA31" s="27"/>
      <c r="LB31" s="27"/>
      <c r="LC31" s="27"/>
      <c r="LD31" s="27"/>
      <c r="LE31" s="27"/>
      <c r="LF31" s="27"/>
      <c r="LG31" s="27"/>
      <c r="LH31" s="27"/>
      <c r="LI31" s="27"/>
      <c r="LJ31" s="27"/>
      <c r="LK31" s="27"/>
      <c r="LL31" s="27"/>
      <c r="LM31" s="27"/>
      <c r="LN31" s="27"/>
      <c r="LO31" s="27"/>
      <c r="LP31" s="27"/>
      <c r="LQ31" s="27"/>
      <c r="LR31" s="27"/>
      <c r="LS31" s="27"/>
      <c r="LT31" s="27"/>
      <c r="LU31" s="27"/>
      <c r="LV31" s="27"/>
      <c r="LW31" s="27"/>
      <c r="LX31" s="27"/>
      <c r="LY31" s="27"/>
      <c r="LZ31" s="27"/>
      <c r="MA31" s="27"/>
      <c r="MB31" s="27"/>
      <c r="MC31" s="27"/>
      <c r="MD31" s="27"/>
      <c r="ME31" s="27"/>
      <c r="MF31" s="27"/>
      <c r="MG31" s="27"/>
      <c r="MH31" s="27"/>
      <c r="MI31" s="27"/>
      <c r="MJ31" s="27"/>
      <c r="MK31" s="27"/>
      <c r="ML31" s="27"/>
      <c r="MM31" s="27"/>
      <c r="MN31" s="27"/>
      <c r="MO31" s="27"/>
      <c r="MP31" s="27"/>
      <c r="MQ31" s="27"/>
      <c r="MR31" s="27"/>
      <c r="MS31" s="27"/>
      <c r="MT31" s="27"/>
      <c r="MU31" s="27"/>
      <c r="MV31" s="27"/>
      <c r="MW31" s="27"/>
      <c r="MX31" s="27"/>
      <c r="MY31" s="27"/>
      <c r="MZ31" s="27"/>
      <c r="NA31" s="27"/>
      <c r="NB31" s="27"/>
      <c r="NC31" s="27"/>
      <c r="ND31" s="27"/>
      <c r="NE31" s="27"/>
      <c r="NF31" s="27"/>
      <c r="NG31" s="27"/>
      <c r="NH31" s="27"/>
      <c r="NI31" s="27"/>
      <c r="NJ31" s="27"/>
      <c r="NK31" s="27"/>
      <c r="NL31" s="27"/>
      <c r="NM31" s="27"/>
      <c r="NN31" s="27"/>
      <c r="NO31" s="27"/>
      <c r="NP31" s="27"/>
      <c r="NQ31" s="27"/>
      <c r="NR31" s="27"/>
      <c r="NS31" s="27"/>
      <c r="NT31" s="27"/>
      <c r="NU31" s="27"/>
      <c r="NV31" s="27"/>
      <c r="NW31" s="27"/>
      <c r="NX31" s="27"/>
      <c r="NY31" s="27"/>
      <c r="NZ31" s="27"/>
      <c r="OA31" s="27"/>
      <c r="OB31" s="27"/>
      <c r="OC31" s="27"/>
      <c r="OD31" s="27"/>
      <c r="OE31" s="27"/>
      <c r="OF31" s="27"/>
      <c r="OG31" s="27"/>
      <c r="OH31" s="27"/>
      <c r="OI31" s="27"/>
      <c r="OJ31" s="27"/>
      <c r="OK31" s="27"/>
      <c r="OL31" s="27"/>
      <c r="OM31" s="27"/>
      <c r="ON31" s="27"/>
      <c r="OO31" s="27"/>
      <c r="OP31" s="27"/>
      <c r="OQ31" s="27"/>
      <c r="OR31" s="27"/>
      <c r="OS31" s="27"/>
      <c r="OT31" s="27"/>
      <c r="OU31" s="27"/>
      <c r="OV31" s="27"/>
      <c r="OW31" s="27"/>
      <c r="OX31" s="27"/>
      <c r="OY31" s="27"/>
      <c r="OZ31" s="27"/>
      <c r="PA31" s="27"/>
      <c r="PB31" s="27"/>
      <c r="PC31" s="27"/>
      <c r="PD31" s="27"/>
      <c r="PE31" s="27"/>
      <c r="PF31" s="27"/>
      <c r="PG31" s="27"/>
      <c r="PH31" s="27"/>
      <c r="PI31" s="27"/>
      <c r="PJ31" s="27"/>
      <c r="PK31" s="27"/>
      <c r="PL31" s="27"/>
      <c r="PM31" s="27"/>
      <c r="PN31" s="27"/>
      <c r="PO31" s="27"/>
      <c r="PP31" s="27"/>
      <c r="PQ31" s="27"/>
      <c r="PR31" s="27"/>
      <c r="PS31" s="27"/>
      <c r="PT31" s="27"/>
      <c r="PU31" s="27"/>
      <c r="PV31" s="27"/>
      <c r="PW31" s="27"/>
      <c r="PZ31" s="29"/>
      <c r="QA31" s="29"/>
      <c r="QB31" s="29"/>
      <c r="QC31" s="29"/>
      <c r="QD31" s="29"/>
      <c r="QE31" s="29"/>
      <c r="QF31" s="29"/>
      <c r="QG31" s="29"/>
      <c r="QH31" s="29"/>
      <c r="QI31" s="29"/>
      <c r="QJ31" s="29"/>
      <c r="QK31" s="29"/>
      <c r="QL31" s="29"/>
      <c r="QM31" s="29"/>
      <c r="QN31" s="29"/>
      <c r="QO31" s="29"/>
      <c r="QP31" s="29"/>
      <c r="QQ31" s="29"/>
      <c r="QR31" s="29"/>
      <c r="QS31" s="29"/>
      <c r="QT31" s="29"/>
      <c r="QU31" s="29"/>
      <c r="QV31" s="29"/>
      <c r="QW31" s="29"/>
      <c r="QX31" s="29"/>
      <c r="QY31" s="29"/>
      <c r="QZ31" s="29"/>
      <c r="RA31" s="29"/>
      <c r="RB31" s="29"/>
      <c r="RC31" s="29"/>
      <c r="RD31" s="29"/>
      <c r="RE31" s="29"/>
      <c r="RF31" s="29"/>
      <c r="RG31" s="29"/>
      <c r="RH31" s="29"/>
      <c r="RI31" s="29"/>
      <c r="RJ31" s="29"/>
      <c r="RK31" s="29"/>
      <c r="RL31" s="29"/>
      <c r="RM31" s="29"/>
      <c r="RN31" s="29"/>
      <c r="RO31" s="29"/>
      <c r="RP31" s="29"/>
      <c r="RQ31" s="29"/>
      <c r="RR31" s="29"/>
      <c r="RS31" s="29"/>
      <c r="RT31" s="29"/>
      <c r="RU31" s="29"/>
      <c r="RV31" s="29"/>
      <c r="RW31" s="29"/>
      <c r="RX31" s="29"/>
      <c r="RY31" s="29"/>
      <c r="RZ31" s="29"/>
      <c r="SA31" s="29"/>
      <c r="SB31" s="29"/>
      <c r="SC31" s="29"/>
      <c r="SD31" s="29"/>
      <c r="SE31" s="29"/>
      <c r="SF31" s="29"/>
      <c r="SG31" s="29"/>
      <c r="SH31" s="29"/>
      <c r="SI31" s="29"/>
      <c r="SJ31" s="29"/>
      <c r="SK31" s="29"/>
      <c r="SL31" s="29"/>
      <c r="SM31" s="29"/>
      <c r="SN31" s="29"/>
      <c r="SO31" s="29"/>
      <c r="SP31" s="29"/>
      <c r="SQ31" s="29"/>
      <c r="SR31" s="29"/>
      <c r="SS31" s="29"/>
      <c r="ST31" s="29"/>
      <c r="SU31" s="29"/>
      <c r="SV31" s="29"/>
      <c r="SW31" s="29"/>
      <c r="SX31" s="29"/>
      <c r="SY31" s="29"/>
      <c r="SZ31" s="29"/>
      <c r="TA31" s="29"/>
      <c r="TB31" s="29"/>
      <c r="TC31" s="29"/>
      <c r="TD31" s="29"/>
      <c r="TE31" s="29"/>
      <c r="TF31" s="29"/>
      <c r="TG31" s="29"/>
      <c r="TH31" s="29"/>
      <c r="TI31" s="29"/>
      <c r="TJ31" s="29"/>
      <c r="TK31" s="29"/>
      <c r="TL31" s="29"/>
      <c r="TM31" s="29"/>
      <c r="TN31" s="29"/>
      <c r="TO31" s="29"/>
      <c r="TP31" s="29"/>
      <c r="TQ31" s="29"/>
      <c r="TR31" s="29"/>
      <c r="TS31" s="29"/>
      <c r="TT31" s="29"/>
      <c r="TU31" s="29"/>
      <c r="TV31" s="29"/>
      <c r="TW31" s="29"/>
      <c r="TX31" s="29"/>
      <c r="TY31" s="29"/>
      <c r="TZ31" s="29"/>
      <c r="UA31" s="29"/>
      <c r="UB31" s="29"/>
      <c r="UC31" s="29"/>
      <c r="UD31" s="29"/>
      <c r="UE31" s="29"/>
      <c r="UF31" s="29"/>
      <c r="UG31" s="29"/>
      <c r="UH31" s="29"/>
      <c r="UI31" s="29"/>
      <c r="UJ31" s="29"/>
      <c r="UK31" s="29"/>
      <c r="UL31" s="29"/>
      <c r="UM31" s="29"/>
      <c r="UN31" s="29"/>
      <c r="UO31" s="29"/>
      <c r="UP31" s="29"/>
      <c r="UQ31" s="29"/>
      <c r="UR31" s="29"/>
      <c r="US31" s="29"/>
      <c r="UT31" s="29"/>
      <c r="UU31" s="29"/>
      <c r="UV31" s="29"/>
      <c r="UW31" s="29"/>
      <c r="UX31" s="29"/>
      <c r="UY31" s="29"/>
      <c r="UZ31" s="29"/>
      <c r="VA31" s="29"/>
      <c r="VB31" s="29"/>
      <c r="VC31" s="29"/>
      <c r="VD31" s="29"/>
      <c r="VE31" s="29"/>
      <c r="VF31" s="29"/>
      <c r="VG31" s="29"/>
      <c r="VH31" s="29"/>
      <c r="VI31" s="29"/>
      <c r="VJ31" s="29"/>
      <c r="VK31" s="29"/>
      <c r="VL31" s="29"/>
      <c r="VM31" s="29"/>
      <c r="VN31" s="29"/>
      <c r="VO31" s="29"/>
      <c r="VP31" s="29"/>
      <c r="VQ31" s="29"/>
      <c r="VR31" s="29"/>
      <c r="VS31" s="29"/>
      <c r="VT31" s="29"/>
      <c r="VU31" s="29"/>
      <c r="VV31" s="29"/>
      <c r="VW31" s="29"/>
      <c r="VX31" s="29"/>
      <c r="VY31" s="29"/>
      <c r="VZ31" s="29"/>
      <c r="WA31" s="29"/>
      <c r="WB31" s="29"/>
      <c r="WC31" s="29"/>
      <c r="WD31" s="29"/>
      <c r="WE31" s="29"/>
      <c r="WF31" s="29"/>
      <c r="WG31" s="29"/>
      <c r="WH31" s="29"/>
      <c r="WI31" s="29"/>
      <c r="WJ31" s="29"/>
      <c r="WK31" s="29"/>
      <c r="WL31" s="29"/>
      <c r="WM31" s="29"/>
      <c r="WN31" s="29"/>
      <c r="WO31" s="29"/>
      <c r="WP31" s="29"/>
      <c r="WQ31" s="29"/>
      <c r="WR31" s="29"/>
      <c r="WS31" s="29"/>
      <c r="WT31" s="29"/>
      <c r="WU31" s="29"/>
      <c r="WV31" s="29"/>
      <c r="WW31" s="29"/>
      <c r="WX31" s="29"/>
      <c r="WY31" s="29"/>
      <c r="WZ31" s="29"/>
      <c r="XA31" s="29"/>
      <c r="XB31" s="29"/>
      <c r="XC31" s="29"/>
      <c r="XD31" s="29"/>
      <c r="XE31" s="29"/>
      <c r="XF31" s="29"/>
      <c r="XG31" s="29"/>
      <c r="XH31" s="29"/>
      <c r="XI31" s="29"/>
      <c r="XJ31" s="29"/>
      <c r="XK31" s="29"/>
      <c r="XL31" s="29"/>
      <c r="XM31" s="29"/>
      <c r="XN31" s="29"/>
      <c r="XO31" s="29"/>
      <c r="XP31" s="29"/>
      <c r="XQ31" s="29"/>
      <c r="XR31" s="29"/>
      <c r="XS31" s="29"/>
      <c r="XT31" s="29"/>
      <c r="XU31" s="29"/>
      <c r="XV31" s="29"/>
      <c r="XW31" s="29"/>
      <c r="XX31" s="29"/>
      <c r="XY31" s="29"/>
    </row>
    <row r="32" spans="3:649" s="53" customFormat="1" ht="14.45" outlineLevel="1">
      <c r="C32" s="30" t="s">
        <v>26</v>
      </c>
      <c r="D32" s="28" t="s">
        <v>67</v>
      </c>
      <c r="E32" s="221"/>
      <c r="F32" s="51"/>
      <c r="G32" s="51"/>
      <c r="H32" s="51">
        <v>5.8500788222265641</v>
      </c>
      <c r="I32" s="51">
        <v>2.4854761904761915</v>
      </c>
      <c r="J32" s="51">
        <v>1.8457142857142865</v>
      </c>
      <c r="K32" s="51">
        <v>5.5106666666666664</v>
      </c>
      <c r="L32" s="51">
        <v>3.602857142857141</v>
      </c>
      <c r="M32" s="51">
        <v>3.8953941111328243</v>
      </c>
      <c r="N32" s="51">
        <v>4.3562221353657753</v>
      </c>
      <c r="O32" s="51">
        <v>2.2999654745619216</v>
      </c>
      <c r="P32" s="51">
        <v>3.0365709074327398</v>
      </c>
      <c r="Q32" s="51">
        <f t="shared" si="0"/>
        <v>32.88294573643411</v>
      </c>
      <c r="R32" s="51">
        <v>17.11705426356589</v>
      </c>
      <c r="S32" s="28" t="s">
        <v>31</v>
      </c>
      <c r="T32" s="31"/>
      <c r="U32" s="169"/>
      <c r="V32" s="170" t="e">
        <f>IF(#REF!="","Other Major Projects","Data Centre")</f>
        <v>#REF!</v>
      </c>
      <c r="W32" s="168"/>
      <c r="X32" s="28">
        <f>Table4232[[#This Row],[Post 2033]]+Table4232[[#This Row],[Total]]</f>
        <v>50</v>
      </c>
      <c r="Y32" s="28" t="s">
        <v>50</v>
      </c>
      <c r="Z32" s="52"/>
      <c r="AA32" s="27"/>
      <c r="AB32" s="27"/>
      <c r="AC32" s="27"/>
      <c r="AD32" s="27"/>
      <c r="AE32" s="27"/>
      <c r="AF32" s="52"/>
      <c r="AG32" s="52"/>
      <c r="AH32" s="52"/>
      <c r="AI32" s="52"/>
      <c r="AJ32" s="52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7"/>
      <c r="JD32" s="27"/>
      <c r="JE32" s="27"/>
      <c r="JF32" s="27"/>
      <c r="JG32" s="27"/>
      <c r="JH32" s="27"/>
      <c r="JI32" s="27"/>
      <c r="JJ32" s="27"/>
      <c r="JK32" s="27"/>
      <c r="JL32" s="27"/>
      <c r="JM32" s="27"/>
      <c r="JN32" s="27"/>
      <c r="JO32" s="27"/>
      <c r="JP32" s="27"/>
      <c r="JQ32" s="27"/>
      <c r="JR32" s="27"/>
      <c r="JS32" s="27"/>
      <c r="JT32" s="27"/>
      <c r="JU32" s="27"/>
      <c r="JV32" s="27"/>
      <c r="JW32" s="27"/>
      <c r="JX32" s="27"/>
      <c r="JY32" s="27"/>
      <c r="JZ32" s="27"/>
      <c r="KA32" s="27"/>
      <c r="KB32" s="27"/>
      <c r="KC32" s="27"/>
      <c r="KD32" s="27"/>
      <c r="KE32" s="27"/>
      <c r="KF32" s="27"/>
      <c r="KG32" s="27"/>
      <c r="KH32" s="27"/>
      <c r="KI32" s="27"/>
      <c r="KJ32" s="27"/>
      <c r="KK32" s="27"/>
      <c r="KL32" s="27"/>
      <c r="KM32" s="27"/>
      <c r="KN32" s="27"/>
      <c r="KO32" s="27"/>
      <c r="KP32" s="27"/>
      <c r="KQ32" s="27"/>
      <c r="KR32" s="27"/>
      <c r="KS32" s="27"/>
      <c r="KT32" s="27"/>
      <c r="KU32" s="27"/>
      <c r="KV32" s="27"/>
      <c r="KW32" s="27"/>
      <c r="KX32" s="27"/>
      <c r="KY32" s="27"/>
      <c r="KZ32" s="27"/>
      <c r="LA32" s="27"/>
      <c r="LB32" s="27"/>
      <c r="LC32" s="27"/>
      <c r="LD32" s="27"/>
      <c r="LE32" s="27"/>
      <c r="LF32" s="27"/>
      <c r="LG32" s="27"/>
      <c r="LH32" s="27"/>
      <c r="LI32" s="27"/>
      <c r="LJ32" s="27"/>
      <c r="LK32" s="27"/>
      <c r="LL32" s="27"/>
      <c r="LM32" s="27"/>
      <c r="LN32" s="27"/>
      <c r="LO32" s="27"/>
      <c r="LP32" s="27"/>
      <c r="LQ32" s="27"/>
      <c r="LR32" s="27"/>
      <c r="LS32" s="27"/>
      <c r="LT32" s="27"/>
      <c r="LU32" s="27"/>
      <c r="LV32" s="27"/>
      <c r="LW32" s="27"/>
      <c r="LX32" s="27"/>
      <c r="LY32" s="27"/>
      <c r="LZ32" s="27"/>
      <c r="MA32" s="27"/>
      <c r="MB32" s="27"/>
      <c r="MC32" s="27"/>
      <c r="MD32" s="27"/>
      <c r="ME32" s="27"/>
      <c r="MF32" s="27"/>
      <c r="MG32" s="27"/>
      <c r="MH32" s="27"/>
      <c r="MI32" s="27"/>
      <c r="MJ32" s="27"/>
      <c r="MK32" s="27"/>
      <c r="ML32" s="27"/>
      <c r="MM32" s="27"/>
      <c r="MN32" s="27"/>
      <c r="MO32" s="27"/>
      <c r="MP32" s="27"/>
      <c r="MQ32" s="27"/>
      <c r="MR32" s="27"/>
      <c r="MS32" s="27"/>
      <c r="MT32" s="27"/>
      <c r="MU32" s="27"/>
      <c r="MV32" s="27"/>
      <c r="MW32" s="27"/>
      <c r="MX32" s="27"/>
      <c r="MY32" s="27"/>
      <c r="MZ32" s="27"/>
      <c r="NA32" s="27"/>
      <c r="NB32" s="27"/>
      <c r="NC32" s="27"/>
      <c r="ND32" s="27"/>
      <c r="NE32" s="27"/>
      <c r="NF32" s="27"/>
      <c r="NG32" s="27"/>
      <c r="NH32" s="27"/>
      <c r="NI32" s="27"/>
      <c r="NJ32" s="27"/>
      <c r="NK32" s="27"/>
      <c r="NL32" s="27"/>
      <c r="NM32" s="27"/>
      <c r="NN32" s="27"/>
      <c r="NO32" s="27"/>
      <c r="NP32" s="27"/>
      <c r="NQ32" s="27"/>
      <c r="NR32" s="27"/>
      <c r="NS32" s="27"/>
      <c r="NT32" s="27"/>
      <c r="NU32" s="27"/>
      <c r="NV32" s="27"/>
      <c r="NW32" s="27"/>
      <c r="NX32" s="27"/>
      <c r="NY32" s="27"/>
      <c r="NZ32" s="27"/>
      <c r="OA32" s="27"/>
      <c r="OB32" s="27"/>
      <c r="OC32" s="27"/>
      <c r="OD32" s="27"/>
      <c r="OE32" s="27"/>
      <c r="OF32" s="27"/>
      <c r="OG32" s="27"/>
      <c r="OH32" s="27"/>
      <c r="OI32" s="27"/>
      <c r="OJ32" s="27"/>
      <c r="OK32" s="27"/>
      <c r="OL32" s="27"/>
      <c r="OM32" s="27"/>
      <c r="ON32" s="27"/>
      <c r="OO32" s="27"/>
      <c r="OP32" s="27"/>
      <c r="OQ32" s="27"/>
      <c r="OR32" s="27"/>
      <c r="OS32" s="27"/>
      <c r="OT32" s="27"/>
      <c r="OU32" s="27"/>
      <c r="OV32" s="27"/>
      <c r="OW32" s="27"/>
      <c r="OX32" s="27"/>
      <c r="OY32" s="27"/>
      <c r="OZ32" s="27"/>
      <c r="PA32" s="27"/>
      <c r="PB32" s="27"/>
      <c r="PC32" s="27"/>
      <c r="PD32" s="27"/>
      <c r="PE32" s="27"/>
      <c r="PF32" s="27"/>
      <c r="PG32" s="27"/>
      <c r="PH32" s="27"/>
      <c r="PI32" s="27"/>
      <c r="PJ32" s="27"/>
      <c r="PK32" s="27"/>
      <c r="PL32" s="27"/>
      <c r="PM32" s="27"/>
      <c r="PN32" s="27"/>
      <c r="PO32" s="27"/>
      <c r="PP32" s="27"/>
      <c r="PQ32" s="27"/>
      <c r="PR32" s="27"/>
      <c r="PS32" s="27"/>
      <c r="PT32" s="27"/>
      <c r="PU32" s="27"/>
      <c r="PV32" s="27"/>
      <c r="PW32" s="27"/>
      <c r="PZ32" s="29"/>
      <c r="QA32" s="29"/>
      <c r="QB32" s="29"/>
      <c r="QC32" s="29"/>
      <c r="QD32" s="29"/>
      <c r="QE32" s="29"/>
      <c r="QF32" s="29"/>
      <c r="QG32" s="29"/>
      <c r="QH32" s="29"/>
      <c r="QI32" s="29"/>
      <c r="QJ32" s="29"/>
      <c r="QK32" s="29"/>
      <c r="QL32" s="29"/>
      <c r="QM32" s="29"/>
      <c r="QN32" s="29"/>
      <c r="QO32" s="29"/>
      <c r="QP32" s="29"/>
      <c r="QQ32" s="29"/>
      <c r="QR32" s="29"/>
      <c r="QS32" s="29"/>
      <c r="QT32" s="29"/>
      <c r="QU32" s="29"/>
      <c r="QV32" s="29"/>
      <c r="QW32" s="29"/>
      <c r="QX32" s="29"/>
      <c r="QY32" s="29"/>
      <c r="QZ32" s="29"/>
      <c r="RA32" s="29"/>
      <c r="RB32" s="29"/>
      <c r="RC32" s="29"/>
      <c r="RD32" s="29"/>
      <c r="RE32" s="29"/>
      <c r="RF32" s="29"/>
      <c r="RG32" s="29"/>
      <c r="RH32" s="29"/>
      <c r="RI32" s="29"/>
      <c r="RJ32" s="29"/>
      <c r="RK32" s="29"/>
      <c r="RL32" s="29"/>
      <c r="RM32" s="29"/>
      <c r="RN32" s="29"/>
      <c r="RO32" s="29"/>
      <c r="RP32" s="29"/>
      <c r="RQ32" s="29"/>
      <c r="RR32" s="29"/>
      <c r="RS32" s="29"/>
      <c r="RT32" s="29"/>
      <c r="RU32" s="29"/>
      <c r="RV32" s="29"/>
      <c r="RW32" s="29"/>
      <c r="RX32" s="29"/>
      <c r="RY32" s="29"/>
      <c r="RZ32" s="29"/>
      <c r="SA32" s="29"/>
      <c r="SB32" s="29"/>
      <c r="SC32" s="29"/>
      <c r="SD32" s="29"/>
      <c r="SE32" s="29"/>
      <c r="SF32" s="29"/>
      <c r="SG32" s="29"/>
      <c r="SH32" s="29"/>
      <c r="SI32" s="29"/>
      <c r="SJ32" s="29"/>
      <c r="SK32" s="29"/>
      <c r="SL32" s="29"/>
      <c r="SM32" s="29"/>
      <c r="SN32" s="29"/>
      <c r="SO32" s="29"/>
      <c r="SP32" s="29"/>
      <c r="SQ32" s="29"/>
      <c r="SR32" s="29"/>
      <c r="SS32" s="29"/>
      <c r="ST32" s="29"/>
      <c r="SU32" s="29"/>
      <c r="SV32" s="29"/>
      <c r="SW32" s="29"/>
      <c r="SX32" s="29"/>
      <c r="SY32" s="29"/>
      <c r="SZ32" s="29"/>
      <c r="TA32" s="29"/>
      <c r="TB32" s="29"/>
      <c r="TC32" s="29"/>
      <c r="TD32" s="29"/>
      <c r="TE32" s="29"/>
      <c r="TF32" s="29"/>
      <c r="TG32" s="29"/>
      <c r="TH32" s="29"/>
      <c r="TI32" s="29"/>
      <c r="TJ32" s="29"/>
      <c r="TK32" s="29"/>
      <c r="TL32" s="29"/>
      <c r="TM32" s="29"/>
      <c r="TN32" s="29"/>
      <c r="TO32" s="29"/>
      <c r="TP32" s="29"/>
      <c r="TQ32" s="29"/>
      <c r="TR32" s="29"/>
      <c r="TS32" s="29"/>
      <c r="TT32" s="29"/>
      <c r="TU32" s="29"/>
      <c r="TV32" s="29"/>
      <c r="TW32" s="29"/>
      <c r="TX32" s="29"/>
      <c r="TY32" s="29"/>
      <c r="TZ32" s="29"/>
      <c r="UA32" s="29"/>
      <c r="UB32" s="29"/>
      <c r="UC32" s="29"/>
      <c r="UD32" s="29"/>
      <c r="UE32" s="29"/>
      <c r="UF32" s="29"/>
      <c r="UG32" s="29"/>
      <c r="UH32" s="29"/>
      <c r="UI32" s="29"/>
      <c r="UJ32" s="29"/>
      <c r="UK32" s="29"/>
      <c r="UL32" s="29"/>
      <c r="UM32" s="29"/>
      <c r="UN32" s="29"/>
      <c r="UO32" s="29"/>
      <c r="UP32" s="29"/>
      <c r="UQ32" s="29"/>
      <c r="UR32" s="29"/>
      <c r="US32" s="29"/>
      <c r="UT32" s="29"/>
      <c r="UU32" s="29"/>
      <c r="UV32" s="29"/>
      <c r="UW32" s="29"/>
      <c r="UX32" s="29"/>
      <c r="UY32" s="29"/>
      <c r="UZ32" s="29"/>
      <c r="VA32" s="29"/>
      <c r="VB32" s="29"/>
      <c r="VC32" s="29"/>
      <c r="VD32" s="29"/>
      <c r="VE32" s="29"/>
      <c r="VF32" s="29"/>
      <c r="VG32" s="29"/>
      <c r="VH32" s="29"/>
      <c r="VI32" s="29"/>
      <c r="VJ32" s="29"/>
      <c r="VK32" s="29"/>
      <c r="VL32" s="29"/>
      <c r="VM32" s="29"/>
      <c r="VN32" s="29"/>
      <c r="VO32" s="29"/>
      <c r="VP32" s="29"/>
      <c r="VQ32" s="29"/>
      <c r="VR32" s="29"/>
      <c r="VS32" s="29"/>
      <c r="VT32" s="29"/>
      <c r="VU32" s="29"/>
      <c r="VV32" s="29"/>
      <c r="VW32" s="29"/>
      <c r="VX32" s="29"/>
      <c r="VY32" s="29"/>
      <c r="VZ32" s="29"/>
      <c r="WA32" s="29"/>
      <c r="WB32" s="29"/>
      <c r="WC32" s="29"/>
      <c r="WD32" s="29"/>
      <c r="WE32" s="29"/>
      <c r="WF32" s="29"/>
      <c r="WG32" s="29"/>
      <c r="WH32" s="29"/>
      <c r="WI32" s="29"/>
      <c r="WJ32" s="29"/>
      <c r="WK32" s="29"/>
      <c r="WL32" s="29"/>
      <c r="WM32" s="29"/>
      <c r="WN32" s="29"/>
      <c r="WO32" s="29"/>
      <c r="WP32" s="29"/>
      <c r="WQ32" s="29"/>
      <c r="WR32" s="29"/>
      <c r="WS32" s="29"/>
      <c r="WT32" s="29"/>
      <c r="WU32" s="29"/>
      <c r="WV32" s="29"/>
      <c r="WW32" s="29"/>
      <c r="WX32" s="29"/>
      <c r="WY32" s="29"/>
      <c r="WZ32" s="29"/>
      <c r="XA32" s="29"/>
      <c r="XB32" s="29"/>
      <c r="XC32" s="29"/>
      <c r="XD32" s="29"/>
      <c r="XE32" s="29"/>
      <c r="XF32" s="29"/>
      <c r="XG32" s="29"/>
      <c r="XH32" s="29"/>
      <c r="XI32" s="29"/>
      <c r="XJ32" s="29"/>
      <c r="XK32" s="29"/>
      <c r="XL32" s="29"/>
      <c r="XM32" s="29"/>
      <c r="XN32" s="29"/>
      <c r="XO32" s="29"/>
      <c r="XP32" s="29"/>
      <c r="XQ32" s="29"/>
      <c r="XR32" s="29"/>
      <c r="XS32" s="29"/>
      <c r="XT32" s="29"/>
      <c r="XU32" s="29"/>
      <c r="XV32" s="29"/>
      <c r="XW32" s="29"/>
      <c r="XX32" s="29"/>
      <c r="XY32" s="29"/>
    </row>
    <row r="33" spans="3:649" s="53" customFormat="1" ht="14.45" outlineLevel="1">
      <c r="C33" s="30" t="s">
        <v>26</v>
      </c>
      <c r="D33" s="28" t="s">
        <v>68</v>
      </c>
      <c r="E33" s="221"/>
      <c r="F33" s="51"/>
      <c r="G33" s="51"/>
      <c r="H33" s="51"/>
      <c r="I33" s="51">
        <v>8.7751182333398461</v>
      </c>
      <c r="J33" s="51">
        <v>3.7282142857142873</v>
      </c>
      <c r="K33" s="51">
        <v>2.76857142857143</v>
      </c>
      <c r="L33" s="51">
        <v>8.266</v>
      </c>
      <c r="M33" s="51">
        <v>5.4042857142857113</v>
      </c>
      <c r="N33" s="51">
        <v>5.8430911666992369</v>
      </c>
      <c r="O33" s="51">
        <v>6.5343332030486634</v>
      </c>
      <c r="P33" s="51">
        <v>3.4499482118428819</v>
      </c>
      <c r="Q33" s="51">
        <f t="shared" si="0"/>
        <v>44.769562243502058</v>
      </c>
      <c r="R33" s="51">
        <v>30.230437756497942</v>
      </c>
      <c r="S33" s="28" t="s">
        <v>31</v>
      </c>
      <c r="T33" s="31"/>
      <c r="U33" s="169"/>
      <c r="V33" s="170" t="e">
        <f>IF(#REF!="","Other Major Projects","Data Centre")</f>
        <v>#REF!</v>
      </c>
      <c r="W33" s="168"/>
      <c r="X33" s="28">
        <f>Table4232[[#This Row],[Post 2033]]+Table4232[[#This Row],[Total]]</f>
        <v>75</v>
      </c>
      <c r="Y33" s="28" t="s">
        <v>50</v>
      </c>
      <c r="Z33" s="52"/>
      <c r="AA33" s="27"/>
      <c r="AB33" s="27"/>
      <c r="AC33" s="27"/>
      <c r="AD33" s="27"/>
      <c r="AE33" s="27"/>
      <c r="AF33" s="52"/>
      <c r="AG33" s="52"/>
      <c r="AH33" s="52"/>
      <c r="AI33" s="52"/>
      <c r="AJ33" s="52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7"/>
      <c r="JD33" s="27"/>
      <c r="JE33" s="27"/>
      <c r="JF33" s="27"/>
      <c r="JG33" s="27"/>
      <c r="JH33" s="27"/>
      <c r="JI33" s="27"/>
      <c r="JJ33" s="27"/>
      <c r="JK33" s="27"/>
      <c r="JL33" s="27"/>
      <c r="JM33" s="27"/>
      <c r="JN33" s="27"/>
      <c r="JO33" s="27"/>
      <c r="JP33" s="27"/>
      <c r="JQ33" s="27"/>
      <c r="JR33" s="27"/>
      <c r="JS33" s="27"/>
      <c r="JT33" s="27"/>
      <c r="JU33" s="27"/>
      <c r="JV33" s="27"/>
      <c r="JW33" s="27"/>
      <c r="JX33" s="27"/>
      <c r="JY33" s="27"/>
      <c r="JZ33" s="27"/>
      <c r="KA33" s="27"/>
      <c r="KB33" s="27"/>
      <c r="KC33" s="27"/>
      <c r="KD33" s="27"/>
      <c r="KE33" s="27"/>
      <c r="KF33" s="27"/>
      <c r="KG33" s="27"/>
      <c r="KH33" s="27"/>
      <c r="KI33" s="27"/>
      <c r="KJ33" s="27"/>
      <c r="KK33" s="27"/>
      <c r="KL33" s="27"/>
      <c r="KM33" s="27"/>
      <c r="KN33" s="27"/>
      <c r="KO33" s="27"/>
      <c r="KP33" s="27"/>
      <c r="KQ33" s="27"/>
      <c r="KR33" s="27"/>
      <c r="KS33" s="27"/>
      <c r="KT33" s="27"/>
      <c r="KU33" s="27"/>
      <c r="KV33" s="27"/>
      <c r="KW33" s="27"/>
      <c r="KX33" s="27"/>
      <c r="KY33" s="27"/>
      <c r="KZ33" s="27"/>
      <c r="LA33" s="27"/>
      <c r="LB33" s="27"/>
      <c r="LC33" s="27"/>
      <c r="LD33" s="27"/>
      <c r="LE33" s="27"/>
      <c r="LF33" s="27"/>
      <c r="LG33" s="27"/>
      <c r="LH33" s="27"/>
      <c r="LI33" s="27"/>
      <c r="LJ33" s="27"/>
      <c r="LK33" s="27"/>
      <c r="LL33" s="27"/>
      <c r="LM33" s="27"/>
      <c r="LN33" s="27"/>
      <c r="LO33" s="27"/>
      <c r="LP33" s="27"/>
      <c r="LQ33" s="27"/>
      <c r="LR33" s="27"/>
      <c r="LS33" s="27"/>
      <c r="LT33" s="27"/>
      <c r="LU33" s="27"/>
      <c r="LV33" s="27"/>
      <c r="LW33" s="27"/>
      <c r="LX33" s="27"/>
      <c r="LY33" s="27"/>
      <c r="LZ33" s="27"/>
      <c r="MA33" s="27"/>
      <c r="MB33" s="27"/>
      <c r="MC33" s="27"/>
      <c r="MD33" s="27"/>
      <c r="ME33" s="27"/>
      <c r="MF33" s="27"/>
      <c r="MG33" s="27"/>
      <c r="MH33" s="27"/>
      <c r="MI33" s="27"/>
      <c r="MJ33" s="27"/>
      <c r="MK33" s="27"/>
      <c r="ML33" s="27"/>
      <c r="MM33" s="27"/>
      <c r="MN33" s="27"/>
      <c r="MO33" s="27"/>
      <c r="MP33" s="27"/>
      <c r="MQ33" s="27"/>
      <c r="MR33" s="27"/>
      <c r="MS33" s="27"/>
      <c r="MT33" s="27"/>
      <c r="MU33" s="27"/>
      <c r="MV33" s="27"/>
      <c r="MW33" s="27"/>
      <c r="MX33" s="27"/>
      <c r="MY33" s="27"/>
      <c r="MZ33" s="27"/>
      <c r="NA33" s="27"/>
      <c r="NB33" s="27"/>
      <c r="NC33" s="27"/>
      <c r="ND33" s="27"/>
      <c r="NE33" s="27"/>
      <c r="NF33" s="27"/>
      <c r="NG33" s="27"/>
      <c r="NH33" s="27"/>
      <c r="NI33" s="27"/>
      <c r="NJ33" s="27"/>
      <c r="NK33" s="27"/>
      <c r="NL33" s="27"/>
      <c r="NM33" s="27"/>
      <c r="NN33" s="27"/>
      <c r="NO33" s="27"/>
      <c r="NP33" s="27"/>
      <c r="NQ33" s="27"/>
      <c r="NR33" s="27"/>
      <c r="NS33" s="27"/>
      <c r="NT33" s="27"/>
      <c r="NU33" s="27"/>
      <c r="NV33" s="27"/>
      <c r="NW33" s="27"/>
      <c r="NX33" s="27"/>
      <c r="NY33" s="27"/>
      <c r="NZ33" s="27"/>
      <c r="OA33" s="27"/>
      <c r="OB33" s="27"/>
      <c r="OC33" s="27"/>
      <c r="OD33" s="27"/>
      <c r="OE33" s="27"/>
      <c r="OF33" s="27"/>
      <c r="OG33" s="27"/>
      <c r="OH33" s="27"/>
      <c r="OI33" s="27"/>
      <c r="OJ33" s="27"/>
      <c r="OK33" s="27"/>
      <c r="OL33" s="27"/>
      <c r="OM33" s="27"/>
      <c r="ON33" s="27"/>
      <c r="OO33" s="27"/>
      <c r="OP33" s="27"/>
      <c r="OQ33" s="27"/>
      <c r="OR33" s="27"/>
      <c r="OS33" s="27"/>
      <c r="OT33" s="27"/>
      <c r="OU33" s="27"/>
      <c r="OV33" s="27"/>
      <c r="OW33" s="27"/>
      <c r="OX33" s="27"/>
      <c r="OY33" s="27"/>
      <c r="OZ33" s="27"/>
      <c r="PA33" s="27"/>
      <c r="PB33" s="27"/>
      <c r="PC33" s="27"/>
      <c r="PD33" s="27"/>
      <c r="PE33" s="27"/>
      <c r="PF33" s="27"/>
      <c r="PG33" s="27"/>
      <c r="PH33" s="27"/>
      <c r="PI33" s="27"/>
      <c r="PJ33" s="27"/>
      <c r="PK33" s="27"/>
      <c r="PL33" s="27"/>
      <c r="PM33" s="27"/>
      <c r="PN33" s="27"/>
      <c r="PO33" s="27"/>
      <c r="PP33" s="27"/>
      <c r="PQ33" s="27"/>
      <c r="PR33" s="27"/>
      <c r="PS33" s="27"/>
      <c r="PT33" s="27"/>
      <c r="PU33" s="27"/>
      <c r="PV33" s="27"/>
      <c r="PW33" s="27"/>
      <c r="PZ33" s="29"/>
      <c r="QA33" s="29"/>
      <c r="QB33" s="29"/>
      <c r="QC33" s="29"/>
      <c r="QD33" s="29"/>
      <c r="QE33" s="29"/>
      <c r="QF33" s="29"/>
      <c r="QG33" s="29"/>
      <c r="QH33" s="29"/>
      <c r="QI33" s="29"/>
      <c r="QJ33" s="29"/>
      <c r="QK33" s="29"/>
      <c r="QL33" s="29"/>
      <c r="QM33" s="29"/>
      <c r="QN33" s="29"/>
      <c r="QO33" s="29"/>
      <c r="QP33" s="29"/>
      <c r="QQ33" s="29"/>
      <c r="QR33" s="29"/>
      <c r="QS33" s="29"/>
      <c r="QT33" s="29"/>
      <c r="QU33" s="29"/>
      <c r="QV33" s="29"/>
      <c r="QW33" s="29"/>
      <c r="QX33" s="29"/>
      <c r="QY33" s="29"/>
      <c r="QZ33" s="29"/>
      <c r="RA33" s="29"/>
      <c r="RB33" s="29"/>
      <c r="RC33" s="29"/>
      <c r="RD33" s="29"/>
      <c r="RE33" s="29"/>
      <c r="RF33" s="29"/>
      <c r="RG33" s="29"/>
      <c r="RH33" s="29"/>
      <c r="RI33" s="29"/>
      <c r="RJ33" s="29"/>
      <c r="RK33" s="29"/>
      <c r="RL33" s="29"/>
      <c r="RM33" s="29"/>
      <c r="RN33" s="29"/>
      <c r="RO33" s="29"/>
      <c r="RP33" s="29"/>
      <c r="RQ33" s="29"/>
      <c r="RR33" s="29"/>
      <c r="RS33" s="29"/>
      <c r="RT33" s="29"/>
      <c r="RU33" s="29"/>
      <c r="RV33" s="29"/>
      <c r="RW33" s="29"/>
      <c r="RX33" s="29"/>
      <c r="RY33" s="29"/>
      <c r="RZ33" s="29"/>
      <c r="SA33" s="29"/>
      <c r="SB33" s="29"/>
      <c r="SC33" s="29"/>
      <c r="SD33" s="29"/>
      <c r="SE33" s="29"/>
      <c r="SF33" s="29"/>
      <c r="SG33" s="29"/>
      <c r="SH33" s="29"/>
      <c r="SI33" s="29"/>
      <c r="SJ33" s="29"/>
      <c r="SK33" s="29"/>
      <c r="SL33" s="29"/>
      <c r="SM33" s="29"/>
      <c r="SN33" s="29"/>
      <c r="SO33" s="29"/>
      <c r="SP33" s="29"/>
      <c r="SQ33" s="29"/>
      <c r="SR33" s="29"/>
      <c r="SS33" s="29"/>
      <c r="ST33" s="29"/>
      <c r="SU33" s="29"/>
      <c r="SV33" s="29"/>
      <c r="SW33" s="29"/>
      <c r="SX33" s="29"/>
      <c r="SY33" s="29"/>
      <c r="SZ33" s="29"/>
      <c r="TA33" s="29"/>
      <c r="TB33" s="29"/>
      <c r="TC33" s="29"/>
      <c r="TD33" s="29"/>
      <c r="TE33" s="29"/>
      <c r="TF33" s="29"/>
      <c r="TG33" s="29"/>
      <c r="TH33" s="29"/>
      <c r="TI33" s="29"/>
      <c r="TJ33" s="29"/>
      <c r="TK33" s="29"/>
      <c r="TL33" s="29"/>
      <c r="TM33" s="29"/>
      <c r="TN33" s="29"/>
      <c r="TO33" s="29"/>
      <c r="TP33" s="29"/>
      <c r="TQ33" s="29"/>
      <c r="TR33" s="29"/>
      <c r="TS33" s="29"/>
      <c r="TT33" s="29"/>
      <c r="TU33" s="29"/>
      <c r="TV33" s="29"/>
      <c r="TW33" s="29"/>
      <c r="TX33" s="29"/>
      <c r="TY33" s="29"/>
      <c r="TZ33" s="29"/>
      <c r="UA33" s="29"/>
      <c r="UB33" s="29"/>
      <c r="UC33" s="29"/>
      <c r="UD33" s="29"/>
      <c r="UE33" s="29"/>
      <c r="UF33" s="29"/>
      <c r="UG33" s="29"/>
      <c r="UH33" s="29"/>
      <c r="UI33" s="29"/>
      <c r="UJ33" s="29"/>
      <c r="UK33" s="29"/>
      <c r="UL33" s="29"/>
      <c r="UM33" s="29"/>
      <c r="UN33" s="29"/>
      <c r="UO33" s="29"/>
      <c r="UP33" s="29"/>
      <c r="UQ33" s="29"/>
      <c r="UR33" s="29"/>
      <c r="US33" s="29"/>
      <c r="UT33" s="29"/>
      <c r="UU33" s="29"/>
      <c r="UV33" s="29"/>
      <c r="UW33" s="29"/>
      <c r="UX33" s="29"/>
      <c r="UY33" s="29"/>
      <c r="UZ33" s="29"/>
      <c r="VA33" s="29"/>
      <c r="VB33" s="29"/>
      <c r="VC33" s="29"/>
      <c r="VD33" s="29"/>
      <c r="VE33" s="29"/>
      <c r="VF33" s="29"/>
      <c r="VG33" s="29"/>
      <c r="VH33" s="29"/>
      <c r="VI33" s="29"/>
      <c r="VJ33" s="29"/>
      <c r="VK33" s="29"/>
      <c r="VL33" s="29"/>
      <c r="VM33" s="29"/>
      <c r="VN33" s="29"/>
      <c r="VO33" s="29"/>
      <c r="VP33" s="29"/>
      <c r="VQ33" s="29"/>
      <c r="VR33" s="29"/>
      <c r="VS33" s="29"/>
      <c r="VT33" s="29"/>
      <c r="VU33" s="29"/>
      <c r="VV33" s="29"/>
      <c r="VW33" s="29"/>
      <c r="VX33" s="29"/>
      <c r="VY33" s="29"/>
      <c r="VZ33" s="29"/>
      <c r="WA33" s="29"/>
      <c r="WB33" s="29"/>
      <c r="WC33" s="29"/>
      <c r="WD33" s="29"/>
      <c r="WE33" s="29"/>
      <c r="WF33" s="29"/>
      <c r="WG33" s="29"/>
      <c r="WH33" s="29"/>
      <c r="WI33" s="29"/>
      <c r="WJ33" s="29"/>
      <c r="WK33" s="29"/>
      <c r="WL33" s="29"/>
      <c r="WM33" s="29"/>
      <c r="WN33" s="29"/>
      <c r="WO33" s="29"/>
      <c r="WP33" s="29"/>
      <c r="WQ33" s="29"/>
      <c r="WR33" s="29"/>
      <c r="WS33" s="29"/>
      <c r="WT33" s="29"/>
      <c r="WU33" s="29"/>
      <c r="WV33" s="29"/>
      <c r="WW33" s="29"/>
      <c r="WX33" s="29"/>
      <c r="WY33" s="29"/>
      <c r="WZ33" s="29"/>
      <c r="XA33" s="29"/>
      <c r="XB33" s="29"/>
      <c r="XC33" s="29"/>
      <c r="XD33" s="29"/>
      <c r="XE33" s="29"/>
      <c r="XF33" s="29"/>
      <c r="XG33" s="29"/>
      <c r="XH33" s="29"/>
      <c r="XI33" s="29"/>
      <c r="XJ33" s="29"/>
      <c r="XK33" s="29"/>
      <c r="XL33" s="29"/>
      <c r="XM33" s="29"/>
      <c r="XN33" s="29"/>
      <c r="XO33" s="29"/>
      <c r="XP33" s="29"/>
      <c r="XQ33" s="29"/>
      <c r="XR33" s="29"/>
      <c r="XS33" s="29"/>
      <c r="XT33" s="29"/>
      <c r="XU33" s="29"/>
      <c r="XV33" s="29"/>
      <c r="XW33" s="29"/>
      <c r="XX33" s="29"/>
      <c r="XY33" s="29"/>
    </row>
    <row r="34" spans="3:649" s="53" customFormat="1" ht="14.45" outlineLevel="1">
      <c r="C34" s="30" t="s">
        <v>26</v>
      </c>
      <c r="D34" s="28" t="s">
        <v>69</v>
      </c>
      <c r="E34" s="221"/>
      <c r="F34" s="51"/>
      <c r="G34" s="51"/>
      <c r="H34" s="51"/>
      <c r="I34" s="51"/>
      <c r="J34" s="51">
        <v>3.0420409875578134</v>
      </c>
      <c r="K34" s="51">
        <v>1.2924476190476195</v>
      </c>
      <c r="L34" s="51">
        <v>0.95977142857142905</v>
      </c>
      <c r="M34" s="51">
        <v>2.8655466666666665</v>
      </c>
      <c r="N34" s="51">
        <v>1.8734857142857133</v>
      </c>
      <c r="O34" s="51">
        <v>2.0256049377890686</v>
      </c>
      <c r="P34" s="51">
        <v>2.2652355103902031</v>
      </c>
      <c r="Q34" s="51">
        <f>SUM(F34:P34)</f>
        <v>14.324132864308515</v>
      </c>
      <c r="R34" s="51">
        <v>11.675867135691485</v>
      </c>
      <c r="S34" s="174" t="s">
        <v>41</v>
      </c>
      <c r="T34" s="31"/>
      <c r="U34" s="175"/>
      <c r="V34" s="170" t="e">
        <f>IF(#REF!="","Other Major Projects","Data Centre")</f>
        <v>#REF!</v>
      </c>
      <c r="W34" s="168"/>
      <c r="X34" s="28">
        <f>Table4232[[#This Row],[Post 2033]]+Table4232[[#This Row],[Total]]</f>
        <v>26</v>
      </c>
      <c r="Y34" s="28" t="s">
        <v>50</v>
      </c>
      <c r="Z34" s="52"/>
      <c r="AA34" s="27"/>
      <c r="AB34" s="27"/>
      <c r="AC34" s="27"/>
      <c r="AD34" s="27"/>
      <c r="AE34" s="27"/>
      <c r="AF34" s="52"/>
      <c r="AG34" s="52"/>
      <c r="AH34" s="52"/>
      <c r="AI34" s="52"/>
      <c r="AJ34" s="52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  <c r="IX34" s="27"/>
      <c r="IY34" s="27"/>
      <c r="IZ34" s="27"/>
      <c r="JA34" s="27"/>
      <c r="JB34" s="27"/>
      <c r="JC34" s="27"/>
      <c r="JD34" s="27"/>
      <c r="JE34" s="27"/>
      <c r="JF34" s="27"/>
      <c r="JG34" s="27"/>
      <c r="JH34" s="27"/>
      <c r="JI34" s="27"/>
      <c r="JJ34" s="27"/>
      <c r="JK34" s="27"/>
      <c r="JL34" s="27"/>
      <c r="JM34" s="27"/>
      <c r="JN34" s="27"/>
      <c r="JO34" s="27"/>
      <c r="JP34" s="27"/>
      <c r="JQ34" s="27"/>
      <c r="JR34" s="27"/>
      <c r="JS34" s="27"/>
      <c r="JT34" s="27"/>
      <c r="JU34" s="27"/>
      <c r="JV34" s="27"/>
      <c r="JW34" s="27"/>
      <c r="JX34" s="27"/>
      <c r="JY34" s="27"/>
      <c r="JZ34" s="27"/>
      <c r="KA34" s="27"/>
      <c r="KB34" s="27"/>
      <c r="KC34" s="27"/>
      <c r="KD34" s="27"/>
      <c r="KE34" s="27"/>
      <c r="KF34" s="27"/>
      <c r="KG34" s="27"/>
      <c r="KH34" s="27"/>
      <c r="KI34" s="27"/>
      <c r="KJ34" s="27"/>
      <c r="KK34" s="27"/>
      <c r="KL34" s="27"/>
      <c r="KM34" s="27"/>
      <c r="KN34" s="27"/>
      <c r="KO34" s="27"/>
      <c r="KP34" s="27"/>
      <c r="KQ34" s="27"/>
      <c r="KR34" s="27"/>
      <c r="KS34" s="27"/>
      <c r="KT34" s="27"/>
      <c r="KU34" s="27"/>
      <c r="KV34" s="27"/>
      <c r="KW34" s="27"/>
      <c r="KX34" s="27"/>
      <c r="KY34" s="27"/>
      <c r="KZ34" s="27"/>
      <c r="LA34" s="27"/>
      <c r="LB34" s="27"/>
      <c r="LC34" s="27"/>
      <c r="LD34" s="27"/>
      <c r="LE34" s="27"/>
      <c r="LF34" s="27"/>
      <c r="LG34" s="27"/>
      <c r="LH34" s="27"/>
      <c r="LI34" s="27"/>
      <c r="LJ34" s="27"/>
      <c r="LK34" s="27"/>
      <c r="LL34" s="27"/>
      <c r="LM34" s="27"/>
      <c r="LN34" s="27"/>
      <c r="LO34" s="27"/>
      <c r="LP34" s="27"/>
      <c r="LQ34" s="27"/>
      <c r="LR34" s="27"/>
      <c r="LS34" s="27"/>
      <c r="LT34" s="27"/>
      <c r="LU34" s="27"/>
      <c r="LV34" s="27"/>
      <c r="LW34" s="27"/>
      <c r="LX34" s="27"/>
      <c r="LY34" s="27"/>
      <c r="LZ34" s="27"/>
      <c r="MA34" s="27"/>
      <c r="MB34" s="27"/>
      <c r="MC34" s="27"/>
      <c r="MD34" s="27"/>
      <c r="ME34" s="27"/>
      <c r="MF34" s="27"/>
      <c r="MG34" s="27"/>
      <c r="MH34" s="27"/>
      <c r="MI34" s="27"/>
      <c r="MJ34" s="27"/>
      <c r="MK34" s="27"/>
      <c r="ML34" s="27"/>
      <c r="MM34" s="27"/>
      <c r="MN34" s="27"/>
      <c r="MO34" s="27"/>
      <c r="MP34" s="27"/>
      <c r="MQ34" s="27"/>
      <c r="MR34" s="27"/>
      <c r="MS34" s="27"/>
      <c r="MT34" s="27"/>
      <c r="MU34" s="27"/>
      <c r="MV34" s="27"/>
      <c r="MW34" s="27"/>
      <c r="MX34" s="27"/>
      <c r="MY34" s="27"/>
      <c r="MZ34" s="27"/>
      <c r="NA34" s="27"/>
      <c r="NB34" s="27"/>
      <c r="NC34" s="27"/>
      <c r="ND34" s="27"/>
      <c r="NE34" s="27"/>
      <c r="NF34" s="27"/>
      <c r="NG34" s="27"/>
      <c r="NH34" s="27"/>
      <c r="NI34" s="27"/>
      <c r="NJ34" s="27"/>
      <c r="NK34" s="27"/>
      <c r="NL34" s="27"/>
      <c r="NM34" s="27"/>
      <c r="NN34" s="27"/>
      <c r="NO34" s="27"/>
      <c r="NP34" s="27"/>
      <c r="NQ34" s="27"/>
      <c r="NR34" s="27"/>
      <c r="NS34" s="27"/>
      <c r="NT34" s="27"/>
      <c r="NU34" s="27"/>
      <c r="NV34" s="27"/>
      <c r="NW34" s="27"/>
      <c r="NX34" s="27"/>
      <c r="NY34" s="27"/>
      <c r="NZ34" s="27"/>
      <c r="OA34" s="27"/>
      <c r="OB34" s="27"/>
      <c r="OC34" s="27"/>
      <c r="OD34" s="27"/>
      <c r="OE34" s="27"/>
      <c r="OF34" s="27"/>
      <c r="OG34" s="27"/>
      <c r="OH34" s="27"/>
      <c r="OI34" s="27"/>
      <c r="OJ34" s="27"/>
      <c r="OK34" s="27"/>
      <c r="OL34" s="27"/>
      <c r="OM34" s="27"/>
      <c r="ON34" s="27"/>
      <c r="OO34" s="27"/>
      <c r="OP34" s="27"/>
      <c r="OQ34" s="27"/>
      <c r="OR34" s="27"/>
      <c r="OS34" s="27"/>
      <c r="OT34" s="27"/>
      <c r="OU34" s="27"/>
      <c r="OV34" s="27"/>
      <c r="OW34" s="27"/>
      <c r="OX34" s="27"/>
      <c r="OY34" s="27"/>
      <c r="OZ34" s="27"/>
      <c r="PA34" s="27"/>
      <c r="PB34" s="27"/>
      <c r="PC34" s="27"/>
      <c r="PD34" s="27"/>
      <c r="PE34" s="27"/>
      <c r="PF34" s="27"/>
      <c r="PG34" s="27"/>
      <c r="PH34" s="27"/>
      <c r="PI34" s="27"/>
      <c r="PJ34" s="27"/>
      <c r="PK34" s="27"/>
      <c r="PL34" s="27"/>
      <c r="PM34" s="27"/>
      <c r="PN34" s="27"/>
      <c r="PO34" s="27"/>
      <c r="PP34" s="27"/>
      <c r="PQ34" s="27"/>
      <c r="PR34" s="27"/>
      <c r="PS34" s="27"/>
      <c r="PT34" s="27"/>
      <c r="PU34" s="27"/>
      <c r="PV34" s="27"/>
      <c r="PW34" s="27"/>
      <c r="PZ34" s="29"/>
      <c r="QA34" s="29"/>
      <c r="QB34" s="29"/>
      <c r="QC34" s="29"/>
      <c r="QD34" s="29"/>
      <c r="QE34" s="29"/>
      <c r="QF34" s="29"/>
      <c r="QG34" s="29"/>
      <c r="QH34" s="29"/>
      <c r="QI34" s="29"/>
      <c r="QJ34" s="29"/>
      <c r="QK34" s="29"/>
      <c r="QL34" s="29"/>
      <c r="QM34" s="29"/>
      <c r="QN34" s="29"/>
      <c r="QO34" s="29"/>
      <c r="QP34" s="29"/>
      <c r="QQ34" s="29"/>
      <c r="QR34" s="29"/>
      <c r="QS34" s="29"/>
      <c r="QT34" s="29"/>
      <c r="QU34" s="29"/>
      <c r="QV34" s="29"/>
      <c r="QW34" s="29"/>
      <c r="QX34" s="29"/>
      <c r="QY34" s="29"/>
      <c r="QZ34" s="29"/>
      <c r="RA34" s="29"/>
      <c r="RB34" s="29"/>
      <c r="RC34" s="29"/>
      <c r="RD34" s="29"/>
      <c r="RE34" s="29"/>
      <c r="RF34" s="29"/>
      <c r="RG34" s="29"/>
      <c r="RH34" s="29"/>
      <c r="RI34" s="29"/>
      <c r="RJ34" s="29"/>
      <c r="RK34" s="29"/>
      <c r="RL34" s="29"/>
      <c r="RM34" s="29"/>
      <c r="RN34" s="29"/>
      <c r="RO34" s="29"/>
      <c r="RP34" s="29"/>
      <c r="RQ34" s="29"/>
      <c r="RR34" s="29"/>
      <c r="RS34" s="29"/>
      <c r="RT34" s="29"/>
      <c r="RU34" s="29"/>
      <c r="RV34" s="29"/>
      <c r="RW34" s="29"/>
      <c r="RX34" s="29"/>
      <c r="RY34" s="29"/>
      <c r="RZ34" s="29"/>
      <c r="SA34" s="29"/>
      <c r="SB34" s="29"/>
      <c r="SC34" s="29"/>
      <c r="SD34" s="29"/>
      <c r="SE34" s="29"/>
      <c r="SF34" s="29"/>
      <c r="SG34" s="29"/>
      <c r="SH34" s="29"/>
      <c r="SI34" s="29"/>
      <c r="SJ34" s="29"/>
      <c r="SK34" s="29"/>
      <c r="SL34" s="29"/>
      <c r="SM34" s="29"/>
      <c r="SN34" s="29"/>
      <c r="SO34" s="29"/>
      <c r="SP34" s="29"/>
      <c r="SQ34" s="29"/>
      <c r="SR34" s="29"/>
      <c r="SS34" s="29"/>
      <c r="ST34" s="29"/>
      <c r="SU34" s="29"/>
      <c r="SV34" s="29"/>
      <c r="SW34" s="29"/>
      <c r="SX34" s="29"/>
      <c r="SY34" s="29"/>
      <c r="SZ34" s="29"/>
      <c r="TA34" s="29"/>
      <c r="TB34" s="29"/>
      <c r="TC34" s="29"/>
      <c r="TD34" s="29"/>
      <c r="TE34" s="29"/>
      <c r="TF34" s="29"/>
      <c r="TG34" s="29"/>
      <c r="TH34" s="29"/>
      <c r="TI34" s="29"/>
      <c r="TJ34" s="29"/>
      <c r="TK34" s="29"/>
      <c r="TL34" s="29"/>
      <c r="TM34" s="29"/>
      <c r="TN34" s="29"/>
      <c r="TO34" s="29"/>
      <c r="TP34" s="29"/>
      <c r="TQ34" s="29"/>
      <c r="TR34" s="29"/>
      <c r="TS34" s="29"/>
      <c r="TT34" s="29"/>
      <c r="TU34" s="29"/>
      <c r="TV34" s="29"/>
      <c r="TW34" s="29"/>
      <c r="TX34" s="29"/>
      <c r="TY34" s="29"/>
      <c r="TZ34" s="29"/>
      <c r="UA34" s="29"/>
      <c r="UB34" s="29"/>
      <c r="UC34" s="29"/>
      <c r="UD34" s="29"/>
      <c r="UE34" s="29"/>
      <c r="UF34" s="29"/>
      <c r="UG34" s="29"/>
      <c r="UH34" s="29"/>
      <c r="UI34" s="29"/>
      <c r="UJ34" s="29"/>
      <c r="UK34" s="29"/>
      <c r="UL34" s="29"/>
      <c r="UM34" s="29"/>
      <c r="UN34" s="29"/>
      <c r="UO34" s="29"/>
      <c r="UP34" s="29"/>
      <c r="UQ34" s="29"/>
      <c r="UR34" s="29"/>
      <c r="US34" s="29"/>
      <c r="UT34" s="29"/>
      <c r="UU34" s="29"/>
      <c r="UV34" s="29"/>
      <c r="UW34" s="29"/>
      <c r="UX34" s="29"/>
      <c r="UY34" s="29"/>
      <c r="UZ34" s="29"/>
      <c r="VA34" s="29"/>
      <c r="VB34" s="29"/>
      <c r="VC34" s="29"/>
      <c r="VD34" s="29"/>
      <c r="VE34" s="29"/>
      <c r="VF34" s="29"/>
      <c r="VG34" s="29"/>
      <c r="VH34" s="29"/>
      <c r="VI34" s="29"/>
      <c r="VJ34" s="29"/>
      <c r="VK34" s="29"/>
      <c r="VL34" s="29"/>
      <c r="VM34" s="29"/>
      <c r="VN34" s="29"/>
      <c r="VO34" s="29"/>
      <c r="VP34" s="29"/>
      <c r="VQ34" s="29"/>
      <c r="VR34" s="29"/>
      <c r="VS34" s="29"/>
      <c r="VT34" s="29"/>
      <c r="VU34" s="29"/>
      <c r="VV34" s="29"/>
      <c r="VW34" s="29"/>
      <c r="VX34" s="29"/>
      <c r="VY34" s="29"/>
      <c r="VZ34" s="29"/>
      <c r="WA34" s="29"/>
      <c r="WB34" s="29"/>
      <c r="WC34" s="29"/>
      <c r="WD34" s="29"/>
      <c r="WE34" s="29"/>
      <c r="WF34" s="29"/>
      <c r="WG34" s="29"/>
      <c r="WH34" s="29"/>
      <c r="WI34" s="29"/>
      <c r="WJ34" s="29"/>
      <c r="WK34" s="29"/>
      <c r="WL34" s="29"/>
      <c r="WM34" s="29"/>
      <c r="WN34" s="29"/>
      <c r="WO34" s="29"/>
      <c r="WP34" s="29"/>
      <c r="WQ34" s="29"/>
      <c r="WR34" s="29"/>
      <c r="WS34" s="29"/>
      <c r="WT34" s="29"/>
      <c r="WU34" s="29"/>
      <c r="WV34" s="29"/>
      <c r="WW34" s="29"/>
      <c r="WX34" s="29"/>
      <c r="WY34" s="29"/>
      <c r="WZ34" s="29"/>
      <c r="XA34" s="29"/>
      <c r="XB34" s="29"/>
      <c r="XC34" s="29"/>
      <c r="XD34" s="29"/>
      <c r="XE34" s="29"/>
      <c r="XF34" s="29"/>
      <c r="XG34" s="29"/>
      <c r="XH34" s="29"/>
      <c r="XI34" s="29"/>
      <c r="XJ34" s="29"/>
      <c r="XK34" s="29"/>
      <c r="XL34" s="29"/>
      <c r="XM34" s="29"/>
      <c r="XN34" s="29"/>
      <c r="XO34" s="29"/>
      <c r="XP34" s="29"/>
      <c r="XQ34" s="29"/>
      <c r="XR34" s="29"/>
      <c r="XS34" s="29"/>
      <c r="XT34" s="29"/>
      <c r="XU34" s="29"/>
      <c r="XV34" s="29"/>
      <c r="XW34" s="29"/>
      <c r="XX34" s="29"/>
      <c r="XY34" s="29"/>
    </row>
    <row r="35" spans="3:649" s="53" customFormat="1" ht="14.45" outlineLevel="1">
      <c r="C35" s="30" t="s">
        <v>26</v>
      </c>
      <c r="D35" s="28" t="s">
        <v>70</v>
      </c>
      <c r="E35" s="22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>
        <f t="shared" si="0"/>
        <v>0</v>
      </c>
      <c r="R35" s="51"/>
      <c r="S35" s="28" t="s">
        <v>71</v>
      </c>
      <c r="T35" s="31"/>
      <c r="U35" s="169"/>
      <c r="V35" s="170" t="e">
        <f>IF(#REF!="","Other Major Projects","Data Centre")</f>
        <v>#REF!</v>
      </c>
      <c r="W35" s="168"/>
      <c r="X35" s="28">
        <f>Table4232[[#This Row],[Post 2033]]+Table4232[[#This Row],[Total]]</f>
        <v>0</v>
      </c>
      <c r="Y35" s="28" t="s">
        <v>50</v>
      </c>
      <c r="Z35" s="52"/>
      <c r="AA35" s="27"/>
      <c r="AB35" s="27"/>
      <c r="AC35" s="27"/>
      <c r="AD35" s="27"/>
      <c r="AE35" s="27"/>
      <c r="AF35" s="52"/>
      <c r="AG35" s="52"/>
      <c r="AH35" s="52"/>
      <c r="AI35" s="52"/>
      <c r="AJ35" s="52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7"/>
      <c r="JD35" s="27"/>
      <c r="JE35" s="27"/>
      <c r="JF35" s="27"/>
      <c r="JG35" s="27"/>
      <c r="JH35" s="27"/>
      <c r="JI35" s="27"/>
      <c r="JJ35" s="27"/>
      <c r="JK35" s="27"/>
      <c r="JL35" s="27"/>
      <c r="JM35" s="27"/>
      <c r="JN35" s="27"/>
      <c r="JO35" s="27"/>
      <c r="JP35" s="27"/>
      <c r="JQ35" s="27"/>
      <c r="JR35" s="27"/>
      <c r="JS35" s="27"/>
      <c r="JT35" s="27"/>
      <c r="JU35" s="27"/>
      <c r="JV35" s="27"/>
      <c r="JW35" s="27"/>
      <c r="JX35" s="27"/>
      <c r="JY35" s="27"/>
      <c r="JZ35" s="27"/>
      <c r="KA35" s="27"/>
      <c r="KB35" s="27"/>
      <c r="KC35" s="27"/>
      <c r="KD35" s="27"/>
      <c r="KE35" s="27"/>
      <c r="KF35" s="27"/>
      <c r="KG35" s="27"/>
      <c r="KH35" s="27"/>
      <c r="KI35" s="27"/>
      <c r="KJ35" s="27"/>
      <c r="KK35" s="27"/>
      <c r="KL35" s="27"/>
      <c r="KM35" s="27"/>
      <c r="KN35" s="27"/>
      <c r="KO35" s="27"/>
      <c r="KP35" s="27"/>
      <c r="KQ35" s="27"/>
      <c r="KR35" s="27"/>
      <c r="KS35" s="27"/>
      <c r="KT35" s="27"/>
      <c r="KU35" s="27"/>
      <c r="KV35" s="27"/>
      <c r="KW35" s="27"/>
      <c r="KX35" s="27"/>
      <c r="KY35" s="27"/>
      <c r="KZ35" s="27"/>
      <c r="LA35" s="27"/>
      <c r="LB35" s="27"/>
      <c r="LC35" s="27"/>
      <c r="LD35" s="27"/>
      <c r="LE35" s="27"/>
      <c r="LF35" s="27"/>
      <c r="LG35" s="27"/>
      <c r="LH35" s="27"/>
      <c r="LI35" s="27"/>
      <c r="LJ35" s="27"/>
      <c r="LK35" s="27"/>
      <c r="LL35" s="27"/>
      <c r="LM35" s="27"/>
      <c r="LN35" s="27"/>
      <c r="LO35" s="27"/>
      <c r="LP35" s="27"/>
      <c r="LQ35" s="27"/>
      <c r="LR35" s="27"/>
      <c r="LS35" s="27"/>
      <c r="LT35" s="27"/>
      <c r="LU35" s="27"/>
      <c r="LV35" s="27"/>
      <c r="LW35" s="27"/>
      <c r="LX35" s="27"/>
      <c r="LY35" s="27"/>
      <c r="LZ35" s="27"/>
      <c r="MA35" s="27"/>
      <c r="MB35" s="27"/>
      <c r="MC35" s="27"/>
      <c r="MD35" s="27"/>
      <c r="ME35" s="27"/>
      <c r="MF35" s="27"/>
      <c r="MG35" s="27"/>
      <c r="MH35" s="27"/>
      <c r="MI35" s="27"/>
      <c r="MJ35" s="27"/>
      <c r="MK35" s="27"/>
      <c r="ML35" s="27"/>
      <c r="MM35" s="27"/>
      <c r="MN35" s="27"/>
      <c r="MO35" s="27"/>
      <c r="MP35" s="27"/>
      <c r="MQ35" s="27"/>
      <c r="MR35" s="27"/>
      <c r="MS35" s="27"/>
      <c r="MT35" s="27"/>
      <c r="MU35" s="27"/>
      <c r="MV35" s="27"/>
      <c r="MW35" s="27"/>
      <c r="MX35" s="27"/>
      <c r="MY35" s="27"/>
      <c r="MZ35" s="27"/>
      <c r="NA35" s="27"/>
      <c r="NB35" s="27"/>
      <c r="NC35" s="27"/>
      <c r="ND35" s="27"/>
      <c r="NE35" s="27"/>
      <c r="NF35" s="27"/>
      <c r="NG35" s="27"/>
      <c r="NH35" s="27"/>
      <c r="NI35" s="27"/>
      <c r="NJ35" s="27"/>
      <c r="NK35" s="27"/>
      <c r="NL35" s="27"/>
      <c r="NM35" s="27"/>
      <c r="NN35" s="27"/>
      <c r="NO35" s="27"/>
      <c r="NP35" s="27"/>
      <c r="NQ35" s="27"/>
      <c r="NR35" s="27"/>
      <c r="NS35" s="27"/>
      <c r="NT35" s="27"/>
      <c r="NU35" s="27"/>
      <c r="NV35" s="27"/>
      <c r="NW35" s="27"/>
      <c r="NX35" s="27"/>
      <c r="NY35" s="27"/>
      <c r="NZ35" s="27"/>
      <c r="OA35" s="27"/>
      <c r="OB35" s="27"/>
      <c r="OC35" s="27"/>
      <c r="OD35" s="27"/>
      <c r="OE35" s="27"/>
      <c r="OF35" s="27"/>
      <c r="OG35" s="27"/>
      <c r="OH35" s="27"/>
      <c r="OI35" s="27"/>
      <c r="OJ35" s="27"/>
      <c r="OK35" s="27"/>
      <c r="OL35" s="27"/>
      <c r="OM35" s="27"/>
      <c r="ON35" s="27"/>
      <c r="OO35" s="27"/>
      <c r="OP35" s="27"/>
      <c r="OQ35" s="27"/>
      <c r="OR35" s="27"/>
      <c r="OS35" s="27"/>
      <c r="OT35" s="27"/>
      <c r="OU35" s="27"/>
      <c r="OV35" s="27"/>
      <c r="OW35" s="27"/>
      <c r="OX35" s="27"/>
      <c r="OY35" s="27"/>
      <c r="OZ35" s="27"/>
      <c r="PA35" s="27"/>
      <c r="PB35" s="27"/>
      <c r="PC35" s="27"/>
      <c r="PD35" s="27"/>
      <c r="PE35" s="27"/>
      <c r="PF35" s="27"/>
      <c r="PG35" s="27"/>
      <c r="PH35" s="27"/>
      <c r="PI35" s="27"/>
      <c r="PJ35" s="27"/>
      <c r="PK35" s="27"/>
      <c r="PL35" s="27"/>
      <c r="PM35" s="27"/>
      <c r="PN35" s="27"/>
      <c r="PO35" s="27"/>
      <c r="PP35" s="27"/>
      <c r="PQ35" s="27"/>
      <c r="PR35" s="27"/>
      <c r="PS35" s="27"/>
      <c r="PT35" s="27"/>
      <c r="PU35" s="27"/>
      <c r="PV35" s="27"/>
      <c r="PW35" s="27"/>
      <c r="PZ35" s="29"/>
      <c r="QA35" s="29"/>
      <c r="QB35" s="29"/>
      <c r="QC35" s="29"/>
      <c r="QD35" s="29"/>
      <c r="QE35" s="29"/>
      <c r="QF35" s="29"/>
      <c r="QG35" s="29"/>
      <c r="QH35" s="29"/>
      <c r="QI35" s="29"/>
      <c r="QJ35" s="29"/>
      <c r="QK35" s="29"/>
      <c r="QL35" s="29"/>
      <c r="QM35" s="29"/>
      <c r="QN35" s="29"/>
      <c r="QO35" s="29"/>
      <c r="QP35" s="29"/>
      <c r="QQ35" s="29"/>
      <c r="QR35" s="29"/>
      <c r="QS35" s="29"/>
      <c r="QT35" s="29"/>
      <c r="QU35" s="29"/>
      <c r="QV35" s="29"/>
      <c r="QW35" s="29"/>
      <c r="QX35" s="29"/>
      <c r="QY35" s="29"/>
      <c r="QZ35" s="29"/>
      <c r="RA35" s="29"/>
      <c r="RB35" s="29"/>
      <c r="RC35" s="29"/>
      <c r="RD35" s="29"/>
      <c r="RE35" s="29"/>
      <c r="RF35" s="29"/>
      <c r="RG35" s="29"/>
      <c r="RH35" s="29"/>
      <c r="RI35" s="29"/>
      <c r="RJ35" s="29"/>
      <c r="RK35" s="29"/>
      <c r="RL35" s="29"/>
      <c r="RM35" s="29"/>
      <c r="RN35" s="29"/>
      <c r="RO35" s="29"/>
      <c r="RP35" s="29"/>
      <c r="RQ35" s="29"/>
      <c r="RR35" s="29"/>
      <c r="RS35" s="29"/>
      <c r="RT35" s="29"/>
      <c r="RU35" s="29"/>
      <c r="RV35" s="29"/>
      <c r="RW35" s="29"/>
      <c r="RX35" s="29"/>
      <c r="RY35" s="29"/>
      <c r="RZ35" s="29"/>
      <c r="SA35" s="29"/>
      <c r="SB35" s="29"/>
      <c r="SC35" s="29"/>
      <c r="SD35" s="29"/>
      <c r="SE35" s="29"/>
      <c r="SF35" s="29"/>
      <c r="SG35" s="29"/>
      <c r="SH35" s="29"/>
      <c r="SI35" s="29"/>
      <c r="SJ35" s="29"/>
      <c r="SK35" s="29"/>
      <c r="SL35" s="29"/>
      <c r="SM35" s="29"/>
      <c r="SN35" s="29"/>
      <c r="SO35" s="29"/>
      <c r="SP35" s="29"/>
      <c r="SQ35" s="29"/>
      <c r="SR35" s="29"/>
      <c r="SS35" s="29"/>
      <c r="ST35" s="29"/>
      <c r="SU35" s="29"/>
      <c r="SV35" s="29"/>
      <c r="SW35" s="29"/>
      <c r="SX35" s="29"/>
      <c r="SY35" s="29"/>
      <c r="SZ35" s="29"/>
      <c r="TA35" s="29"/>
      <c r="TB35" s="29"/>
      <c r="TC35" s="29"/>
      <c r="TD35" s="29"/>
      <c r="TE35" s="29"/>
      <c r="TF35" s="29"/>
      <c r="TG35" s="29"/>
      <c r="TH35" s="29"/>
      <c r="TI35" s="29"/>
      <c r="TJ35" s="29"/>
      <c r="TK35" s="29"/>
      <c r="TL35" s="29"/>
      <c r="TM35" s="29"/>
      <c r="TN35" s="29"/>
      <c r="TO35" s="29"/>
      <c r="TP35" s="29"/>
      <c r="TQ35" s="29"/>
      <c r="TR35" s="29"/>
      <c r="TS35" s="29"/>
      <c r="TT35" s="29"/>
      <c r="TU35" s="29"/>
      <c r="TV35" s="29"/>
      <c r="TW35" s="29"/>
      <c r="TX35" s="29"/>
      <c r="TY35" s="29"/>
      <c r="TZ35" s="29"/>
      <c r="UA35" s="29"/>
      <c r="UB35" s="29"/>
      <c r="UC35" s="29"/>
      <c r="UD35" s="29"/>
      <c r="UE35" s="29"/>
      <c r="UF35" s="29"/>
      <c r="UG35" s="29"/>
      <c r="UH35" s="29"/>
      <c r="UI35" s="29"/>
      <c r="UJ35" s="29"/>
      <c r="UK35" s="29"/>
      <c r="UL35" s="29"/>
      <c r="UM35" s="29"/>
      <c r="UN35" s="29"/>
      <c r="UO35" s="29"/>
      <c r="UP35" s="29"/>
      <c r="UQ35" s="29"/>
      <c r="UR35" s="29"/>
      <c r="US35" s="29"/>
      <c r="UT35" s="29"/>
      <c r="UU35" s="29"/>
      <c r="UV35" s="29"/>
      <c r="UW35" s="29"/>
      <c r="UX35" s="29"/>
      <c r="UY35" s="29"/>
      <c r="UZ35" s="29"/>
      <c r="VA35" s="29"/>
      <c r="VB35" s="29"/>
      <c r="VC35" s="29"/>
      <c r="VD35" s="29"/>
      <c r="VE35" s="29"/>
      <c r="VF35" s="29"/>
      <c r="VG35" s="29"/>
      <c r="VH35" s="29"/>
      <c r="VI35" s="29"/>
      <c r="VJ35" s="29"/>
      <c r="VK35" s="29"/>
      <c r="VL35" s="29"/>
      <c r="VM35" s="29"/>
      <c r="VN35" s="29"/>
      <c r="VO35" s="29"/>
      <c r="VP35" s="29"/>
      <c r="VQ35" s="29"/>
      <c r="VR35" s="29"/>
      <c r="VS35" s="29"/>
      <c r="VT35" s="29"/>
      <c r="VU35" s="29"/>
      <c r="VV35" s="29"/>
      <c r="VW35" s="29"/>
      <c r="VX35" s="29"/>
      <c r="VY35" s="29"/>
      <c r="VZ35" s="29"/>
      <c r="WA35" s="29"/>
      <c r="WB35" s="29"/>
      <c r="WC35" s="29"/>
      <c r="WD35" s="29"/>
      <c r="WE35" s="29"/>
      <c r="WF35" s="29"/>
      <c r="WG35" s="29"/>
      <c r="WH35" s="29"/>
      <c r="WI35" s="29"/>
      <c r="WJ35" s="29"/>
      <c r="WK35" s="29"/>
      <c r="WL35" s="29"/>
      <c r="WM35" s="29"/>
      <c r="WN35" s="29"/>
      <c r="WO35" s="29"/>
      <c r="WP35" s="29"/>
      <c r="WQ35" s="29"/>
      <c r="WR35" s="29"/>
      <c r="WS35" s="29"/>
      <c r="WT35" s="29"/>
      <c r="WU35" s="29"/>
      <c r="WV35" s="29"/>
      <c r="WW35" s="29"/>
      <c r="WX35" s="29"/>
      <c r="WY35" s="29"/>
      <c r="WZ35" s="29"/>
      <c r="XA35" s="29"/>
      <c r="XB35" s="29"/>
      <c r="XC35" s="29"/>
      <c r="XD35" s="29"/>
      <c r="XE35" s="29"/>
      <c r="XF35" s="29"/>
      <c r="XG35" s="29"/>
      <c r="XH35" s="29"/>
      <c r="XI35" s="29"/>
      <c r="XJ35" s="29"/>
      <c r="XK35" s="29"/>
      <c r="XL35" s="29"/>
      <c r="XM35" s="29"/>
      <c r="XN35" s="29"/>
      <c r="XO35" s="29"/>
      <c r="XP35" s="29"/>
      <c r="XQ35" s="29"/>
      <c r="XR35" s="29"/>
      <c r="XS35" s="29"/>
      <c r="XT35" s="29"/>
      <c r="XU35" s="29"/>
      <c r="XV35" s="29"/>
      <c r="XW35" s="29"/>
      <c r="XX35" s="29"/>
      <c r="XY35" s="29"/>
    </row>
    <row r="36" spans="3:649" s="157" customFormat="1" ht="14.45" outlineLevel="1">
      <c r="C36" s="151" t="s">
        <v>26</v>
      </c>
      <c r="D36" s="152" t="s">
        <v>72</v>
      </c>
      <c r="E36" s="224"/>
      <c r="F36" s="154"/>
      <c r="G36" s="154"/>
      <c r="H36" s="154"/>
      <c r="I36" s="154"/>
      <c r="J36" s="51"/>
      <c r="K36" s="154">
        <v>10</v>
      </c>
      <c r="L36" s="154">
        <v>13.7</v>
      </c>
      <c r="M36" s="154">
        <v>18.399999999999999</v>
      </c>
      <c r="N36" s="154">
        <v>23</v>
      </c>
      <c r="O36" s="154">
        <v>9.9</v>
      </c>
      <c r="P36" s="154"/>
      <c r="Q36" s="154">
        <f t="shared" si="0"/>
        <v>75</v>
      </c>
      <c r="R36" s="154">
        <v>0</v>
      </c>
      <c r="S36" s="152" t="s">
        <v>28</v>
      </c>
      <c r="T36" s="153"/>
      <c r="U36" s="171"/>
      <c r="V36" s="172" t="e">
        <f>IF(#REF!="","Other Major Projects","Data Centre")</f>
        <v>#REF!</v>
      </c>
      <c r="W36" s="173"/>
      <c r="X36" s="152">
        <f>Table4232[[#This Row],[Post 2033]]+Table4232[[#This Row],[Total]]</f>
        <v>75</v>
      </c>
      <c r="Y36" s="152" t="s">
        <v>50</v>
      </c>
      <c r="Z36" s="156"/>
      <c r="AA36" s="155"/>
      <c r="AB36" s="155"/>
      <c r="AC36" s="155"/>
      <c r="AD36" s="155"/>
      <c r="AE36" s="155"/>
      <c r="AF36" s="156"/>
      <c r="AG36" s="156"/>
      <c r="AH36" s="156"/>
      <c r="AI36" s="156"/>
      <c r="AJ36" s="156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  <c r="GS36" s="155"/>
      <c r="GT36" s="155"/>
      <c r="GU36" s="155"/>
      <c r="GV36" s="155"/>
      <c r="GW36" s="155"/>
      <c r="GX36" s="155"/>
      <c r="GY36" s="155"/>
      <c r="GZ36" s="155"/>
      <c r="HA36" s="155"/>
      <c r="HB36" s="155"/>
      <c r="HC36" s="155"/>
      <c r="HD36" s="155"/>
      <c r="HE36" s="155"/>
      <c r="HF36" s="155"/>
      <c r="HG36" s="155"/>
      <c r="HH36" s="155"/>
      <c r="HI36" s="155"/>
      <c r="HJ36" s="155"/>
      <c r="HK36" s="155"/>
      <c r="HL36" s="155"/>
      <c r="HM36" s="155"/>
      <c r="HN36" s="155"/>
      <c r="HO36" s="155"/>
      <c r="HP36" s="155"/>
      <c r="HQ36" s="155"/>
      <c r="HR36" s="155"/>
      <c r="HS36" s="155"/>
      <c r="HT36" s="155"/>
      <c r="HU36" s="155"/>
      <c r="HX36" s="155"/>
      <c r="HY36" s="155"/>
      <c r="HZ36" s="155"/>
      <c r="IA36" s="155"/>
      <c r="IB36" s="155"/>
      <c r="IC36" s="155"/>
      <c r="ID36" s="155"/>
      <c r="IE36" s="155"/>
      <c r="IF36" s="155"/>
      <c r="IG36" s="155"/>
      <c r="IH36" s="155"/>
      <c r="II36" s="155"/>
      <c r="IJ36" s="155"/>
      <c r="IK36" s="155"/>
      <c r="IL36" s="155"/>
      <c r="IM36" s="155"/>
      <c r="IN36" s="155"/>
      <c r="IO36" s="155"/>
      <c r="IP36" s="155"/>
      <c r="IQ36" s="155"/>
      <c r="IR36" s="155"/>
      <c r="IS36" s="155"/>
      <c r="IT36" s="155"/>
      <c r="IU36" s="155"/>
      <c r="IV36" s="155"/>
      <c r="IW36" s="155"/>
      <c r="IX36" s="155"/>
      <c r="IY36" s="155"/>
      <c r="IZ36" s="155"/>
      <c r="JA36" s="155"/>
      <c r="JB36" s="155"/>
      <c r="JC36" s="155"/>
      <c r="JD36" s="155"/>
      <c r="JE36" s="155"/>
      <c r="JF36" s="155"/>
      <c r="JG36" s="155"/>
      <c r="JH36" s="155"/>
      <c r="JI36" s="155"/>
      <c r="JJ36" s="155"/>
      <c r="JK36" s="155"/>
      <c r="JL36" s="155"/>
      <c r="JM36" s="155"/>
      <c r="JN36" s="155"/>
      <c r="JO36" s="155"/>
      <c r="JP36" s="155"/>
      <c r="JQ36" s="155"/>
      <c r="JR36" s="155"/>
      <c r="JS36" s="155"/>
      <c r="JT36" s="155"/>
      <c r="JU36" s="155"/>
      <c r="JV36" s="155"/>
      <c r="JW36" s="155"/>
      <c r="JX36" s="155"/>
      <c r="JY36" s="155"/>
      <c r="JZ36" s="155"/>
      <c r="KA36" s="155"/>
      <c r="KB36" s="155"/>
      <c r="KC36" s="155"/>
      <c r="KD36" s="155"/>
      <c r="KE36" s="155"/>
      <c r="KF36" s="155"/>
      <c r="KG36" s="155"/>
      <c r="KH36" s="155"/>
      <c r="KI36" s="155"/>
      <c r="KJ36" s="155"/>
      <c r="KK36" s="155"/>
      <c r="KL36" s="155"/>
      <c r="KM36" s="155"/>
      <c r="KN36" s="155"/>
      <c r="KO36" s="155"/>
      <c r="KP36" s="155"/>
      <c r="KQ36" s="155"/>
      <c r="KR36" s="155"/>
      <c r="KS36" s="155"/>
      <c r="KT36" s="155"/>
      <c r="KU36" s="155"/>
      <c r="KV36" s="155"/>
      <c r="KW36" s="155"/>
      <c r="KX36" s="155"/>
      <c r="KY36" s="155"/>
      <c r="KZ36" s="155"/>
      <c r="LA36" s="155"/>
      <c r="LB36" s="155"/>
      <c r="LC36" s="155"/>
      <c r="LD36" s="155"/>
      <c r="LE36" s="155"/>
      <c r="LF36" s="155"/>
      <c r="LG36" s="155"/>
      <c r="LH36" s="155"/>
      <c r="LI36" s="155"/>
      <c r="LJ36" s="155"/>
      <c r="LK36" s="155"/>
      <c r="LL36" s="155"/>
      <c r="LM36" s="155"/>
      <c r="LN36" s="155"/>
      <c r="LO36" s="155"/>
      <c r="LP36" s="155"/>
      <c r="LQ36" s="155"/>
      <c r="LR36" s="155"/>
      <c r="LS36" s="155"/>
      <c r="LT36" s="155"/>
      <c r="LU36" s="155"/>
      <c r="LV36" s="155"/>
      <c r="LW36" s="155"/>
      <c r="LX36" s="155"/>
      <c r="LY36" s="155"/>
      <c r="LZ36" s="155"/>
      <c r="MA36" s="155"/>
      <c r="MB36" s="155"/>
      <c r="MC36" s="155"/>
      <c r="MD36" s="155"/>
      <c r="ME36" s="155"/>
      <c r="MF36" s="155"/>
      <c r="MG36" s="155"/>
      <c r="MH36" s="155"/>
      <c r="MI36" s="155"/>
      <c r="MJ36" s="155"/>
      <c r="MK36" s="155"/>
      <c r="ML36" s="155"/>
      <c r="MM36" s="155"/>
      <c r="MN36" s="155"/>
      <c r="MO36" s="155"/>
      <c r="MP36" s="155"/>
      <c r="MQ36" s="155"/>
      <c r="MR36" s="155"/>
      <c r="MS36" s="155"/>
      <c r="MT36" s="155"/>
      <c r="MU36" s="155"/>
      <c r="MV36" s="155"/>
      <c r="MW36" s="155"/>
      <c r="MX36" s="155"/>
      <c r="MY36" s="155"/>
      <c r="MZ36" s="155"/>
      <c r="NA36" s="155"/>
      <c r="NB36" s="155"/>
      <c r="NC36" s="155"/>
      <c r="ND36" s="155"/>
      <c r="NE36" s="155"/>
      <c r="NF36" s="155"/>
      <c r="NG36" s="155"/>
      <c r="NH36" s="155"/>
      <c r="NI36" s="155"/>
      <c r="NJ36" s="155"/>
      <c r="NK36" s="155"/>
      <c r="NL36" s="155"/>
      <c r="NM36" s="155"/>
      <c r="NN36" s="155"/>
      <c r="NO36" s="155"/>
      <c r="NP36" s="155"/>
      <c r="NQ36" s="155"/>
      <c r="NR36" s="155"/>
      <c r="NS36" s="155"/>
      <c r="NT36" s="155"/>
      <c r="NU36" s="155"/>
      <c r="NV36" s="155"/>
      <c r="NW36" s="155"/>
      <c r="NX36" s="155"/>
      <c r="NY36" s="155"/>
      <c r="NZ36" s="155"/>
      <c r="OA36" s="155"/>
      <c r="OB36" s="155"/>
      <c r="OC36" s="155"/>
      <c r="OD36" s="155"/>
      <c r="OE36" s="155"/>
      <c r="OF36" s="155"/>
      <c r="OG36" s="155"/>
      <c r="OH36" s="155"/>
      <c r="OI36" s="155"/>
      <c r="OJ36" s="155"/>
      <c r="OK36" s="155"/>
      <c r="OL36" s="155"/>
      <c r="OM36" s="155"/>
      <c r="ON36" s="155"/>
      <c r="OO36" s="155"/>
      <c r="OP36" s="155"/>
      <c r="OQ36" s="155"/>
      <c r="OR36" s="155"/>
      <c r="OS36" s="155"/>
      <c r="OT36" s="155"/>
      <c r="OU36" s="155"/>
      <c r="OV36" s="155"/>
      <c r="OW36" s="155"/>
      <c r="OX36" s="155"/>
      <c r="OY36" s="155"/>
      <c r="OZ36" s="155"/>
      <c r="PA36" s="155"/>
      <c r="PB36" s="155"/>
      <c r="PC36" s="155"/>
      <c r="PD36" s="155"/>
      <c r="PE36" s="155"/>
      <c r="PF36" s="155"/>
      <c r="PG36" s="155"/>
      <c r="PH36" s="155"/>
      <c r="PI36" s="155"/>
      <c r="PJ36" s="155"/>
      <c r="PK36" s="155"/>
      <c r="PL36" s="155"/>
      <c r="PM36" s="155"/>
      <c r="PN36" s="155"/>
      <c r="PO36" s="155"/>
      <c r="PP36" s="155"/>
      <c r="PQ36" s="155"/>
      <c r="PR36" s="155"/>
      <c r="PS36" s="155"/>
      <c r="PT36" s="155"/>
      <c r="PU36" s="155"/>
      <c r="PV36" s="155"/>
      <c r="PW36" s="155"/>
      <c r="PZ36" s="158"/>
      <c r="QA36" s="158"/>
      <c r="QB36" s="158"/>
      <c r="QC36" s="158"/>
      <c r="QD36" s="158"/>
      <c r="QE36" s="158"/>
      <c r="QF36" s="158"/>
      <c r="QG36" s="158"/>
      <c r="QH36" s="158"/>
      <c r="QI36" s="158"/>
      <c r="QJ36" s="158"/>
      <c r="QK36" s="158"/>
      <c r="QL36" s="158"/>
      <c r="QM36" s="158"/>
      <c r="QN36" s="158"/>
      <c r="QO36" s="158"/>
      <c r="QP36" s="158"/>
      <c r="QQ36" s="158"/>
      <c r="QR36" s="158"/>
      <c r="QS36" s="158"/>
      <c r="QT36" s="158"/>
      <c r="QU36" s="158"/>
      <c r="QV36" s="158"/>
      <c r="QW36" s="158"/>
      <c r="QX36" s="158"/>
      <c r="QY36" s="158"/>
      <c r="QZ36" s="158"/>
      <c r="RA36" s="158"/>
      <c r="RB36" s="158"/>
      <c r="RC36" s="158"/>
      <c r="RD36" s="158"/>
      <c r="RE36" s="158"/>
      <c r="RF36" s="158"/>
      <c r="RG36" s="158"/>
      <c r="RH36" s="158"/>
      <c r="RI36" s="158"/>
      <c r="RJ36" s="158"/>
      <c r="RK36" s="158"/>
      <c r="RL36" s="158"/>
      <c r="RM36" s="158"/>
      <c r="RN36" s="158"/>
      <c r="RO36" s="158"/>
      <c r="RP36" s="158"/>
      <c r="RQ36" s="158"/>
      <c r="RR36" s="158"/>
      <c r="RS36" s="158"/>
      <c r="RT36" s="158"/>
      <c r="RU36" s="158"/>
      <c r="RV36" s="158"/>
      <c r="RW36" s="158"/>
      <c r="RX36" s="158"/>
      <c r="RY36" s="158"/>
      <c r="RZ36" s="158"/>
      <c r="SA36" s="158"/>
      <c r="SB36" s="158"/>
      <c r="SC36" s="158"/>
      <c r="SD36" s="158"/>
      <c r="SE36" s="158"/>
      <c r="SF36" s="158"/>
      <c r="SG36" s="158"/>
      <c r="SH36" s="158"/>
      <c r="SI36" s="158"/>
      <c r="SJ36" s="158"/>
      <c r="SK36" s="158"/>
      <c r="SL36" s="158"/>
      <c r="SM36" s="158"/>
      <c r="SN36" s="158"/>
      <c r="SO36" s="158"/>
      <c r="SP36" s="158"/>
      <c r="SQ36" s="158"/>
      <c r="SR36" s="158"/>
      <c r="SS36" s="158"/>
      <c r="ST36" s="158"/>
      <c r="SU36" s="158"/>
      <c r="SV36" s="158"/>
      <c r="SW36" s="158"/>
      <c r="SX36" s="158"/>
      <c r="SY36" s="158"/>
      <c r="SZ36" s="158"/>
      <c r="TA36" s="158"/>
      <c r="TB36" s="158"/>
      <c r="TC36" s="158"/>
      <c r="TD36" s="158"/>
      <c r="TE36" s="158"/>
      <c r="TF36" s="158"/>
      <c r="TG36" s="158"/>
      <c r="TH36" s="158"/>
      <c r="TI36" s="158"/>
      <c r="TJ36" s="158"/>
      <c r="TK36" s="158"/>
      <c r="TL36" s="158"/>
      <c r="TM36" s="158"/>
      <c r="TN36" s="158"/>
      <c r="TO36" s="158"/>
      <c r="TP36" s="158"/>
      <c r="TQ36" s="158"/>
      <c r="TR36" s="158"/>
      <c r="TS36" s="158"/>
      <c r="TT36" s="158"/>
      <c r="TU36" s="158"/>
      <c r="TV36" s="158"/>
      <c r="TW36" s="158"/>
      <c r="TX36" s="158"/>
      <c r="TY36" s="158"/>
      <c r="TZ36" s="158"/>
      <c r="UA36" s="158"/>
      <c r="UB36" s="158"/>
      <c r="UC36" s="158"/>
      <c r="UD36" s="158"/>
      <c r="UE36" s="158"/>
      <c r="UF36" s="158"/>
      <c r="UG36" s="158"/>
      <c r="UH36" s="158"/>
      <c r="UI36" s="158"/>
      <c r="UJ36" s="158"/>
      <c r="UK36" s="158"/>
      <c r="UL36" s="158"/>
      <c r="UM36" s="158"/>
      <c r="UN36" s="158"/>
      <c r="UO36" s="158"/>
      <c r="UP36" s="158"/>
      <c r="UQ36" s="158"/>
      <c r="UR36" s="158"/>
      <c r="US36" s="158"/>
      <c r="UT36" s="158"/>
      <c r="UU36" s="158"/>
      <c r="UV36" s="158"/>
      <c r="UW36" s="158"/>
      <c r="UX36" s="158"/>
      <c r="UY36" s="158"/>
      <c r="UZ36" s="158"/>
      <c r="VA36" s="158"/>
      <c r="VB36" s="158"/>
      <c r="VC36" s="158"/>
      <c r="VD36" s="158"/>
      <c r="VE36" s="158"/>
      <c r="VF36" s="158"/>
      <c r="VG36" s="158"/>
      <c r="VH36" s="158"/>
      <c r="VI36" s="158"/>
      <c r="VJ36" s="158"/>
      <c r="VK36" s="158"/>
      <c r="VL36" s="158"/>
      <c r="VM36" s="158"/>
      <c r="VN36" s="158"/>
      <c r="VO36" s="158"/>
      <c r="VP36" s="158"/>
      <c r="VQ36" s="158"/>
      <c r="VR36" s="158"/>
      <c r="VS36" s="158"/>
      <c r="VT36" s="158"/>
      <c r="VU36" s="158"/>
      <c r="VV36" s="158"/>
      <c r="VW36" s="158"/>
      <c r="VX36" s="158"/>
      <c r="VY36" s="158"/>
      <c r="VZ36" s="158"/>
      <c r="WA36" s="158"/>
      <c r="WB36" s="158"/>
      <c r="WC36" s="158"/>
      <c r="WD36" s="158"/>
      <c r="WE36" s="158"/>
      <c r="WF36" s="158"/>
      <c r="WG36" s="158"/>
      <c r="WH36" s="158"/>
      <c r="WI36" s="158"/>
      <c r="WJ36" s="158"/>
      <c r="WK36" s="158"/>
      <c r="WL36" s="158"/>
      <c r="WM36" s="158"/>
      <c r="WN36" s="158"/>
      <c r="WO36" s="158"/>
      <c r="WP36" s="158"/>
      <c r="WQ36" s="158"/>
      <c r="WR36" s="158"/>
      <c r="WS36" s="158"/>
      <c r="WT36" s="158"/>
      <c r="WU36" s="158"/>
      <c r="WV36" s="158"/>
      <c r="WW36" s="158"/>
      <c r="WX36" s="158"/>
      <c r="WY36" s="158"/>
      <c r="WZ36" s="158"/>
      <c r="XA36" s="158"/>
      <c r="XB36" s="158"/>
      <c r="XC36" s="158"/>
      <c r="XD36" s="158"/>
      <c r="XE36" s="158"/>
      <c r="XF36" s="158"/>
      <c r="XG36" s="158"/>
      <c r="XH36" s="158"/>
      <c r="XI36" s="158"/>
      <c r="XJ36" s="158"/>
      <c r="XK36" s="158"/>
      <c r="XL36" s="158"/>
      <c r="XM36" s="158"/>
      <c r="XN36" s="158"/>
      <c r="XO36" s="158"/>
      <c r="XP36" s="158"/>
      <c r="XQ36" s="158"/>
      <c r="XR36" s="158"/>
      <c r="XS36" s="158"/>
      <c r="XT36" s="158"/>
      <c r="XU36" s="158"/>
      <c r="XV36" s="158"/>
      <c r="XW36" s="158"/>
      <c r="XX36" s="158"/>
      <c r="XY36" s="158"/>
    </row>
    <row r="37" spans="3:649" s="53" customFormat="1" ht="14.45" outlineLevel="1">
      <c r="C37" s="151" t="s">
        <v>26</v>
      </c>
      <c r="D37" s="152" t="s">
        <v>73</v>
      </c>
      <c r="E37" s="224"/>
      <c r="F37" s="51"/>
      <c r="G37" s="51"/>
      <c r="H37" s="51"/>
      <c r="I37" s="51"/>
      <c r="J37" s="51"/>
      <c r="K37" s="51"/>
      <c r="L37" s="154">
        <v>17.550236466679692</v>
      </c>
      <c r="M37" s="154">
        <v>7.4564285714285745</v>
      </c>
      <c r="N37" s="154">
        <v>5.53714285714286</v>
      </c>
      <c r="O37" s="154">
        <v>16.532</v>
      </c>
      <c r="P37" s="154">
        <v>10.808571428571423</v>
      </c>
      <c r="Q37" s="154">
        <f>SUM(F37:P37)</f>
        <v>57.884379323822557</v>
      </c>
      <c r="R37" s="154">
        <f>150-Table4232[[#This Row],[Total]]</f>
        <v>92.115620676177443</v>
      </c>
      <c r="S37" s="176" t="s">
        <v>41</v>
      </c>
      <c r="T37" s="31"/>
      <c r="U37" s="175"/>
      <c r="V37" s="170" t="e">
        <f>IF(#REF!="","Other Major Projects","Data Centre")</f>
        <v>#REF!</v>
      </c>
      <c r="W37" s="168"/>
      <c r="X37" s="28">
        <f>Table4232[[#This Row],[Post 2033]]+Table4232[[#This Row],[Total]]</f>
        <v>150</v>
      </c>
      <c r="Y37" s="28" t="s">
        <v>50</v>
      </c>
      <c r="Z37" s="52"/>
      <c r="AA37" s="27"/>
      <c r="AB37" s="27"/>
      <c r="AC37" s="27"/>
      <c r="AD37" s="27"/>
      <c r="AE37" s="27"/>
      <c r="AF37" s="52"/>
      <c r="AG37" s="52"/>
      <c r="AH37" s="52"/>
      <c r="AI37" s="52"/>
      <c r="AJ37" s="52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7"/>
      <c r="JD37" s="27"/>
      <c r="JE37" s="27"/>
      <c r="JF37" s="27"/>
      <c r="JG37" s="27"/>
      <c r="JH37" s="27"/>
      <c r="JI37" s="27"/>
      <c r="JJ37" s="27"/>
      <c r="JK37" s="27"/>
      <c r="JL37" s="27"/>
      <c r="JM37" s="27"/>
      <c r="JN37" s="27"/>
      <c r="JO37" s="27"/>
      <c r="JP37" s="27"/>
      <c r="JQ37" s="27"/>
      <c r="JR37" s="27"/>
      <c r="JS37" s="27"/>
      <c r="JT37" s="27"/>
      <c r="JU37" s="27"/>
      <c r="JV37" s="27"/>
      <c r="JW37" s="27"/>
      <c r="JX37" s="27"/>
      <c r="JY37" s="27"/>
      <c r="JZ37" s="27"/>
      <c r="KA37" s="27"/>
      <c r="KB37" s="27"/>
      <c r="KC37" s="27"/>
      <c r="KD37" s="27"/>
      <c r="KE37" s="27"/>
      <c r="KF37" s="27"/>
      <c r="KG37" s="27"/>
      <c r="KH37" s="27"/>
      <c r="KI37" s="27"/>
      <c r="KJ37" s="27"/>
      <c r="KK37" s="27"/>
      <c r="KL37" s="27"/>
      <c r="KM37" s="27"/>
      <c r="KN37" s="27"/>
      <c r="KO37" s="27"/>
      <c r="KP37" s="27"/>
      <c r="KQ37" s="27"/>
      <c r="KR37" s="27"/>
      <c r="KS37" s="27"/>
      <c r="KT37" s="27"/>
      <c r="KU37" s="27"/>
      <c r="KV37" s="27"/>
      <c r="KW37" s="27"/>
      <c r="KX37" s="27"/>
      <c r="KY37" s="27"/>
      <c r="KZ37" s="27"/>
      <c r="LA37" s="27"/>
      <c r="LB37" s="27"/>
      <c r="LC37" s="27"/>
      <c r="LD37" s="27"/>
      <c r="LE37" s="27"/>
      <c r="LF37" s="27"/>
      <c r="LG37" s="27"/>
      <c r="LH37" s="27"/>
      <c r="LI37" s="27"/>
      <c r="LJ37" s="27"/>
      <c r="LK37" s="27"/>
      <c r="LL37" s="27"/>
      <c r="LM37" s="27"/>
      <c r="LN37" s="27"/>
      <c r="LO37" s="27"/>
      <c r="LP37" s="27"/>
      <c r="LQ37" s="27"/>
      <c r="LR37" s="27"/>
      <c r="LS37" s="27"/>
      <c r="LT37" s="27"/>
      <c r="LU37" s="27"/>
      <c r="LV37" s="27"/>
      <c r="LW37" s="27"/>
      <c r="LX37" s="27"/>
      <c r="LY37" s="27"/>
      <c r="LZ37" s="27"/>
      <c r="MA37" s="27"/>
      <c r="MB37" s="27"/>
      <c r="MC37" s="27"/>
      <c r="MD37" s="27"/>
      <c r="ME37" s="27"/>
      <c r="MF37" s="27"/>
      <c r="MG37" s="27"/>
      <c r="MH37" s="27"/>
      <c r="MI37" s="27"/>
      <c r="MJ37" s="27"/>
      <c r="MK37" s="27"/>
      <c r="ML37" s="27"/>
      <c r="MM37" s="27"/>
      <c r="MN37" s="27"/>
      <c r="MO37" s="27"/>
      <c r="MP37" s="27"/>
      <c r="MQ37" s="27"/>
      <c r="MR37" s="27"/>
      <c r="MS37" s="27"/>
      <c r="MT37" s="27"/>
      <c r="MU37" s="27"/>
      <c r="MV37" s="27"/>
      <c r="MW37" s="27"/>
      <c r="MX37" s="27"/>
      <c r="MY37" s="27"/>
      <c r="MZ37" s="27"/>
      <c r="NA37" s="27"/>
      <c r="NB37" s="27"/>
      <c r="NC37" s="27"/>
      <c r="ND37" s="27"/>
      <c r="NE37" s="27"/>
      <c r="NF37" s="27"/>
      <c r="NG37" s="27"/>
      <c r="NH37" s="27"/>
      <c r="NI37" s="27"/>
      <c r="NJ37" s="27"/>
      <c r="NK37" s="27"/>
      <c r="NL37" s="27"/>
      <c r="NM37" s="27"/>
      <c r="NN37" s="27"/>
      <c r="NO37" s="27"/>
      <c r="NP37" s="27"/>
      <c r="NQ37" s="27"/>
      <c r="NR37" s="27"/>
      <c r="NS37" s="27"/>
      <c r="NT37" s="27"/>
      <c r="NU37" s="27"/>
      <c r="NV37" s="27"/>
      <c r="NW37" s="27"/>
      <c r="NX37" s="27"/>
      <c r="NY37" s="27"/>
      <c r="NZ37" s="27"/>
      <c r="OA37" s="27"/>
      <c r="OB37" s="27"/>
      <c r="OC37" s="27"/>
      <c r="OD37" s="27"/>
      <c r="OE37" s="27"/>
      <c r="OF37" s="27"/>
      <c r="OG37" s="27"/>
      <c r="OH37" s="27"/>
      <c r="OI37" s="27"/>
      <c r="OJ37" s="27"/>
      <c r="OK37" s="27"/>
      <c r="OL37" s="27"/>
      <c r="OM37" s="27"/>
      <c r="ON37" s="27"/>
      <c r="OO37" s="27"/>
      <c r="OP37" s="27"/>
      <c r="OQ37" s="27"/>
      <c r="OR37" s="27"/>
      <c r="OS37" s="27"/>
      <c r="OT37" s="27"/>
      <c r="OU37" s="27"/>
      <c r="OV37" s="27"/>
      <c r="OW37" s="27"/>
      <c r="OX37" s="27"/>
      <c r="OY37" s="27"/>
      <c r="OZ37" s="27"/>
      <c r="PA37" s="27"/>
      <c r="PB37" s="27"/>
      <c r="PC37" s="27"/>
      <c r="PD37" s="27"/>
      <c r="PE37" s="27"/>
      <c r="PF37" s="27"/>
      <c r="PG37" s="27"/>
      <c r="PH37" s="27"/>
      <c r="PI37" s="27"/>
      <c r="PJ37" s="27"/>
      <c r="PK37" s="27"/>
      <c r="PL37" s="27"/>
      <c r="PM37" s="27"/>
      <c r="PN37" s="27"/>
      <c r="PO37" s="27"/>
      <c r="PP37" s="27"/>
      <c r="PQ37" s="27"/>
      <c r="PR37" s="27"/>
      <c r="PS37" s="27"/>
      <c r="PT37" s="27"/>
      <c r="PU37" s="27"/>
      <c r="PV37" s="27"/>
      <c r="PW37" s="27"/>
      <c r="PZ37" s="29"/>
      <c r="QA37" s="29"/>
      <c r="QB37" s="29"/>
      <c r="QC37" s="29"/>
      <c r="QD37" s="29"/>
      <c r="QE37" s="29"/>
      <c r="QF37" s="29"/>
      <c r="QG37" s="29"/>
      <c r="QH37" s="29"/>
      <c r="QI37" s="29"/>
      <c r="QJ37" s="29"/>
      <c r="QK37" s="29"/>
      <c r="QL37" s="29"/>
      <c r="QM37" s="29"/>
      <c r="QN37" s="29"/>
      <c r="QO37" s="29"/>
      <c r="QP37" s="29"/>
      <c r="QQ37" s="29"/>
      <c r="QR37" s="29"/>
      <c r="QS37" s="29"/>
      <c r="QT37" s="29"/>
      <c r="QU37" s="29"/>
      <c r="QV37" s="29"/>
      <c r="QW37" s="29"/>
      <c r="QX37" s="29"/>
      <c r="QY37" s="29"/>
      <c r="QZ37" s="29"/>
      <c r="RA37" s="29"/>
      <c r="RB37" s="29"/>
      <c r="RC37" s="29"/>
      <c r="RD37" s="29"/>
      <c r="RE37" s="29"/>
      <c r="RF37" s="29"/>
      <c r="RG37" s="29"/>
      <c r="RH37" s="29"/>
      <c r="RI37" s="29"/>
      <c r="RJ37" s="29"/>
      <c r="RK37" s="29"/>
      <c r="RL37" s="29"/>
      <c r="RM37" s="29"/>
      <c r="RN37" s="29"/>
      <c r="RO37" s="29"/>
      <c r="RP37" s="29"/>
      <c r="RQ37" s="29"/>
      <c r="RR37" s="29"/>
      <c r="RS37" s="29"/>
      <c r="RT37" s="29"/>
      <c r="RU37" s="29"/>
      <c r="RV37" s="29"/>
      <c r="RW37" s="29"/>
      <c r="RX37" s="29"/>
      <c r="RY37" s="29"/>
      <c r="RZ37" s="29"/>
      <c r="SA37" s="29"/>
      <c r="SB37" s="29"/>
      <c r="SC37" s="29"/>
      <c r="SD37" s="29"/>
      <c r="SE37" s="29"/>
      <c r="SF37" s="29"/>
      <c r="SG37" s="29"/>
      <c r="SH37" s="29"/>
      <c r="SI37" s="29"/>
      <c r="SJ37" s="29"/>
      <c r="SK37" s="29"/>
      <c r="SL37" s="29"/>
      <c r="SM37" s="29"/>
      <c r="SN37" s="29"/>
      <c r="SO37" s="29"/>
      <c r="SP37" s="29"/>
      <c r="SQ37" s="29"/>
      <c r="SR37" s="29"/>
      <c r="SS37" s="29"/>
      <c r="ST37" s="29"/>
      <c r="SU37" s="29"/>
      <c r="SV37" s="29"/>
      <c r="SW37" s="29"/>
      <c r="SX37" s="29"/>
      <c r="SY37" s="29"/>
      <c r="SZ37" s="29"/>
      <c r="TA37" s="29"/>
      <c r="TB37" s="29"/>
      <c r="TC37" s="29"/>
      <c r="TD37" s="29"/>
      <c r="TE37" s="29"/>
      <c r="TF37" s="29"/>
      <c r="TG37" s="29"/>
      <c r="TH37" s="29"/>
      <c r="TI37" s="29"/>
      <c r="TJ37" s="29"/>
      <c r="TK37" s="29"/>
      <c r="TL37" s="29"/>
      <c r="TM37" s="29"/>
      <c r="TN37" s="29"/>
      <c r="TO37" s="29"/>
      <c r="TP37" s="29"/>
      <c r="TQ37" s="29"/>
      <c r="TR37" s="29"/>
      <c r="TS37" s="29"/>
      <c r="TT37" s="29"/>
      <c r="TU37" s="29"/>
      <c r="TV37" s="29"/>
      <c r="TW37" s="29"/>
      <c r="TX37" s="29"/>
      <c r="TY37" s="29"/>
      <c r="TZ37" s="29"/>
      <c r="UA37" s="29"/>
      <c r="UB37" s="29"/>
      <c r="UC37" s="29"/>
      <c r="UD37" s="29"/>
      <c r="UE37" s="29"/>
      <c r="UF37" s="29"/>
      <c r="UG37" s="29"/>
      <c r="UH37" s="29"/>
      <c r="UI37" s="29"/>
      <c r="UJ37" s="29"/>
      <c r="UK37" s="29"/>
      <c r="UL37" s="29"/>
      <c r="UM37" s="29"/>
      <c r="UN37" s="29"/>
      <c r="UO37" s="29"/>
      <c r="UP37" s="29"/>
      <c r="UQ37" s="29"/>
      <c r="UR37" s="29"/>
      <c r="US37" s="29"/>
      <c r="UT37" s="29"/>
      <c r="UU37" s="29"/>
      <c r="UV37" s="29"/>
      <c r="UW37" s="29"/>
      <c r="UX37" s="29"/>
      <c r="UY37" s="29"/>
      <c r="UZ37" s="29"/>
      <c r="VA37" s="29"/>
      <c r="VB37" s="29"/>
      <c r="VC37" s="29"/>
      <c r="VD37" s="29"/>
      <c r="VE37" s="29"/>
      <c r="VF37" s="29"/>
      <c r="VG37" s="29"/>
      <c r="VH37" s="29"/>
      <c r="VI37" s="29"/>
      <c r="VJ37" s="29"/>
      <c r="VK37" s="29"/>
      <c r="VL37" s="29"/>
      <c r="VM37" s="29"/>
      <c r="VN37" s="29"/>
      <c r="VO37" s="29"/>
      <c r="VP37" s="29"/>
      <c r="VQ37" s="29"/>
      <c r="VR37" s="29"/>
      <c r="VS37" s="29"/>
      <c r="VT37" s="29"/>
      <c r="VU37" s="29"/>
      <c r="VV37" s="29"/>
      <c r="VW37" s="29"/>
      <c r="VX37" s="29"/>
      <c r="VY37" s="29"/>
      <c r="VZ37" s="29"/>
      <c r="WA37" s="29"/>
      <c r="WB37" s="29"/>
      <c r="WC37" s="29"/>
      <c r="WD37" s="29"/>
      <c r="WE37" s="29"/>
      <c r="WF37" s="29"/>
      <c r="WG37" s="29"/>
      <c r="WH37" s="29"/>
      <c r="WI37" s="29"/>
      <c r="WJ37" s="29"/>
      <c r="WK37" s="29"/>
      <c r="WL37" s="29"/>
      <c r="WM37" s="29"/>
      <c r="WN37" s="29"/>
      <c r="WO37" s="29"/>
      <c r="WP37" s="29"/>
      <c r="WQ37" s="29"/>
      <c r="WR37" s="29"/>
      <c r="WS37" s="29"/>
      <c r="WT37" s="29"/>
      <c r="WU37" s="29"/>
      <c r="WV37" s="29"/>
      <c r="WW37" s="29"/>
      <c r="WX37" s="29"/>
      <c r="WY37" s="29"/>
      <c r="WZ37" s="29"/>
      <c r="XA37" s="29"/>
      <c r="XB37" s="29"/>
      <c r="XC37" s="29"/>
      <c r="XD37" s="29"/>
      <c r="XE37" s="29"/>
      <c r="XF37" s="29"/>
      <c r="XG37" s="29"/>
      <c r="XH37" s="29"/>
      <c r="XI37" s="29"/>
      <c r="XJ37" s="29"/>
      <c r="XK37" s="29"/>
      <c r="XL37" s="29"/>
      <c r="XM37" s="29"/>
      <c r="XN37" s="29"/>
      <c r="XO37" s="29"/>
      <c r="XP37" s="29"/>
      <c r="XQ37" s="29"/>
      <c r="XR37" s="29"/>
      <c r="XS37" s="29"/>
      <c r="XT37" s="29"/>
      <c r="XU37" s="29"/>
      <c r="XV37" s="29"/>
      <c r="XW37" s="29"/>
      <c r="XX37" s="29"/>
      <c r="XY37" s="29"/>
    </row>
    <row r="38" spans="3:649" s="53" customFormat="1" ht="14.45" outlineLevel="1">
      <c r="C38" s="30" t="s">
        <v>26</v>
      </c>
      <c r="D38" s="28" t="s">
        <v>74</v>
      </c>
      <c r="E38" s="221"/>
      <c r="F38" s="51"/>
      <c r="G38" s="51"/>
      <c r="H38" s="51">
        <v>14.74</v>
      </c>
      <c r="I38" s="51">
        <v>15.229999999999999</v>
      </c>
      <c r="J38" s="51"/>
      <c r="K38" s="51"/>
      <c r="L38" s="51"/>
      <c r="M38" s="51"/>
      <c r="N38" s="51"/>
      <c r="O38" s="51"/>
      <c r="P38" s="51"/>
      <c r="Q38" s="51">
        <f t="shared" si="0"/>
        <v>29.97</v>
      </c>
      <c r="R38" s="51">
        <v>0</v>
      </c>
      <c r="S38" s="28" t="s">
        <v>28</v>
      </c>
      <c r="T38" s="31"/>
      <c r="U38" s="169"/>
      <c r="V38" s="170" t="s">
        <v>50</v>
      </c>
      <c r="W38" s="168"/>
      <c r="X38" s="28">
        <f>Table4232[[#This Row],[Post 2033]]+Table4232[[#This Row],[Total]]</f>
        <v>29.97</v>
      </c>
      <c r="Y38" s="28" t="s">
        <v>50</v>
      </c>
      <c r="Z38" s="52"/>
      <c r="AA38" s="27"/>
      <c r="AB38" s="27"/>
      <c r="AC38" s="27"/>
      <c r="AD38" s="27"/>
      <c r="AE38" s="27"/>
      <c r="AF38" s="52"/>
      <c r="AG38" s="52"/>
      <c r="AH38" s="52"/>
      <c r="AI38" s="52"/>
      <c r="AJ38" s="52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  <c r="KW38" s="27"/>
      <c r="KX38" s="27"/>
      <c r="KY38" s="27"/>
      <c r="KZ38" s="27"/>
      <c r="LA38" s="27"/>
      <c r="LB38" s="27"/>
      <c r="LC38" s="27"/>
      <c r="LD38" s="27"/>
      <c r="LE38" s="27"/>
      <c r="LF38" s="27"/>
      <c r="LG38" s="27"/>
      <c r="LH38" s="27"/>
      <c r="LI38" s="27"/>
      <c r="LJ38" s="27"/>
      <c r="LK38" s="27"/>
      <c r="LL38" s="27"/>
      <c r="LM38" s="27"/>
      <c r="LN38" s="27"/>
      <c r="LO38" s="27"/>
      <c r="LP38" s="27"/>
      <c r="LQ38" s="27"/>
      <c r="LR38" s="27"/>
      <c r="LS38" s="27"/>
      <c r="LT38" s="27"/>
      <c r="LU38" s="27"/>
      <c r="LV38" s="27"/>
      <c r="LW38" s="27"/>
      <c r="LX38" s="27"/>
      <c r="LY38" s="27"/>
      <c r="LZ38" s="27"/>
      <c r="MA38" s="27"/>
      <c r="MB38" s="27"/>
      <c r="MC38" s="27"/>
      <c r="MD38" s="27"/>
      <c r="ME38" s="27"/>
      <c r="MF38" s="27"/>
      <c r="MG38" s="27"/>
      <c r="MH38" s="27"/>
      <c r="MI38" s="27"/>
      <c r="MJ38" s="27"/>
      <c r="MK38" s="27"/>
      <c r="ML38" s="27"/>
      <c r="MM38" s="27"/>
      <c r="MN38" s="27"/>
      <c r="MO38" s="27"/>
      <c r="MP38" s="27"/>
      <c r="MQ38" s="27"/>
      <c r="MR38" s="27"/>
      <c r="MS38" s="27"/>
      <c r="MT38" s="27"/>
      <c r="MU38" s="27"/>
      <c r="MV38" s="27"/>
      <c r="MW38" s="27"/>
      <c r="MX38" s="27"/>
      <c r="MY38" s="27"/>
      <c r="MZ38" s="27"/>
      <c r="NA38" s="27"/>
      <c r="NB38" s="27"/>
      <c r="NC38" s="27"/>
      <c r="ND38" s="27"/>
      <c r="NE38" s="27"/>
      <c r="NF38" s="27"/>
      <c r="NG38" s="27"/>
      <c r="NH38" s="27"/>
      <c r="NI38" s="27"/>
      <c r="NJ38" s="27"/>
      <c r="NK38" s="27"/>
      <c r="NL38" s="27"/>
      <c r="NM38" s="27"/>
      <c r="NN38" s="27"/>
      <c r="NO38" s="27"/>
      <c r="NP38" s="27"/>
      <c r="NQ38" s="27"/>
      <c r="NR38" s="27"/>
      <c r="NS38" s="27"/>
      <c r="NT38" s="27"/>
      <c r="NU38" s="27"/>
      <c r="NV38" s="27"/>
      <c r="NW38" s="27"/>
      <c r="NX38" s="27"/>
      <c r="NY38" s="27"/>
      <c r="NZ38" s="27"/>
      <c r="OA38" s="27"/>
      <c r="OB38" s="27"/>
      <c r="OC38" s="27"/>
      <c r="OD38" s="27"/>
      <c r="OE38" s="27"/>
      <c r="OF38" s="27"/>
      <c r="OG38" s="27"/>
      <c r="OH38" s="27"/>
      <c r="OI38" s="27"/>
      <c r="OJ38" s="27"/>
      <c r="OK38" s="27"/>
      <c r="OL38" s="27"/>
      <c r="OM38" s="27"/>
      <c r="ON38" s="27"/>
      <c r="OO38" s="27"/>
      <c r="OP38" s="27"/>
      <c r="OQ38" s="27"/>
      <c r="OR38" s="27"/>
      <c r="OS38" s="27"/>
      <c r="OT38" s="27"/>
      <c r="OU38" s="27"/>
      <c r="OV38" s="27"/>
      <c r="OW38" s="27"/>
      <c r="OX38" s="27"/>
      <c r="OY38" s="27"/>
      <c r="OZ38" s="27"/>
      <c r="PA38" s="27"/>
      <c r="PB38" s="27"/>
      <c r="PC38" s="27"/>
      <c r="PD38" s="27"/>
      <c r="PE38" s="27"/>
      <c r="PF38" s="27"/>
      <c r="PG38" s="27"/>
      <c r="PH38" s="27"/>
      <c r="PI38" s="27"/>
      <c r="PJ38" s="27"/>
      <c r="PK38" s="27"/>
      <c r="PL38" s="27"/>
      <c r="PM38" s="27"/>
      <c r="PN38" s="27"/>
      <c r="PO38" s="27"/>
      <c r="PP38" s="27"/>
      <c r="PQ38" s="27"/>
      <c r="PR38" s="27"/>
      <c r="PS38" s="27"/>
      <c r="PT38" s="27"/>
      <c r="PU38" s="27"/>
      <c r="PV38" s="27"/>
      <c r="PW38" s="27"/>
      <c r="PZ38" s="29"/>
      <c r="QA38" s="29"/>
      <c r="QB38" s="29"/>
      <c r="QC38" s="29"/>
      <c r="QD38" s="29"/>
      <c r="QE38" s="29"/>
      <c r="QF38" s="29"/>
      <c r="QG38" s="29"/>
      <c r="QH38" s="29"/>
      <c r="QI38" s="29"/>
      <c r="QJ38" s="29"/>
      <c r="QK38" s="29"/>
      <c r="QL38" s="29"/>
      <c r="QM38" s="29"/>
      <c r="QN38" s="29"/>
      <c r="QO38" s="29"/>
      <c r="QP38" s="29"/>
      <c r="QQ38" s="29"/>
      <c r="QR38" s="29"/>
      <c r="QS38" s="29"/>
      <c r="QT38" s="29"/>
      <c r="QU38" s="29"/>
      <c r="QV38" s="29"/>
      <c r="QW38" s="29"/>
      <c r="QX38" s="29"/>
      <c r="QY38" s="29"/>
      <c r="QZ38" s="29"/>
      <c r="RA38" s="29"/>
      <c r="RB38" s="29"/>
      <c r="RC38" s="29"/>
      <c r="RD38" s="29"/>
      <c r="RE38" s="29"/>
      <c r="RF38" s="29"/>
      <c r="RG38" s="29"/>
      <c r="RH38" s="29"/>
      <c r="RI38" s="29"/>
      <c r="RJ38" s="29"/>
      <c r="RK38" s="29"/>
      <c r="RL38" s="29"/>
      <c r="RM38" s="29"/>
      <c r="RN38" s="29"/>
      <c r="RO38" s="29"/>
      <c r="RP38" s="29"/>
      <c r="RQ38" s="29"/>
      <c r="RR38" s="29"/>
      <c r="RS38" s="29"/>
      <c r="RT38" s="29"/>
      <c r="RU38" s="29"/>
      <c r="RV38" s="29"/>
      <c r="RW38" s="29"/>
      <c r="RX38" s="29"/>
      <c r="RY38" s="29"/>
      <c r="RZ38" s="29"/>
      <c r="SA38" s="29"/>
      <c r="SB38" s="29"/>
      <c r="SC38" s="29"/>
      <c r="SD38" s="29"/>
      <c r="SE38" s="29"/>
      <c r="SF38" s="29"/>
      <c r="SG38" s="29"/>
      <c r="SH38" s="29"/>
      <c r="SI38" s="29"/>
      <c r="SJ38" s="29"/>
      <c r="SK38" s="29"/>
      <c r="SL38" s="29"/>
      <c r="SM38" s="29"/>
      <c r="SN38" s="29"/>
      <c r="SO38" s="29"/>
      <c r="SP38" s="29"/>
      <c r="SQ38" s="29"/>
      <c r="SR38" s="29"/>
      <c r="SS38" s="29"/>
      <c r="ST38" s="29"/>
      <c r="SU38" s="29"/>
      <c r="SV38" s="29"/>
      <c r="SW38" s="29"/>
      <c r="SX38" s="29"/>
      <c r="SY38" s="29"/>
      <c r="SZ38" s="29"/>
      <c r="TA38" s="29"/>
      <c r="TB38" s="29"/>
      <c r="TC38" s="29"/>
      <c r="TD38" s="29"/>
      <c r="TE38" s="29"/>
      <c r="TF38" s="29"/>
      <c r="TG38" s="29"/>
      <c r="TH38" s="29"/>
      <c r="TI38" s="29"/>
      <c r="TJ38" s="29"/>
      <c r="TK38" s="29"/>
      <c r="TL38" s="29"/>
      <c r="TM38" s="29"/>
      <c r="TN38" s="29"/>
      <c r="TO38" s="29"/>
      <c r="TP38" s="29"/>
      <c r="TQ38" s="29"/>
      <c r="TR38" s="29"/>
      <c r="TS38" s="29"/>
      <c r="TT38" s="29"/>
      <c r="TU38" s="29"/>
      <c r="TV38" s="29"/>
      <c r="TW38" s="29"/>
      <c r="TX38" s="29"/>
      <c r="TY38" s="29"/>
      <c r="TZ38" s="29"/>
      <c r="UA38" s="29"/>
      <c r="UB38" s="29"/>
      <c r="UC38" s="29"/>
      <c r="UD38" s="29"/>
      <c r="UE38" s="29"/>
      <c r="UF38" s="29"/>
      <c r="UG38" s="29"/>
      <c r="UH38" s="29"/>
      <c r="UI38" s="29"/>
      <c r="UJ38" s="29"/>
      <c r="UK38" s="29"/>
      <c r="UL38" s="29"/>
      <c r="UM38" s="29"/>
      <c r="UN38" s="29"/>
      <c r="UO38" s="29"/>
      <c r="UP38" s="29"/>
      <c r="UQ38" s="29"/>
      <c r="UR38" s="29"/>
      <c r="US38" s="29"/>
      <c r="UT38" s="29"/>
      <c r="UU38" s="29"/>
      <c r="UV38" s="29"/>
      <c r="UW38" s="29"/>
      <c r="UX38" s="29"/>
      <c r="UY38" s="29"/>
      <c r="UZ38" s="29"/>
      <c r="VA38" s="29"/>
      <c r="VB38" s="29"/>
      <c r="VC38" s="29"/>
      <c r="VD38" s="29"/>
      <c r="VE38" s="29"/>
      <c r="VF38" s="29"/>
      <c r="VG38" s="29"/>
      <c r="VH38" s="29"/>
      <c r="VI38" s="29"/>
      <c r="VJ38" s="29"/>
      <c r="VK38" s="29"/>
      <c r="VL38" s="29"/>
      <c r="VM38" s="29"/>
      <c r="VN38" s="29"/>
      <c r="VO38" s="29"/>
      <c r="VP38" s="29"/>
      <c r="VQ38" s="29"/>
      <c r="VR38" s="29"/>
      <c r="VS38" s="29"/>
      <c r="VT38" s="29"/>
      <c r="VU38" s="29"/>
      <c r="VV38" s="29"/>
      <c r="VW38" s="29"/>
      <c r="VX38" s="29"/>
      <c r="VY38" s="29"/>
      <c r="VZ38" s="29"/>
      <c r="WA38" s="29"/>
      <c r="WB38" s="29"/>
      <c r="WC38" s="29"/>
      <c r="WD38" s="29"/>
      <c r="WE38" s="29"/>
      <c r="WF38" s="29"/>
      <c r="WG38" s="29"/>
      <c r="WH38" s="29"/>
      <c r="WI38" s="29"/>
      <c r="WJ38" s="29"/>
      <c r="WK38" s="29"/>
      <c r="WL38" s="29"/>
      <c r="WM38" s="29"/>
      <c r="WN38" s="29"/>
      <c r="WO38" s="29"/>
      <c r="WP38" s="29"/>
      <c r="WQ38" s="29"/>
      <c r="WR38" s="29"/>
      <c r="WS38" s="29"/>
      <c r="WT38" s="29"/>
      <c r="WU38" s="29"/>
      <c r="WV38" s="29"/>
      <c r="WW38" s="29"/>
      <c r="WX38" s="29"/>
      <c r="WY38" s="29"/>
      <c r="WZ38" s="29"/>
      <c r="XA38" s="29"/>
      <c r="XB38" s="29"/>
      <c r="XC38" s="29"/>
      <c r="XD38" s="29"/>
      <c r="XE38" s="29"/>
      <c r="XF38" s="29"/>
      <c r="XG38" s="29"/>
      <c r="XH38" s="29"/>
      <c r="XI38" s="29"/>
      <c r="XJ38" s="29"/>
      <c r="XK38" s="29"/>
      <c r="XL38" s="29"/>
      <c r="XM38" s="29"/>
      <c r="XN38" s="29"/>
      <c r="XO38" s="29"/>
      <c r="XP38" s="29"/>
      <c r="XQ38" s="29"/>
      <c r="XR38" s="29"/>
      <c r="XS38" s="29"/>
      <c r="XT38" s="29"/>
      <c r="XU38" s="29"/>
      <c r="XV38" s="29"/>
      <c r="XW38" s="29"/>
      <c r="XX38" s="29"/>
      <c r="XY38" s="29"/>
    </row>
    <row r="39" spans="3:649" s="53" customFormat="1" ht="14.45" outlineLevel="1">
      <c r="C39" s="30" t="s">
        <v>26</v>
      </c>
      <c r="D39" s="28" t="s">
        <v>75</v>
      </c>
      <c r="E39" s="221"/>
      <c r="F39" s="51"/>
      <c r="G39" s="51"/>
      <c r="H39" s="51"/>
      <c r="I39" s="51"/>
      <c r="J39" s="51">
        <v>14.240000000000002</v>
      </c>
      <c r="K39" s="51">
        <v>39.999999999999993</v>
      </c>
      <c r="L39" s="51">
        <v>14.740000000000009</v>
      </c>
      <c r="M39" s="51">
        <v>14.730000000000004</v>
      </c>
      <c r="N39" s="51">
        <v>14.739999999999981</v>
      </c>
      <c r="O39" s="51">
        <v>11.580000000000013</v>
      </c>
      <c r="P39" s="51">
        <v>10</v>
      </c>
      <c r="Q39" s="51">
        <f t="shared" si="0"/>
        <v>120.03</v>
      </c>
      <c r="R39" s="51">
        <v>150</v>
      </c>
      <c r="S39" s="28" t="s">
        <v>37</v>
      </c>
      <c r="T39" s="31"/>
      <c r="U39" s="169"/>
      <c r="V39" s="170" t="s">
        <v>50</v>
      </c>
      <c r="W39" s="168"/>
      <c r="X39" s="28">
        <f>Table4232[[#This Row],[Post 2033]]+Table4232[[#This Row],[Total]]</f>
        <v>270.02999999999997</v>
      </c>
      <c r="Y39" s="28" t="s">
        <v>50</v>
      </c>
      <c r="Z39" s="52"/>
      <c r="AA39" s="27"/>
      <c r="AB39" s="27"/>
      <c r="AC39" s="27"/>
      <c r="AD39" s="27"/>
      <c r="AE39" s="27"/>
      <c r="AF39" s="52"/>
      <c r="AG39" s="52"/>
      <c r="AH39" s="52"/>
      <c r="AI39" s="52"/>
      <c r="AJ39" s="52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  <c r="KW39" s="27"/>
      <c r="KX39" s="27"/>
      <c r="KY39" s="27"/>
      <c r="KZ39" s="27"/>
      <c r="LA39" s="27"/>
      <c r="LB39" s="27"/>
      <c r="LC39" s="27"/>
      <c r="LD39" s="27"/>
      <c r="LE39" s="27"/>
      <c r="LF39" s="27"/>
      <c r="LG39" s="27"/>
      <c r="LH39" s="27"/>
      <c r="LI39" s="27"/>
      <c r="LJ39" s="27"/>
      <c r="LK39" s="27"/>
      <c r="LL39" s="27"/>
      <c r="LM39" s="27"/>
      <c r="LN39" s="27"/>
      <c r="LO39" s="27"/>
      <c r="LP39" s="27"/>
      <c r="LQ39" s="27"/>
      <c r="LR39" s="27"/>
      <c r="LS39" s="27"/>
      <c r="LT39" s="27"/>
      <c r="LU39" s="27"/>
      <c r="LV39" s="27"/>
      <c r="LW39" s="27"/>
      <c r="LX39" s="27"/>
      <c r="LY39" s="27"/>
      <c r="LZ39" s="27"/>
      <c r="MA39" s="27"/>
      <c r="MB39" s="27"/>
      <c r="MC39" s="27"/>
      <c r="MD39" s="27"/>
      <c r="ME39" s="27"/>
      <c r="MF39" s="27"/>
      <c r="MG39" s="27"/>
      <c r="MH39" s="27"/>
      <c r="MI39" s="27"/>
      <c r="MJ39" s="27"/>
      <c r="MK39" s="27"/>
      <c r="ML39" s="27"/>
      <c r="MM39" s="27"/>
      <c r="MN39" s="27"/>
      <c r="MO39" s="27"/>
      <c r="MP39" s="27"/>
      <c r="MQ39" s="27"/>
      <c r="MR39" s="27"/>
      <c r="MS39" s="27"/>
      <c r="MT39" s="27"/>
      <c r="MU39" s="27"/>
      <c r="MV39" s="27"/>
      <c r="MW39" s="27"/>
      <c r="MX39" s="27"/>
      <c r="MY39" s="27"/>
      <c r="MZ39" s="27"/>
      <c r="NA39" s="27"/>
      <c r="NB39" s="27"/>
      <c r="NC39" s="27"/>
      <c r="ND39" s="27"/>
      <c r="NE39" s="27"/>
      <c r="NF39" s="27"/>
      <c r="NG39" s="27"/>
      <c r="NH39" s="27"/>
      <c r="NI39" s="27"/>
      <c r="NJ39" s="27"/>
      <c r="NK39" s="27"/>
      <c r="NL39" s="27"/>
      <c r="NM39" s="27"/>
      <c r="NN39" s="27"/>
      <c r="NO39" s="27"/>
      <c r="NP39" s="27"/>
      <c r="NQ39" s="27"/>
      <c r="NR39" s="27"/>
      <c r="NS39" s="27"/>
      <c r="NT39" s="27"/>
      <c r="NU39" s="27"/>
      <c r="NV39" s="27"/>
      <c r="NW39" s="27"/>
      <c r="NX39" s="27"/>
      <c r="NY39" s="27"/>
      <c r="NZ39" s="27"/>
      <c r="OA39" s="27"/>
      <c r="OB39" s="27"/>
      <c r="OC39" s="27"/>
      <c r="OD39" s="27"/>
      <c r="OE39" s="27"/>
      <c r="OF39" s="27"/>
      <c r="OG39" s="27"/>
      <c r="OH39" s="27"/>
      <c r="OI39" s="27"/>
      <c r="OJ39" s="27"/>
      <c r="OK39" s="27"/>
      <c r="OL39" s="27"/>
      <c r="OM39" s="27"/>
      <c r="ON39" s="27"/>
      <c r="OO39" s="27"/>
      <c r="OP39" s="27"/>
      <c r="OQ39" s="27"/>
      <c r="OR39" s="27"/>
      <c r="OS39" s="27"/>
      <c r="OT39" s="27"/>
      <c r="OU39" s="27"/>
      <c r="OV39" s="27"/>
      <c r="OW39" s="27"/>
      <c r="OX39" s="27"/>
      <c r="OY39" s="27"/>
      <c r="OZ39" s="27"/>
      <c r="PA39" s="27"/>
      <c r="PB39" s="27"/>
      <c r="PC39" s="27"/>
      <c r="PD39" s="27"/>
      <c r="PE39" s="27"/>
      <c r="PF39" s="27"/>
      <c r="PG39" s="27"/>
      <c r="PH39" s="27"/>
      <c r="PI39" s="27"/>
      <c r="PJ39" s="27"/>
      <c r="PK39" s="27"/>
      <c r="PL39" s="27"/>
      <c r="PM39" s="27"/>
      <c r="PN39" s="27"/>
      <c r="PO39" s="27"/>
      <c r="PP39" s="27"/>
      <c r="PQ39" s="27"/>
      <c r="PR39" s="27"/>
      <c r="PS39" s="27"/>
      <c r="PT39" s="27"/>
      <c r="PU39" s="27"/>
      <c r="PV39" s="27"/>
      <c r="PW39" s="27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9"/>
      <c r="SE39" s="29"/>
      <c r="SF39" s="29"/>
      <c r="SG39" s="29"/>
      <c r="SH39" s="29"/>
      <c r="SI39" s="29"/>
      <c r="SJ39" s="29"/>
      <c r="SK39" s="29"/>
      <c r="SL39" s="29"/>
      <c r="SM39" s="29"/>
      <c r="SN39" s="29"/>
      <c r="SO39" s="29"/>
      <c r="SP39" s="29"/>
      <c r="SQ39" s="29"/>
      <c r="SR39" s="29"/>
      <c r="SS39" s="29"/>
      <c r="ST39" s="29"/>
      <c r="SU39" s="29"/>
      <c r="SV39" s="29"/>
      <c r="SW39" s="29"/>
      <c r="SX39" s="29"/>
      <c r="SY39" s="29"/>
      <c r="SZ39" s="29"/>
      <c r="TA39" s="29"/>
      <c r="TB39" s="29"/>
      <c r="TC39" s="29"/>
      <c r="TD39" s="29"/>
      <c r="TE39" s="29"/>
      <c r="TF39" s="29"/>
      <c r="TG39" s="29"/>
      <c r="TH39" s="29"/>
      <c r="TI39" s="29"/>
      <c r="TJ39" s="29"/>
      <c r="TK39" s="29"/>
      <c r="TL39" s="29"/>
      <c r="TM39" s="29"/>
      <c r="TN39" s="29"/>
      <c r="TO39" s="29"/>
      <c r="TP39" s="29"/>
      <c r="TQ39" s="29"/>
      <c r="TR39" s="29"/>
      <c r="TS39" s="29"/>
      <c r="TT39" s="29"/>
      <c r="TU39" s="29"/>
      <c r="TV39" s="29"/>
      <c r="TW39" s="29"/>
      <c r="TX39" s="29"/>
      <c r="TY39" s="29"/>
      <c r="TZ39" s="29"/>
      <c r="UA39" s="29"/>
      <c r="UB39" s="29"/>
      <c r="UC39" s="29"/>
      <c r="UD39" s="29"/>
      <c r="UE39" s="29"/>
      <c r="UF39" s="29"/>
      <c r="UG39" s="29"/>
      <c r="UH39" s="29"/>
      <c r="UI39" s="29"/>
      <c r="UJ39" s="29"/>
      <c r="UK39" s="29"/>
      <c r="UL39" s="29"/>
      <c r="UM39" s="29"/>
      <c r="UN39" s="29"/>
      <c r="UO39" s="29"/>
      <c r="UP39" s="29"/>
      <c r="UQ39" s="29"/>
      <c r="UR39" s="29"/>
      <c r="US39" s="29"/>
      <c r="UT39" s="29"/>
      <c r="UU39" s="29"/>
      <c r="UV39" s="29"/>
      <c r="UW39" s="29"/>
      <c r="UX39" s="29"/>
      <c r="UY39" s="29"/>
      <c r="UZ39" s="29"/>
      <c r="VA39" s="29"/>
      <c r="VB39" s="29"/>
      <c r="VC39" s="29"/>
      <c r="VD39" s="29"/>
      <c r="VE39" s="29"/>
      <c r="VF39" s="29"/>
      <c r="VG39" s="29"/>
      <c r="VH39" s="29"/>
      <c r="VI39" s="29"/>
      <c r="VJ39" s="29"/>
      <c r="VK39" s="29"/>
      <c r="VL39" s="29"/>
      <c r="VM39" s="29"/>
      <c r="VN39" s="29"/>
      <c r="VO39" s="29"/>
      <c r="VP39" s="29"/>
      <c r="VQ39" s="29"/>
      <c r="VR39" s="29"/>
      <c r="VS39" s="29"/>
      <c r="VT39" s="29"/>
      <c r="VU39" s="29"/>
      <c r="VV39" s="29"/>
      <c r="VW39" s="29"/>
      <c r="VX39" s="29"/>
      <c r="VY39" s="29"/>
      <c r="VZ39" s="29"/>
      <c r="WA39" s="29"/>
      <c r="WB39" s="29"/>
      <c r="WC39" s="29"/>
      <c r="WD39" s="29"/>
      <c r="WE39" s="29"/>
      <c r="WF39" s="29"/>
      <c r="WG39" s="29"/>
      <c r="WH39" s="29"/>
      <c r="WI39" s="29"/>
      <c r="WJ39" s="29"/>
      <c r="WK39" s="29"/>
      <c r="WL39" s="29"/>
      <c r="WM39" s="29"/>
      <c r="WN39" s="29"/>
      <c r="WO39" s="29"/>
      <c r="WP39" s="29"/>
      <c r="WQ39" s="29"/>
      <c r="WR39" s="29"/>
      <c r="WS39" s="29"/>
      <c r="WT39" s="29"/>
      <c r="WU39" s="29"/>
      <c r="WV39" s="29"/>
      <c r="WW39" s="29"/>
      <c r="WX39" s="29"/>
      <c r="WY39" s="29"/>
      <c r="WZ39" s="29"/>
      <c r="XA39" s="29"/>
      <c r="XB39" s="29"/>
      <c r="XC39" s="29"/>
      <c r="XD39" s="29"/>
      <c r="XE39" s="29"/>
      <c r="XF39" s="29"/>
      <c r="XG39" s="29"/>
      <c r="XH39" s="29"/>
      <c r="XI39" s="29"/>
      <c r="XJ39" s="29"/>
      <c r="XK39" s="29"/>
      <c r="XL39" s="29"/>
      <c r="XM39" s="29"/>
      <c r="XN39" s="29"/>
      <c r="XO39" s="29"/>
      <c r="XP39" s="29"/>
      <c r="XQ39" s="29"/>
      <c r="XR39" s="29"/>
      <c r="XS39" s="29"/>
      <c r="XT39" s="29"/>
      <c r="XU39" s="29"/>
      <c r="XV39" s="29"/>
      <c r="XW39" s="29"/>
      <c r="XX39" s="29"/>
      <c r="XY39" s="29"/>
    </row>
    <row r="40" spans="3:649" s="53" customFormat="1" ht="14.45" outlineLevel="1">
      <c r="C40" s="30" t="s">
        <v>26</v>
      </c>
      <c r="D40" s="28" t="s">
        <v>76</v>
      </c>
      <c r="E40" s="221"/>
      <c r="F40" s="51"/>
      <c r="G40" s="51"/>
      <c r="H40" s="51"/>
      <c r="I40" s="51">
        <v>13.689184444010159</v>
      </c>
      <c r="J40" s="51">
        <v>5.8160142857142878</v>
      </c>
      <c r="K40" s="51">
        <v>4.3189714285714311</v>
      </c>
      <c r="L40" s="51">
        <v>12.894959999999999</v>
      </c>
      <c r="M40" s="51">
        <v>8.4306857142857101</v>
      </c>
      <c r="N40" s="51">
        <v>9.1152222200508088</v>
      </c>
      <c r="O40" s="51">
        <v>10.193559796755915</v>
      </c>
      <c r="P40" s="51">
        <v>5.3819192104748961</v>
      </c>
      <c r="Q40" s="51">
        <f t="shared" si="0"/>
        <v>69.840517099863206</v>
      </c>
      <c r="R40" s="51">
        <v>47.159482900136794</v>
      </c>
      <c r="S40" s="28" t="s">
        <v>41</v>
      </c>
      <c r="T40" s="31"/>
      <c r="U40" s="169"/>
      <c r="V40" s="170" t="e">
        <f>IF(#REF!="","Other Major Projects","Data Centre")</f>
        <v>#REF!</v>
      </c>
      <c r="W40" s="168"/>
      <c r="X40" s="28">
        <f>Table4232[[#This Row],[Post 2033]]+Table4232[[#This Row],[Total]]</f>
        <v>117</v>
      </c>
      <c r="Y40" s="28" t="s">
        <v>50</v>
      </c>
      <c r="Z40" s="52"/>
      <c r="AA40" s="27"/>
      <c r="AB40" s="27"/>
      <c r="AC40" s="27"/>
      <c r="AD40" s="27"/>
      <c r="AE40" s="27"/>
      <c r="AF40" s="52"/>
      <c r="AG40" s="52"/>
      <c r="AH40" s="52"/>
      <c r="AI40" s="52"/>
      <c r="AJ40" s="52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  <c r="IX40" s="27"/>
      <c r="IY40" s="27"/>
      <c r="IZ40" s="27"/>
      <c r="JA40" s="27"/>
      <c r="JB40" s="27"/>
      <c r="JC40" s="27"/>
      <c r="JD40" s="27"/>
      <c r="JE40" s="27"/>
      <c r="JF40" s="27"/>
      <c r="JG40" s="27"/>
      <c r="JH40" s="27"/>
      <c r="JI40" s="27"/>
      <c r="JJ40" s="27"/>
      <c r="JK40" s="27"/>
      <c r="JL40" s="27"/>
      <c r="JM40" s="27"/>
      <c r="JN40" s="27"/>
      <c r="JO40" s="27"/>
      <c r="JP40" s="27"/>
      <c r="JQ40" s="27"/>
      <c r="JR40" s="27"/>
      <c r="JS40" s="27"/>
      <c r="JT40" s="27"/>
      <c r="JU40" s="27"/>
      <c r="JV40" s="27"/>
      <c r="JW40" s="27"/>
      <c r="JX40" s="27"/>
      <c r="JY40" s="27"/>
      <c r="JZ40" s="27"/>
      <c r="KA40" s="27"/>
      <c r="KB40" s="27"/>
      <c r="KC40" s="27"/>
      <c r="KD40" s="27"/>
      <c r="KE40" s="27"/>
      <c r="KF40" s="27"/>
      <c r="KG40" s="27"/>
      <c r="KH40" s="27"/>
      <c r="KI40" s="27"/>
      <c r="KJ40" s="27"/>
      <c r="KK40" s="27"/>
      <c r="KL40" s="27"/>
      <c r="KM40" s="27"/>
      <c r="KN40" s="27"/>
      <c r="KO40" s="27"/>
      <c r="KP40" s="27"/>
      <c r="KQ40" s="27"/>
      <c r="KR40" s="27"/>
      <c r="KS40" s="27"/>
      <c r="KT40" s="27"/>
      <c r="KU40" s="27"/>
      <c r="KV40" s="27"/>
      <c r="KW40" s="27"/>
      <c r="KX40" s="27"/>
      <c r="KY40" s="27"/>
      <c r="KZ40" s="27"/>
      <c r="LA40" s="27"/>
      <c r="LB40" s="27"/>
      <c r="LC40" s="27"/>
      <c r="LD40" s="27"/>
      <c r="LE40" s="27"/>
      <c r="LF40" s="27"/>
      <c r="LG40" s="27"/>
      <c r="LH40" s="27"/>
      <c r="LI40" s="27"/>
      <c r="LJ40" s="27"/>
      <c r="LK40" s="27"/>
      <c r="LL40" s="27"/>
      <c r="LM40" s="27"/>
      <c r="LN40" s="27"/>
      <c r="LO40" s="27"/>
      <c r="LP40" s="27"/>
      <c r="LQ40" s="27"/>
      <c r="LR40" s="27"/>
      <c r="LS40" s="27"/>
      <c r="LT40" s="27"/>
      <c r="LU40" s="27"/>
      <c r="LV40" s="27"/>
      <c r="LW40" s="27"/>
      <c r="LX40" s="27"/>
      <c r="LY40" s="27"/>
      <c r="LZ40" s="27"/>
      <c r="MA40" s="27"/>
      <c r="MB40" s="27"/>
      <c r="MC40" s="27"/>
      <c r="MD40" s="27"/>
      <c r="ME40" s="27"/>
      <c r="MF40" s="27"/>
      <c r="MG40" s="27"/>
      <c r="MH40" s="27"/>
      <c r="MI40" s="27"/>
      <c r="MJ40" s="27"/>
      <c r="MK40" s="27"/>
      <c r="ML40" s="27"/>
      <c r="MM40" s="27"/>
      <c r="MN40" s="27"/>
      <c r="MO40" s="27"/>
      <c r="MP40" s="27"/>
      <c r="MQ40" s="27"/>
      <c r="MR40" s="27"/>
      <c r="MS40" s="27"/>
      <c r="MT40" s="27"/>
      <c r="MU40" s="27"/>
      <c r="MV40" s="27"/>
      <c r="MW40" s="27"/>
      <c r="MX40" s="27"/>
      <c r="MY40" s="27"/>
      <c r="MZ40" s="27"/>
      <c r="NA40" s="27"/>
      <c r="NB40" s="27"/>
      <c r="NC40" s="27"/>
      <c r="ND40" s="27"/>
      <c r="NE40" s="27"/>
      <c r="NF40" s="27"/>
      <c r="NG40" s="27"/>
      <c r="NH40" s="27"/>
      <c r="NI40" s="27"/>
      <c r="NJ40" s="27"/>
      <c r="NK40" s="27"/>
      <c r="NL40" s="27"/>
      <c r="NM40" s="27"/>
      <c r="NN40" s="27"/>
      <c r="NO40" s="27"/>
      <c r="NP40" s="27"/>
      <c r="NQ40" s="27"/>
      <c r="NR40" s="27"/>
      <c r="NS40" s="27"/>
      <c r="NT40" s="27"/>
      <c r="NU40" s="27"/>
      <c r="NV40" s="27"/>
      <c r="NW40" s="27"/>
      <c r="NX40" s="27"/>
      <c r="NY40" s="27"/>
      <c r="NZ40" s="27"/>
      <c r="OA40" s="27"/>
      <c r="OB40" s="27"/>
      <c r="OC40" s="27"/>
      <c r="OD40" s="27"/>
      <c r="OE40" s="27"/>
      <c r="OF40" s="27"/>
      <c r="OG40" s="27"/>
      <c r="OH40" s="27"/>
      <c r="OI40" s="27"/>
      <c r="OJ40" s="27"/>
      <c r="OK40" s="27"/>
      <c r="OL40" s="27"/>
      <c r="OM40" s="27"/>
      <c r="ON40" s="27"/>
      <c r="OO40" s="27"/>
      <c r="OP40" s="27"/>
      <c r="OQ40" s="27"/>
      <c r="OR40" s="27"/>
      <c r="OS40" s="27"/>
      <c r="OT40" s="27"/>
      <c r="OU40" s="27"/>
      <c r="OV40" s="27"/>
      <c r="OW40" s="27"/>
      <c r="OX40" s="27"/>
      <c r="OY40" s="27"/>
      <c r="OZ40" s="27"/>
      <c r="PA40" s="27"/>
      <c r="PB40" s="27"/>
      <c r="PC40" s="27"/>
      <c r="PD40" s="27"/>
      <c r="PE40" s="27"/>
      <c r="PF40" s="27"/>
      <c r="PG40" s="27"/>
      <c r="PH40" s="27"/>
      <c r="PI40" s="27"/>
      <c r="PJ40" s="27"/>
      <c r="PK40" s="27"/>
      <c r="PL40" s="27"/>
      <c r="PM40" s="27"/>
      <c r="PN40" s="27"/>
      <c r="PO40" s="27"/>
      <c r="PP40" s="27"/>
      <c r="PQ40" s="27"/>
      <c r="PR40" s="27"/>
      <c r="PS40" s="27"/>
      <c r="PT40" s="27"/>
      <c r="PU40" s="27"/>
      <c r="PV40" s="27"/>
      <c r="PW40" s="27"/>
      <c r="PZ40" s="29"/>
      <c r="QA40" s="29"/>
      <c r="QB40" s="29"/>
      <c r="QC40" s="29"/>
      <c r="QD40" s="29"/>
      <c r="QE40" s="29"/>
      <c r="QF40" s="29"/>
      <c r="QG40" s="29"/>
      <c r="QH40" s="29"/>
      <c r="QI40" s="29"/>
      <c r="QJ40" s="29"/>
      <c r="QK40" s="29"/>
      <c r="QL40" s="29"/>
      <c r="QM40" s="29"/>
      <c r="QN40" s="29"/>
      <c r="QO40" s="29"/>
      <c r="QP40" s="29"/>
      <c r="QQ40" s="29"/>
      <c r="QR40" s="29"/>
      <c r="QS40" s="29"/>
      <c r="QT40" s="29"/>
      <c r="QU40" s="29"/>
      <c r="QV40" s="29"/>
      <c r="QW40" s="29"/>
      <c r="QX40" s="29"/>
      <c r="QY40" s="29"/>
      <c r="QZ40" s="29"/>
      <c r="RA40" s="29"/>
      <c r="RB40" s="29"/>
      <c r="RC40" s="29"/>
      <c r="RD40" s="29"/>
      <c r="RE40" s="29"/>
      <c r="RF40" s="29"/>
      <c r="RG40" s="29"/>
      <c r="RH40" s="29"/>
      <c r="RI40" s="29"/>
      <c r="RJ40" s="29"/>
      <c r="RK40" s="29"/>
      <c r="RL40" s="29"/>
      <c r="RM40" s="29"/>
      <c r="RN40" s="29"/>
      <c r="RO40" s="29"/>
      <c r="RP40" s="29"/>
      <c r="RQ40" s="29"/>
      <c r="RR40" s="29"/>
      <c r="RS40" s="29"/>
      <c r="RT40" s="29"/>
      <c r="RU40" s="29"/>
      <c r="RV40" s="29"/>
      <c r="RW40" s="29"/>
      <c r="RX40" s="29"/>
      <c r="RY40" s="29"/>
      <c r="RZ40" s="29"/>
      <c r="SA40" s="29"/>
      <c r="SB40" s="29"/>
      <c r="SC40" s="29"/>
      <c r="SD40" s="29"/>
      <c r="SE40" s="29"/>
      <c r="SF40" s="29"/>
      <c r="SG40" s="29"/>
      <c r="SH40" s="29"/>
      <c r="SI40" s="29"/>
      <c r="SJ40" s="29"/>
      <c r="SK40" s="29"/>
      <c r="SL40" s="29"/>
      <c r="SM40" s="29"/>
      <c r="SN40" s="29"/>
      <c r="SO40" s="29"/>
      <c r="SP40" s="29"/>
      <c r="SQ40" s="29"/>
      <c r="SR40" s="29"/>
      <c r="SS40" s="29"/>
      <c r="ST40" s="29"/>
      <c r="SU40" s="29"/>
      <c r="SV40" s="29"/>
      <c r="SW40" s="29"/>
      <c r="SX40" s="29"/>
      <c r="SY40" s="29"/>
      <c r="SZ40" s="29"/>
      <c r="TA40" s="29"/>
      <c r="TB40" s="29"/>
      <c r="TC40" s="29"/>
      <c r="TD40" s="29"/>
      <c r="TE40" s="29"/>
      <c r="TF40" s="29"/>
      <c r="TG40" s="29"/>
      <c r="TH40" s="29"/>
      <c r="TI40" s="29"/>
      <c r="TJ40" s="29"/>
      <c r="TK40" s="29"/>
      <c r="TL40" s="29"/>
      <c r="TM40" s="29"/>
      <c r="TN40" s="29"/>
      <c r="TO40" s="29"/>
      <c r="TP40" s="29"/>
      <c r="TQ40" s="29"/>
      <c r="TR40" s="29"/>
      <c r="TS40" s="29"/>
      <c r="TT40" s="29"/>
      <c r="TU40" s="29"/>
      <c r="TV40" s="29"/>
      <c r="TW40" s="29"/>
      <c r="TX40" s="29"/>
      <c r="TY40" s="29"/>
      <c r="TZ40" s="29"/>
      <c r="UA40" s="29"/>
      <c r="UB40" s="29"/>
      <c r="UC40" s="29"/>
      <c r="UD40" s="29"/>
      <c r="UE40" s="29"/>
      <c r="UF40" s="29"/>
      <c r="UG40" s="29"/>
      <c r="UH40" s="29"/>
      <c r="UI40" s="29"/>
      <c r="UJ40" s="29"/>
      <c r="UK40" s="29"/>
      <c r="UL40" s="29"/>
      <c r="UM40" s="29"/>
      <c r="UN40" s="29"/>
      <c r="UO40" s="29"/>
      <c r="UP40" s="29"/>
      <c r="UQ40" s="29"/>
      <c r="UR40" s="29"/>
      <c r="US40" s="29"/>
      <c r="UT40" s="29"/>
      <c r="UU40" s="29"/>
      <c r="UV40" s="29"/>
      <c r="UW40" s="29"/>
      <c r="UX40" s="29"/>
      <c r="UY40" s="29"/>
      <c r="UZ40" s="29"/>
      <c r="VA40" s="29"/>
      <c r="VB40" s="29"/>
      <c r="VC40" s="29"/>
      <c r="VD40" s="29"/>
      <c r="VE40" s="29"/>
      <c r="VF40" s="29"/>
      <c r="VG40" s="29"/>
      <c r="VH40" s="29"/>
      <c r="VI40" s="29"/>
      <c r="VJ40" s="29"/>
      <c r="VK40" s="29"/>
      <c r="VL40" s="29"/>
      <c r="VM40" s="29"/>
      <c r="VN40" s="29"/>
      <c r="VO40" s="29"/>
      <c r="VP40" s="29"/>
      <c r="VQ40" s="29"/>
      <c r="VR40" s="29"/>
      <c r="VS40" s="29"/>
      <c r="VT40" s="29"/>
      <c r="VU40" s="29"/>
      <c r="VV40" s="29"/>
      <c r="VW40" s="29"/>
      <c r="VX40" s="29"/>
      <c r="VY40" s="29"/>
      <c r="VZ40" s="29"/>
      <c r="WA40" s="29"/>
      <c r="WB40" s="29"/>
      <c r="WC40" s="29"/>
      <c r="WD40" s="29"/>
      <c r="WE40" s="29"/>
      <c r="WF40" s="29"/>
      <c r="WG40" s="29"/>
      <c r="WH40" s="29"/>
      <c r="WI40" s="29"/>
      <c r="WJ40" s="29"/>
      <c r="WK40" s="29"/>
      <c r="WL40" s="29"/>
      <c r="WM40" s="29"/>
      <c r="WN40" s="29"/>
      <c r="WO40" s="29"/>
      <c r="WP40" s="29"/>
      <c r="WQ40" s="29"/>
      <c r="WR40" s="29"/>
      <c r="WS40" s="29"/>
      <c r="WT40" s="29"/>
      <c r="WU40" s="29"/>
      <c r="WV40" s="29"/>
      <c r="WW40" s="29"/>
      <c r="WX40" s="29"/>
      <c r="WY40" s="29"/>
      <c r="WZ40" s="29"/>
      <c r="XA40" s="29"/>
      <c r="XB40" s="29"/>
      <c r="XC40" s="29"/>
      <c r="XD40" s="29"/>
      <c r="XE40" s="29"/>
      <c r="XF40" s="29"/>
      <c r="XG40" s="29"/>
      <c r="XH40" s="29"/>
      <c r="XI40" s="29"/>
      <c r="XJ40" s="29"/>
      <c r="XK40" s="29"/>
      <c r="XL40" s="29"/>
      <c r="XM40" s="29"/>
      <c r="XN40" s="29"/>
      <c r="XO40" s="29"/>
      <c r="XP40" s="29"/>
      <c r="XQ40" s="29"/>
      <c r="XR40" s="29"/>
      <c r="XS40" s="29"/>
      <c r="XT40" s="29"/>
      <c r="XU40" s="29"/>
      <c r="XV40" s="29"/>
      <c r="XW40" s="29"/>
      <c r="XX40" s="29"/>
      <c r="XY40" s="29"/>
    </row>
    <row r="41" spans="3:649" s="53" customFormat="1" ht="14.45" outlineLevel="1">
      <c r="C41" s="30" t="s">
        <v>26</v>
      </c>
      <c r="D41" s="28" t="s">
        <v>77</v>
      </c>
      <c r="E41" s="22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>
        <v>108</v>
      </c>
      <c r="Q41" s="51">
        <f>SUM(F41:P41)</f>
        <v>108</v>
      </c>
      <c r="R41" s="51"/>
      <c r="S41" s="28" t="s">
        <v>41</v>
      </c>
      <c r="T41" s="31"/>
      <c r="U41" s="169"/>
      <c r="V41" s="170" t="e">
        <f>IF(#REF!="","Other Major Projects","Data Centre")</f>
        <v>#REF!</v>
      </c>
      <c r="W41" s="168"/>
      <c r="X41" s="28">
        <f>Table4232[[#This Row],[Post 2033]]+Table4232[[#This Row],[Total]]</f>
        <v>108</v>
      </c>
      <c r="Y41" s="28" t="s">
        <v>50</v>
      </c>
      <c r="Z41" s="52"/>
      <c r="AA41" s="27"/>
      <c r="AB41" s="27"/>
      <c r="AC41" s="27"/>
      <c r="AD41" s="27"/>
      <c r="AE41" s="27"/>
      <c r="AF41" s="52"/>
      <c r="AG41" s="52"/>
      <c r="AH41" s="52"/>
      <c r="AI41" s="52"/>
      <c r="AJ41" s="52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  <c r="KM41" s="27"/>
      <c r="KN41" s="27"/>
      <c r="KO41" s="27"/>
      <c r="KP41" s="27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27"/>
      <c r="LC41" s="27"/>
      <c r="LD41" s="27"/>
      <c r="LE41" s="27"/>
      <c r="LF41" s="27"/>
      <c r="LG41" s="27"/>
      <c r="LH41" s="27"/>
      <c r="LI41" s="27"/>
      <c r="LJ41" s="27"/>
      <c r="LK41" s="27"/>
      <c r="LL41" s="27"/>
      <c r="LM41" s="27"/>
      <c r="LN41" s="27"/>
      <c r="LO41" s="27"/>
      <c r="LP41" s="27"/>
      <c r="LQ41" s="27"/>
      <c r="LR41" s="27"/>
      <c r="LS41" s="27"/>
      <c r="LT41" s="27"/>
      <c r="LU41" s="27"/>
      <c r="LV41" s="27"/>
      <c r="LW41" s="27"/>
      <c r="LX41" s="27"/>
      <c r="LY41" s="27"/>
      <c r="LZ41" s="27"/>
      <c r="MA41" s="27"/>
      <c r="MB41" s="27"/>
      <c r="MC41" s="27"/>
      <c r="MD41" s="27"/>
      <c r="ME41" s="27"/>
      <c r="MF41" s="27"/>
      <c r="MG41" s="27"/>
      <c r="MH41" s="27"/>
      <c r="MI41" s="27"/>
      <c r="MJ41" s="27"/>
      <c r="MK41" s="27"/>
      <c r="ML41" s="27"/>
      <c r="MM41" s="27"/>
      <c r="MN41" s="27"/>
      <c r="MO41" s="27"/>
      <c r="MP41" s="27"/>
      <c r="MQ41" s="27"/>
      <c r="MR41" s="27"/>
      <c r="MS41" s="27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27"/>
      <c r="NH41" s="27"/>
      <c r="NI41" s="27"/>
      <c r="NJ41" s="27"/>
      <c r="NK41" s="27"/>
      <c r="NL41" s="27"/>
      <c r="NM41" s="27"/>
      <c r="NN41" s="27"/>
      <c r="NO41" s="27"/>
      <c r="NP41" s="27"/>
      <c r="NQ41" s="27"/>
      <c r="NR41" s="27"/>
      <c r="NS41" s="27"/>
      <c r="NT41" s="27"/>
      <c r="NU41" s="27"/>
      <c r="NV41" s="27"/>
      <c r="NW41" s="27"/>
      <c r="NX41" s="27"/>
      <c r="NY41" s="27"/>
      <c r="NZ41" s="27"/>
      <c r="OA41" s="27"/>
      <c r="OB41" s="27"/>
      <c r="OC41" s="27"/>
      <c r="OD41" s="27"/>
      <c r="OE41" s="27"/>
      <c r="OF41" s="27"/>
      <c r="OG41" s="27"/>
      <c r="OH41" s="27"/>
      <c r="OI41" s="27"/>
      <c r="OJ41" s="27"/>
      <c r="OK41" s="27"/>
      <c r="OL41" s="27"/>
      <c r="OM41" s="27"/>
      <c r="ON41" s="27"/>
      <c r="OO41" s="27"/>
      <c r="OP41" s="27"/>
      <c r="OQ41" s="27"/>
      <c r="OR41" s="27"/>
      <c r="OS41" s="27"/>
      <c r="OT41" s="27"/>
      <c r="OU41" s="27"/>
      <c r="OV41" s="27"/>
      <c r="OW41" s="27"/>
      <c r="OX41" s="27"/>
      <c r="OY41" s="27"/>
      <c r="OZ41" s="27"/>
      <c r="PA41" s="27"/>
      <c r="PB41" s="27"/>
      <c r="PC41" s="27"/>
      <c r="PD41" s="27"/>
      <c r="PE41" s="27"/>
      <c r="PF41" s="27"/>
      <c r="PG41" s="27"/>
      <c r="PH41" s="27"/>
      <c r="PI41" s="27"/>
      <c r="PJ41" s="27"/>
      <c r="PK41" s="27"/>
      <c r="PL41" s="27"/>
      <c r="PM41" s="27"/>
      <c r="PN41" s="27"/>
      <c r="PO41" s="27"/>
      <c r="PP41" s="27"/>
      <c r="PQ41" s="27"/>
      <c r="PR41" s="27"/>
      <c r="PS41" s="27"/>
      <c r="PT41" s="27"/>
      <c r="PU41" s="27"/>
      <c r="PV41" s="27"/>
      <c r="PW41" s="27"/>
      <c r="PZ41" s="29"/>
      <c r="QA41" s="29"/>
      <c r="QB41" s="29"/>
      <c r="QC41" s="29"/>
      <c r="QD41" s="29"/>
      <c r="QE41" s="29"/>
      <c r="QF41" s="29"/>
      <c r="QG41" s="29"/>
      <c r="QH41" s="29"/>
      <c r="QI41" s="29"/>
      <c r="QJ41" s="29"/>
      <c r="QK41" s="29"/>
      <c r="QL41" s="29"/>
      <c r="QM41" s="29"/>
      <c r="QN41" s="29"/>
      <c r="QO41" s="29"/>
      <c r="QP41" s="29"/>
      <c r="QQ41" s="29"/>
      <c r="QR41" s="29"/>
      <c r="QS41" s="29"/>
      <c r="QT41" s="29"/>
      <c r="QU41" s="29"/>
      <c r="QV41" s="29"/>
      <c r="QW41" s="29"/>
      <c r="QX41" s="29"/>
      <c r="QY41" s="29"/>
      <c r="QZ41" s="29"/>
      <c r="RA41" s="29"/>
      <c r="RB41" s="29"/>
      <c r="RC41" s="29"/>
      <c r="RD41" s="29"/>
      <c r="RE41" s="29"/>
      <c r="RF41" s="29"/>
      <c r="RG41" s="29"/>
      <c r="RH41" s="29"/>
      <c r="RI41" s="29"/>
      <c r="RJ41" s="29"/>
      <c r="RK41" s="29"/>
      <c r="RL41" s="29"/>
      <c r="RM41" s="29"/>
      <c r="RN41" s="29"/>
      <c r="RO41" s="29"/>
      <c r="RP41" s="29"/>
      <c r="RQ41" s="29"/>
      <c r="RR41" s="29"/>
      <c r="RS41" s="29"/>
      <c r="RT41" s="29"/>
      <c r="RU41" s="29"/>
      <c r="RV41" s="29"/>
      <c r="RW41" s="29"/>
      <c r="RX41" s="29"/>
      <c r="RY41" s="29"/>
      <c r="RZ41" s="29"/>
      <c r="SA41" s="29"/>
      <c r="SB41" s="29"/>
      <c r="SC41" s="29"/>
      <c r="SD41" s="29"/>
      <c r="SE41" s="29"/>
      <c r="SF41" s="29"/>
      <c r="SG41" s="29"/>
      <c r="SH41" s="29"/>
      <c r="SI41" s="29"/>
      <c r="SJ41" s="29"/>
      <c r="SK41" s="29"/>
      <c r="SL41" s="29"/>
      <c r="SM41" s="29"/>
      <c r="SN41" s="29"/>
      <c r="SO41" s="29"/>
      <c r="SP41" s="29"/>
      <c r="SQ41" s="29"/>
      <c r="SR41" s="29"/>
      <c r="SS41" s="29"/>
      <c r="ST41" s="29"/>
      <c r="SU41" s="29"/>
      <c r="SV41" s="29"/>
      <c r="SW41" s="29"/>
      <c r="SX41" s="29"/>
      <c r="SY41" s="29"/>
      <c r="SZ41" s="29"/>
      <c r="TA41" s="29"/>
      <c r="TB41" s="29"/>
      <c r="TC41" s="29"/>
      <c r="TD41" s="29"/>
      <c r="TE41" s="29"/>
      <c r="TF41" s="29"/>
      <c r="TG41" s="29"/>
      <c r="TH41" s="29"/>
      <c r="TI41" s="29"/>
      <c r="TJ41" s="29"/>
      <c r="TK41" s="29"/>
      <c r="TL41" s="29"/>
      <c r="TM41" s="29"/>
      <c r="TN41" s="29"/>
      <c r="TO41" s="29"/>
      <c r="TP41" s="29"/>
      <c r="TQ41" s="29"/>
      <c r="TR41" s="29"/>
      <c r="TS41" s="29"/>
      <c r="TT41" s="29"/>
      <c r="TU41" s="29"/>
      <c r="TV41" s="29"/>
      <c r="TW41" s="29"/>
      <c r="TX41" s="29"/>
      <c r="TY41" s="29"/>
      <c r="TZ41" s="29"/>
      <c r="UA41" s="29"/>
      <c r="UB41" s="29"/>
      <c r="UC41" s="29"/>
      <c r="UD41" s="29"/>
      <c r="UE41" s="29"/>
      <c r="UF41" s="29"/>
      <c r="UG41" s="29"/>
      <c r="UH41" s="29"/>
      <c r="UI41" s="29"/>
      <c r="UJ41" s="29"/>
      <c r="UK41" s="29"/>
      <c r="UL41" s="29"/>
      <c r="UM41" s="29"/>
      <c r="UN41" s="29"/>
      <c r="UO41" s="29"/>
      <c r="UP41" s="29"/>
      <c r="UQ41" s="29"/>
      <c r="UR41" s="29"/>
      <c r="US41" s="29"/>
      <c r="UT41" s="29"/>
      <c r="UU41" s="29"/>
      <c r="UV41" s="29"/>
      <c r="UW41" s="29"/>
      <c r="UX41" s="29"/>
      <c r="UY41" s="29"/>
      <c r="UZ41" s="29"/>
      <c r="VA41" s="29"/>
      <c r="VB41" s="29"/>
      <c r="VC41" s="29"/>
      <c r="VD41" s="29"/>
      <c r="VE41" s="29"/>
      <c r="VF41" s="29"/>
      <c r="VG41" s="29"/>
      <c r="VH41" s="29"/>
      <c r="VI41" s="29"/>
      <c r="VJ41" s="29"/>
      <c r="VK41" s="29"/>
      <c r="VL41" s="29"/>
      <c r="VM41" s="29"/>
      <c r="VN41" s="29"/>
      <c r="VO41" s="29"/>
      <c r="VP41" s="29"/>
      <c r="VQ41" s="29"/>
      <c r="VR41" s="29"/>
      <c r="VS41" s="29"/>
      <c r="VT41" s="29"/>
      <c r="VU41" s="29"/>
      <c r="VV41" s="29"/>
      <c r="VW41" s="29"/>
      <c r="VX41" s="29"/>
      <c r="VY41" s="29"/>
      <c r="VZ41" s="29"/>
      <c r="WA41" s="29"/>
      <c r="WB41" s="29"/>
      <c r="WC41" s="29"/>
      <c r="WD41" s="29"/>
      <c r="WE41" s="29"/>
      <c r="WF41" s="29"/>
      <c r="WG41" s="29"/>
      <c r="WH41" s="29"/>
      <c r="WI41" s="29"/>
      <c r="WJ41" s="29"/>
      <c r="WK41" s="29"/>
      <c r="WL41" s="29"/>
      <c r="WM41" s="29"/>
      <c r="WN41" s="29"/>
      <c r="WO41" s="29"/>
      <c r="WP41" s="29"/>
      <c r="WQ41" s="29"/>
      <c r="WR41" s="29"/>
      <c r="WS41" s="29"/>
      <c r="WT41" s="29"/>
      <c r="WU41" s="29"/>
      <c r="WV41" s="29"/>
      <c r="WW41" s="29"/>
      <c r="WX41" s="29"/>
      <c r="WY41" s="29"/>
      <c r="WZ41" s="29"/>
      <c r="XA41" s="29"/>
      <c r="XB41" s="29"/>
      <c r="XC41" s="29"/>
      <c r="XD41" s="29"/>
      <c r="XE41" s="29"/>
      <c r="XF41" s="29"/>
      <c r="XG41" s="29"/>
      <c r="XH41" s="29"/>
      <c r="XI41" s="29"/>
      <c r="XJ41" s="29"/>
      <c r="XK41" s="29"/>
      <c r="XL41" s="29"/>
      <c r="XM41" s="29"/>
      <c r="XN41" s="29"/>
      <c r="XO41" s="29"/>
      <c r="XP41" s="29"/>
      <c r="XQ41" s="29"/>
      <c r="XR41" s="29"/>
      <c r="XS41" s="29"/>
      <c r="XT41" s="29"/>
      <c r="XU41" s="29"/>
      <c r="XV41" s="29"/>
      <c r="XW41" s="29"/>
      <c r="XX41" s="29"/>
      <c r="XY41" s="29"/>
    </row>
    <row r="42" spans="3:649" s="157" customFormat="1" ht="14.45" outlineLevel="1">
      <c r="C42" s="151" t="s">
        <v>26</v>
      </c>
      <c r="D42" s="152" t="s">
        <v>78</v>
      </c>
      <c r="E42" s="224"/>
      <c r="F42" s="154"/>
      <c r="G42" s="154"/>
      <c r="H42" s="154"/>
      <c r="I42" s="154"/>
      <c r="J42" s="154"/>
      <c r="K42" s="154">
        <f>50*G$70</f>
        <v>5.8500788222265641</v>
      </c>
      <c r="L42" s="154">
        <f t="shared" ref="L42:N42" si="2">50*H$70</f>
        <v>2.4854761904761915</v>
      </c>
      <c r="M42" s="154">
        <f t="shared" si="2"/>
        <v>1.8457142857142865</v>
      </c>
      <c r="N42" s="154">
        <f t="shared" si="2"/>
        <v>5.5106666666666664</v>
      </c>
      <c r="O42" s="154">
        <f>50*K$70</f>
        <v>3.602857142857141</v>
      </c>
      <c r="P42" s="154">
        <f t="shared" ref="P42" si="3">50*L$70</f>
        <v>3.8953941111328243</v>
      </c>
      <c r="Q42" s="154">
        <f t="shared" si="0"/>
        <v>23.190187219073671</v>
      </c>
      <c r="R42" s="154">
        <f>35-Table4232[[#This Row],[Total]]</f>
        <v>11.809812780926329</v>
      </c>
      <c r="S42" s="152" t="s">
        <v>28</v>
      </c>
      <c r="T42" s="153"/>
      <c r="U42" s="171"/>
      <c r="V42" s="172" t="e">
        <f>IF(#REF!="","Other Major Projects","Data Centre")</f>
        <v>#REF!</v>
      </c>
      <c r="W42" s="173"/>
      <c r="X42" s="152">
        <f>Table4232[[#This Row],[Post 2033]]+Table4232[[#This Row],[Total]]</f>
        <v>35</v>
      </c>
      <c r="Y42" s="152" t="s">
        <v>50</v>
      </c>
      <c r="Z42" s="156"/>
      <c r="AA42" s="155"/>
      <c r="AB42" s="155"/>
      <c r="AC42" s="155"/>
      <c r="AD42" s="155"/>
      <c r="AE42" s="155"/>
      <c r="AF42" s="156"/>
      <c r="AG42" s="156"/>
      <c r="AH42" s="156"/>
      <c r="AI42" s="156"/>
      <c r="AJ42" s="156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  <c r="DT42" s="155"/>
      <c r="DU42" s="155"/>
      <c r="DV42" s="155"/>
      <c r="DW42" s="155"/>
      <c r="DX42" s="155"/>
      <c r="DY42" s="155"/>
      <c r="DZ42" s="155"/>
      <c r="EA42" s="155"/>
      <c r="EB42" s="155"/>
      <c r="EC42" s="155"/>
      <c r="ED42" s="155"/>
      <c r="EE42" s="155"/>
      <c r="EF42" s="155"/>
      <c r="EG42" s="155"/>
      <c r="EH42" s="155"/>
      <c r="EI42" s="155"/>
      <c r="EJ42" s="155"/>
      <c r="EK42" s="155"/>
      <c r="EL42" s="155"/>
      <c r="EM42" s="155"/>
      <c r="EN42" s="155"/>
      <c r="EO42" s="155"/>
      <c r="EP42" s="155"/>
      <c r="EQ42" s="155"/>
      <c r="ER42" s="155"/>
      <c r="ES42" s="155"/>
      <c r="ET42" s="155"/>
      <c r="EU42" s="155"/>
      <c r="EV42" s="155"/>
      <c r="EW42" s="155"/>
      <c r="EX42" s="155"/>
      <c r="EY42" s="155"/>
      <c r="EZ42" s="155"/>
      <c r="FA42" s="155"/>
      <c r="FB42" s="155"/>
      <c r="FC42" s="155"/>
      <c r="FD42" s="155"/>
      <c r="FE42" s="155"/>
      <c r="FF42" s="155"/>
      <c r="FG42" s="155"/>
      <c r="FH42" s="155"/>
      <c r="FI42" s="155"/>
      <c r="FJ42" s="155"/>
      <c r="FK42" s="155"/>
      <c r="FL42" s="155"/>
      <c r="FM42" s="155"/>
      <c r="FN42" s="155"/>
      <c r="FO42" s="155"/>
      <c r="FP42" s="155"/>
      <c r="FQ42" s="155"/>
      <c r="FR42" s="155"/>
      <c r="FS42" s="155"/>
      <c r="FT42" s="155"/>
      <c r="FU42" s="155"/>
      <c r="FV42" s="155"/>
      <c r="FW42" s="155"/>
      <c r="FX42" s="155"/>
      <c r="FY42" s="155"/>
      <c r="FZ42" s="155"/>
      <c r="GA42" s="155"/>
      <c r="GB42" s="155"/>
      <c r="GC42" s="155"/>
      <c r="GD42" s="155"/>
      <c r="GE42" s="155"/>
      <c r="GF42" s="155"/>
      <c r="GG42" s="155"/>
      <c r="GH42" s="155"/>
      <c r="GI42" s="155"/>
      <c r="GJ42" s="155"/>
      <c r="GK42" s="155"/>
      <c r="GL42" s="155"/>
      <c r="GM42" s="155"/>
      <c r="GN42" s="155"/>
      <c r="GO42" s="155"/>
      <c r="GP42" s="155"/>
      <c r="GQ42" s="155"/>
      <c r="GR42" s="155"/>
      <c r="GS42" s="155"/>
      <c r="GT42" s="155"/>
      <c r="GU42" s="155"/>
      <c r="GV42" s="155"/>
      <c r="GW42" s="155"/>
      <c r="GX42" s="155"/>
      <c r="GY42" s="155"/>
      <c r="GZ42" s="155"/>
      <c r="HA42" s="155"/>
      <c r="HB42" s="155"/>
      <c r="HC42" s="155"/>
      <c r="HD42" s="155"/>
      <c r="HE42" s="155"/>
      <c r="HF42" s="155"/>
      <c r="HG42" s="155"/>
      <c r="HH42" s="155"/>
      <c r="HI42" s="155"/>
      <c r="HJ42" s="155"/>
      <c r="HK42" s="155"/>
      <c r="HL42" s="155"/>
      <c r="HM42" s="155"/>
      <c r="HN42" s="155"/>
      <c r="HO42" s="155"/>
      <c r="HP42" s="155"/>
      <c r="HQ42" s="155"/>
      <c r="HR42" s="155"/>
      <c r="HS42" s="155"/>
      <c r="HT42" s="155"/>
      <c r="HU42" s="155"/>
      <c r="HX42" s="155"/>
      <c r="HY42" s="155"/>
      <c r="HZ42" s="155"/>
      <c r="IA42" s="155"/>
      <c r="IB42" s="155"/>
      <c r="IC42" s="155"/>
      <c r="ID42" s="155"/>
      <c r="IE42" s="155"/>
      <c r="IF42" s="155"/>
      <c r="IG42" s="155"/>
      <c r="IH42" s="155"/>
      <c r="II42" s="155"/>
      <c r="IJ42" s="155"/>
      <c r="IK42" s="155"/>
      <c r="IL42" s="155"/>
      <c r="IM42" s="155"/>
      <c r="IN42" s="155"/>
      <c r="IO42" s="155"/>
      <c r="IP42" s="155"/>
      <c r="IQ42" s="155"/>
      <c r="IR42" s="155"/>
      <c r="IS42" s="155"/>
      <c r="IT42" s="155"/>
      <c r="IU42" s="155"/>
      <c r="IV42" s="155"/>
      <c r="IW42" s="155"/>
      <c r="IX42" s="155"/>
      <c r="IY42" s="155"/>
      <c r="IZ42" s="155"/>
      <c r="JA42" s="155"/>
      <c r="JB42" s="155"/>
      <c r="JC42" s="155"/>
      <c r="JD42" s="155"/>
      <c r="JE42" s="155"/>
      <c r="JF42" s="155"/>
      <c r="JG42" s="155"/>
      <c r="JH42" s="155"/>
      <c r="JI42" s="155"/>
      <c r="JJ42" s="155"/>
      <c r="JK42" s="155"/>
      <c r="JL42" s="155"/>
      <c r="JM42" s="155"/>
      <c r="JN42" s="155"/>
      <c r="JO42" s="155"/>
      <c r="JP42" s="155"/>
      <c r="JQ42" s="155"/>
      <c r="JR42" s="155"/>
      <c r="JS42" s="155"/>
      <c r="JT42" s="155"/>
      <c r="JU42" s="155"/>
      <c r="JV42" s="155"/>
      <c r="JW42" s="155"/>
      <c r="JX42" s="155"/>
      <c r="JY42" s="155"/>
      <c r="JZ42" s="155"/>
      <c r="KA42" s="155"/>
      <c r="KB42" s="155"/>
      <c r="KC42" s="155"/>
      <c r="KD42" s="155"/>
      <c r="KE42" s="155"/>
      <c r="KF42" s="155"/>
      <c r="KG42" s="155"/>
      <c r="KH42" s="155"/>
      <c r="KI42" s="155"/>
      <c r="KJ42" s="155"/>
      <c r="KK42" s="155"/>
      <c r="KL42" s="155"/>
      <c r="KM42" s="155"/>
      <c r="KN42" s="155"/>
      <c r="KO42" s="155"/>
      <c r="KP42" s="155"/>
      <c r="KQ42" s="155"/>
      <c r="KR42" s="155"/>
      <c r="KS42" s="155"/>
      <c r="KT42" s="155"/>
      <c r="KU42" s="155"/>
      <c r="KV42" s="155"/>
      <c r="KW42" s="155"/>
      <c r="KX42" s="155"/>
      <c r="KY42" s="155"/>
      <c r="KZ42" s="155"/>
      <c r="LA42" s="155"/>
      <c r="LB42" s="155"/>
      <c r="LC42" s="155"/>
      <c r="LD42" s="155"/>
      <c r="LE42" s="155"/>
      <c r="LF42" s="155"/>
      <c r="LG42" s="155"/>
      <c r="LH42" s="155"/>
      <c r="LI42" s="155"/>
      <c r="LJ42" s="155"/>
      <c r="LK42" s="155"/>
      <c r="LL42" s="155"/>
      <c r="LM42" s="155"/>
      <c r="LN42" s="155"/>
      <c r="LO42" s="155"/>
      <c r="LP42" s="155"/>
      <c r="LQ42" s="155"/>
      <c r="LR42" s="155"/>
      <c r="LS42" s="155"/>
      <c r="LT42" s="155"/>
      <c r="LU42" s="155"/>
      <c r="LV42" s="155"/>
      <c r="LW42" s="155"/>
      <c r="LX42" s="155"/>
      <c r="LY42" s="155"/>
      <c r="LZ42" s="155"/>
      <c r="MA42" s="155"/>
      <c r="MB42" s="155"/>
      <c r="MC42" s="155"/>
      <c r="MD42" s="155"/>
      <c r="ME42" s="155"/>
      <c r="MF42" s="155"/>
      <c r="MG42" s="155"/>
      <c r="MH42" s="155"/>
      <c r="MI42" s="155"/>
      <c r="MJ42" s="155"/>
      <c r="MK42" s="155"/>
      <c r="ML42" s="155"/>
      <c r="MM42" s="155"/>
      <c r="MN42" s="155"/>
      <c r="MO42" s="155"/>
      <c r="MP42" s="155"/>
      <c r="MQ42" s="155"/>
      <c r="MR42" s="155"/>
      <c r="MS42" s="155"/>
      <c r="MT42" s="155"/>
      <c r="MU42" s="155"/>
      <c r="MV42" s="155"/>
      <c r="MW42" s="155"/>
      <c r="MX42" s="155"/>
      <c r="MY42" s="155"/>
      <c r="MZ42" s="155"/>
      <c r="NA42" s="155"/>
      <c r="NB42" s="155"/>
      <c r="NC42" s="155"/>
      <c r="ND42" s="155"/>
      <c r="NE42" s="155"/>
      <c r="NF42" s="155"/>
      <c r="NG42" s="155"/>
      <c r="NH42" s="155"/>
      <c r="NI42" s="155"/>
      <c r="NJ42" s="155"/>
      <c r="NK42" s="155"/>
      <c r="NL42" s="155"/>
      <c r="NM42" s="155"/>
      <c r="NN42" s="155"/>
      <c r="NO42" s="155"/>
      <c r="NP42" s="155"/>
      <c r="NQ42" s="155"/>
      <c r="NR42" s="155"/>
      <c r="NS42" s="155"/>
      <c r="NT42" s="155"/>
      <c r="NU42" s="155"/>
      <c r="NV42" s="155"/>
      <c r="NW42" s="155"/>
      <c r="NX42" s="155"/>
      <c r="NY42" s="155"/>
      <c r="NZ42" s="155"/>
      <c r="OA42" s="155"/>
      <c r="OB42" s="155"/>
      <c r="OC42" s="155"/>
      <c r="OD42" s="155"/>
      <c r="OE42" s="155"/>
      <c r="OF42" s="155"/>
      <c r="OG42" s="155"/>
      <c r="OH42" s="155"/>
      <c r="OI42" s="155"/>
      <c r="OJ42" s="155"/>
      <c r="OK42" s="155"/>
      <c r="OL42" s="155"/>
      <c r="OM42" s="155"/>
      <c r="ON42" s="155"/>
      <c r="OO42" s="155"/>
      <c r="OP42" s="155"/>
      <c r="OQ42" s="155"/>
      <c r="OR42" s="155"/>
      <c r="OS42" s="155"/>
      <c r="OT42" s="155"/>
      <c r="OU42" s="155"/>
      <c r="OV42" s="155"/>
      <c r="OW42" s="155"/>
      <c r="OX42" s="155"/>
      <c r="OY42" s="155"/>
      <c r="OZ42" s="155"/>
      <c r="PA42" s="155"/>
      <c r="PB42" s="155"/>
      <c r="PC42" s="155"/>
      <c r="PD42" s="155"/>
      <c r="PE42" s="155"/>
      <c r="PF42" s="155"/>
      <c r="PG42" s="155"/>
      <c r="PH42" s="155"/>
      <c r="PI42" s="155"/>
      <c r="PJ42" s="155"/>
      <c r="PK42" s="155"/>
      <c r="PL42" s="155"/>
      <c r="PM42" s="155"/>
      <c r="PN42" s="155"/>
      <c r="PO42" s="155"/>
      <c r="PP42" s="155"/>
      <c r="PQ42" s="155"/>
      <c r="PR42" s="155"/>
      <c r="PS42" s="155"/>
      <c r="PT42" s="155"/>
      <c r="PU42" s="155"/>
      <c r="PV42" s="155"/>
      <c r="PW42" s="155"/>
      <c r="PZ42" s="158"/>
      <c r="QA42" s="158"/>
      <c r="QB42" s="158"/>
      <c r="QC42" s="158"/>
      <c r="QD42" s="158"/>
      <c r="QE42" s="158"/>
      <c r="QF42" s="158"/>
      <c r="QG42" s="158"/>
      <c r="QH42" s="158"/>
      <c r="QI42" s="158"/>
      <c r="QJ42" s="158"/>
      <c r="QK42" s="158"/>
      <c r="QL42" s="158"/>
      <c r="QM42" s="158"/>
      <c r="QN42" s="158"/>
      <c r="QO42" s="158"/>
      <c r="QP42" s="158"/>
      <c r="QQ42" s="158"/>
      <c r="QR42" s="158"/>
      <c r="QS42" s="158"/>
      <c r="QT42" s="158"/>
      <c r="QU42" s="158"/>
      <c r="QV42" s="158"/>
      <c r="QW42" s="158"/>
      <c r="QX42" s="158"/>
      <c r="QY42" s="158"/>
      <c r="QZ42" s="158"/>
      <c r="RA42" s="158"/>
      <c r="RB42" s="158"/>
      <c r="RC42" s="158"/>
      <c r="RD42" s="158"/>
      <c r="RE42" s="158"/>
      <c r="RF42" s="158"/>
      <c r="RG42" s="158"/>
      <c r="RH42" s="158"/>
      <c r="RI42" s="158"/>
      <c r="RJ42" s="158"/>
      <c r="RK42" s="158"/>
      <c r="RL42" s="158"/>
      <c r="RM42" s="158"/>
      <c r="RN42" s="158"/>
      <c r="RO42" s="158"/>
      <c r="RP42" s="158"/>
      <c r="RQ42" s="158"/>
      <c r="RR42" s="158"/>
      <c r="RS42" s="158"/>
      <c r="RT42" s="158"/>
      <c r="RU42" s="158"/>
      <c r="RV42" s="158"/>
      <c r="RW42" s="158"/>
      <c r="RX42" s="158"/>
      <c r="RY42" s="158"/>
      <c r="RZ42" s="158"/>
      <c r="SA42" s="158"/>
      <c r="SB42" s="158"/>
      <c r="SC42" s="158"/>
      <c r="SD42" s="158"/>
      <c r="SE42" s="158"/>
      <c r="SF42" s="158"/>
      <c r="SG42" s="158"/>
      <c r="SH42" s="158"/>
      <c r="SI42" s="158"/>
      <c r="SJ42" s="158"/>
      <c r="SK42" s="158"/>
      <c r="SL42" s="158"/>
      <c r="SM42" s="158"/>
      <c r="SN42" s="158"/>
      <c r="SO42" s="158"/>
      <c r="SP42" s="158"/>
      <c r="SQ42" s="158"/>
      <c r="SR42" s="158"/>
      <c r="SS42" s="158"/>
      <c r="ST42" s="158"/>
      <c r="SU42" s="158"/>
      <c r="SV42" s="158"/>
      <c r="SW42" s="158"/>
      <c r="SX42" s="158"/>
      <c r="SY42" s="158"/>
      <c r="SZ42" s="158"/>
      <c r="TA42" s="158"/>
      <c r="TB42" s="158"/>
      <c r="TC42" s="158"/>
      <c r="TD42" s="158"/>
      <c r="TE42" s="158"/>
      <c r="TF42" s="158"/>
      <c r="TG42" s="158"/>
      <c r="TH42" s="158"/>
      <c r="TI42" s="158"/>
      <c r="TJ42" s="158"/>
      <c r="TK42" s="158"/>
      <c r="TL42" s="158"/>
      <c r="TM42" s="158"/>
      <c r="TN42" s="158"/>
      <c r="TO42" s="158"/>
      <c r="TP42" s="158"/>
      <c r="TQ42" s="158"/>
      <c r="TR42" s="158"/>
      <c r="TS42" s="158"/>
      <c r="TT42" s="158"/>
      <c r="TU42" s="158"/>
      <c r="TV42" s="158"/>
      <c r="TW42" s="158"/>
      <c r="TX42" s="158"/>
      <c r="TY42" s="158"/>
      <c r="TZ42" s="158"/>
      <c r="UA42" s="158"/>
      <c r="UB42" s="158"/>
      <c r="UC42" s="158"/>
      <c r="UD42" s="158"/>
      <c r="UE42" s="158"/>
      <c r="UF42" s="158"/>
      <c r="UG42" s="158"/>
      <c r="UH42" s="158"/>
      <c r="UI42" s="158"/>
      <c r="UJ42" s="158"/>
      <c r="UK42" s="158"/>
      <c r="UL42" s="158"/>
      <c r="UM42" s="158"/>
      <c r="UN42" s="158"/>
      <c r="UO42" s="158"/>
      <c r="UP42" s="158"/>
      <c r="UQ42" s="158"/>
      <c r="UR42" s="158"/>
      <c r="US42" s="158"/>
      <c r="UT42" s="158"/>
      <c r="UU42" s="158"/>
      <c r="UV42" s="158"/>
      <c r="UW42" s="158"/>
      <c r="UX42" s="158"/>
      <c r="UY42" s="158"/>
      <c r="UZ42" s="158"/>
      <c r="VA42" s="158"/>
      <c r="VB42" s="158"/>
      <c r="VC42" s="158"/>
      <c r="VD42" s="158"/>
      <c r="VE42" s="158"/>
      <c r="VF42" s="158"/>
      <c r="VG42" s="158"/>
      <c r="VH42" s="158"/>
      <c r="VI42" s="158"/>
      <c r="VJ42" s="158"/>
      <c r="VK42" s="158"/>
      <c r="VL42" s="158"/>
      <c r="VM42" s="158"/>
      <c r="VN42" s="158"/>
      <c r="VO42" s="158"/>
      <c r="VP42" s="158"/>
      <c r="VQ42" s="158"/>
      <c r="VR42" s="158"/>
      <c r="VS42" s="158"/>
      <c r="VT42" s="158"/>
      <c r="VU42" s="158"/>
      <c r="VV42" s="158"/>
      <c r="VW42" s="158"/>
      <c r="VX42" s="158"/>
      <c r="VY42" s="158"/>
      <c r="VZ42" s="158"/>
      <c r="WA42" s="158"/>
      <c r="WB42" s="158"/>
      <c r="WC42" s="158"/>
      <c r="WD42" s="158"/>
      <c r="WE42" s="158"/>
      <c r="WF42" s="158"/>
      <c r="WG42" s="158"/>
      <c r="WH42" s="158"/>
      <c r="WI42" s="158"/>
      <c r="WJ42" s="158"/>
      <c r="WK42" s="158"/>
      <c r="WL42" s="158"/>
      <c r="WM42" s="158"/>
      <c r="WN42" s="158"/>
      <c r="WO42" s="158"/>
      <c r="WP42" s="158"/>
      <c r="WQ42" s="158"/>
      <c r="WR42" s="158"/>
      <c r="WS42" s="158"/>
      <c r="WT42" s="158"/>
      <c r="WU42" s="158"/>
      <c r="WV42" s="158"/>
      <c r="WW42" s="158"/>
      <c r="WX42" s="158"/>
      <c r="WY42" s="158"/>
      <c r="WZ42" s="158"/>
      <c r="XA42" s="158"/>
      <c r="XB42" s="158"/>
      <c r="XC42" s="158"/>
      <c r="XD42" s="158"/>
      <c r="XE42" s="158"/>
      <c r="XF42" s="158"/>
      <c r="XG42" s="158"/>
      <c r="XH42" s="158"/>
      <c r="XI42" s="158"/>
      <c r="XJ42" s="158"/>
      <c r="XK42" s="158"/>
      <c r="XL42" s="158"/>
      <c r="XM42" s="158"/>
      <c r="XN42" s="158"/>
      <c r="XO42" s="158"/>
      <c r="XP42" s="158"/>
      <c r="XQ42" s="158"/>
      <c r="XR42" s="158"/>
      <c r="XS42" s="158"/>
      <c r="XT42" s="158"/>
      <c r="XU42" s="158"/>
      <c r="XV42" s="158"/>
      <c r="XW42" s="158"/>
      <c r="XX42" s="158"/>
      <c r="XY42" s="158"/>
    </row>
    <row r="43" spans="3:649" s="157" customFormat="1" ht="14.45" outlineLevel="1">
      <c r="C43" s="151" t="s">
        <v>26</v>
      </c>
      <c r="D43" s="152" t="s">
        <v>79</v>
      </c>
      <c r="E43" s="224"/>
      <c r="F43" s="154"/>
      <c r="G43" s="154"/>
      <c r="H43" s="154"/>
      <c r="I43" s="154"/>
      <c r="J43" s="154"/>
      <c r="K43" s="154"/>
      <c r="L43" s="154">
        <f>190*G$70</f>
        <v>22.230299524460943</v>
      </c>
      <c r="M43" s="154">
        <f t="shared" ref="M43:P43" si="4">190*H$70</f>
        <v>9.4448095238095267</v>
      </c>
      <c r="N43" s="154">
        <f t="shared" si="4"/>
        <v>7.0137142857142889</v>
      </c>
      <c r="O43" s="154">
        <f t="shared" si="4"/>
        <v>20.940533333333331</v>
      </c>
      <c r="P43" s="154">
        <f t="shared" si="4"/>
        <v>13.690857142857135</v>
      </c>
      <c r="Q43" s="154">
        <f t="shared" si="0"/>
        <v>73.320213810175233</v>
      </c>
      <c r="R43" s="154">
        <f>190-Table4232[[#This Row],[Total]]</f>
        <v>116.67978618982477</v>
      </c>
      <c r="S43" s="152" t="s">
        <v>41</v>
      </c>
      <c r="T43" s="153"/>
      <c r="U43" s="171"/>
      <c r="V43" s="172" t="e">
        <f>IF(#REF!="","Other Major Projects","Data Centre")</f>
        <v>#REF!</v>
      </c>
      <c r="W43" s="173"/>
      <c r="X43" s="152">
        <f>Table4232[[#This Row],[Post 2033]]+Table4232[[#This Row],[Total]]</f>
        <v>190</v>
      </c>
      <c r="Y43" s="152" t="s">
        <v>50</v>
      </c>
      <c r="Z43" s="156"/>
      <c r="AA43" s="155"/>
      <c r="AB43" s="155"/>
      <c r="AC43" s="155"/>
      <c r="AD43" s="155"/>
      <c r="AE43" s="155"/>
      <c r="AF43" s="156"/>
      <c r="AG43" s="156"/>
      <c r="AH43" s="156"/>
      <c r="AI43" s="156"/>
      <c r="AJ43" s="156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  <c r="DT43" s="155"/>
      <c r="DU43" s="155"/>
      <c r="DV43" s="155"/>
      <c r="DW43" s="155"/>
      <c r="DX43" s="155"/>
      <c r="DY43" s="155"/>
      <c r="DZ43" s="155"/>
      <c r="EA43" s="155"/>
      <c r="EB43" s="155"/>
      <c r="EC43" s="155"/>
      <c r="ED43" s="155"/>
      <c r="EE43" s="155"/>
      <c r="EF43" s="155"/>
      <c r="EG43" s="155"/>
      <c r="EH43" s="155"/>
      <c r="EI43" s="155"/>
      <c r="EJ43" s="155"/>
      <c r="EK43" s="155"/>
      <c r="EL43" s="155"/>
      <c r="EM43" s="155"/>
      <c r="EN43" s="155"/>
      <c r="EO43" s="155"/>
      <c r="EP43" s="155"/>
      <c r="EQ43" s="155"/>
      <c r="ER43" s="155"/>
      <c r="ES43" s="155"/>
      <c r="ET43" s="155"/>
      <c r="EU43" s="155"/>
      <c r="EV43" s="155"/>
      <c r="EW43" s="155"/>
      <c r="EX43" s="155"/>
      <c r="EY43" s="155"/>
      <c r="EZ43" s="155"/>
      <c r="FA43" s="155"/>
      <c r="FB43" s="155"/>
      <c r="FC43" s="155"/>
      <c r="FD43" s="155"/>
      <c r="FE43" s="155"/>
      <c r="FF43" s="155"/>
      <c r="FG43" s="155"/>
      <c r="FH43" s="155"/>
      <c r="FI43" s="155"/>
      <c r="FJ43" s="155"/>
      <c r="FK43" s="155"/>
      <c r="FL43" s="155"/>
      <c r="FM43" s="155"/>
      <c r="FN43" s="155"/>
      <c r="FO43" s="155"/>
      <c r="FP43" s="155"/>
      <c r="FQ43" s="155"/>
      <c r="FR43" s="155"/>
      <c r="FS43" s="155"/>
      <c r="FT43" s="155"/>
      <c r="FU43" s="155"/>
      <c r="FV43" s="155"/>
      <c r="FW43" s="155"/>
      <c r="FX43" s="155"/>
      <c r="FY43" s="155"/>
      <c r="FZ43" s="155"/>
      <c r="GA43" s="155"/>
      <c r="GB43" s="155"/>
      <c r="GC43" s="155"/>
      <c r="GD43" s="155"/>
      <c r="GE43" s="155"/>
      <c r="GF43" s="155"/>
      <c r="GG43" s="155"/>
      <c r="GH43" s="155"/>
      <c r="GI43" s="155"/>
      <c r="GJ43" s="155"/>
      <c r="GK43" s="155"/>
      <c r="GL43" s="155"/>
      <c r="GM43" s="155"/>
      <c r="GN43" s="155"/>
      <c r="GO43" s="155"/>
      <c r="GP43" s="155"/>
      <c r="GQ43" s="155"/>
      <c r="GR43" s="155"/>
      <c r="GS43" s="155"/>
      <c r="GT43" s="155"/>
      <c r="GU43" s="155"/>
      <c r="GV43" s="155"/>
      <c r="GW43" s="155"/>
      <c r="GX43" s="155"/>
      <c r="GY43" s="155"/>
      <c r="GZ43" s="155"/>
      <c r="HA43" s="155"/>
      <c r="HB43" s="155"/>
      <c r="HC43" s="155"/>
      <c r="HD43" s="155"/>
      <c r="HE43" s="155"/>
      <c r="HF43" s="155"/>
      <c r="HG43" s="155"/>
      <c r="HH43" s="155"/>
      <c r="HI43" s="155"/>
      <c r="HJ43" s="155"/>
      <c r="HK43" s="155"/>
      <c r="HL43" s="155"/>
      <c r="HM43" s="155"/>
      <c r="HN43" s="155"/>
      <c r="HO43" s="155"/>
      <c r="HP43" s="155"/>
      <c r="HQ43" s="155"/>
      <c r="HR43" s="155"/>
      <c r="HS43" s="155"/>
      <c r="HT43" s="155"/>
      <c r="HU43" s="155"/>
      <c r="HX43" s="155"/>
      <c r="HY43" s="155"/>
      <c r="HZ43" s="155"/>
      <c r="IA43" s="155"/>
      <c r="IB43" s="155"/>
      <c r="IC43" s="155"/>
      <c r="ID43" s="155"/>
      <c r="IE43" s="155"/>
      <c r="IF43" s="155"/>
      <c r="IG43" s="155"/>
      <c r="IH43" s="155"/>
      <c r="II43" s="155"/>
      <c r="IJ43" s="155"/>
      <c r="IK43" s="155"/>
      <c r="IL43" s="155"/>
      <c r="IM43" s="155"/>
      <c r="IN43" s="155"/>
      <c r="IO43" s="155"/>
      <c r="IP43" s="155"/>
      <c r="IQ43" s="155"/>
      <c r="IR43" s="155"/>
      <c r="IS43" s="155"/>
      <c r="IT43" s="155"/>
      <c r="IU43" s="155"/>
      <c r="IV43" s="155"/>
      <c r="IW43" s="155"/>
      <c r="IX43" s="155"/>
      <c r="IY43" s="155"/>
      <c r="IZ43" s="155"/>
      <c r="JA43" s="155"/>
      <c r="JB43" s="155"/>
      <c r="JC43" s="155"/>
      <c r="JD43" s="155"/>
      <c r="JE43" s="155"/>
      <c r="JF43" s="155"/>
      <c r="JG43" s="155"/>
      <c r="JH43" s="155"/>
      <c r="JI43" s="155"/>
      <c r="JJ43" s="155"/>
      <c r="JK43" s="155"/>
      <c r="JL43" s="155"/>
      <c r="JM43" s="155"/>
      <c r="JN43" s="155"/>
      <c r="JO43" s="155"/>
      <c r="JP43" s="155"/>
      <c r="JQ43" s="155"/>
      <c r="JR43" s="155"/>
      <c r="JS43" s="155"/>
      <c r="JT43" s="155"/>
      <c r="JU43" s="155"/>
      <c r="JV43" s="155"/>
      <c r="JW43" s="155"/>
      <c r="JX43" s="155"/>
      <c r="JY43" s="155"/>
      <c r="JZ43" s="155"/>
      <c r="KA43" s="155"/>
      <c r="KB43" s="155"/>
      <c r="KC43" s="155"/>
      <c r="KD43" s="155"/>
      <c r="KE43" s="155"/>
      <c r="KF43" s="155"/>
      <c r="KG43" s="155"/>
      <c r="KH43" s="155"/>
      <c r="KI43" s="155"/>
      <c r="KJ43" s="155"/>
      <c r="KK43" s="155"/>
      <c r="KL43" s="155"/>
      <c r="KM43" s="155"/>
      <c r="KN43" s="155"/>
      <c r="KO43" s="155"/>
      <c r="KP43" s="155"/>
      <c r="KQ43" s="155"/>
      <c r="KR43" s="155"/>
      <c r="KS43" s="155"/>
      <c r="KT43" s="155"/>
      <c r="KU43" s="155"/>
      <c r="KV43" s="155"/>
      <c r="KW43" s="155"/>
      <c r="KX43" s="155"/>
      <c r="KY43" s="155"/>
      <c r="KZ43" s="155"/>
      <c r="LA43" s="155"/>
      <c r="LB43" s="155"/>
      <c r="LC43" s="155"/>
      <c r="LD43" s="155"/>
      <c r="LE43" s="155"/>
      <c r="LF43" s="155"/>
      <c r="LG43" s="155"/>
      <c r="LH43" s="155"/>
      <c r="LI43" s="155"/>
      <c r="LJ43" s="155"/>
      <c r="LK43" s="155"/>
      <c r="LL43" s="155"/>
      <c r="LM43" s="155"/>
      <c r="LN43" s="155"/>
      <c r="LO43" s="155"/>
      <c r="LP43" s="155"/>
      <c r="LQ43" s="155"/>
      <c r="LR43" s="155"/>
      <c r="LS43" s="155"/>
      <c r="LT43" s="155"/>
      <c r="LU43" s="155"/>
      <c r="LV43" s="155"/>
      <c r="LW43" s="155"/>
      <c r="LX43" s="155"/>
      <c r="LY43" s="155"/>
      <c r="LZ43" s="155"/>
      <c r="MA43" s="155"/>
      <c r="MB43" s="155"/>
      <c r="MC43" s="155"/>
      <c r="MD43" s="155"/>
      <c r="ME43" s="155"/>
      <c r="MF43" s="155"/>
      <c r="MG43" s="155"/>
      <c r="MH43" s="155"/>
      <c r="MI43" s="155"/>
      <c r="MJ43" s="155"/>
      <c r="MK43" s="155"/>
      <c r="ML43" s="155"/>
      <c r="MM43" s="155"/>
      <c r="MN43" s="155"/>
      <c r="MO43" s="155"/>
      <c r="MP43" s="155"/>
      <c r="MQ43" s="155"/>
      <c r="MR43" s="155"/>
      <c r="MS43" s="155"/>
      <c r="MT43" s="155"/>
      <c r="MU43" s="155"/>
      <c r="MV43" s="155"/>
      <c r="MW43" s="155"/>
      <c r="MX43" s="155"/>
      <c r="MY43" s="155"/>
      <c r="MZ43" s="155"/>
      <c r="NA43" s="155"/>
      <c r="NB43" s="155"/>
      <c r="NC43" s="155"/>
      <c r="ND43" s="155"/>
      <c r="NE43" s="155"/>
      <c r="NF43" s="155"/>
      <c r="NG43" s="155"/>
      <c r="NH43" s="155"/>
      <c r="NI43" s="155"/>
      <c r="NJ43" s="155"/>
      <c r="NK43" s="155"/>
      <c r="NL43" s="155"/>
      <c r="NM43" s="155"/>
      <c r="NN43" s="155"/>
      <c r="NO43" s="155"/>
      <c r="NP43" s="155"/>
      <c r="NQ43" s="155"/>
      <c r="NR43" s="155"/>
      <c r="NS43" s="155"/>
      <c r="NT43" s="155"/>
      <c r="NU43" s="155"/>
      <c r="NV43" s="155"/>
      <c r="NW43" s="155"/>
      <c r="NX43" s="155"/>
      <c r="NY43" s="155"/>
      <c r="NZ43" s="155"/>
      <c r="OA43" s="155"/>
      <c r="OB43" s="155"/>
      <c r="OC43" s="155"/>
      <c r="OD43" s="155"/>
      <c r="OE43" s="155"/>
      <c r="OF43" s="155"/>
      <c r="OG43" s="155"/>
      <c r="OH43" s="155"/>
      <c r="OI43" s="155"/>
      <c r="OJ43" s="155"/>
      <c r="OK43" s="155"/>
      <c r="OL43" s="155"/>
      <c r="OM43" s="155"/>
      <c r="ON43" s="155"/>
      <c r="OO43" s="155"/>
      <c r="OP43" s="155"/>
      <c r="OQ43" s="155"/>
      <c r="OR43" s="155"/>
      <c r="OS43" s="155"/>
      <c r="OT43" s="155"/>
      <c r="OU43" s="155"/>
      <c r="OV43" s="155"/>
      <c r="OW43" s="155"/>
      <c r="OX43" s="155"/>
      <c r="OY43" s="155"/>
      <c r="OZ43" s="155"/>
      <c r="PA43" s="155"/>
      <c r="PB43" s="155"/>
      <c r="PC43" s="155"/>
      <c r="PD43" s="155"/>
      <c r="PE43" s="155"/>
      <c r="PF43" s="155"/>
      <c r="PG43" s="155"/>
      <c r="PH43" s="155"/>
      <c r="PI43" s="155"/>
      <c r="PJ43" s="155"/>
      <c r="PK43" s="155"/>
      <c r="PL43" s="155"/>
      <c r="PM43" s="155"/>
      <c r="PN43" s="155"/>
      <c r="PO43" s="155"/>
      <c r="PP43" s="155"/>
      <c r="PQ43" s="155"/>
      <c r="PR43" s="155"/>
      <c r="PS43" s="155"/>
      <c r="PT43" s="155"/>
      <c r="PU43" s="155"/>
      <c r="PV43" s="155"/>
      <c r="PW43" s="155"/>
      <c r="PZ43" s="158"/>
      <c r="QA43" s="158"/>
      <c r="QB43" s="158"/>
      <c r="QC43" s="158"/>
      <c r="QD43" s="158"/>
      <c r="QE43" s="158"/>
      <c r="QF43" s="158"/>
      <c r="QG43" s="158"/>
      <c r="QH43" s="158"/>
      <c r="QI43" s="158"/>
      <c r="QJ43" s="158"/>
      <c r="QK43" s="158"/>
      <c r="QL43" s="158"/>
      <c r="QM43" s="158"/>
      <c r="QN43" s="158"/>
      <c r="QO43" s="158"/>
      <c r="QP43" s="158"/>
      <c r="QQ43" s="158"/>
      <c r="QR43" s="158"/>
      <c r="QS43" s="158"/>
      <c r="QT43" s="158"/>
      <c r="QU43" s="158"/>
      <c r="QV43" s="158"/>
      <c r="QW43" s="158"/>
      <c r="QX43" s="158"/>
      <c r="QY43" s="158"/>
      <c r="QZ43" s="158"/>
      <c r="RA43" s="158"/>
      <c r="RB43" s="158"/>
      <c r="RC43" s="158"/>
      <c r="RD43" s="158"/>
      <c r="RE43" s="158"/>
      <c r="RF43" s="158"/>
      <c r="RG43" s="158"/>
      <c r="RH43" s="158"/>
      <c r="RI43" s="158"/>
      <c r="RJ43" s="158"/>
      <c r="RK43" s="158"/>
      <c r="RL43" s="158"/>
      <c r="RM43" s="158"/>
      <c r="RN43" s="158"/>
      <c r="RO43" s="158"/>
      <c r="RP43" s="158"/>
      <c r="RQ43" s="158"/>
      <c r="RR43" s="158"/>
      <c r="RS43" s="158"/>
      <c r="RT43" s="158"/>
      <c r="RU43" s="158"/>
      <c r="RV43" s="158"/>
      <c r="RW43" s="158"/>
      <c r="RX43" s="158"/>
      <c r="RY43" s="158"/>
      <c r="RZ43" s="158"/>
      <c r="SA43" s="158"/>
      <c r="SB43" s="158"/>
      <c r="SC43" s="158"/>
      <c r="SD43" s="158"/>
      <c r="SE43" s="158"/>
      <c r="SF43" s="158"/>
      <c r="SG43" s="158"/>
      <c r="SH43" s="158"/>
      <c r="SI43" s="158"/>
      <c r="SJ43" s="158"/>
      <c r="SK43" s="158"/>
      <c r="SL43" s="158"/>
      <c r="SM43" s="158"/>
      <c r="SN43" s="158"/>
      <c r="SO43" s="158"/>
      <c r="SP43" s="158"/>
      <c r="SQ43" s="158"/>
      <c r="SR43" s="158"/>
      <c r="SS43" s="158"/>
      <c r="ST43" s="158"/>
      <c r="SU43" s="158"/>
      <c r="SV43" s="158"/>
      <c r="SW43" s="158"/>
      <c r="SX43" s="158"/>
      <c r="SY43" s="158"/>
      <c r="SZ43" s="158"/>
      <c r="TA43" s="158"/>
      <c r="TB43" s="158"/>
      <c r="TC43" s="158"/>
      <c r="TD43" s="158"/>
      <c r="TE43" s="158"/>
      <c r="TF43" s="158"/>
      <c r="TG43" s="158"/>
      <c r="TH43" s="158"/>
      <c r="TI43" s="158"/>
      <c r="TJ43" s="158"/>
      <c r="TK43" s="158"/>
      <c r="TL43" s="158"/>
      <c r="TM43" s="158"/>
      <c r="TN43" s="158"/>
      <c r="TO43" s="158"/>
      <c r="TP43" s="158"/>
      <c r="TQ43" s="158"/>
      <c r="TR43" s="158"/>
      <c r="TS43" s="158"/>
      <c r="TT43" s="158"/>
      <c r="TU43" s="158"/>
      <c r="TV43" s="158"/>
      <c r="TW43" s="158"/>
      <c r="TX43" s="158"/>
      <c r="TY43" s="158"/>
      <c r="TZ43" s="158"/>
      <c r="UA43" s="158"/>
      <c r="UB43" s="158"/>
      <c r="UC43" s="158"/>
      <c r="UD43" s="158"/>
      <c r="UE43" s="158"/>
      <c r="UF43" s="158"/>
      <c r="UG43" s="158"/>
      <c r="UH43" s="158"/>
      <c r="UI43" s="158"/>
      <c r="UJ43" s="158"/>
      <c r="UK43" s="158"/>
      <c r="UL43" s="158"/>
      <c r="UM43" s="158"/>
      <c r="UN43" s="158"/>
      <c r="UO43" s="158"/>
      <c r="UP43" s="158"/>
      <c r="UQ43" s="158"/>
      <c r="UR43" s="158"/>
      <c r="US43" s="158"/>
      <c r="UT43" s="158"/>
      <c r="UU43" s="158"/>
      <c r="UV43" s="158"/>
      <c r="UW43" s="158"/>
      <c r="UX43" s="158"/>
      <c r="UY43" s="158"/>
      <c r="UZ43" s="158"/>
      <c r="VA43" s="158"/>
      <c r="VB43" s="158"/>
      <c r="VC43" s="158"/>
      <c r="VD43" s="158"/>
      <c r="VE43" s="158"/>
      <c r="VF43" s="158"/>
      <c r="VG43" s="158"/>
      <c r="VH43" s="158"/>
      <c r="VI43" s="158"/>
      <c r="VJ43" s="158"/>
      <c r="VK43" s="158"/>
      <c r="VL43" s="158"/>
      <c r="VM43" s="158"/>
      <c r="VN43" s="158"/>
      <c r="VO43" s="158"/>
      <c r="VP43" s="158"/>
      <c r="VQ43" s="158"/>
      <c r="VR43" s="158"/>
      <c r="VS43" s="158"/>
      <c r="VT43" s="158"/>
      <c r="VU43" s="158"/>
      <c r="VV43" s="158"/>
      <c r="VW43" s="158"/>
      <c r="VX43" s="158"/>
      <c r="VY43" s="158"/>
      <c r="VZ43" s="158"/>
      <c r="WA43" s="158"/>
      <c r="WB43" s="158"/>
      <c r="WC43" s="158"/>
      <c r="WD43" s="158"/>
      <c r="WE43" s="158"/>
      <c r="WF43" s="158"/>
      <c r="WG43" s="158"/>
      <c r="WH43" s="158"/>
      <c r="WI43" s="158"/>
      <c r="WJ43" s="158"/>
      <c r="WK43" s="158"/>
      <c r="WL43" s="158"/>
      <c r="WM43" s="158"/>
      <c r="WN43" s="158"/>
      <c r="WO43" s="158"/>
      <c r="WP43" s="158"/>
      <c r="WQ43" s="158"/>
      <c r="WR43" s="158"/>
      <c r="WS43" s="158"/>
      <c r="WT43" s="158"/>
      <c r="WU43" s="158"/>
      <c r="WV43" s="158"/>
      <c r="WW43" s="158"/>
      <c r="WX43" s="158"/>
      <c r="WY43" s="158"/>
      <c r="WZ43" s="158"/>
      <c r="XA43" s="158"/>
      <c r="XB43" s="158"/>
      <c r="XC43" s="158"/>
      <c r="XD43" s="158"/>
      <c r="XE43" s="158"/>
      <c r="XF43" s="158"/>
      <c r="XG43" s="158"/>
      <c r="XH43" s="158"/>
      <c r="XI43" s="158"/>
      <c r="XJ43" s="158"/>
      <c r="XK43" s="158"/>
      <c r="XL43" s="158"/>
      <c r="XM43" s="158"/>
      <c r="XN43" s="158"/>
      <c r="XO43" s="158"/>
      <c r="XP43" s="158"/>
      <c r="XQ43" s="158"/>
      <c r="XR43" s="158"/>
      <c r="XS43" s="158"/>
      <c r="XT43" s="158"/>
      <c r="XU43" s="158"/>
      <c r="XV43" s="158"/>
      <c r="XW43" s="158"/>
      <c r="XX43" s="158"/>
      <c r="XY43" s="158"/>
    </row>
    <row r="44" spans="3:649" s="53" customFormat="1" ht="14.45" outlineLevel="1">
      <c r="C44" s="30" t="s">
        <v>26</v>
      </c>
      <c r="D44" s="28" t="s">
        <v>80</v>
      </c>
      <c r="E44" s="221"/>
      <c r="F44" s="51"/>
      <c r="G44" s="51"/>
      <c r="H44" s="51"/>
      <c r="I44" s="51"/>
      <c r="J44" s="51"/>
      <c r="K44" s="51"/>
      <c r="L44" s="51"/>
      <c r="M44" s="51">
        <v>23.400315288906256</v>
      </c>
      <c r="N44" s="51">
        <v>9.941904761904766</v>
      </c>
      <c r="O44" s="51">
        <v>7.3828571428571461</v>
      </c>
      <c r="P44" s="51">
        <v>22.042666666666666</v>
      </c>
      <c r="Q44" s="51">
        <f t="shared" si="0"/>
        <v>62.767743860334832</v>
      </c>
      <c r="R44" s="51">
        <v>137.23225613966517</v>
      </c>
      <c r="S44" s="152" t="s">
        <v>41</v>
      </c>
      <c r="T44" s="31" t="s">
        <v>81</v>
      </c>
      <c r="U44" s="169"/>
      <c r="V44" s="170" t="e">
        <f>IF(#REF!="","Other Major Projects","Data Centre")</f>
        <v>#REF!</v>
      </c>
      <c r="W44" s="168"/>
      <c r="X44" s="28">
        <f>Table4232[[#This Row],[Post 2033]]+Table4232[[#This Row],[Total]]</f>
        <v>200</v>
      </c>
      <c r="Y44" s="28" t="s">
        <v>50</v>
      </c>
      <c r="Z44" s="52"/>
      <c r="AA44" s="27"/>
      <c r="AB44" s="27"/>
      <c r="AC44" s="27"/>
      <c r="AD44" s="27"/>
      <c r="AE44" s="27"/>
      <c r="AF44" s="52"/>
      <c r="AG44" s="52"/>
      <c r="AH44" s="52"/>
      <c r="AI44" s="52"/>
      <c r="AJ44" s="52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  <c r="IW44" s="27"/>
      <c r="IX44" s="27"/>
      <c r="IY44" s="27"/>
      <c r="IZ44" s="27"/>
      <c r="JA44" s="27"/>
      <c r="JB44" s="27"/>
      <c r="JC44" s="27"/>
      <c r="JD44" s="27"/>
      <c r="JE44" s="27"/>
      <c r="JF44" s="27"/>
      <c r="JG44" s="27"/>
      <c r="JH44" s="27"/>
      <c r="JI44" s="27"/>
      <c r="JJ44" s="27"/>
      <c r="JK44" s="27"/>
      <c r="JL44" s="27"/>
      <c r="JM44" s="27"/>
      <c r="JN44" s="27"/>
      <c r="JO44" s="27"/>
      <c r="JP44" s="27"/>
      <c r="JQ44" s="27"/>
      <c r="JR44" s="27"/>
      <c r="JS44" s="27"/>
      <c r="JT44" s="27"/>
      <c r="JU44" s="27"/>
      <c r="JV44" s="27"/>
      <c r="JW44" s="27"/>
      <c r="JX44" s="27"/>
      <c r="JY44" s="27"/>
      <c r="JZ44" s="27"/>
      <c r="KA44" s="27"/>
      <c r="KB44" s="27"/>
      <c r="KC44" s="27"/>
      <c r="KD44" s="27"/>
      <c r="KE44" s="27"/>
      <c r="KF44" s="27"/>
      <c r="KG44" s="27"/>
      <c r="KH44" s="27"/>
      <c r="KI44" s="27"/>
      <c r="KJ44" s="27"/>
      <c r="KK44" s="27"/>
      <c r="KL44" s="27"/>
      <c r="KM44" s="27"/>
      <c r="KN44" s="27"/>
      <c r="KO44" s="27"/>
      <c r="KP44" s="27"/>
      <c r="KQ44" s="27"/>
      <c r="KR44" s="27"/>
      <c r="KS44" s="27"/>
      <c r="KT44" s="27"/>
      <c r="KU44" s="27"/>
      <c r="KV44" s="27"/>
      <c r="KW44" s="27"/>
      <c r="KX44" s="27"/>
      <c r="KY44" s="27"/>
      <c r="KZ44" s="27"/>
      <c r="LA44" s="27"/>
      <c r="LB44" s="27"/>
      <c r="LC44" s="27"/>
      <c r="LD44" s="27"/>
      <c r="LE44" s="27"/>
      <c r="LF44" s="27"/>
      <c r="LG44" s="27"/>
      <c r="LH44" s="27"/>
      <c r="LI44" s="27"/>
      <c r="LJ44" s="27"/>
      <c r="LK44" s="27"/>
      <c r="LL44" s="27"/>
      <c r="LM44" s="27"/>
      <c r="LN44" s="27"/>
      <c r="LO44" s="27"/>
      <c r="LP44" s="27"/>
      <c r="LQ44" s="27"/>
      <c r="LR44" s="27"/>
      <c r="LS44" s="27"/>
      <c r="LT44" s="27"/>
      <c r="LU44" s="27"/>
      <c r="LV44" s="27"/>
      <c r="LW44" s="27"/>
      <c r="LX44" s="27"/>
      <c r="LY44" s="27"/>
      <c r="LZ44" s="27"/>
      <c r="MA44" s="27"/>
      <c r="MB44" s="27"/>
      <c r="MC44" s="27"/>
      <c r="MD44" s="27"/>
      <c r="ME44" s="27"/>
      <c r="MF44" s="27"/>
      <c r="MG44" s="27"/>
      <c r="MH44" s="27"/>
      <c r="MI44" s="27"/>
      <c r="MJ44" s="27"/>
      <c r="MK44" s="27"/>
      <c r="ML44" s="27"/>
      <c r="MM44" s="27"/>
      <c r="MN44" s="27"/>
      <c r="MO44" s="27"/>
      <c r="MP44" s="27"/>
      <c r="MQ44" s="27"/>
      <c r="MR44" s="27"/>
      <c r="MS44" s="27"/>
      <c r="MT44" s="27"/>
      <c r="MU44" s="27"/>
      <c r="MV44" s="27"/>
      <c r="MW44" s="27"/>
      <c r="MX44" s="27"/>
      <c r="MY44" s="27"/>
      <c r="MZ44" s="27"/>
      <c r="NA44" s="27"/>
      <c r="NB44" s="27"/>
      <c r="NC44" s="27"/>
      <c r="ND44" s="27"/>
      <c r="NE44" s="27"/>
      <c r="NF44" s="27"/>
      <c r="NG44" s="27"/>
      <c r="NH44" s="27"/>
      <c r="NI44" s="27"/>
      <c r="NJ44" s="27"/>
      <c r="NK44" s="27"/>
      <c r="NL44" s="27"/>
      <c r="NM44" s="27"/>
      <c r="NN44" s="27"/>
      <c r="NO44" s="27"/>
      <c r="NP44" s="27"/>
      <c r="NQ44" s="27"/>
      <c r="NR44" s="27"/>
      <c r="NS44" s="27"/>
      <c r="NT44" s="27"/>
      <c r="NU44" s="27"/>
      <c r="NV44" s="27"/>
      <c r="NW44" s="27"/>
      <c r="NX44" s="27"/>
      <c r="NY44" s="27"/>
      <c r="NZ44" s="27"/>
      <c r="OA44" s="27"/>
      <c r="OB44" s="27"/>
      <c r="OC44" s="27"/>
      <c r="OD44" s="27"/>
      <c r="OE44" s="27"/>
      <c r="OF44" s="27"/>
      <c r="OG44" s="27"/>
      <c r="OH44" s="27"/>
      <c r="OI44" s="27"/>
      <c r="OJ44" s="27"/>
      <c r="OK44" s="27"/>
      <c r="OL44" s="27"/>
      <c r="OM44" s="27"/>
      <c r="ON44" s="27"/>
      <c r="OO44" s="27"/>
      <c r="OP44" s="27"/>
      <c r="OQ44" s="27"/>
      <c r="OR44" s="27"/>
      <c r="OS44" s="27"/>
      <c r="OT44" s="27"/>
      <c r="OU44" s="27"/>
      <c r="OV44" s="27"/>
      <c r="OW44" s="27"/>
      <c r="OX44" s="27"/>
      <c r="OY44" s="27"/>
      <c r="OZ44" s="27"/>
      <c r="PA44" s="27"/>
      <c r="PB44" s="27"/>
      <c r="PC44" s="27"/>
      <c r="PD44" s="27"/>
      <c r="PE44" s="27"/>
      <c r="PF44" s="27"/>
      <c r="PG44" s="27"/>
      <c r="PH44" s="27"/>
      <c r="PI44" s="27"/>
      <c r="PJ44" s="27"/>
      <c r="PK44" s="27"/>
      <c r="PL44" s="27"/>
      <c r="PM44" s="27"/>
      <c r="PN44" s="27"/>
      <c r="PO44" s="27"/>
      <c r="PP44" s="27"/>
      <c r="PQ44" s="27"/>
      <c r="PR44" s="27"/>
      <c r="PS44" s="27"/>
      <c r="PT44" s="27"/>
      <c r="PU44" s="27"/>
      <c r="PV44" s="27"/>
      <c r="PW44" s="27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</row>
    <row r="45" spans="3:649" s="53" customFormat="1" ht="14.45" outlineLevel="1">
      <c r="C45" s="30" t="s">
        <v>26</v>
      </c>
      <c r="D45" s="28" t="s">
        <v>82</v>
      </c>
      <c r="E45" s="221"/>
      <c r="F45" s="51"/>
      <c r="G45" s="51"/>
      <c r="H45" s="51"/>
      <c r="I45" s="51"/>
      <c r="J45" s="51"/>
      <c r="K45" s="51"/>
      <c r="L45" s="51"/>
      <c r="M45" s="51"/>
      <c r="N45" s="154">
        <f>225*G$70</f>
        <v>26.325354700019538</v>
      </c>
      <c r="O45" s="154">
        <f t="shared" ref="O45:P45" si="5">225*H$70</f>
        <v>11.184642857142862</v>
      </c>
      <c r="P45" s="154">
        <f t="shared" si="5"/>
        <v>8.3057142857142896</v>
      </c>
      <c r="Q45" s="154">
        <f>SUM(F45:P45)</f>
        <v>45.815711842876688</v>
      </c>
      <c r="R45" s="154">
        <f>225-Table4232[[#This Row],[Total]]</f>
        <v>179.18428815712332</v>
      </c>
      <c r="S45" s="152" t="s">
        <v>41</v>
      </c>
      <c r="T45" s="31"/>
      <c r="U45" s="169"/>
      <c r="V45" s="170" t="e">
        <f>IF(#REF!="","Other Major Projects","Data Centre")</f>
        <v>#REF!</v>
      </c>
      <c r="W45" s="168"/>
      <c r="X45" s="28">
        <f>Table4232[[#This Row],[Post 2033]]+Table4232[[#This Row],[Total]]</f>
        <v>225</v>
      </c>
      <c r="Y45" s="28" t="s">
        <v>50</v>
      </c>
      <c r="Z45" s="52"/>
      <c r="AA45" s="27"/>
      <c r="AB45" s="27"/>
      <c r="AC45" s="27"/>
      <c r="AD45" s="27"/>
      <c r="AE45" s="27"/>
      <c r="AF45" s="52"/>
      <c r="AG45" s="52"/>
      <c r="AH45" s="52"/>
      <c r="AI45" s="52"/>
      <c r="AJ45" s="52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  <c r="IY45" s="27"/>
      <c r="IZ45" s="27"/>
      <c r="JA45" s="27"/>
      <c r="JB45" s="27"/>
      <c r="JC45" s="27"/>
      <c r="JD45" s="27"/>
      <c r="JE45" s="27"/>
      <c r="JF45" s="27"/>
      <c r="JG45" s="27"/>
      <c r="JH45" s="27"/>
      <c r="JI45" s="27"/>
      <c r="JJ45" s="27"/>
      <c r="JK45" s="27"/>
      <c r="JL45" s="27"/>
      <c r="JM45" s="27"/>
      <c r="JN45" s="27"/>
      <c r="JO45" s="27"/>
      <c r="JP45" s="27"/>
      <c r="JQ45" s="27"/>
      <c r="JR45" s="27"/>
      <c r="JS45" s="27"/>
      <c r="JT45" s="27"/>
      <c r="JU45" s="27"/>
      <c r="JV45" s="27"/>
      <c r="JW45" s="27"/>
      <c r="JX45" s="27"/>
      <c r="JY45" s="27"/>
      <c r="JZ45" s="27"/>
      <c r="KA45" s="27"/>
      <c r="KB45" s="27"/>
      <c r="KC45" s="27"/>
      <c r="KD45" s="27"/>
      <c r="KE45" s="27"/>
      <c r="KF45" s="27"/>
      <c r="KG45" s="27"/>
      <c r="KH45" s="27"/>
      <c r="KI45" s="27"/>
      <c r="KJ45" s="27"/>
      <c r="KK45" s="27"/>
      <c r="KL45" s="27"/>
      <c r="KM45" s="27"/>
      <c r="KN45" s="27"/>
      <c r="KO45" s="27"/>
      <c r="KP45" s="27"/>
      <c r="KQ45" s="27"/>
      <c r="KR45" s="27"/>
      <c r="KS45" s="27"/>
      <c r="KT45" s="27"/>
      <c r="KU45" s="27"/>
      <c r="KV45" s="27"/>
      <c r="KW45" s="27"/>
      <c r="KX45" s="27"/>
      <c r="KY45" s="27"/>
      <c r="KZ45" s="27"/>
      <c r="LA45" s="27"/>
      <c r="LB45" s="27"/>
      <c r="LC45" s="27"/>
      <c r="LD45" s="27"/>
      <c r="LE45" s="27"/>
      <c r="LF45" s="27"/>
      <c r="LG45" s="27"/>
      <c r="LH45" s="27"/>
      <c r="LI45" s="27"/>
      <c r="LJ45" s="27"/>
      <c r="LK45" s="27"/>
      <c r="LL45" s="27"/>
      <c r="LM45" s="27"/>
      <c r="LN45" s="27"/>
      <c r="LO45" s="27"/>
      <c r="LP45" s="27"/>
      <c r="LQ45" s="27"/>
      <c r="LR45" s="27"/>
      <c r="LS45" s="27"/>
      <c r="LT45" s="27"/>
      <c r="LU45" s="27"/>
      <c r="LV45" s="27"/>
      <c r="LW45" s="27"/>
      <c r="LX45" s="27"/>
      <c r="LY45" s="27"/>
      <c r="LZ45" s="27"/>
      <c r="MA45" s="27"/>
      <c r="MB45" s="27"/>
      <c r="MC45" s="27"/>
      <c r="MD45" s="27"/>
      <c r="ME45" s="27"/>
      <c r="MF45" s="27"/>
      <c r="MG45" s="27"/>
      <c r="MH45" s="27"/>
      <c r="MI45" s="27"/>
      <c r="MJ45" s="27"/>
      <c r="MK45" s="27"/>
      <c r="ML45" s="27"/>
      <c r="MM45" s="27"/>
      <c r="MN45" s="27"/>
      <c r="MO45" s="27"/>
      <c r="MP45" s="27"/>
      <c r="MQ45" s="27"/>
      <c r="MR45" s="27"/>
      <c r="MS45" s="27"/>
      <c r="MT45" s="27"/>
      <c r="MU45" s="27"/>
      <c r="MV45" s="27"/>
      <c r="MW45" s="27"/>
      <c r="MX45" s="27"/>
      <c r="MY45" s="27"/>
      <c r="MZ45" s="27"/>
      <c r="NA45" s="27"/>
      <c r="NB45" s="27"/>
      <c r="NC45" s="27"/>
      <c r="ND45" s="27"/>
      <c r="NE45" s="27"/>
      <c r="NF45" s="27"/>
      <c r="NG45" s="27"/>
      <c r="NH45" s="27"/>
      <c r="NI45" s="27"/>
      <c r="NJ45" s="27"/>
      <c r="NK45" s="27"/>
      <c r="NL45" s="27"/>
      <c r="NM45" s="27"/>
      <c r="NN45" s="27"/>
      <c r="NO45" s="27"/>
      <c r="NP45" s="27"/>
      <c r="NQ45" s="27"/>
      <c r="NR45" s="27"/>
      <c r="NS45" s="27"/>
      <c r="NT45" s="27"/>
      <c r="NU45" s="27"/>
      <c r="NV45" s="27"/>
      <c r="NW45" s="27"/>
      <c r="NX45" s="27"/>
      <c r="NY45" s="27"/>
      <c r="NZ45" s="27"/>
      <c r="OA45" s="27"/>
      <c r="OB45" s="27"/>
      <c r="OC45" s="27"/>
      <c r="OD45" s="27"/>
      <c r="OE45" s="27"/>
      <c r="OF45" s="27"/>
      <c r="OG45" s="27"/>
      <c r="OH45" s="27"/>
      <c r="OI45" s="27"/>
      <c r="OJ45" s="27"/>
      <c r="OK45" s="27"/>
      <c r="OL45" s="27"/>
      <c r="OM45" s="27"/>
      <c r="ON45" s="27"/>
      <c r="OO45" s="27"/>
      <c r="OP45" s="27"/>
      <c r="OQ45" s="27"/>
      <c r="OR45" s="27"/>
      <c r="OS45" s="27"/>
      <c r="OT45" s="27"/>
      <c r="OU45" s="27"/>
      <c r="OV45" s="27"/>
      <c r="OW45" s="27"/>
      <c r="OX45" s="27"/>
      <c r="OY45" s="27"/>
      <c r="OZ45" s="27"/>
      <c r="PA45" s="27"/>
      <c r="PB45" s="27"/>
      <c r="PC45" s="27"/>
      <c r="PD45" s="27"/>
      <c r="PE45" s="27"/>
      <c r="PF45" s="27"/>
      <c r="PG45" s="27"/>
      <c r="PH45" s="27"/>
      <c r="PI45" s="27"/>
      <c r="PJ45" s="27"/>
      <c r="PK45" s="27"/>
      <c r="PL45" s="27"/>
      <c r="PM45" s="27"/>
      <c r="PN45" s="27"/>
      <c r="PO45" s="27"/>
      <c r="PP45" s="27"/>
      <c r="PQ45" s="27"/>
      <c r="PR45" s="27"/>
      <c r="PS45" s="27"/>
      <c r="PT45" s="27"/>
      <c r="PU45" s="27"/>
      <c r="PV45" s="27"/>
      <c r="PW45" s="27"/>
      <c r="PZ45" s="29"/>
      <c r="QA45" s="29"/>
      <c r="QB45" s="29"/>
      <c r="QC45" s="29"/>
      <c r="QD45" s="29"/>
      <c r="QE45" s="29"/>
      <c r="QF45" s="29"/>
      <c r="QG45" s="29"/>
      <c r="QH45" s="29"/>
      <c r="QI45" s="29"/>
      <c r="QJ45" s="29"/>
      <c r="QK45" s="29"/>
      <c r="QL45" s="29"/>
      <c r="QM45" s="29"/>
      <c r="QN45" s="29"/>
      <c r="QO45" s="29"/>
      <c r="QP45" s="29"/>
      <c r="QQ45" s="29"/>
      <c r="QR45" s="29"/>
      <c r="QS45" s="29"/>
      <c r="QT45" s="29"/>
      <c r="QU45" s="29"/>
      <c r="QV45" s="29"/>
      <c r="QW45" s="29"/>
      <c r="QX45" s="29"/>
      <c r="QY45" s="29"/>
      <c r="QZ45" s="29"/>
      <c r="RA45" s="29"/>
      <c r="RB45" s="29"/>
      <c r="RC45" s="29"/>
      <c r="RD45" s="29"/>
      <c r="RE45" s="29"/>
      <c r="RF45" s="29"/>
      <c r="RG45" s="29"/>
      <c r="RH45" s="29"/>
      <c r="RI45" s="29"/>
      <c r="RJ45" s="29"/>
      <c r="RK45" s="29"/>
      <c r="RL45" s="29"/>
      <c r="RM45" s="29"/>
      <c r="RN45" s="29"/>
      <c r="RO45" s="29"/>
      <c r="RP45" s="29"/>
      <c r="RQ45" s="29"/>
      <c r="RR45" s="29"/>
      <c r="RS45" s="29"/>
      <c r="RT45" s="29"/>
      <c r="RU45" s="29"/>
      <c r="RV45" s="29"/>
      <c r="RW45" s="29"/>
      <c r="RX45" s="29"/>
      <c r="RY45" s="29"/>
      <c r="RZ45" s="29"/>
      <c r="SA45" s="29"/>
      <c r="SB45" s="29"/>
      <c r="SC45" s="29"/>
      <c r="SD45" s="29"/>
      <c r="SE45" s="29"/>
      <c r="SF45" s="29"/>
      <c r="SG45" s="29"/>
      <c r="SH45" s="29"/>
      <c r="SI45" s="29"/>
      <c r="SJ45" s="29"/>
      <c r="SK45" s="29"/>
      <c r="SL45" s="29"/>
      <c r="SM45" s="29"/>
      <c r="SN45" s="29"/>
      <c r="SO45" s="29"/>
      <c r="SP45" s="29"/>
      <c r="SQ45" s="29"/>
      <c r="SR45" s="29"/>
      <c r="SS45" s="29"/>
      <c r="ST45" s="29"/>
      <c r="SU45" s="29"/>
      <c r="SV45" s="29"/>
      <c r="SW45" s="29"/>
      <c r="SX45" s="29"/>
      <c r="SY45" s="29"/>
      <c r="SZ45" s="29"/>
      <c r="TA45" s="29"/>
      <c r="TB45" s="29"/>
      <c r="TC45" s="29"/>
      <c r="TD45" s="29"/>
      <c r="TE45" s="29"/>
      <c r="TF45" s="29"/>
      <c r="TG45" s="29"/>
      <c r="TH45" s="29"/>
      <c r="TI45" s="29"/>
      <c r="TJ45" s="29"/>
      <c r="TK45" s="29"/>
      <c r="TL45" s="29"/>
      <c r="TM45" s="29"/>
      <c r="TN45" s="29"/>
      <c r="TO45" s="29"/>
      <c r="TP45" s="29"/>
      <c r="TQ45" s="29"/>
      <c r="TR45" s="29"/>
      <c r="TS45" s="29"/>
      <c r="TT45" s="29"/>
      <c r="TU45" s="29"/>
      <c r="TV45" s="29"/>
      <c r="TW45" s="29"/>
      <c r="TX45" s="29"/>
      <c r="TY45" s="29"/>
      <c r="TZ45" s="29"/>
      <c r="UA45" s="29"/>
      <c r="UB45" s="29"/>
      <c r="UC45" s="29"/>
      <c r="UD45" s="29"/>
      <c r="UE45" s="29"/>
      <c r="UF45" s="29"/>
      <c r="UG45" s="29"/>
      <c r="UH45" s="29"/>
      <c r="UI45" s="29"/>
      <c r="UJ45" s="29"/>
      <c r="UK45" s="29"/>
      <c r="UL45" s="29"/>
      <c r="UM45" s="29"/>
      <c r="UN45" s="29"/>
      <c r="UO45" s="29"/>
      <c r="UP45" s="29"/>
      <c r="UQ45" s="29"/>
      <c r="UR45" s="29"/>
      <c r="US45" s="29"/>
      <c r="UT45" s="29"/>
      <c r="UU45" s="29"/>
      <c r="UV45" s="29"/>
      <c r="UW45" s="29"/>
      <c r="UX45" s="29"/>
      <c r="UY45" s="29"/>
      <c r="UZ45" s="29"/>
      <c r="VA45" s="29"/>
      <c r="VB45" s="29"/>
      <c r="VC45" s="29"/>
      <c r="VD45" s="29"/>
      <c r="VE45" s="29"/>
      <c r="VF45" s="29"/>
      <c r="VG45" s="29"/>
      <c r="VH45" s="29"/>
      <c r="VI45" s="29"/>
      <c r="VJ45" s="29"/>
      <c r="VK45" s="29"/>
      <c r="VL45" s="29"/>
      <c r="VM45" s="29"/>
      <c r="VN45" s="29"/>
      <c r="VO45" s="29"/>
      <c r="VP45" s="29"/>
      <c r="VQ45" s="29"/>
      <c r="VR45" s="29"/>
      <c r="VS45" s="29"/>
      <c r="VT45" s="29"/>
      <c r="VU45" s="29"/>
      <c r="VV45" s="29"/>
      <c r="VW45" s="29"/>
      <c r="VX45" s="29"/>
      <c r="VY45" s="29"/>
      <c r="VZ45" s="29"/>
      <c r="WA45" s="29"/>
      <c r="WB45" s="29"/>
      <c r="WC45" s="29"/>
      <c r="WD45" s="29"/>
      <c r="WE45" s="29"/>
      <c r="WF45" s="29"/>
      <c r="WG45" s="29"/>
      <c r="WH45" s="29"/>
      <c r="WI45" s="29"/>
      <c r="WJ45" s="29"/>
      <c r="WK45" s="29"/>
      <c r="WL45" s="29"/>
      <c r="WM45" s="29"/>
      <c r="WN45" s="29"/>
      <c r="WO45" s="29"/>
      <c r="WP45" s="29"/>
      <c r="WQ45" s="29"/>
      <c r="WR45" s="29"/>
      <c r="WS45" s="29"/>
      <c r="WT45" s="29"/>
      <c r="WU45" s="29"/>
      <c r="WV45" s="29"/>
      <c r="WW45" s="29"/>
      <c r="WX45" s="29"/>
      <c r="WY45" s="29"/>
      <c r="WZ45" s="29"/>
      <c r="XA45" s="29"/>
      <c r="XB45" s="29"/>
      <c r="XC45" s="29"/>
      <c r="XD45" s="29"/>
      <c r="XE45" s="29"/>
      <c r="XF45" s="29"/>
      <c r="XG45" s="29"/>
      <c r="XH45" s="29"/>
      <c r="XI45" s="29"/>
      <c r="XJ45" s="29"/>
      <c r="XK45" s="29"/>
      <c r="XL45" s="29"/>
      <c r="XM45" s="29"/>
      <c r="XN45" s="29"/>
      <c r="XO45" s="29"/>
      <c r="XP45" s="29"/>
      <c r="XQ45" s="29"/>
      <c r="XR45" s="29"/>
      <c r="XS45" s="29"/>
      <c r="XT45" s="29"/>
      <c r="XU45" s="29"/>
      <c r="XV45" s="29"/>
      <c r="XW45" s="29"/>
      <c r="XX45" s="29"/>
      <c r="XY45" s="29"/>
    </row>
    <row r="46" spans="3:649" s="53" customFormat="1" ht="14.45" outlineLevel="1">
      <c r="C46" s="30" t="s">
        <v>26</v>
      </c>
      <c r="D46" s="28" t="s">
        <v>83</v>
      </c>
      <c r="E46" s="221"/>
      <c r="F46" s="51"/>
      <c r="G46" s="51">
        <v>10</v>
      </c>
      <c r="H46" s="51"/>
      <c r="I46" s="51"/>
      <c r="J46" s="51"/>
      <c r="K46" s="51"/>
      <c r="L46" s="51"/>
      <c r="M46" s="51"/>
      <c r="N46" s="51"/>
      <c r="O46" s="51"/>
      <c r="P46" s="51"/>
      <c r="Q46" s="51">
        <f t="shared" si="0"/>
        <v>10</v>
      </c>
      <c r="R46" s="51">
        <v>0</v>
      </c>
      <c r="S46" s="28" t="s">
        <v>31</v>
      </c>
      <c r="T46" s="31"/>
      <c r="U46" s="169"/>
      <c r="V46" s="170" t="e">
        <f>IF(#REF!="","Other Major Projects","Data Centre")</f>
        <v>#REF!</v>
      </c>
      <c r="W46" s="168"/>
      <c r="X46" s="28">
        <f>Table4232[[#This Row],[Post 2033]]+Table4232[[#This Row],[Total]]</f>
        <v>10</v>
      </c>
      <c r="Y46" s="28" t="s">
        <v>29</v>
      </c>
      <c r="Z46" s="52"/>
      <c r="AA46" s="27"/>
      <c r="AB46" s="27"/>
      <c r="AC46" s="27"/>
      <c r="AD46" s="27"/>
      <c r="AE46" s="27"/>
      <c r="AF46" s="52"/>
      <c r="AG46" s="52"/>
      <c r="AH46" s="52"/>
      <c r="AI46" s="52"/>
      <c r="AJ46" s="52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7"/>
      <c r="JD46" s="27"/>
      <c r="JE46" s="27"/>
      <c r="JF46" s="27"/>
      <c r="JG46" s="27"/>
      <c r="JH46" s="27"/>
      <c r="JI46" s="27"/>
      <c r="JJ46" s="27"/>
      <c r="JK46" s="27"/>
      <c r="JL46" s="27"/>
      <c r="JM46" s="27"/>
      <c r="JN46" s="27"/>
      <c r="JO46" s="27"/>
      <c r="JP46" s="27"/>
      <c r="JQ46" s="27"/>
      <c r="JR46" s="27"/>
      <c r="JS46" s="27"/>
      <c r="JT46" s="27"/>
      <c r="JU46" s="27"/>
      <c r="JV46" s="27"/>
      <c r="JW46" s="27"/>
      <c r="JX46" s="27"/>
      <c r="JY46" s="27"/>
      <c r="JZ46" s="27"/>
      <c r="KA46" s="27"/>
      <c r="KB46" s="27"/>
      <c r="KC46" s="27"/>
      <c r="KD46" s="27"/>
      <c r="KE46" s="27"/>
      <c r="KF46" s="27"/>
      <c r="KG46" s="27"/>
      <c r="KH46" s="27"/>
      <c r="KI46" s="27"/>
      <c r="KJ46" s="27"/>
      <c r="KK46" s="27"/>
      <c r="KL46" s="27"/>
      <c r="KM46" s="27"/>
      <c r="KN46" s="27"/>
      <c r="KO46" s="27"/>
      <c r="KP46" s="27"/>
      <c r="KQ46" s="27"/>
      <c r="KR46" s="27"/>
      <c r="KS46" s="27"/>
      <c r="KT46" s="27"/>
      <c r="KU46" s="27"/>
      <c r="KV46" s="27"/>
      <c r="KW46" s="27"/>
      <c r="KX46" s="27"/>
      <c r="KY46" s="27"/>
      <c r="KZ46" s="27"/>
      <c r="LA46" s="27"/>
      <c r="LB46" s="27"/>
      <c r="LC46" s="27"/>
      <c r="LD46" s="27"/>
      <c r="LE46" s="27"/>
      <c r="LF46" s="27"/>
      <c r="LG46" s="27"/>
      <c r="LH46" s="27"/>
      <c r="LI46" s="27"/>
      <c r="LJ46" s="27"/>
      <c r="LK46" s="27"/>
      <c r="LL46" s="27"/>
      <c r="LM46" s="27"/>
      <c r="LN46" s="27"/>
      <c r="LO46" s="27"/>
      <c r="LP46" s="27"/>
      <c r="LQ46" s="27"/>
      <c r="LR46" s="27"/>
      <c r="LS46" s="27"/>
      <c r="LT46" s="27"/>
      <c r="LU46" s="27"/>
      <c r="LV46" s="27"/>
      <c r="LW46" s="27"/>
      <c r="LX46" s="27"/>
      <c r="LY46" s="27"/>
      <c r="LZ46" s="27"/>
      <c r="MA46" s="27"/>
      <c r="MB46" s="27"/>
      <c r="MC46" s="27"/>
      <c r="MD46" s="27"/>
      <c r="ME46" s="27"/>
      <c r="MF46" s="27"/>
      <c r="MG46" s="27"/>
      <c r="MH46" s="27"/>
      <c r="MI46" s="27"/>
      <c r="MJ46" s="27"/>
      <c r="MK46" s="27"/>
      <c r="ML46" s="27"/>
      <c r="MM46" s="27"/>
      <c r="MN46" s="27"/>
      <c r="MO46" s="27"/>
      <c r="MP46" s="27"/>
      <c r="MQ46" s="27"/>
      <c r="MR46" s="27"/>
      <c r="MS46" s="27"/>
      <c r="MT46" s="27"/>
      <c r="MU46" s="27"/>
      <c r="MV46" s="27"/>
      <c r="MW46" s="27"/>
      <c r="MX46" s="27"/>
      <c r="MY46" s="27"/>
      <c r="MZ46" s="27"/>
      <c r="NA46" s="27"/>
      <c r="NB46" s="27"/>
      <c r="NC46" s="27"/>
      <c r="ND46" s="27"/>
      <c r="NE46" s="27"/>
      <c r="NF46" s="27"/>
      <c r="NG46" s="27"/>
      <c r="NH46" s="27"/>
      <c r="NI46" s="27"/>
      <c r="NJ46" s="27"/>
      <c r="NK46" s="27"/>
      <c r="NL46" s="27"/>
      <c r="NM46" s="27"/>
      <c r="NN46" s="27"/>
      <c r="NO46" s="27"/>
      <c r="NP46" s="27"/>
      <c r="NQ46" s="27"/>
      <c r="NR46" s="27"/>
      <c r="NS46" s="27"/>
      <c r="NT46" s="27"/>
      <c r="NU46" s="27"/>
      <c r="NV46" s="27"/>
      <c r="NW46" s="27"/>
      <c r="NX46" s="27"/>
      <c r="NY46" s="27"/>
      <c r="NZ46" s="27"/>
      <c r="OA46" s="27"/>
      <c r="OB46" s="27"/>
      <c r="OC46" s="27"/>
      <c r="OD46" s="27"/>
      <c r="OE46" s="27"/>
      <c r="OF46" s="27"/>
      <c r="OG46" s="27"/>
      <c r="OH46" s="27"/>
      <c r="OI46" s="27"/>
      <c r="OJ46" s="27"/>
      <c r="OK46" s="27"/>
      <c r="OL46" s="27"/>
      <c r="OM46" s="27"/>
      <c r="ON46" s="27"/>
      <c r="OO46" s="27"/>
      <c r="OP46" s="27"/>
      <c r="OQ46" s="27"/>
      <c r="OR46" s="27"/>
      <c r="OS46" s="27"/>
      <c r="OT46" s="27"/>
      <c r="OU46" s="27"/>
      <c r="OV46" s="27"/>
      <c r="OW46" s="27"/>
      <c r="OX46" s="27"/>
      <c r="OY46" s="27"/>
      <c r="OZ46" s="27"/>
      <c r="PA46" s="27"/>
      <c r="PB46" s="27"/>
      <c r="PC46" s="27"/>
      <c r="PD46" s="27"/>
      <c r="PE46" s="27"/>
      <c r="PF46" s="27"/>
      <c r="PG46" s="27"/>
      <c r="PH46" s="27"/>
      <c r="PI46" s="27"/>
      <c r="PJ46" s="27"/>
      <c r="PK46" s="27"/>
      <c r="PL46" s="27"/>
      <c r="PM46" s="27"/>
      <c r="PN46" s="27"/>
      <c r="PO46" s="27"/>
      <c r="PP46" s="27"/>
      <c r="PQ46" s="27"/>
      <c r="PR46" s="27"/>
      <c r="PS46" s="27"/>
      <c r="PT46" s="27"/>
      <c r="PU46" s="27"/>
      <c r="PV46" s="27"/>
      <c r="PW46" s="27"/>
      <c r="PZ46" s="29"/>
      <c r="QA46" s="29"/>
      <c r="QB46" s="29"/>
      <c r="QC46" s="29"/>
      <c r="QD46" s="29"/>
      <c r="QE46" s="29"/>
      <c r="QF46" s="29"/>
      <c r="QG46" s="29"/>
      <c r="QH46" s="29"/>
      <c r="QI46" s="29"/>
      <c r="QJ46" s="29"/>
      <c r="QK46" s="29"/>
      <c r="QL46" s="29"/>
      <c r="QM46" s="29"/>
      <c r="QN46" s="29"/>
      <c r="QO46" s="29"/>
      <c r="QP46" s="29"/>
      <c r="QQ46" s="29"/>
      <c r="QR46" s="29"/>
      <c r="QS46" s="29"/>
      <c r="QT46" s="29"/>
      <c r="QU46" s="29"/>
      <c r="QV46" s="29"/>
      <c r="QW46" s="29"/>
      <c r="QX46" s="29"/>
      <c r="QY46" s="29"/>
      <c r="QZ46" s="29"/>
      <c r="RA46" s="29"/>
      <c r="RB46" s="29"/>
      <c r="RC46" s="29"/>
      <c r="RD46" s="29"/>
      <c r="RE46" s="29"/>
      <c r="RF46" s="29"/>
      <c r="RG46" s="29"/>
      <c r="RH46" s="29"/>
      <c r="RI46" s="29"/>
      <c r="RJ46" s="29"/>
      <c r="RK46" s="29"/>
      <c r="RL46" s="29"/>
      <c r="RM46" s="29"/>
      <c r="RN46" s="29"/>
      <c r="RO46" s="29"/>
      <c r="RP46" s="29"/>
      <c r="RQ46" s="29"/>
      <c r="RR46" s="29"/>
      <c r="RS46" s="29"/>
      <c r="RT46" s="29"/>
      <c r="RU46" s="29"/>
      <c r="RV46" s="29"/>
      <c r="RW46" s="29"/>
      <c r="RX46" s="29"/>
      <c r="RY46" s="29"/>
      <c r="RZ46" s="29"/>
      <c r="SA46" s="29"/>
      <c r="SB46" s="29"/>
      <c r="SC46" s="29"/>
      <c r="SD46" s="29"/>
      <c r="SE46" s="29"/>
      <c r="SF46" s="29"/>
      <c r="SG46" s="29"/>
      <c r="SH46" s="29"/>
      <c r="SI46" s="29"/>
      <c r="SJ46" s="29"/>
      <c r="SK46" s="29"/>
      <c r="SL46" s="29"/>
      <c r="SM46" s="29"/>
      <c r="SN46" s="29"/>
      <c r="SO46" s="29"/>
      <c r="SP46" s="29"/>
      <c r="SQ46" s="29"/>
      <c r="SR46" s="29"/>
      <c r="SS46" s="29"/>
      <c r="ST46" s="29"/>
      <c r="SU46" s="29"/>
      <c r="SV46" s="29"/>
      <c r="SW46" s="29"/>
      <c r="SX46" s="29"/>
      <c r="SY46" s="29"/>
      <c r="SZ46" s="29"/>
      <c r="TA46" s="29"/>
      <c r="TB46" s="29"/>
      <c r="TC46" s="29"/>
      <c r="TD46" s="29"/>
      <c r="TE46" s="29"/>
      <c r="TF46" s="29"/>
      <c r="TG46" s="29"/>
      <c r="TH46" s="29"/>
      <c r="TI46" s="29"/>
      <c r="TJ46" s="29"/>
      <c r="TK46" s="29"/>
      <c r="TL46" s="29"/>
      <c r="TM46" s="29"/>
      <c r="TN46" s="29"/>
      <c r="TO46" s="29"/>
      <c r="TP46" s="29"/>
      <c r="TQ46" s="29"/>
      <c r="TR46" s="29"/>
      <c r="TS46" s="29"/>
      <c r="TT46" s="29"/>
      <c r="TU46" s="29"/>
      <c r="TV46" s="29"/>
      <c r="TW46" s="29"/>
      <c r="TX46" s="29"/>
      <c r="TY46" s="29"/>
      <c r="TZ46" s="29"/>
      <c r="UA46" s="29"/>
      <c r="UB46" s="29"/>
      <c r="UC46" s="29"/>
      <c r="UD46" s="29"/>
      <c r="UE46" s="29"/>
      <c r="UF46" s="29"/>
      <c r="UG46" s="29"/>
      <c r="UH46" s="29"/>
      <c r="UI46" s="29"/>
      <c r="UJ46" s="29"/>
      <c r="UK46" s="29"/>
      <c r="UL46" s="29"/>
      <c r="UM46" s="29"/>
      <c r="UN46" s="29"/>
      <c r="UO46" s="29"/>
      <c r="UP46" s="29"/>
      <c r="UQ46" s="29"/>
      <c r="UR46" s="29"/>
      <c r="US46" s="29"/>
      <c r="UT46" s="29"/>
      <c r="UU46" s="29"/>
      <c r="UV46" s="29"/>
      <c r="UW46" s="29"/>
      <c r="UX46" s="29"/>
      <c r="UY46" s="29"/>
      <c r="UZ46" s="29"/>
      <c r="VA46" s="29"/>
      <c r="VB46" s="29"/>
      <c r="VC46" s="29"/>
      <c r="VD46" s="29"/>
      <c r="VE46" s="29"/>
      <c r="VF46" s="29"/>
      <c r="VG46" s="29"/>
      <c r="VH46" s="29"/>
      <c r="VI46" s="29"/>
      <c r="VJ46" s="29"/>
      <c r="VK46" s="29"/>
      <c r="VL46" s="29"/>
      <c r="VM46" s="29"/>
      <c r="VN46" s="29"/>
      <c r="VO46" s="29"/>
      <c r="VP46" s="29"/>
      <c r="VQ46" s="29"/>
      <c r="VR46" s="29"/>
      <c r="VS46" s="29"/>
      <c r="VT46" s="29"/>
      <c r="VU46" s="29"/>
      <c r="VV46" s="29"/>
      <c r="VW46" s="29"/>
      <c r="VX46" s="29"/>
      <c r="VY46" s="29"/>
      <c r="VZ46" s="29"/>
      <c r="WA46" s="29"/>
      <c r="WB46" s="29"/>
      <c r="WC46" s="29"/>
      <c r="WD46" s="29"/>
      <c r="WE46" s="29"/>
      <c r="WF46" s="29"/>
      <c r="WG46" s="29"/>
      <c r="WH46" s="29"/>
      <c r="WI46" s="29"/>
      <c r="WJ46" s="29"/>
      <c r="WK46" s="29"/>
      <c r="WL46" s="29"/>
      <c r="WM46" s="29"/>
      <c r="WN46" s="29"/>
      <c r="WO46" s="29"/>
      <c r="WP46" s="29"/>
      <c r="WQ46" s="29"/>
      <c r="WR46" s="29"/>
      <c r="WS46" s="29"/>
      <c r="WT46" s="29"/>
      <c r="WU46" s="29"/>
      <c r="WV46" s="29"/>
      <c r="WW46" s="29"/>
      <c r="WX46" s="29"/>
      <c r="WY46" s="29"/>
      <c r="WZ46" s="29"/>
      <c r="XA46" s="29"/>
      <c r="XB46" s="29"/>
      <c r="XC46" s="29"/>
      <c r="XD46" s="29"/>
      <c r="XE46" s="29"/>
      <c r="XF46" s="29"/>
      <c r="XG46" s="29"/>
      <c r="XH46" s="29"/>
      <c r="XI46" s="29"/>
      <c r="XJ46" s="29"/>
      <c r="XK46" s="29"/>
      <c r="XL46" s="29"/>
      <c r="XM46" s="29"/>
      <c r="XN46" s="29"/>
      <c r="XO46" s="29"/>
      <c r="XP46" s="29"/>
      <c r="XQ46" s="29"/>
      <c r="XR46" s="29"/>
      <c r="XS46" s="29"/>
      <c r="XT46" s="29"/>
      <c r="XU46" s="29"/>
      <c r="XV46" s="29"/>
      <c r="XW46" s="29"/>
      <c r="XX46" s="29"/>
      <c r="XY46" s="29"/>
    </row>
    <row r="47" spans="3:649" s="53" customFormat="1" ht="14.45" outlineLevel="1">
      <c r="C47" s="30" t="s">
        <v>26</v>
      </c>
      <c r="D47" s="28" t="s">
        <v>84</v>
      </c>
      <c r="E47" s="221"/>
      <c r="F47" s="51"/>
      <c r="G47" s="51">
        <v>15</v>
      </c>
      <c r="H47" s="51"/>
      <c r="I47" s="51"/>
      <c r="J47" s="51"/>
      <c r="K47" s="51"/>
      <c r="L47" s="51"/>
      <c r="M47" s="51"/>
      <c r="N47" s="51"/>
      <c r="O47" s="51"/>
      <c r="P47" s="51"/>
      <c r="Q47" s="51">
        <f t="shared" si="0"/>
        <v>15</v>
      </c>
      <c r="R47" s="51">
        <v>0</v>
      </c>
      <c r="S47" s="28" t="s">
        <v>31</v>
      </c>
      <c r="T47" s="31"/>
      <c r="U47" s="169"/>
      <c r="V47" s="170" t="e">
        <f>IF(#REF!="","Other Major Projects","Data Centre")</f>
        <v>#REF!</v>
      </c>
      <c r="W47" s="168"/>
      <c r="X47" s="28">
        <f>Table4232[[#This Row],[Post 2033]]+Table4232[[#This Row],[Total]]</f>
        <v>15</v>
      </c>
      <c r="Y47" s="28" t="s">
        <v>29</v>
      </c>
      <c r="Z47" s="52"/>
      <c r="AA47" s="27"/>
      <c r="AB47" s="27"/>
      <c r="AC47" s="27"/>
      <c r="AD47" s="27"/>
      <c r="AE47" s="27"/>
      <c r="AF47" s="52"/>
      <c r="AG47" s="52"/>
      <c r="AH47" s="52"/>
      <c r="AI47" s="52"/>
      <c r="AJ47" s="52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27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7"/>
      <c r="JD47" s="27"/>
      <c r="JE47" s="27"/>
      <c r="JF47" s="27"/>
      <c r="JG47" s="27"/>
      <c r="JH47" s="27"/>
      <c r="JI47" s="27"/>
      <c r="JJ47" s="27"/>
      <c r="JK47" s="27"/>
      <c r="JL47" s="27"/>
      <c r="JM47" s="27"/>
      <c r="JN47" s="27"/>
      <c r="JO47" s="27"/>
      <c r="JP47" s="27"/>
      <c r="JQ47" s="27"/>
      <c r="JR47" s="27"/>
      <c r="JS47" s="27"/>
      <c r="JT47" s="27"/>
      <c r="JU47" s="27"/>
      <c r="JV47" s="27"/>
      <c r="JW47" s="27"/>
      <c r="JX47" s="27"/>
      <c r="JY47" s="27"/>
      <c r="JZ47" s="27"/>
      <c r="KA47" s="27"/>
      <c r="KB47" s="27"/>
      <c r="KC47" s="27"/>
      <c r="KD47" s="27"/>
      <c r="KE47" s="27"/>
      <c r="KF47" s="27"/>
      <c r="KG47" s="27"/>
      <c r="KH47" s="27"/>
      <c r="KI47" s="27"/>
      <c r="KJ47" s="27"/>
      <c r="KK47" s="27"/>
      <c r="KL47" s="27"/>
      <c r="KM47" s="27"/>
      <c r="KN47" s="27"/>
      <c r="KO47" s="27"/>
      <c r="KP47" s="27"/>
      <c r="KQ47" s="27"/>
      <c r="KR47" s="27"/>
      <c r="KS47" s="27"/>
      <c r="KT47" s="27"/>
      <c r="KU47" s="27"/>
      <c r="KV47" s="27"/>
      <c r="KW47" s="27"/>
      <c r="KX47" s="27"/>
      <c r="KY47" s="27"/>
      <c r="KZ47" s="27"/>
      <c r="LA47" s="27"/>
      <c r="LB47" s="27"/>
      <c r="LC47" s="27"/>
      <c r="LD47" s="27"/>
      <c r="LE47" s="27"/>
      <c r="LF47" s="27"/>
      <c r="LG47" s="27"/>
      <c r="LH47" s="27"/>
      <c r="LI47" s="27"/>
      <c r="LJ47" s="27"/>
      <c r="LK47" s="27"/>
      <c r="LL47" s="27"/>
      <c r="LM47" s="27"/>
      <c r="LN47" s="27"/>
      <c r="LO47" s="27"/>
      <c r="LP47" s="27"/>
      <c r="LQ47" s="27"/>
      <c r="LR47" s="27"/>
      <c r="LS47" s="27"/>
      <c r="LT47" s="27"/>
      <c r="LU47" s="27"/>
      <c r="LV47" s="27"/>
      <c r="LW47" s="27"/>
      <c r="LX47" s="27"/>
      <c r="LY47" s="27"/>
      <c r="LZ47" s="27"/>
      <c r="MA47" s="27"/>
      <c r="MB47" s="27"/>
      <c r="MC47" s="27"/>
      <c r="MD47" s="27"/>
      <c r="ME47" s="27"/>
      <c r="MF47" s="27"/>
      <c r="MG47" s="27"/>
      <c r="MH47" s="27"/>
      <c r="MI47" s="27"/>
      <c r="MJ47" s="27"/>
      <c r="MK47" s="27"/>
      <c r="ML47" s="27"/>
      <c r="MM47" s="27"/>
      <c r="MN47" s="27"/>
      <c r="MO47" s="27"/>
      <c r="MP47" s="27"/>
      <c r="MQ47" s="27"/>
      <c r="MR47" s="27"/>
      <c r="MS47" s="27"/>
      <c r="MT47" s="27"/>
      <c r="MU47" s="27"/>
      <c r="MV47" s="27"/>
      <c r="MW47" s="27"/>
      <c r="MX47" s="27"/>
      <c r="MY47" s="27"/>
      <c r="MZ47" s="27"/>
      <c r="NA47" s="27"/>
      <c r="NB47" s="27"/>
      <c r="NC47" s="27"/>
      <c r="ND47" s="27"/>
      <c r="NE47" s="27"/>
      <c r="NF47" s="27"/>
      <c r="NG47" s="27"/>
      <c r="NH47" s="27"/>
      <c r="NI47" s="27"/>
      <c r="NJ47" s="27"/>
      <c r="NK47" s="27"/>
      <c r="NL47" s="27"/>
      <c r="NM47" s="27"/>
      <c r="NN47" s="27"/>
      <c r="NO47" s="27"/>
      <c r="NP47" s="27"/>
      <c r="NQ47" s="27"/>
      <c r="NR47" s="27"/>
      <c r="NS47" s="27"/>
      <c r="NT47" s="27"/>
      <c r="NU47" s="27"/>
      <c r="NV47" s="27"/>
      <c r="NW47" s="27"/>
      <c r="NX47" s="27"/>
      <c r="NY47" s="27"/>
      <c r="NZ47" s="27"/>
      <c r="OA47" s="27"/>
      <c r="OB47" s="27"/>
      <c r="OC47" s="27"/>
      <c r="OD47" s="27"/>
      <c r="OE47" s="27"/>
      <c r="OF47" s="27"/>
      <c r="OG47" s="27"/>
      <c r="OH47" s="27"/>
      <c r="OI47" s="27"/>
      <c r="OJ47" s="27"/>
      <c r="OK47" s="27"/>
      <c r="OL47" s="27"/>
      <c r="OM47" s="27"/>
      <c r="ON47" s="27"/>
      <c r="OO47" s="27"/>
      <c r="OP47" s="27"/>
      <c r="OQ47" s="27"/>
      <c r="OR47" s="27"/>
      <c r="OS47" s="27"/>
      <c r="OT47" s="27"/>
      <c r="OU47" s="27"/>
      <c r="OV47" s="27"/>
      <c r="OW47" s="27"/>
      <c r="OX47" s="27"/>
      <c r="OY47" s="27"/>
      <c r="OZ47" s="27"/>
      <c r="PA47" s="27"/>
      <c r="PB47" s="27"/>
      <c r="PC47" s="27"/>
      <c r="PD47" s="27"/>
      <c r="PE47" s="27"/>
      <c r="PF47" s="27"/>
      <c r="PG47" s="27"/>
      <c r="PH47" s="27"/>
      <c r="PI47" s="27"/>
      <c r="PJ47" s="27"/>
      <c r="PK47" s="27"/>
      <c r="PL47" s="27"/>
      <c r="PM47" s="27"/>
      <c r="PN47" s="27"/>
      <c r="PO47" s="27"/>
      <c r="PP47" s="27"/>
      <c r="PQ47" s="27"/>
      <c r="PR47" s="27"/>
      <c r="PS47" s="27"/>
      <c r="PT47" s="27"/>
      <c r="PU47" s="27"/>
      <c r="PV47" s="27"/>
      <c r="PW47" s="27"/>
      <c r="PZ47" s="29"/>
      <c r="QA47" s="29"/>
      <c r="QB47" s="29"/>
      <c r="QC47" s="29"/>
      <c r="QD47" s="29"/>
      <c r="QE47" s="29"/>
      <c r="QF47" s="29"/>
      <c r="QG47" s="29"/>
      <c r="QH47" s="29"/>
      <c r="QI47" s="29"/>
      <c r="QJ47" s="29"/>
      <c r="QK47" s="29"/>
      <c r="QL47" s="29"/>
      <c r="QM47" s="29"/>
      <c r="QN47" s="29"/>
      <c r="QO47" s="29"/>
      <c r="QP47" s="29"/>
      <c r="QQ47" s="29"/>
      <c r="QR47" s="29"/>
      <c r="QS47" s="29"/>
      <c r="QT47" s="29"/>
      <c r="QU47" s="29"/>
      <c r="QV47" s="29"/>
      <c r="QW47" s="29"/>
      <c r="QX47" s="29"/>
      <c r="QY47" s="29"/>
      <c r="QZ47" s="29"/>
      <c r="RA47" s="29"/>
      <c r="RB47" s="29"/>
      <c r="RC47" s="29"/>
      <c r="RD47" s="29"/>
      <c r="RE47" s="29"/>
      <c r="RF47" s="29"/>
      <c r="RG47" s="29"/>
      <c r="RH47" s="29"/>
      <c r="RI47" s="29"/>
      <c r="RJ47" s="29"/>
      <c r="RK47" s="29"/>
      <c r="RL47" s="29"/>
      <c r="RM47" s="29"/>
      <c r="RN47" s="29"/>
      <c r="RO47" s="29"/>
      <c r="RP47" s="29"/>
      <c r="RQ47" s="29"/>
      <c r="RR47" s="29"/>
      <c r="RS47" s="29"/>
      <c r="RT47" s="29"/>
      <c r="RU47" s="29"/>
      <c r="RV47" s="29"/>
      <c r="RW47" s="29"/>
      <c r="RX47" s="29"/>
      <c r="RY47" s="29"/>
      <c r="RZ47" s="29"/>
      <c r="SA47" s="29"/>
      <c r="SB47" s="29"/>
      <c r="SC47" s="29"/>
      <c r="SD47" s="29"/>
      <c r="SE47" s="29"/>
      <c r="SF47" s="29"/>
      <c r="SG47" s="29"/>
      <c r="SH47" s="29"/>
      <c r="SI47" s="29"/>
      <c r="SJ47" s="29"/>
      <c r="SK47" s="29"/>
      <c r="SL47" s="29"/>
      <c r="SM47" s="29"/>
      <c r="SN47" s="29"/>
      <c r="SO47" s="29"/>
      <c r="SP47" s="29"/>
      <c r="SQ47" s="29"/>
      <c r="SR47" s="29"/>
      <c r="SS47" s="29"/>
      <c r="ST47" s="29"/>
      <c r="SU47" s="29"/>
      <c r="SV47" s="29"/>
      <c r="SW47" s="29"/>
      <c r="SX47" s="29"/>
      <c r="SY47" s="29"/>
      <c r="SZ47" s="29"/>
      <c r="TA47" s="29"/>
      <c r="TB47" s="29"/>
      <c r="TC47" s="29"/>
      <c r="TD47" s="29"/>
      <c r="TE47" s="29"/>
      <c r="TF47" s="29"/>
      <c r="TG47" s="29"/>
      <c r="TH47" s="29"/>
      <c r="TI47" s="29"/>
      <c r="TJ47" s="29"/>
      <c r="TK47" s="29"/>
      <c r="TL47" s="29"/>
      <c r="TM47" s="29"/>
      <c r="TN47" s="29"/>
      <c r="TO47" s="29"/>
      <c r="TP47" s="29"/>
      <c r="TQ47" s="29"/>
      <c r="TR47" s="29"/>
      <c r="TS47" s="29"/>
      <c r="TT47" s="29"/>
      <c r="TU47" s="29"/>
      <c r="TV47" s="29"/>
      <c r="TW47" s="29"/>
      <c r="TX47" s="29"/>
      <c r="TY47" s="29"/>
      <c r="TZ47" s="29"/>
      <c r="UA47" s="29"/>
      <c r="UB47" s="29"/>
      <c r="UC47" s="29"/>
      <c r="UD47" s="29"/>
      <c r="UE47" s="29"/>
      <c r="UF47" s="29"/>
      <c r="UG47" s="29"/>
      <c r="UH47" s="29"/>
      <c r="UI47" s="29"/>
      <c r="UJ47" s="29"/>
      <c r="UK47" s="29"/>
      <c r="UL47" s="29"/>
      <c r="UM47" s="29"/>
      <c r="UN47" s="29"/>
      <c r="UO47" s="29"/>
      <c r="UP47" s="29"/>
      <c r="UQ47" s="29"/>
      <c r="UR47" s="29"/>
      <c r="US47" s="29"/>
      <c r="UT47" s="29"/>
      <c r="UU47" s="29"/>
      <c r="UV47" s="29"/>
      <c r="UW47" s="29"/>
      <c r="UX47" s="29"/>
      <c r="UY47" s="29"/>
      <c r="UZ47" s="29"/>
      <c r="VA47" s="29"/>
      <c r="VB47" s="29"/>
      <c r="VC47" s="29"/>
      <c r="VD47" s="29"/>
      <c r="VE47" s="29"/>
      <c r="VF47" s="29"/>
      <c r="VG47" s="29"/>
      <c r="VH47" s="29"/>
      <c r="VI47" s="29"/>
      <c r="VJ47" s="29"/>
      <c r="VK47" s="29"/>
      <c r="VL47" s="29"/>
      <c r="VM47" s="29"/>
      <c r="VN47" s="29"/>
      <c r="VO47" s="29"/>
      <c r="VP47" s="29"/>
      <c r="VQ47" s="29"/>
      <c r="VR47" s="29"/>
      <c r="VS47" s="29"/>
      <c r="VT47" s="29"/>
      <c r="VU47" s="29"/>
      <c r="VV47" s="29"/>
      <c r="VW47" s="29"/>
      <c r="VX47" s="29"/>
      <c r="VY47" s="29"/>
      <c r="VZ47" s="29"/>
      <c r="WA47" s="29"/>
      <c r="WB47" s="29"/>
      <c r="WC47" s="29"/>
      <c r="WD47" s="29"/>
      <c r="WE47" s="29"/>
      <c r="WF47" s="29"/>
      <c r="WG47" s="29"/>
      <c r="WH47" s="29"/>
      <c r="WI47" s="29"/>
      <c r="WJ47" s="29"/>
      <c r="WK47" s="29"/>
      <c r="WL47" s="29"/>
      <c r="WM47" s="29"/>
      <c r="WN47" s="29"/>
      <c r="WO47" s="29"/>
      <c r="WP47" s="29"/>
      <c r="WQ47" s="29"/>
      <c r="WR47" s="29"/>
      <c r="WS47" s="29"/>
      <c r="WT47" s="29"/>
      <c r="WU47" s="29"/>
      <c r="WV47" s="29"/>
      <c r="WW47" s="29"/>
      <c r="WX47" s="29"/>
      <c r="WY47" s="29"/>
      <c r="WZ47" s="29"/>
      <c r="XA47" s="29"/>
      <c r="XB47" s="29"/>
      <c r="XC47" s="29"/>
      <c r="XD47" s="29"/>
      <c r="XE47" s="29"/>
      <c r="XF47" s="29"/>
      <c r="XG47" s="29"/>
      <c r="XH47" s="29"/>
      <c r="XI47" s="29"/>
      <c r="XJ47" s="29"/>
      <c r="XK47" s="29"/>
      <c r="XL47" s="29"/>
      <c r="XM47" s="29"/>
      <c r="XN47" s="29"/>
      <c r="XO47" s="29"/>
      <c r="XP47" s="29"/>
      <c r="XQ47" s="29"/>
      <c r="XR47" s="29"/>
      <c r="XS47" s="29"/>
      <c r="XT47" s="29"/>
      <c r="XU47" s="29"/>
      <c r="XV47" s="29"/>
      <c r="XW47" s="29"/>
      <c r="XX47" s="29"/>
      <c r="XY47" s="29"/>
    </row>
    <row r="48" spans="3:649" s="53" customFormat="1" ht="14.45" outlineLevel="1">
      <c r="C48" s="30" t="s">
        <v>26</v>
      </c>
      <c r="D48" s="28" t="s">
        <v>85</v>
      </c>
      <c r="E48" s="221"/>
      <c r="F48" s="51"/>
      <c r="G48" s="51"/>
      <c r="H48" s="51"/>
      <c r="I48" s="51"/>
      <c r="J48" s="51">
        <v>14</v>
      </c>
      <c r="K48" s="51">
        <v>0</v>
      </c>
      <c r="L48" s="51">
        <v>0</v>
      </c>
      <c r="M48" s="51">
        <v>-14</v>
      </c>
      <c r="N48" s="51"/>
      <c r="O48" s="51"/>
      <c r="P48" s="51"/>
      <c r="Q48" s="51">
        <f t="shared" si="0"/>
        <v>0</v>
      </c>
      <c r="R48" s="51">
        <v>0</v>
      </c>
      <c r="S48" s="28" t="s">
        <v>31</v>
      </c>
      <c r="T48" s="31"/>
      <c r="U48" s="169"/>
      <c r="V48" s="170" t="e">
        <f>IF(#REF!="","Other Major Projects","Data Centre")</f>
        <v>#REF!</v>
      </c>
      <c r="W48" s="168"/>
      <c r="X48" s="28">
        <f>Table4232[[#This Row],[Post 2033]]+Table4232[[#This Row],[Total]]</f>
        <v>0</v>
      </c>
      <c r="Y48" s="28" t="s">
        <v>29</v>
      </c>
      <c r="Z48" s="52"/>
      <c r="AA48" s="27"/>
      <c r="AB48" s="27"/>
      <c r="AC48" s="27"/>
      <c r="AD48" s="27"/>
      <c r="AE48" s="27"/>
      <c r="AF48" s="52"/>
      <c r="AG48" s="52"/>
      <c r="AH48" s="52"/>
      <c r="AI48" s="52"/>
      <c r="AJ48" s="52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  <c r="IW48" s="27"/>
      <c r="IX48" s="27"/>
      <c r="IY48" s="27"/>
      <c r="IZ48" s="27"/>
      <c r="JA48" s="27"/>
      <c r="JB48" s="27"/>
      <c r="JC48" s="27"/>
      <c r="JD48" s="27"/>
      <c r="JE48" s="27"/>
      <c r="JF48" s="27"/>
      <c r="JG48" s="27"/>
      <c r="JH48" s="27"/>
      <c r="JI48" s="27"/>
      <c r="JJ48" s="27"/>
      <c r="JK48" s="27"/>
      <c r="JL48" s="27"/>
      <c r="JM48" s="27"/>
      <c r="JN48" s="27"/>
      <c r="JO48" s="27"/>
      <c r="JP48" s="27"/>
      <c r="JQ48" s="27"/>
      <c r="JR48" s="27"/>
      <c r="JS48" s="27"/>
      <c r="JT48" s="27"/>
      <c r="JU48" s="27"/>
      <c r="JV48" s="27"/>
      <c r="JW48" s="27"/>
      <c r="JX48" s="27"/>
      <c r="JY48" s="27"/>
      <c r="JZ48" s="27"/>
      <c r="KA48" s="27"/>
      <c r="KB48" s="27"/>
      <c r="KC48" s="27"/>
      <c r="KD48" s="27"/>
      <c r="KE48" s="27"/>
      <c r="KF48" s="27"/>
      <c r="KG48" s="27"/>
      <c r="KH48" s="27"/>
      <c r="KI48" s="27"/>
      <c r="KJ48" s="27"/>
      <c r="KK48" s="27"/>
      <c r="KL48" s="27"/>
      <c r="KM48" s="27"/>
      <c r="KN48" s="27"/>
      <c r="KO48" s="27"/>
      <c r="KP48" s="27"/>
      <c r="KQ48" s="27"/>
      <c r="KR48" s="27"/>
      <c r="KS48" s="27"/>
      <c r="KT48" s="27"/>
      <c r="KU48" s="27"/>
      <c r="KV48" s="27"/>
      <c r="KW48" s="27"/>
      <c r="KX48" s="27"/>
      <c r="KY48" s="27"/>
      <c r="KZ48" s="27"/>
      <c r="LA48" s="27"/>
      <c r="LB48" s="27"/>
      <c r="LC48" s="27"/>
      <c r="LD48" s="27"/>
      <c r="LE48" s="27"/>
      <c r="LF48" s="27"/>
      <c r="LG48" s="27"/>
      <c r="LH48" s="27"/>
      <c r="LI48" s="27"/>
      <c r="LJ48" s="27"/>
      <c r="LK48" s="27"/>
      <c r="LL48" s="27"/>
      <c r="LM48" s="27"/>
      <c r="LN48" s="27"/>
      <c r="LO48" s="27"/>
      <c r="LP48" s="27"/>
      <c r="LQ48" s="27"/>
      <c r="LR48" s="27"/>
      <c r="LS48" s="27"/>
      <c r="LT48" s="27"/>
      <c r="LU48" s="27"/>
      <c r="LV48" s="27"/>
      <c r="LW48" s="27"/>
      <c r="LX48" s="27"/>
      <c r="LY48" s="27"/>
      <c r="LZ48" s="27"/>
      <c r="MA48" s="27"/>
      <c r="MB48" s="27"/>
      <c r="MC48" s="27"/>
      <c r="MD48" s="27"/>
      <c r="ME48" s="27"/>
      <c r="MF48" s="27"/>
      <c r="MG48" s="27"/>
      <c r="MH48" s="27"/>
      <c r="MI48" s="27"/>
      <c r="MJ48" s="27"/>
      <c r="MK48" s="27"/>
      <c r="ML48" s="27"/>
      <c r="MM48" s="27"/>
      <c r="MN48" s="27"/>
      <c r="MO48" s="27"/>
      <c r="MP48" s="27"/>
      <c r="MQ48" s="27"/>
      <c r="MR48" s="27"/>
      <c r="MS48" s="27"/>
      <c r="MT48" s="27"/>
      <c r="MU48" s="27"/>
      <c r="MV48" s="27"/>
      <c r="MW48" s="27"/>
      <c r="MX48" s="27"/>
      <c r="MY48" s="27"/>
      <c r="MZ48" s="27"/>
      <c r="NA48" s="27"/>
      <c r="NB48" s="27"/>
      <c r="NC48" s="27"/>
      <c r="ND48" s="27"/>
      <c r="NE48" s="27"/>
      <c r="NF48" s="27"/>
      <c r="NG48" s="27"/>
      <c r="NH48" s="27"/>
      <c r="NI48" s="27"/>
      <c r="NJ48" s="27"/>
      <c r="NK48" s="27"/>
      <c r="NL48" s="27"/>
      <c r="NM48" s="27"/>
      <c r="NN48" s="27"/>
      <c r="NO48" s="27"/>
      <c r="NP48" s="27"/>
      <c r="NQ48" s="27"/>
      <c r="NR48" s="27"/>
      <c r="NS48" s="27"/>
      <c r="NT48" s="27"/>
      <c r="NU48" s="27"/>
      <c r="NV48" s="27"/>
      <c r="NW48" s="27"/>
      <c r="NX48" s="27"/>
      <c r="NY48" s="27"/>
      <c r="NZ48" s="27"/>
      <c r="OA48" s="27"/>
      <c r="OB48" s="27"/>
      <c r="OC48" s="27"/>
      <c r="OD48" s="27"/>
      <c r="OE48" s="27"/>
      <c r="OF48" s="27"/>
      <c r="OG48" s="27"/>
      <c r="OH48" s="27"/>
      <c r="OI48" s="27"/>
      <c r="OJ48" s="27"/>
      <c r="OK48" s="27"/>
      <c r="OL48" s="27"/>
      <c r="OM48" s="27"/>
      <c r="ON48" s="27"/>
      <c r="OO48" s="27"/>
      <c r="OP48" s="27"/>
      <c r="OQ48" s="27"/>
      <c r="OR48" s="27"/>
      <c r="OS48" s="27"/>
      <c r="OT48" s="27"/>
      <c r="OU48" s="27"/>
      <c r="OV48" s="27"/>
      <c r="OW48" s="27"/>
      <c r="OX48" s="27"/>
      <c r="OY48" s="27"/>
      <c r="OZ48" s="27"/>
      <c r="PA48" s="27"/>
      <c r="PB48" s="27"/>
      <c r="PC48" s="27"/>
      <c r="PD48" s="27"/>
      <c r="PE48" s="27"/>
      <c r="PF48" s="27"/>
      <c r="PG48" s="27"/>
      <c r="PH48" s="27"/>
      <c r="PI48" s="27"/>
      <c r="PJ48" s="27"/>
      <c r="PK48" s="27"/>
      <c r="PL48" s="27"/>
      <c r="PM48" s="27"/>
      <c r="PN48" s="27"/>
      <c r="PO48" s="27"/>
      <c r="PP48" s="27"/>
      <c r="PQ48" s="27"/>
      <c r="PR48" s="27"/>
      <c r="PS48" s="27"/>
      <c r="PT48" s="27"/>
      <c r="PU48" s="27"/>
      <c r="PV48" s="27"/>
      <c r="PW48" s="27"/>
      <c r="PZ48" s="29"/>
      <c r="QA48" s="29"/>
      <c r="QB48" s="29"/>
      <c r="QC48" s="29"/>
      <c r="QD48" s="29"/>
      <c r="QE48" s="29"/>
      <c r="QF48" s="29"/>
      <c r="QG48" s="29"/>
      <c r="QH48" s="29"/>
      <c r="QI48" s="29"/>
      <c r="QJ48" s="29"/>
      <c r="QK48" s="29"/>
      <c r="QL48" s="29"/>
      <c r="QM48" s="29"/>
      <c r="QN48" s="29"/>
      <c r="QO48" s="29"/>
      <c r="QP48" s="29"/>
      <c r="QQ48" s="29"/>
      <c r="QR48" s="29"/>
      <c r="QS48" s="29"/>
      <c r="QT48" s="29"/>
      <c r="QU48" s="29"/>
      <c r="QV48" s="29"/>
      <c r="QW48" s="29"/>
      <c r="QX48" s="29"/>
      <c r="QY48" s="29"/>
      <c r="QZ48" s="29"/>
      <c r="RA48" s="29"/>
      <c r="RB48" s="29"/>
      <c r="RC48" s="29"/>
      <c r="RD48" s="29"/>
      <c r="RE48" s="29"/>
      <c r="RF48" s="29"/>
      <c r="RG48" s="29"/>
      <c r="RH48" s="29"/>
      <c r="RI48" s="29"/>
      <c r="RJ48" s="29"/>
      <c r="RK48" s="29"/>
      <c r="RL48" s="29"/>
      <c r="RM48" s="29"/>
      <c r="RN48" s="29"/>
      <c r="RO48" s="29"/>
      <c r="RP48" s="29"/>
      <c r="RQ48" s="29"/>
      <c r="RR48" s="29"/>
      <c r="RS48" s="29"/>
      <c r="RT48" s="29"/>
      <c r="RU48" s="29"/>
      <c r="RV48" s="29"/>
      <c r="RW48" s="29"/>
      <c r="RX48" s="29"/>
      <c r="RY48" s="29"/>
      <c r="RZ48" s="29"/>
      <c r="SA48" s="29"/>
      <c r="SB48" s="29"/>
      <c r="SC48" s="29"/>
      <c r="SD48" s="29"/>
      <c r="SE48" s="29"/>
      <c r="SF48" s="29"/>
      <c r="SG48" s="29"/>
      <c r="SH48" s="29"/>
      <c r="SI48" s="29"/>
      <c r="SJ48" s="29"/>
      <c r="SK48" s="29"/>
      <c r="SL48" s="29"/>
      <c r="SM48" s="29"/>
      <c r="SN48" s="29"/>
      <c r="SO48" s="29"/>
      <c r="SP48" s="29"/>
      <c r="SQ48" s="29"/>
      <c r="SR48" s="29"/>
      <c r="SS48" s="29"/>
      <c r="ST48" s="29"/>
      <c r="SU48" s="29"/>
      <c r="SV48" s="29"/>
      <c r="SW48" s="29"/>
      <c r="SX48" s="29"/>
      <c r="SY48" s="29"/>
      <c r="SZ48" s="29"/>
      <c r="TA48" s="29"/>
      <c r="TB48" s="29"/>
      <c r="TC48" s="29"/>
      <c r="TD48" s="29"/>
      <c r="TE48" s="29"/>
      <c r="TF48" s="29"/>
      <c r="TG48" s="29"/>
      <c r="TH48" s="29"/>
      <c r="TI48" s="29"/>
      <c r="TJ48" s="29"/>
      <c r="TK48" s="29"/>
      <c r="TL48" s="29"/>
      <c r="TM48" s="29"/>
      <c r="TN48" s="29"/>
      <c r="TO48" s="29"/>
      <c r="TP48" s="29"/>
      <c r="TQ48" s="29"/>
      <c r="TR48" s="29"/>
      <c r="TS48" s="29"/>
      <c r="TT48" s="29"/>
      <c r="TU48" s="29"/>
      <c r="TV48" s="29"/>
      <c r="TW48" s="29"/>
      <c r="TX48" s="29"/>
      <c r="TY48" s="29"/>
      <c r="TZ48" s="29"/>
      <c r="UA48" s="29"/>
      <c r="UB48" s="29"/>
      <c r="UC48" s="29"/>
      <c r="UD48" s="29"/>
      <c r="UE48" s="29"/>
      <c r="UF48" s="29"/>
      <c r="UG48" s="29"/>
      <c r="UH48" s="29"/>
      <c r="UI48" s="29"/>
      <c r="UJ48" s="29"/>
      <c r="UK48" s="29"/>
      <c r="UL48" s="29"/>
      <c r="UM48" s="29"/>
      <c r="UN48" s="29"/>
      <c r="UO48" s="29"/>
      <c r="UP48" s="29"/>
      <c r="UQ48" s="29"/>
      <c r="UR48" s="29"/>
      <c r="US48" s="29"/>
      <c r="UT48" s="29"/>
      <c r="UU48" s="29"/>
      <c r="UV48" s="29"/>
      <c r="UW48" s="29"/>
      <c r="UX48" s="29"/>
      <c r="UY48" s="29"/>
      <c r="UZ48" s="29"/>
      <c r="VA48" s="29"/>
      <c r="VB48" s="29"/>
      <c r="VC48" s="29"/>
      <c r="VD48" s="29"/>
      <c r="VE48" s="29"/>
      <c r="VF48" s="29"/>
      <c r="VG48" s="29"/>
      <c r="VH48" s="29"/>
      <c r="VI48" s="29"/>
      <c r="VJ48" s="29"/>
      <c r="VK48" s="29"/>
      <c r="VL48" s="29"/>
      <c r="VM48" s="29"/>
      <c r="VN48" s="29"/>
      <c r="VO48" s="29"/>
      <c r="VP48" s="29"/>
      <c r="VQ48" s="29"/>
      <c r="VR48" s="29"/>
      <c r="VS48" s="29"/>
      <c r="VT48" s="29"/>
      <c r="VU48" s="29"/>
      <c r="VV48" s="29"/>
      <c r="VW48" s="29"/>
      <c r="VX48" s="29"/>
      <c r="VY48" s="29"/>
      <c r="VZ48" s="29"/>
      <c r="WA48" s="29"/>
      <c r="WB48" s="29"/>
      <c r="WC48" s="29"/>
      <c r="WD48" s="29"/>
      <c r="WE48" s="29"/>
      <c r="WF48" s="29"/>
      <c r="WG48" s="29"/>
      <c r="WH48" s="29"/>
      <c r="WI48" s="29"/>
      <c r="WJ48" s="29"/>
      <c r="WK48" s="29"/>
      <c r="WL48" s="29"/>
      <c r="WM48" s="29"/>
      <c r="WN48" s="29"/>
      <c r="WO48" s="29"/>
      <c r="WP48" s="29"/>
      <c r="WQ48" s="29"/>
      <c r="WR48" s="29"/>
      <c r="WS48" s="29"/>
      <c r="WT48" s="29"/>
      <c r="WU48" s="29"/>
      <c r="WV48" s="29"/>
      <c r="WW48" s="29"/>
      <c r="WX48" s="29"/>
      <c r="WY48" s="29"/>
      <c r="WZ48" s="29"/>
      <c r="XA48" s="29"/>
      <c r="XB48" s="29"/>
      <c r="XC48" s="29"/>
      <c r="XD48" s="29"/>
      <c r="XE48" s="29"/>
      <c r="XF48" s="29"/>
      <c r="XG48" s="29"/>
      <c r="XH48" s="29"/>
      <c r="XI48" s="29"/>
      <c r="XJ48" s="29"/>
      <c r="XK48" s="29"/>
      <c r="XL48" s="29"/>
      <c r="XM48" s="29"/>
      <c r="XN48" s="29"/>
      <c r="XO48" s="29"/>
      <c r="XP48" s="29"/>
      <c r="XQ48" s="29"/>
      <c r="XR48" s="29"/>
      <c r="XS48" s="29"/>
      <c r="XT48" s="29"/>
      <c r="XU48" s="29"/>
      <c r="XV48" s="29"/>
      <c r="XW48" s="29"/>
      <c r="XX48" s="29"/>
      <c r="XY48" s="29"/>
    </row>
    <row r="49" spans="3:649" s="53" customFormat="1" ht="14.45" outlineLevel="1">
      <c r="C49" s="30" t="s">
        <v>26</v>
      </c>
      <c r="D49" s="28" t="s">
        <v>86</v>
      </c>
      <c r="E49" s="221"/>
      <c r="F49" s="51"/>
      <c r="G49" s="51"/>
      <c r="H49" s="51"/>
      <c r="I49" s="51"/>
      <c r="J49" s="51"/>
      <c r="K49" s="51"/>
      <c r="L49" s="51"/>
      <c r="M49" s="51">
        <v>20.8</v>
      </c>
      <c r="N49" s="51">
        <v>6.8</v>
      </c>
      <c r="O49" s="51">
        <v>6.8</v>
      </c>
      <c r="P49" s="51">
        <v>6.8</v>
      </c>
      <c r="Q49" s="51">
        <f t="shared" si="0"/>
        <v>41.199999999999996</v>
      </c>
      <c r="R49" s="51">
        <v>118.80000000000001</v>
      </c>
      <c r="S49" s="28" t="s">
        <v>41</v>
      </c>
      <c r="T49" s="31"/>
      <c r="U49" s="169"/>
      <c r="V49" s="170" t="e">
        <f>IF(#REF!="","Other Major Projects","Data Centre")</f>
        <v>#REF!</v>
      </c>
      <c r="W49" s="168"/>
      <c r="X49" s="28">
        <f>Table4232[[#This Row],[Post 2033]]+Table4232[[#This Row],[Total]]</f>
        <v>160</v>
      </c>
      <c r="Y49" s="28" t="s">
        <v>29</v>
      </c>
      <c r="Z49" s="52"/>
      <c r="AA49" s="27"/>
      <c r="AB49" s="27"/>
      <c r="AC49" s="27"/>
      <c r="AD49" s="27"/>
      <c r="AE49" s="27"/>
      <c r="AF49" s="52"/>
      <c r="AG49" s="52"/>
      <c r="AH49" s="52"/>
      <c r="AI49" s="52"/>
      <c r="AJ49" s="52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  <c r="IX49" s="27"/>
      <c r="IY49" s="27"/>
      <c r="IZ49" s="27"/>
      <c r="JA49" s="27"/>
      <c r="JB49" s="27"/>
      <c r="JC49" s="27"/>
      <c r="JD49" s="27"/>
      <c r="JE49" s="27"/>
      <c r="JF49" s="27"/>
      <c r="JG49" s="27"/>
      <c r="JH49" s="27"/>
      <c r="JI49" s="27"/>
      <c r="JJ49" s="27"/>
      <c r="JK49" s="27"/>
      <c r="JL49" s="27"/>
      <c r="JM49" s="27"/>
      <c r="JN49" s="27"/>
      <c r="JO49" s="27"/>
      <c r="JP49" s="27"/>
      <c r="JQ49" s="27"/>
      <c r="JR49" s="27"/>
      <c r="JS49" s="27"/>
      <c r="JT49" s="27"/>
      <c r="JU49" s="27"/>
      <c r="JV49" s="27"/>
      <c r="JW49" s="27"/>
      <c r="JX49" s="27"/>
      <c r="JY49" s="27"/>
      <c r="JZ49" s="27"/>
      <c r="KA49" s="27"/>
      <c r="KB49" s="27"/>
      <c r="KC49" s="27"/>
      <c r="KD49" s="27"/>
      <c r="KE49" s="27"/>
      <c r="KF49" s="27"/>
      <c r="KG49" s="27"/>
      <c r="KH49" s="27"/>
      <c r="KI49" s="27"/>
      <c r="KJ49" s="27"/>
      <c r="KK49" s="27"/>
      <c r="KL49" s="27"/>
      <c r="KM49" s="27"/>
      <c r="KN49" s="27"/>
      <c r="KO49" s="27"/>
      <c r="KP49" s="27"/>
      <c r="KQ49" s="27"/>
      <c r="KR49" s="27"/>
      <c r="KS49" s="27"/>
      <c r="KT49" s="27"/>
      <c r="KU49" s="27"/>
      <c r="KV49" s="27"/>
      <c r="KW49" s="27"/>
      <c r="KX49" s="27"/>
      <c r="KY49" s="27"/>
      <c r="KZ49" s="27"/>
      <c r="LA49" s="27"/>
      <c r="LB49" s="27"/>
      <c r="LC49" s="27"/>
      <c r="LD49" s="27"/>
      <c r="LE49" s="27"/>
      <c r="LF49" s="27"/>
      <c r="LG49" s="27"/>
      <c r="LH49" s="27"/>
      <c r="LI49" s="27"/>
      <c r="LJ49" s="27"/>
      <c r="LK49" s="27"/>
      <c r="LL49" s="27"/>
      <c r="LM49" s="27"/>
      <c r="LN49" s="27"/>
      <c r="LO49" s="27"/>
      <c r="LP49" s="27"/>
      <c r="LQ49" s="27"/>
      <c r="LR49" s="27"/>
      <c r="LS49" s="27"/>
      <c r="LT49" s="27"/>
      <c r="LU49" s="27"/>
      <c r="LV49" s="27"/>
      <c r="LW49" s="27"/>
      <c r="LX49" s="27"/>
      <c r="LY49" s="27"/>
      <c r="LZ49" s="27"/>
      <c r="MA49" s="27"/>
      <c r="MB49" s="27"/>
      <c r="MC49" s="27"/>
      <c r="MD49" s="27"/>
      <c r="ME49" s="27"/>
      <c r="MF49" s="27"/>
      <c r="MG49" s="27"/>
      <c r="MH49" s="27"/>
      <c r="MI49" s="27"/>
      <c r="MJ49" s="27"/>
      <c r="MK49" s="27"/>
      <c r="ML49" s="27"/>
      <c r="MM49" s="27"/>
      <c r="MN49" s="27"/>
      <c r="MO49" s="27"/>
      <c r="MP49" s="27"/>
      <c r="MQ49" s="27"/>
      <c r="MR49" s="27"/>
      <c r="MS49" s="27"/>
      <c r="MT49" s="27"/>
      <c r="MU49" s="27"/>
      <c r="MV49" s="27"/>
      <c r="MW49" s="27"/>
      <c r="MX49" s="27"/>
      <c r="MY49" s="27"/>
      <c r="MZ49" s="27"/>
      <c r="NA49" s="27"/>
      <c r="NB49" s="27"/>
      <c r="NC49" s="27"/>
      <c r="ND49" s="27"/>
      <c r="NE49" s="27"/>
      <c r="NF49" s="27"/>
      <c r="NG49" s="27"/>
      <c r="NH49" s="27"/>
      <c r="NI49" s="27"/>
      <c r="NJ49" s="27"/>
      <c r="NK49" s="27"/>
      <c r="NL49" s="27"/>
      <c r="NM49" s="27"/>
      <c r="NN49" s="27"/>
      <c r="NO49" s="27"/>
      <c r="NP49" s="27"/>
      <c r="NQ49" s="27"/>
      <c r="NR49" s="27"/>
      <c r="NS49" s="27"/>
      <c r="NT49" s="27"/>
      <c r="NU49" s="27"/>
      <c r="NV49" s="27"/>
      <c r="NW49" s="27"/>
      <c r="NX49" s="27"/>
      <c r="NY49" s="27"/>
      <c r="NZ49" s="27"/>
      <c r="OA49" s="27"/>
      <c r="OB49" s="27"/>
      <c r="OC49" s="27"/>
      <c r="OD49" s="27"/>
      <c r="OE49" s="27"/>
      <c r="OF49" s="27"/>
      <c r="OG49" s="27"/>
      <c r="OH49" s="27"/>
      <c r="OI49" s="27"/>
      <c r="OJ49" s="27"/>
      <c r="OK49" s="27"/>
      <c r="OL49" s="27"/>
      <c r="OM49" s="27"/>
      <c r="ON49" s="27"/>
      <c r="OO49" s="27"/>
      <c r="OP49" s="27"/>
      <c r="OQ49" s="27"/>
      <c r="OR49" s="27"/>
      <c r="OS49" s="27"/>
      <c r="OT49" s="27"/>
      <c r="OU49" s="27"/>
      <c r="OV49" s="27"/>
      <c r="OW49" s="27"/>
      <c r="OX49" s="27"/>
      <c r="OY49" s="27"/>
      <c r="OZ49" s="27"/>
      <c r="PA49" s="27"/>
      <c r="PB49" s="27"/>
      <c r="PC49" s="27"/>
      <c r="PD49" s="27"/>
      <c r="PE49" s="27"/>
      <c r="PF49" s="27"/>
      <c r="PG49" s="27"/>
      <c r="PH49" s="27"/>
      <c r="PI49" s="27"/>
      <c r="PJ49" s="27"/>
      <c r="PK49" s="27"/>
      <c r="PL49" s="27"/>
      <c r="PM49" s="27"/>
      <c r="PN49" s="27"/>
      <c r="PO49" s="27"/>
      <c r="PP49" s="27"/>
      <c r="PQ49" s="27"/>
      <c r="PR49" s="27"/>
      <c r="PS49" s="27"/>
      <c r="PT49" s="27"/>
      <c r="PU49" s="27"/>
      <c r="PV49" s="27"/>
      <c r="PW49" s="27"/>
      <c r="PZ49" s="29"/>
      <c r="QA49" s="29"/>
      <c r="QB49" s="29"/>
      <c r="QC49" s="29"/>
      <c r="QD49" s="29"/>
      <c r="QE49" s="29"/>
      <c r="QF49" s="29"/>
      <c r="QG49" s="29"/>
      <c r="QH49" s="29"/>
      <c r="QI49" s="29"/>
      <c r="QJ49" s="29"/>
      <c r="QK49" s="29"/>
      <c r="QL49" s="29"/>
      <c r="QM49" s="29"/>
      <c r="QN49" s="29"/>
      <c r="QO49" s="29"/>
      <c r="QP49" s="29"/>
      <c r="QQ49" s="29"/>
      <c r="QR49" s="29"/>
      <c r="QS49" s="29"/>
      <c r="QT49" s="29"/>
      <c r="QU49" s="29"/>
      <c r="QV49" s="29"/>
      <c r="QW49" s="29"/>
      <c r="QX49" s="29"/>
      <c r="QY49" s="29"/>
      <c r="QZ49" s="29"/>
      <c r="RA49" s="29"/>
      <c r="RB49" s="29"/>
      <c r="RC49" s="29"/>
      <c r="RD49" s="29"/>
      <c r="RE49" s="29"/>
      <c r="RF49" s="29"/>
      <c r="RG49" s="29"/>
      <c r="RH49" s="29"/>
      <c r="RI49" s="29"/>
      <c r="RJ49" s="29"/>
      <c r="RK49" s="29"/>
      <c r="RL49" s="29"/>
      <c r="RM49" s="29"/>
      <c r="RN49" s="29"/>
      <c r="RO49" s="29"/>
      <c r="RP49" s="29"/>
      <c r="RQ49" s="29"/>
      <c r="RR49" s="29"/>
      <c r="RS49" s="29"/>
      <c r="RT49" s="29"/>
      <c r="RU49" s="29"/>
      <c r="RV49" s="29"/>
      <c r="RW49" s="29"/>
      <c r="RX49" s="29"/>
      <c r="RY49" s="29"/>
      <c r="RZ49" s="29"/>
      <c r="SA49" s="29"/>
      <c r="SB49" s="29"/>
      <c r="SC49" s="29"/>
      <c r="SD49" s="29"/>
      <c r="SE49" s="29"/>
      <c r="SF49" s="29"/>
      <c r="SG49" s="29"/>
      <c r="SH49" s="29"/>
      <c r="SI49" s="29"/>
      <c r="SJ49" s="29"/>
      <c r="SK49" s="29"/>
      <c r="SL49" s="29"/>
      <c r="SM49" s="29"/>
      <c r="SN49" s="29"/>
      <c r="SO49" s="29"/>
      <c r="SP49" s="29"/>
      <c r="SQ49" s="29"/>
      <c r="SR49" s="29"/>
      <c r="SS49" s="29"/>
      <c r="ST49" s="29"/>
      <c r="SU49" s="29"/>
      <c r="SV49" s="29"/>
      <c r="SW49" s="29"/>
      <c r="SX49" s="29"/>
      <c r="SY49" s="29"/>
      <c r="SZ49" s="29"/>
      <c r="TA49" s="29"/>
      <c r="TB49" s="29"/>
      <c r="TC49" s="29"/>
      <c r="TD49" s="29"/>
      <c r="TE49" s="29"/>
      <c r="TF49" s="29"/>
      <c r="TG49" s="29"/>
      <c r="TH49" s="29"/>
      <c r="TI49" s="29"/>
      <c r="TJ49" s="29"/>
      <c r="TK49" s="29"/>
      <c r="TL49" s="29"/>
      <c r="TM49" s="29"/>
      <c r="TN49" s="29"/>
      <c r="TO49" s="29"/>
      <c r="TP49" s="29"/>
      <c r="TQ49" s="29"/>
      <c r="TR49" s="29"/>
      <c r="TS49" s="29"/>
      <c r="TT49" s="29"/>
      <c r="TU49" s="29"/>
      <c r="TV49" s="29"/>
      <c r="TW49" s="29"/>
      <c r="TX49" s="29"/>
      <c r="TY49" s="29"/>
      <c r="TZ49" s="29"/>
      <c r="UA49" s="29"/>
      <c r="UB49" s="29"/>
      <c r="UC49" s="29"/>
      <c r="UD49" s="29"/>
      <c r="UE49" s="29"/>
      <c r="UF49" s="29"/>
      <c r="UG49" s="29"/>
      <c r="UH49" s="29"/>
      <c r="UI49" s="29"/>
      <c r="UJ49" s="29"/>
      <c r="UK49" s="29"/>
      <c r="UL49" s="29"/>
      <c r="UM49" s="29"/>
      <c r="UN49" s="29"/>
      <c r="UO49" s="29"/>
      <c r="UP49" s="29"/>
      <c r="UQ49" s="29"/>
      <c r="UR49" s="29"/>
      <c r="US49" s="29"/>
      <c r="UT49" s="29"/>
      <c r="UU49" s="29"/>
      <c r="UV49" s="29"/>
      <c r="UW49" s="29"/>
      <c r="UX49" s="29"/>
      <c r="UY49" s="29"/>
      <c r="UZ49" s="29"/>
      <c r="VA49" s="29"/>
      <c r="VB49" s="29"/>
      <c r="VC49" s="29"/>
      <c r="VD49" s="29"/>
      <c r="VE49" s="29"/>
      <c r="VF49" s="29"/>
      <c r="VG49" s="29"/>
      <c r="VH49" s="29"/>
      <c r="VI49" s="29"/>
      <c r="VJ49" s="29"/>
      <c r="VK49" s="29"/>
      <c r="VL49" s="29"/>
      <c r="VM49" s="29"/>
      <c r="VN49" s="29"/>
      <c r="VO49" s="29"/>
      <c r="VP49" s="29"/>
      <c r="VQ49" s="29"/>
      <c r="VR49" s="29"/>
      <c r="VS49" s="29"/>
      <c r="VT49" s="29"/>
      <c r="VU49" s="29"/>
      <c r="VV49" s="29"/>
      <c r="VW49" s="29"/>
      <c r="VX49" s="29"/>
      <c r="VY49" s="29"/>
      <c r="VZ49" s="29"/>
      <c r="WA49" s="29"/>
      <c r="WB49" s="29"/>
      <c r="WC49" s="29"/>
      <c r="WD49" s="29"/>
      <c r="WE49" s="29"/>
      <c r="WF49" s="29"/>
      <c r="WG49" s="29"/>
      <c r="WH49" s="29"/>
      <c r="WI49" s="29"/>
      <c r="WJ49" s="29"/>
      <c r="WK49" s="29"/>
      <c r="WL49" s="29"/>
      <c r="WM49" s="29"/>
      <c r="WN49" s="29"/>
      <c r="WO49" s="29"/>
      <c r="WP49" s="29"/>
      <c r="WQ49" s="29"/>
      <c r="WR49" s="29"/>
      <c r="WS49" s="29"/>
      <c r="WT49" s="29"/>
      <c r="WU49" s="29"/>
      <c r="WV49" s="29"/>
      <c r="WW49" s="29"/>
      <c r="WX49" s="29"/>
      <c r="WY49" s="29"/>
      <c r="WZ49" s="29"/>
      <c r="XA49" s="29"/>
      <c r="XB49" s="29"/>
      <c r="XC49" s="29"/>
      <c r="XD49" s="29"/>
      <c r="XE49" s="29"/>
      <c r="XF49" s="29"/>
      <c r="XG49" s="29"/>
      <c r="XH49" s="29"/>
      <c r="XI49" s="29"/>
      <c r="XJ49" s="29"/>
      <c r="XK49" s="29"/>
      <c r="XL49" s="29"/>
      <c r="XM49" s="29"/>
      <c r="XN49" s="29"/>
      <c r="XO49" s="29"/>
      <c r="XP49" s="29"/>
      <c r="XQ49" s="29"/>
      <c r="XR49" s="29"/>
      <c r="XS49" s="29"/>
      <c r="XT49" s="29"/>
      <c r="XU49" s="29"/>
      <c r="XV49" s="29"/>
      <c r="XW49" s="29"/>
      <c r="XX49" s="29"/>
      <c r="XY49" s="29"/>
    </row>
    <row r="50" spans="3:649" s="53" customFormat="1" ht="14.45" outlineLevel="1">
      <c r="C50" s="30" t="s">
        <v>26</v>
      </c>
      <c r="D50" s="28" t="s">
        <v>87</v>
      </c>
      <c r="E50" s="221"/>
      <c r="F50" s="51"/>
      <c r="G50" s="51">
        <v>2.2999999999999998</v>
      </c>
      <c r="H50" s="51"/>
      <c r="I50" s="51">
        <v>1</v>
      </c>
      <c r="J50" s="51"/>
      <c r="K50" s="51"/>
      <c r="L50" s="51"/>
      <c r="M50" s="51"/>
      <c r="N50" s="51"/>
      <c r="O50" s="51"/>
      <c r="P50" s="51"/>
      <c r="Q50" s="51">
        <f t="shared" si="0"/>
        <v>3.3</v>
      </c>
      <c r="R50" s="51"/>
      <c r="S50" s="28" t="s">
        <v>31</v>
      </c>
      <c r="T50" s="31"/>
      <c r="U50" s="169"/>
      <c r="V50" s="170" t="e">
        <f>IF(#REF!="","Other Major Projects","Data Centre")</f>
        <v>#REF!</v>
      </c>
      <c r="W50" s="168"/>
      <c r="X50" s="28">
        <f>Table4232[[#This Row],[Post 2033]]+Table4232[[#This Row],[Total]]</f>
        <v>3.3</v>
      </c>
      <c r="Y50" s="28" t="s">
        <v>29</v>
      </c>
      <c r="Z50" s="52"/>
      <c r="AA50" s="27"/>
      <c r="AB50" s="27"/>
      <c r="AC50" s="27"/>
      <c r="AD50" s="27"/>
      <c r="AE50" s="27"/>
      <c r="AF50" s="52"/>
      <c r="AG50" s="52"/>
      <c r="AH50" s="52"/>
      <c r="AI50" s="52"/>
      <c r="AJ50" s="52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  <c r="IW50" s="27"/>
      <c r="IX50" s="27"/>
      <c r="IY50" s="27"/>
      <c r="IZ50" s="27"/>
      <c r="JA50" s="27"/>
      <c r="JB50" s="27"/>
      <c r="JC50" s="27"/>
      <c r="JD50" s="27"/>
      <c r="JE50" s="27"/>
      <c r="JF50" s="27"/>
      <c r="JG50" s="27"/>
      <c r="JH50" s="27"/>
      <c r="JI50" s="27"/>
      <c r="JJ50" s="27"/>
      <c r="JK50" s="27"/>
      <c r="JL50" s="27"/>
      <c r="JM50" s="27"/>
      <c r="JN50" s="27"/>
      <c r="JO50" s="27"/>
      <c r="JP50" s="27"/>
      <c r="JQ50" s="27"/>
      <c r="JR50" s="27"/>
      <c r="JS50" s="27"/>
      <c r="JT50" s="27"/>
      <c r="JU50" s="27"/>
      <c r="JV50" s="27"/>
      <c r="JW50" s="27"/>
      <c r="JX50" s="27"/>
      <c r="JY50" s="27"/>
      <c r="JZ50" s="27"/>
      <c r="KA50" s="27"/>
      <c r="KB50" s="27"/>
      <c r="KC50" s="27"/>
      <c r="KD50" s="27"/>
      <c r="KE50" s="27"/>
      <c r="KF50" s="27"/>
      <c r="KG50" s="27"/>
      <c r="KH50" s="27"/>
      <c r="KI50" s="27"/>
      <c r="KJ50" s="27"/>
      <c r="KK50" s="27"/>
      <c r="KL50" s="27"/>
      <c r="KM50" s="27"/>
      <c r="KN50" s="27"/>
      <c r="KO50" s="27"/>
      <c r="KP50" s="27"/>
      <c r="KQ50" s="27"/>
      <c r="KR50" s="27"/>
      <c r="KS50" s="27"/>
      <c r="KT50" s="27"/>
      <c r="KU50" s="27"/>
      <c r="KV50" s="27"/>
      <c r="KW50" s="27"/>
      <c r="KX50" s="27"/>
      <c r="KY50" s="27"/>
      <c r="KZ50" s="27"/>
      <c r="LA50" s="27"/>
      <c r="LB50" s="27"/>
      <c r="LC50" s="27"/>
      <c r="LD50" s="27"/>
      <c r="LE50" s="27"/>
      <c r="LF50" s="27"/>
      <c r="LG50" s="27"/>
      <c r="LH50" s="27"/>
      <c r="LI50" s="27"/>
      <c r="LJ50" s="27"/>
      <c r="LK50" s="27"/>
      <c r="LL50" s="27"/>
      <c r="LM50" s="27"/>
      <c r="LN50" s="27"/>
      <c r="LO50" s="27"/>
      <c r="LP50" s="27"/>
      <c r="LQ50" s="27"/>
      <c r="LR50" s="27"/>
      <c r="LS50" s="27"/>
      <c r="LT50" s="27"/>
      <c r="LU50" s="27"/>
      <c r="LV50" s="27"/>
      <c r="LW50" s="27"/>
      <c r="LX50" s="27"/>
      <c r="LY50" s="27"/>
      <c r="LZ50" s="27"/>
      <c r="MA50" s="27"/>
      <c r="MB50" s="27"/>
      <c r="MC50" s="27"/>
      <c r="MD50" s="27"/>
      <c r="ME50" s="27"/>
      <c r="MF50" s="27"/>
      <c r="MG50" s="27"/>
      <c r="MH50" s="27"/>
      <c r="MI50" s="27"/>
      <c r="MJ50" s="27"/>
      <c r="MK50" s="27"/>
      <c r="ML50" s="27"/>
      <c r="MM50" s="27"/>
      <c r="MN50" s="27"/>
      <c r="MO50" s="27"/>
      <c r="MP50" s="27"/>
      <c r="MQ50" s="27"/>
      <c r="MR50" s="27"/>
      <c r="MS50" s="27"/>
      <c r="MT50" s="27"/>
      <c r="MU50" s="27"/>
      <c r="MV50" s="27"/>
      <c r="MW50" s="27"/>
      <c r="MX50" s="27"/>
      <c r="MY50" s="27"/>
      <c r="MZ50" s="27"/>
      <c r="NA50" s="27"/>
      <c r="NB50" s="27"/>
      <c r="NC50" s="27"/>
      <c r="ND50" s="27"/>
      <c r="NE50" s="27"/>
      <c r="NF50" s="27"/>
      <c r="NG50" s="27"/>
      <c r="NH50" s="27"/>
      <c r="NI50" s="27"/>
      <c r="NJ50" s="27"/>
      <c r="NK50" s="27"/>
      <c r="NL50" s="27"/>
      <c r="NM50" s="27"/>
      <c r="NN50" s="27"/>
      <c r="NO50" s="27"/>
      <c r="NP50" s="27"/>
      <c r="NQ50" s="27"/>
      <c r="NR50" s="27"/>
      <c r="NS50" s="27"/>
      <c r="NT50" s="27"/>
      <c r="NU50" s="27"/>
      <c r="NV50" s="27"/>
      <c r="NW50" s="27"/>
      <c r="NX50" s="27"/>
      <c r="NY50" s="27"/>
      <c r="NZ50" s="27"/>
      <c r="OA50" s="27"/>
      <c r="OB50" s="27"/>
      <c r="OC50" s="27"/>
      <c r="OD50" s="27"/>
      <c r="OE50" s="27"/>
      <c r="OF50" s="27"/>
      <c r="OG50" s="27"/>
      <c r="OH50" s="27"/>
      <c r="OI50" s="27"/>
      <c r="OJ50" s="27"/>
      <c r="OK50" s="27"/>
      <c r="OL50" s="27"/>
      <c r="OM50" s="27"/>
      <c r="ON50" s="27"/>
      <c r="OO50" s="27"/>
      <c r="OP50" s="27"/>
      <c r="OQ50" s="27"/>
      <c r="OR50" s="27"/>
      <c r="OS50" s="27"/>
      <c r="OT50" s="27"/>
      <c r="OU50" s="27"/>
      <c r="OV50" s="27"/>
      <c r="OW50" s="27"/>
      <c r="OX50" s="27"/>
      <c r="OY50" s="27"/>
      <c r="OZ50" s="27"/>
      <c r="PA50" s="27"/>
      <c r="PB50" s="27"/>
      <c r="PC50" s="27"/>
      <c r="PD50" s="27"/>
      <c r="PE50" s="27"/>
      <c r="PF50" s="27"/>
      <c r="PG50" s="27"/>
      <c r="PH50" s="27"/>
      <c r="PI50" s="27"/>
      <c r="PJ50" s="27"/>
      <c r="PK50" s="27"/>
      <c r="PL50" s="27"/>
      <c r="PM50" s="27"/>
      <c r="PN50" s="27"/>
      <c r="PO50" s="27"/>
      <c r="PP50" s="27"/>
      <c r="PQ50" s="27"/>
      <c r="PR50" s="27"/>
      <c r="PS50" s="27"/>
      <c r="PT50" s="27"/>
      <c r="PU50" s="27"/>
      <c r="PV50" s="27"/>
      <c r="PW50" s="27"/>
      <c r="PZ50" s="29"/>
      <c r="QA50" s="29"/>
      <c r="QB50" s="29"/>
      <c r="QC50" s="29"/>
      <c r="QD50" s="29"/>
      <c r="QE50" s="29"/>
      <c r="QF50" s="29"/>
      <c r="QG50" s="29"/>
      <c r="QH50" s="29"/>
      <c r="QI50" s="29"/>
      <c r="QJ50" s="29"/>
      <c r="QK50" s="29"/>
      <c r="QL50" s="29"/>
      <c r="QM50" s="29"/>
      <c r="QN50" s="29"/>
      <c r="QO50" s="29"/>
      <c r="QP50" s="29"/>
      <c r="QQ50" s="29"/>
      <c r="QR50" s="29"/>
      <c r="QS50" s="29"/>
      <c r="QT50" s="29"/>
      <c r="QU50" s="29"/>
      <c r="QV50" s="29"/>
      <c r="QW50" s="29"/>
      <c r="QX50" s="29"/>
      <c r="QY50" s="29"/>
      <c r="QZ50" s="29"/>
      <c r="RA50" s="29"/>
      <c r="RB50" s="29"/>
      <c r="RC50" s="29"/>
      <c r="RD50" s="29"/>
      <c r="RE50" s="29"/>
      <c r="RF50" s="29"/>
      <c r="RG50" s="29"/>
      <c r="RH50" s="29"/>
      <c r="RI50" s="29"/>
      <c r="RJ50" s="29"/>
      <c r="RK50" s="29"/>
      <c r="RL50" s="29"/>
      <c r="RM50" s="29"/>
      <c r="RN50" s="29"/>
      <c r="RO50" s="29"/>
      <c r="RP50" s="29"/>
      <c r="RQ50" s="29"/>
      <c r="RR50" s="29"/>
      <c r="RS50" s="29"/>
      <c r="RT50" s="29"/>
      <c r="RU50" s="29"/>
      <c r="RV50" s="29"/>
      <c r="RW50" s="29"/>
      <c r="RX50" s="29"/>
      <c r="RY50" s="29"/>
      <c r="RZ50" s="29"/>
      <c r="SA50" s="29"/>
      <c r="SB50" s="29"/>
      <c r="SC50" s="29"/>
      <c r="SD50" s="29"/>
      <c r="SE50" s="29"/>
      <c r="SF50" s="29"/>
      <c r="SG50" s="29"/>
      <c r="SH50" s="29"/>
      <c r="SI50" s="29"/>
      <c r="SJ50" s="29"/>
      <c r="SK50" s="29"/>
      <c r="SL50" s="29"/>
      <c r="SM50" s="29"/>
      <c r="SN50" s="29"/>
      <c r="SO50" s="29"/>
      <c r="SP50" s="29"/>
      <c r="SQ50" s="29"/>
      <c r="SR50" s="29"/>
      <c r="SS50" s="29"/>
      <c r="ST50" s="29"/>
      <c r="SU50" s="29"/>
      <c r="SV50" s="29"/>
      <c r="SW50" s="29"/>
      <c r="SX50" s="29"/>
      <c r="SY50" s="29"/>
      <c r="SZ50" s="29"/>
      <c r="TA50" s="29"/>
      <c r="TB50" s="29"/>
      <c r="TC50" s="29"/>
      <c r="TD50" s="29"/>
      <c r="TE50" s="29"/>
      <c r="TF50" s="29"/>
      <c r="TG50" s="29"/>
      <c r="TH50" s="29"/>
      <c r="TI50" s="29"/>
      <c r="TJ50" s="29"/>
      <c r="TK50" s="29"/>
      <c r="TL50" s="29"/>
      <c r="TM50" s="29"/>
      <c r="TN50" s="29"/>
      <c r="TO50" s="29"/>
      <c r="TP50" s="29"/>
      <c r="TQ50" s="29"/>
      <c r="TR50" s="29"/>
      <c r="TS50" s="29"/>
      <c r="TT50" s="29"/>
      <c r="TU50" s="29"/>
      <c r="TV50" s="29"/>
      <c r="TW50" s="29"/>
      <c r="TX50" s="29"/>
      <c r="TY50" s="29"/>
      <c r="TZ50" s="29"/>
      <c r="UA50" s="29"/>
      <c r="UB50" s="29"/>
      <c r="UC50" s="29"/>
      <c r="UD50" s="29"/>
      <c r="UE50" s="29"/>
      <c r="UF50" s="29"/>
      <c r="UG50" s="29"/>
      <c r="UH50" s="29"/>
      <c r="UI50" s="29"/>
      <c r="UJ50" s="29"/>
      <c r="UK50" s="29"/>
      <c r="UL50" s="29"/>
      <c r="UM50" s="29"/>
      <c r="UN50" s="29"/>
      <c r="UO50" s="29"/>
      <c r="UP50" s="29"/>
      <c r="UQ50" s="29"/>
      <c r="UR50" s="29"/>
      <c r="US50" s="29"/>
      <c r="UT50" s="29"/>
      <c r="UU50" s="29"/>
      <c r="UV50" s="29"/>
      <c r="UW50" s="29"/>
      <c r="UX50" s="29"/>
      <c r="UY50" s="29"/>
      <c r="UZ50" s="29"/>
      <c r="VA50" s="29"/>
      <c r="VB50" s="29"/>
      <c r="VC50" s="29"/>
      <c r="VD50" s="29"/>
      <c r="VE50" s="29"/>
      <c r="VF50" s="29"/>
      <c r="VG50" s="29"/>
      <c r="VH50" s="29"/>
      <c r="VI50" s="29"/>
      <c r="VJ50" s="29"/>
      <c r="VK50" s="29"/>
      <c r="VL50" s="29"/>
      <c r="VM50" s="29"/>
      <c r="VN50" s="29"/>
      <c r="VO50" s="29"/>
      <c r="VP50" s="29"/>
      <c r="VQ50" s="29"/>
      <c r="VR50" s="29"/>
      <c r="VS50" s="29"/>
      <c r="VT50" s="29"/>
      <c r="VU50" s="29"/>
      <c r="VV50" s="29"/>
      <c r="VW50" s="29"/>
      <c r="VX50" s="29"/>
      <c r="VY50" s="29"/>
      <c r="VZ50" s="29"/>
      <c r="WA50" s="29"/>
      <c r="WB50" s="29"/>
      <c r="WC50" s="29"/>
      <c r="WD50" s="29"/>
      <c r="WE50" s="29"/>
      <c r="WF50" s="29"/>
      <c r="WG50" s="29"/>
      <c r="WH50" s="29"/>
      <c r="WI50" s="29"/>
      <c r="WJ50" s="29"/>
      <c r="WK50" s="29"/>
      <c r="WL50" s="29"/>
      <c r="WM50" s="29"/>
      <c r="WN50" s="29"/>
      <c r="WO50" s="29"/>
      <c r="WP50" s="29"/>
      <c r="WQ50" s="29"/>
      <c r="WR50" s="29"/>
      <c r="WS50" s="29"/>
      <c r="WT50" s="29"/>
      <c r="WU50" s="29"/>
      <c r="WV50" s="29"/>
      <c r="WW50" s="29"/>
      <c r="WX50" s="29"/>
      <c r="WY50" s="29"/>
      <c r="WZ50" s="29"/>
      <c r="XA50" s="29"/>
      <c r="XB50" s="29"/>
      <c r="XC50" s="29"/>
      <c r="XD50" s="29"/>
      <c r="XE50" s="29"/>
      <c r="XF50" s="29"/>
      <c r="XG50" s="29"/>
      <c r="XH50" s="29"/>
      <c r="XI50" s="29"/>
      <c r="XJ50" s="29"/>
      <c r="XK50" s="29"/>
      <c r="XL50" s="29"/>
      <c r="XM50" s="29"/>
      <c r="XN50" s="29"/>
      <c r="XO50" s="29"/>
      <c r="XP50" s="29"/>
      <c r="XQ50" s="29"/>
      <c r="XR50" s="29"/>
      <c r="XS50" s="29"/>
      <c r="XT50" s="29"/>
      <c r="XU50" s="29"/>
      <c r="XV50" s="29"/>
      <c r="XW50" s="29"/>
      <c r="XX50" s="29"/>
      <c r="XY50" s="29"/>
    </row>
    <row r="51" spans="3:649" s="53" customFormat="1" ht="14.45" outlineLevel="1">
      <c r="C51" s="159"/>
      <c r="D51" s="160"/>
      <c r="E51" s="225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77"/>
      <c r="T51" s="31"/>
      <c r="U51" s="175"/>
      <c r="V51" s="170"/>
      <c r="W51" s="168"/>
      <c r="X51" s="28"/>
      <c r="Y51" s="28"/>
      <c r="Z51" s="52"/>
      <c r="AA51" s="27"/>
      <c r="AB51" s="27"/>
      <c r="AC51" s="27"/>
      <c r="AD51" s="27"/>
      <c r="AE51" s="27"/>
      <c r="AF51" s="52"/>
      <c r="AG51" s="52"/>
      <c r="AH51" s="52"/>
      <c r="AI51" s="52"/>
      <c r="AJ51" s="52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  <c r="KM51" s="27"/>
      <c r="KN51" s="27"/>
      <c r="KO51" s="27"/>
      <c r="KP51" s="27"/>
      <c r="KQ51" s="27"/>
      <c r="KR51" s="27"/>
      <c r="KS51" s="27"/>
      <c r="KT51" s="27"/>
      <c r="KU51" s="27"/>
      <c r="KV51" s="27"/>
      <c r="KW51" s="27"/>
      <c r="KX51" s="27"/>
      <c r="KY51" s="27"/>
      <c r="KZ51" s="27"/>
      <c r="LA51" s="27"/>
      <c r="LB51" s="27"/>
      <c r="LC51" s="27"/>
      <c r="LD51" s="27"/>
      <c r="LE51" s="27"/>
      <c r="LF51" s="27"/>
      <c r="LG51" s="27"/>
      <c r="LH51" s="27"/>
      <c r="LI51" s="27"/>
      <c r="LJ51" s="27"/>
      <c r="LK51" s="27"/>
      <c r="LL51" s="27"/>
      <c r="LM51" s="27"/>
      <c r="LN51" s="27"/>
      <c r="LO51" s="27"/>
      <c r="LP51" s="27"/>
      <c r="LQ51" s="27"/>
      <c r="LR51" s="27"/>
      <c r="LS51" s="27"/>
      <c r="LT51" s="27"/>
      <c r="LU51" s="27"/>
      <c r="LV51" s="27"/>
      <c r="LW51" s="27"/>
      <c r="LX51" s="27"/>
      <c r="LY51" s="27"/>
      <c r="LZ51" s="27"/>
      <c r="MA51" s="27"/>
      <c r="MB51" s="27"/>
      <c r="MC51" s="27"/>
      <c r="MD51" s="27"/>
      <c r="ME51" s="27"/>
      <c r="MF51" s="27"/>
      <c r="MG51" s="27"/>
      <c r="MH51" s="27"/>
      <c r="MI51" s="27"/>
      <c r="MJ51" s="27"/>
      <c r="MK51" s="27"/>
      <c r="ML51" s="27"/>
      <c r="MM51" s="27"/>
      <c r="MN51" s="27"/>
      <c r="MO51" s="27"/>
      <c r="MP51" s="27"/>
      <c r="MQ51" s="27"/>
      <c r="MR51" s="27"/>
      <c r="MS51" s="27"/>
      <c r="MT51" s="27"/>
      <c r="MU51" s="27"/>
      <c r="MV51" s="27"/>
      <c r="MW51" s="27"/>
      <c r="MX51" s="27"/>
      <c r="MY51" s="27"/>
      <c r="MZ51" s="27"/>
      <c r="NA51" s="27"/>
      <c r="NB51" s="27"/>
      <c r="NC51" s="27"/>
      <c r="ND51" s="27"/>
      <c r="NE51" s="27"/>
      <c r="NF51" s="27"/>
      <c r="NG51" s="27"/>
      <c r="NH51" s="27"/>
      <c r="NI51" s="27"/>
      <c r="NJ51" s="27"/>
      <c r="NK51" s="27"/>
      <c r="NL51" s="27"/>
      <c r="NM51" s="27"/>
      <c r="NN51" s="27"/>
      <c r="NO51" s="27"/>
      <c r="NP51" s="27"/>
      <c r="NQ51" s="27"/>
      <c r="NR51" s="27"/>
      <c r="NS51" s="27"/>
      <c r="NT51" s="27"/>
      <c r="NU51" s="27"/>
      <c r="NV51" s="27"/>
      <c r="NW51" s="27"/>
      <c r="NX51" s="27"/>
      <c r="NY51" s="27"/>
      <c r="NZ51" s="27"/>
      <c r="OA51" s="27"/>
      <c r="OB51" s="27"/>
      <c r="OC51" s="27"/>
      <c r="OD51" s="27"/>
      <c r="OE51" s="27"/>
      <c r="OF51" s="27"/>
      <c r="OG51" s="27"/>
      <c r="OH51" s="27"/>
      <c r="OI51" s="27"/>
      <c r="OJ51" s="27"/>
      <c r="OK51" s="27"/>
      <c r="OL51" s="27"/>
      <c r="OM51" s="27"/>
      <c r="ON51" s="27"/>
      <c r="OO51" s="27"/>
      <c r="OP51" s="27"/>
      <c r="OQ51" s="27"/>
      <c r="OR51" s="27"/>
      <c r="OS51" s="27"/>
      <c r="OT51" s="27"/>
      <c r="OU51" s="27"/>
      <c r="OV51" s="27"/>
      <c r="OW51" s="27"/>
      <c r="OX51" s="27"/>
      <c r="OY51" s="27"/>
      <c r="OZ51" s="27"/>
      <c r="PA51" s="27"/>
      <c r="PB51" s="27"/>
      <c r="PC51" s="27"/>
      <c r="PD51" s="27"/>
      <c r="PE51" s="27"/>
      <c r="PF51" s="27"/>
      <c r="PG51" s="27"/>
      <c r="PH51" s="27"/>
      <c r="PI51" s="27"/>
      <c r="PJ51" s="27"/>
      <c r="PK51" s="27"/>
      <c r="PL51" s="27"/>
      <c r="PM51" s="27"/>
      <c r="PN51" s="27"/>
      <c r="PO51" s="27"/>
      <c r="PP51" s="27"/>
      <c r="PQ51" s="27"/>
      <c r="PR51" s="27"/>
      <c r="PS51" s="27"/>
      <c r="PT51" s="27"/>
      <c r="PU51" s="27"/>
      <c r="PV51" s="27"/>
      <c r="PW51" s="27"/>
      <c r="PZ51" s="29"/>
      <c r="QA51" s="29"/>
      <c r="QB51" s="29"/>
      <c r="QC51" s="29"/>
      <c r="QD51" s="29"/>
      <c r="QE51" s="29"/>
      <c r="QF51" s="29"/>
      <c r="QG51" s="29"/>
      <c r="QH51" s="29"/>
      <c r="QI51" s="29"/>
      <c r="QJ51" s="29"/>
      <c r="QK51" s="29"/>
      <c r="QL51" s="29"/>
      <c r="QM51" s="29"/>
      <c r="QN51" s="29"/>
      <c r="QO51" s="29"/>
      <c r="QP51" s="29"/>
      <c r="QQ51" s="29"/>
      <c r="QR51" s="29"/>
      <c r="QS51" s="29"/>
      <c r="QT51" s="29"/>
      <c r="QU51" s="29"/>
      <c r="QV51" s="29"/>
      <c r="QW51" s="29"/>
      <c r="QX51" s="29"/>
      <c r="QY51" s="29"/>
      <c r="QZ51" s="29"/>
      <c r="RA51" s="29"/>
      <c r="RB51" s="29"/>
      <c r="RC51" s="29"/>
      <c r="RD51" s="29"/>
      <c r="RE51" s="29"/>
      <c r="RF51" s="29"/>
      <c r="RG51" s="29"/>
      <c r="RH51" s="29"/>
      <c r="RI51" s="29"/>
      <c r="RJ51" s="29"/>
      <c r="RK51" s="29"/>
      <c r="RL51" s="29"/>
      <c r="RM51" s="29"/>
      <c r="RN51" s="29"/>
      <c r="RO51" s="29"/>
      <c r="RP51" s="29"/>
      <c r="RQ51" s="29"/>
      <c r="RR51" s="29"/>
      <c r="RS51" s="29"/>
      <c r="RT51" s="29"/>
      <c r="RU51" s="29"/>
      <c r="RV51" s="29"/>
      <c r="RW51" s="29"/>
      <c r="RX51" s="29"/>
      <c r="RY51" s="29"/>
      <c r="RZ51" s="29"/>
      <c r="SA51" s="29"/>
      <c r="SB51" s="29"/>
      <c r="SC51" s="29"/>
      <c r="SD51" s="29"/>
      <c r="SE51" s="29"/>
      <c r="SF51" s="29"/>
      <c r="SG51" s="29"/>
      <c r="SH51" s="29"/>
      <c r="SI51" s="29"/>
      <c r="SJ51" s="29"/>
      <c r="SK51" s="29"/>
      <c r="SL51" s="29"/>
      <c r="SM51" s="29"/>
      <c r="SN51" s="29"/>
      <c r="SO51" s="29"/>
      <c r="SP51" s="29"/>
      <c r="SQ51" s="29"/>
      <c r="SR51" s="29"/>
      <c r="SS51" s="29"/>
      <c r="ST51" s="29"/>
      <c r="SU51" s="29"/>
      <c r="SV51" s="29"/>
      <c r="SW51" s="29"/>
      <c r="SX51" s="29"/>
      <c r="SY51" s="29"/>
      <c r="SZ51" s="29"/>
      <c r="TA51" s="29"/>
      <c r="TB51" s="29"/>
      <c r="TC51" s="29"/>
      <c r="TD51" s="29"/>
      <c r="TE51" s="29"/>
      <c r="TF51" s="29"/>
      <c r="TG51" s="29"/>
      <c r="TH51" s="29"/>
      <c r="TI51" s="29"/>
      <c r="TJ51" s="29"/>
      <c r="TK51" s="29"/>
      <c r="TL51" s="29"/>
      <c r="TM51" s="29"/>
      <c r="TN51" s="29"/>
      <c r="TO51" s="29"/>
      <c r="TP51" s="29"/>
      <c r="TQ51" s="29"/>
      <c r="TR51" s="29"/>
      <c r="TS51" s="29"/>
      <c r="TT51" s="29"/>
      <c r="TU51" s="29"/>
      <c r="TV51" s="29"/>
      <c r="TW51" s="29"/>
      <c r="TX51" s="29"/>
      <c r="TY51" s="29"/>
      <c r="TZ51" s="29"/>
      <c r="UA51" s="29"/>
      <c r="UB51" s="29"/>
      <c r="UC51" s="29"/>
      <c r="UD51" s="29"/>
      <c r="UE51" s="29"/>
      <c r="UF51" s="29"/>
      <c r="UG51" s="29"/>
      <c r="UH51" s="29"/>
      <c r="UI51" s="29"/>
      <c r="UJ51" s="29"/>
      <c r="UK51" s="29"/>
      <c r="UL51" s="29"/>
      <c r="UM51" s="29"/>
      <c r="UN51" s="29"/>
      <c r="UO51" s="29"/>
      <c r="UP51" s="29"/>
      <c r="UQ51" s="29"/>
      <c r="UR51" s="29"/>
      <c r="US51" s="29"/>
      <c r="UT51" s="29"/>
      <c r="UU51" s="29"/>
      <c r="UV51" s="29"/>
      <c r="UW51" s="29"/>
      <c r="UX51" s="29"/>
      <c r="UY51" s="29"/>
      <c r="UZ51" s="29"/>
      <c r="VA51" s="29"/>
      <c r="VB51" s="29"/>
      <c r="VC51" s="29"/>
      <c r="VD51" s="29"/>
      <c r="VE51" s="29"/>
      <c r="VF51" s="29"/>
      <c r="VG51" s="29"/>
      <c r="VH51" s="29"/>
      <c r="VI51" s="29"/>
      <c r="VJ51" s="29"/>
      <c r="VK51" s="29"/>
      <c r="VL51" s="29"/>
      <c r="VM51" s="29"/>
      <c r="VN51" s="29"/>
      <c r="VO51" s="29"/>
      <c r="VP51" s="29"/>
      <c r="VQ51" s="29"/>
      <c r="VR51" s="29"/>
      <c r="VS51" s="29"/>
      <c r="VT51" s="29"/>
      <c r="VU51" s="29"/>
      <c r="VV51" s="29"/>
      <c r="VW51" s="29"/>
      <c r="VX51" s="29"/>
      <c r="VY51" s="29"/>
      <c r="VZ51" s="29"/>
      <c r="WA51" s="29"/>
      <c r="WB51" s="29"/>
      <c r="WC51" s="29"/>
      <c r="WD51" s="29"/>
      <c r="WE51" s="29"/>
      <c r="WF51" s="29"/>
      <c r="WG51" s="29"/>
      <c r="WH51" s="29"/>
      <c r="WI51" s="29"/>
      <c r="WJ51" s="29"/>
      <c r="WK51" s="29"/>
      <c r="WL51" s="29"/>
      <c r="WM51" s="29"/>
      <c r="WN51" s="29"/>
      <c r="WO51" s="29"/>
      <c r="WP51" s="29"/>
      <c r="WQ51" s="29"/>
      <c r="WR51" s="29"/>
      <c r="WS51" s="29"/>
      <c r="WT51" s="29"/>
      <c r="WU51" s="29"/>
      <c r="WV51" s="29"/>
      <c r="WW51" s="29"/>
      <c r="WX51" s="29"/>
      <c r="WY51" s="29"/>
      <c r="WZ51" s="29"/>
      <c r="XA51" s="29"/>
      <c r="XB51" s="29"/>
      <c r="XC51" s="29"/>
      <c r="XD51" s="29"/>
      <c r="XE51" s="29"/>
      <c r="XF51" s="29"/>
      <c r="XG51" s="29"/>
      <c r="XH51" s="29"/>
      <c r="XI51" s="29"/>
      <c r="XJ51" s="29"/>
      <c r="XK51" s="29"/>
      <c r="XL51" s="29"/>
      <c r="XM51" s="29"/>
      <c r="XN51" s="29"/>
      <c r="XO51" s="29"/>
      <c r="XP51" s="29"/>
      <c r="XQ51" s="29"/>
      <c r="XR51" s="29"/>
      <c r="XS51" s="29"/>
      <c r="XT51" s="29"/>
      <c r="XU51" s="29"/>
      <c r="XV51" s="29"/>
      <c r="XW51" s="29"/>
      <c r="XX51" s="29"/>
      <c r="XY51" s="29"/>
    </row>
    <row r="52" spans="3:649" s="53" customFormat="1" ht="14.45" outlineLevel="1">
      <c r="C52" s="30" t="s">
        <v>26</v>
      </c>
      <c r="D52" s="28" t="s">
        <v>88</v>
      </c>
      <c r="E52" s="221"/>
      <c r="F52" s="51"/>
      <c r="G52" s="51"/>
      <c r="H52" s="51"/>
      <c r="I52" s="51"/>
      <c r="J52" s="51"/>
      <c r="K52" s="51"/>
      <c r="L52" s="154"/>
      <c r="M52" s="154"/>
      <c r="N52" s="154">
        <f>225*G$70</f>
        <v>26.325354700019538</v>
      </c>
      <c r="O52" s="154">
        <f t="shared" ref="O52:P52" si="6">225*H$70</f>
        <v>11.184642857142862</v>
      </c>
      <c r="P52" s="154">
        <f t="shared" si="6"/>
        <v>8.3057142857142896</v>
      </c>
      <c r="Q52" s="154">
        <f t="shared" ref="Q52:Q55" si="7">SUM(F52:P52)</f>
        <v>45.815711842876688</v>
      </c>
      <c r="R52" s="154">
        <f>225-Table4232[[#This Row],[Total]]</f>
        <v>179.18428815712332</v>
      </c>
      <c r="S52" s="174" t="s">
        <v>41</v>
      </c>
      <c r="T52" s="31"/>
      <c r="U52" s="175"/>
      <c r="V52" s="170" t="e">
        <f>IF(#REF!="","Other Major Projects","Data Centre")</f>
        <v>#REF!</v>
      </c>
      <c r="W52" s="168"/>
      <c r="X52" s="28">
        <f>Table4232[[#This Row],[Post 2033]]+Table4232[[#This Row],[Total]]</f>
        <v>225</v>
      </c>
      <c r="Y52" s="28" t="s">
        <v>50</v>
      </c>
      <c r="Z52" s="52"/>
      <c r="AA52" s="27"/>
      <c r="AB52" s="27"/>
      <c r="AC52" s="27"/>
      <c r="AD52" s="27"/>
      <c r="AE52" s="27"/>
      <c r="AF52" s="52"/>
      <c r="AG52" s="52"/>
      <c r="AH52" s="52"/>
      <c r="AI52" s="52"/>
      <c r="AJ52" s="52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  <c r="IX52" s="27"/>
      <c r="IY52" s="27"/>
      <c r="IZ52" s="27"/>
      <c r="JA52" s="27"/>
      <c r="JB52" s="27"/>
      <c r="JC52" s="27"/>
      <c r="JD52" s="27"/>
      <c r="JE52" s="27"/>
      <c r="JF52" s="27"/>
      <c r="JG52" s="27"/>
      <c r="JH52" s="27"/>
      <c r="JI52" s="27"/>
      <c r="JJ52" s="27"/>
      <c r="JK52" s="27"/>
      <c r="JL52" s="27"/>
      <c r="JM52" s="27"/>
      <c r="JN52" s="27"/>
      <c r="JO52" s="27"/>
      <c r="JP52" s="27"/>
      <c r="JQ52" s="27"/>
      <c r="JR52" s="27"/>
      <c r="JS52" s="27"/>
      <c r="JT52" s="27"/>
      <c r="JU52" s="27"/>
      <c r="JV52" s="27"/>
      <c r="JW52" s="27"/>
      <c r="JX52" s="27"/>
      <c r="JY52" s="27"/>
      <c r="JZ52" s="27"/>
      <c r="KA52" s="27"/>
      <c r="KB52" s="27"/>
      <c r="KC52" s="27"/>
      <c r="KD52" s="27"/>
      <c r="KE52" s="27"/>
      <c r="KF52" s="27"/>
      <c r="KG52" s="27"/>
      <c r="KH52" s="27"/>
      <c r="KI52" s="27"/>
      <c r="KJ52" s="27"/>
      <c r="KK52" s="27"/>
      <c r="KL52" s="27"/>
      <c r="KM52" s="27"/>
      <c r="KN52" s="27"/>
      <c r="KO52" s="27"/>
      <c r="KP52" s="27"/>
      <c r="KQ52" s="27"/>
      <c r="KR52" s="27"/>
      <c r="KS52" s="27"/>
      <c r="KT52" s="27"/>
      <c r="KU52" s="27"/>
      <c r="KV52" s="27"/>
      <c r="KW52" s="27"/>
      <c r="KX52" s="27"/>
      <c r="KY52" s="27"/>
      <c r="KZ52" s="27"/>
      <c r="LA52" s="27"/>
      <c r="LB52" s="27"/>
      <c r="LC52" s="27"/>
      <c r="LD52" s="27"/>
      <c r="LE52" s="27"/>
      <c r="LF52" s="27"/>
      <c r="LG52" s="27"/>
      <c r="LH52" s="27"/>
      <c r="LI52" s="27"/>
      <c r="LJ52" s="27"/>
      <c r="LK52" s="27"/>
      <c r="LL52" s="27"/>
      <c r="LM52" s="27"/>
      <c r="LN52" s="27"/>
      <c r="LO52" s="27"/>
      <c r="LP52" s="27"/>
      <c r="LQ52" s="27"/>
      <c r="LR52" s="27"/>
      <c r="LS52" s="27"/>
      <c r="LT52" s="27"/>
      <c r="LU52" s="27"/>
      <c r="LV52" s="27"/>
      <c r="LW52" s="27"/>
      <c r="LX52" s="27"/>
      <c r="LY52" s="27"/>
      <c r="LZ52" s="27"/>
      <c r="MA52" s="27"/>
      <c r="MB52" s="27"/>
      <c r="MC52" s="27"/>
      <c r="MD52" s="27"/>
      <c r="ME52" s="27"/>
      <c r="MF52" s="27"/>
      <c r="MG52" s="27"/>
      <c r="MH52" s="27"/>
      <c r="MI52" s="27"/>
      <c r="MJ52" s="27"/>
      <c r="MK52" s="27"/>
      <c r="ML52" s="27"/>
      <c r="MM52" s="27"/>
      <c r="MN52" s="27"/>
      <c r="MO52" s="27"/>
      <c r="MP52" s="27"/>
      <c r="MQ52" s="27"/>
      <c r="MR52" s="27"/>
      <c r="MS52" s="27"/>
      <c r="MT52" s="27"/>
      <c r="MU52" s="27"/>
      <c r="MV52" s="27"/>
      <c r="MW52" s="27"/>
      <c r="MX52" s="27"/>
      <c r="MY52" s="27"/>
      <c r="MZ52" s="27"/>
      <c r="NA52" s="27"/>
      <c r="NB52" s="27"/>
      <c r="NC52" s="27"/>
      <c r="ND52" s="27"/>
      <c r="NE52" s="27"/>
      <c r="NF52" s="27"/>
      <c r="NG52" s="27"/>
      <c r="NH52" s="27"/>
      <c r="NI52" s="27"/>
      <c r="NJ52" s="27"/>
      <c r="NK52" s="27"/>
      <c r="NL52" s="27"/>
      <c r="NM52" s="27"/>
      <c r="NN52" s="27"/>
      <c r="NO52" s="27"/>
      <c r="NP52" s="27"/>
      <c r="NQ52" s="27"/>
      <c r="NR52" s="27"/>
      <c r="NS52" s="27"/>
      <c r="NT52" s="27"/>
      <c r="NU52" s="27"/>
      <c r="NV52" s="27"/>
      <c r="NW52" s="27"/>
      <c r="NX52" s="27"/>
      <c r="NY52" s="27"/>
      <c r="NZ52" s="27"/>
      <c r="OA52" s="27"/>
      <c r="OB52" s="27"/>
      <c r="OC52" s="27"/>
      <c r="OD52" s="27"/>
      <c r="OE52" s="27"/>
      <c r="OF52" s="27"/>
      <c r="OG52" s="27"/>
      <c r="OH52" s="27"/>
      <c r="OI52" s="27"/>
      <c r="OJ52" s="27"/>
      <c r="OK52" s="27"/>
      <c r="OL52" s="27"/>
      <c r="OM52" s="27"/>
      <c r="ON52" s="27"/>
      <c r="OO52" s="27"/>
      <c r="OP52" s="27"/>
      <c r="OQ52" s="27"/>
      <c r="OR52" s="27"/>
      <c r="OS52" s="27"/>
      <c r="OT52" s="27"/>
      <c r="OU52" s="27"/>
      <c r="OV52" s="27"/>
      <c r="OW52" s="27"/>
      <c r="OX52" s="27"/>
      <c r="OY52" s="27"/>
      <c r="OZ52" s="27"/>
      <c r="PA52" s="27"/>
      <c r="PB52" s="27"/>
      <c r="PC52" s="27"/>
      <c r="PD52" s="27"/>
      <c r="PE52" s="27"/>
      <c r="PF52" s="27"/>
      <c r="PG52" s="27"/>
      <c r="PH52" s="27"/>
      <c r="PI52" s="27"/>
      <c r="PJ52" s="27"/>
      <c r="PK52" s="27"/>
      <c r="PL52" s="27"/>
      <c r="PM52" s="27"/>
      <c r="PN52" s="27"/>
      <c r="PO52" s="27"/>
      <c r="PP52" s="27"/>
      <c r="PQ52" s="27"/>
      <c r="PR52" s="27"/>
      <c r="PS52" s="27"/>
      <c r="PT52" s="27"/>
      <c r="PU52" s="27"/>
      <c r="PV52" s="27"/>
      <c r="PW52" s="27"/>
      <c r="PZ52" s="29"/>
      <c r="QA52" s="29"/>
      <c r="QB52" s="29"/>
      <c r="QC52" s="29"/>
      <c r="QD52" s="29"/>
      <c r="QE52" s="29"/>
      <c r="QF52" s="29"/>
      <c r="QG52" s="29"/>
      <c r="QH52" s="29"/>
      <c r="QI52" s="29"/>
      <c r="QJ52" s="29"/>
      <c r="QK52" s="29"/>
      <c r="QL52" s="29"/>
      <c r="QM52" s="29"/>
      <c r="QN52" s="29"/>
      <c r="QO52" s="29"/>
      <c r="QP52" s="29"/>
      <c r="QQ52" s="29"/>
      <c r="QR52" s="29"/>
      <c r="QS52" s="29"/>
      <c r="QT52" s="29"/>
      <c r="QU52" s="29"/>
      <c r="QV52" s="29"/>
      <c r="QW52" s="29"/>
      <c r="QX52" s="29"/>
      <c r="QY52" s="29"/>
      <c r="QZ52" s="29"/>
      <c r="RA52" s="29"/>
      <c r="RB52" s="29"/>
      <c r="RC52" s="29"/>
      <c r="RD52" s="29"/>
      <c r="RE52" s="29"/>
      <c r="RF52" s="29"/>
      <c r="RG52" s="29"/>
      <c r="RH52" s="29"/>
      <c r="RI52" s="29"/>
      <c r="RJ52" s="29"/>
      <c r="RK52" s="29"/>
      <c r="RL52" s="29"/>
      <c r="RM52" s="29"/>
      <c r="RN52" s="29"/>
      <c r="RO52" s="29"/>
      <c r="RP52" s="29"/>
      <c r="RQ52" s="29"/>
      <c r="RR52" s="29"/>
      <c r="RS52" s="29"/>
      <c r="RT52" s="29"/>
      <c r="RU52" s="29"/>
      <c r="RV52" s="29"/>
      <c r="RW52" s="29"/>
      <c r="RX52" s="29"/>
      <c r="RY52" s="29"/>
      <c r="RZ52" s="29"/>
      <c r="SA52" s="29"/>
      <c r="SB52" s="29"/>
      <c r="SC52" s="29"/>
      <c r="SD52" s="29"/>
      <c r="SE52" s="29"/>
      <c r="SF52" s="29"/>
      <c r="SG52" s="29"/>
      <c r="SH52" s="29"/>
      <c r="SI52" s="29"/>
      <c r="SJ52" s="29"/>
      <c r="SK52" s="29"/>
      <c r="SL52" s="29"/>
      <c r="SM52" s="29"/>
      <c r="SN52" s="29"/>
      <c r="SO52" s="29"/>
      <c r="SP52" s="29"/>
      <c r="SQ52" s="29"/>
      <c r="SR52" s="29"/>
      <c r="SS52" s="29"/>
      <c r="ST52" s="29"/>
      <c r="SU52" s="29"/>
      <c r="SV52" s="29"/>
      <c r="SW52" s="29"/>
      <c r="SX52" s="29"/>
      <c r="SY52" s="29"/>
      <c r="SZ52" s="29"/>
      <c r="TA52" s="29"/>
      <c r="TB52" s="29"/>
      <c r="TC52" s="29"/>
      <c r="TD52" s="29"/>
      <c r="TE52" s="29"/>
      <c r="TF52" s="29"/>
      <c r="TG52" s="29"/>
      <c r="TH52" s="29"/>
      <c r="TI52" s="29"/>
      <c r="TJ52" s="29"/>
      <c r="TK52" s="29"/>
      <c r="TL52" s="29"/>
      <c r="TM52" s="29"/>
      <c r="TN52" s="29"/>
      <c r="TO52" s="29"/>
      <c r="TP52" s="29"/>
      <c r="TQ52" s="29"/>
      <c r="TR52" s="29"/>
      <c r="TS52" s="29"/>
      <c r="TT52" s="29"/>
      <c r="TU52" s="29"/>
      <c r="TV52" s="29"/>
      <c r="TW52" s="29"/>
      <c r="TX52" s="29"/>
      <c r="TY52" s="29"/>
      <c r="TZ52" s="29"/>
      <c r="UA52" s="29"/>
      <c r="UB52" s="29"/>
      <c r="UC52" s="29"/>
      <c r="UD52" s="29"/>
      <c r="UE52" s="29"/>
      <c r="UF52" s="29"/>
      <c r="UG52" s="29"/>
      <c r="UH52" s="29"/>
      <c r="UI52" s="29"/>
      <c r="UJ52" s="29"/>
      <c r="UK52" s="29"/>
      <c r="UL52" s="29"/>
      <c r="UM52" s="29"/>
      <c r="UN52" s="29"/>
      <c r="UO52" s="29"/>
      <c r="UP52" s="29"/>
      <c r="UQ52" s="29"/>
      <c r="UR52" s="29"/>
      <c r="US52" s="29"/>
      <c r="UT52" s="29"/>
      <c r="UU52" s="29"/>
      <c r="UV52" s="29"/>
      <c r="UW52" s="29"/>
      <c r="UX52" s="29"/>
      <c r="UY52" s="29"/>
      <c r="UZ52" s="29"/>
      <c r="VA52" s="29"/>
      <c r="VB52" s="29"/>
      <c r="VC52" s="29"/>
      <c r="VD52" s="29"/>
      <c r="VE52" s="29"/>
      <c r="VF52" s="29"/>
      <c r="VG52" s="29"/>
      <c r="VH52" s="29"/>
      <c r="VI52" s="29"/>
      <c r="VJ52" s="29"/>
      <c r="VK52" s="29"/>
      <c r="VL52" s="29"/>
      <c r="VM52" s="29"/>
      <c r="VN52" s="29"/>
      <c r="VO52" s="29"/>
      <c r="VP52" s="29"/>
      <c r="VQ52" s="29"/>
      <c r="VR52" s="29"/>
      <c r="VS52" s="29"/>
      <c r="VT52" s="29"/>
      <c r="VU52" s="29"/>
      <c r="VV52" s="29"/>
      <c r="VW52" s="29"/>
      <c r="VX52" s="29"/>
      <c r="VY52" s="29"/>
      <c r="VZ52" s="29"/>
      <c r="WA52" s="29"/>
      <c r="WB52" s="29"/>
      <c r="WC52" s="29"/>
      <c r="WD52" s="29"/>
      <c r="WE52" s="29"/>
      <c r="WF52" s="29"/>
      <c r="WG52" s="29"/>
      <c r="WH52" s="29"/>
      <c r="WI52" s="29"/>
      <c r="WJ52" s="29"/>
      <c r="WK52" s="29"/>
      <c r="WL52" s="29"/>
      <c r="WM52" s="29"/>
      <c r="WN52" s="29"/>
      <c r="WO52" s="29"/>
      <c r="WP52" s="29"/>
      <c r="WQ52" s="29"/>
      <c r="WR52" s="29"/>
      <c r="WS52" s="29"/>
      <c r="WT52" s="29"/>
      <c r="WU52" s="29"/>
      <c r="WV52" s="29"/>
      <c r="WW52" s="29"/>
      <c r="WX52" s="29"/>
      <c r="WY52" s="29"/>
      <c r="WZ52" s="29"/>
      <c r="XA52" s="29"/>
      <c r="XB52" s="29"/>
      <c r="XC52" s="29"/>
      <c r="XD52" s="29"/>
      <c r="XE52" s="29"/>
      <c r="XF52" s="29"/>
      <c r="XG52" s="29"/>
      <c r="XH52" s="29"/>
      <c r="XI52" s="29"/>
      <c r="XJ52" s="29"/>
      <c r="XK52" s="29"/>
      <c r="XL52" s="29"/>
      <c r="XM52" s="29"/>
      <c r="XN52" s="29"/>
      <c r="XO52" s="29"/>
      <c r="XP52" s="29"/>
      <c r="XQ52" s="29"/>
      <c r="XR52" s="29"/>
      <c r="XS52" s="29"/>
      <c r="XT52" s="29"/>
      <c r="XU52" s="29"/>
      <c r="XV52" s="29"/>
      <c r="XW52" s="29"/>
      <c r="XX52" s="29"/>
      <c r="XY52" s="29"/>
    </row>
    <row r="53" spans="3:649" s="53" customFormat="1" ht="14.45" outlineLevel="1">
      <c r="C53" s="159"/>
      <c r="D53" s="160"/>
      <c r="E53" s="225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77"/>
      <c r="T53" s="31"/>
      <c r="U53" s="175"/>
      <c r="V53" s="170"/>
      <c r="W53" s="168"/>
      <c r="X53" s="28"/>
      <c r="Y53" s="28"/>
      <c r="Z53" s="52"/>
      <c r="AA53" s="27"/>
      <c r="AB53" s="27"/>
      <c r="AC53" s="27"/>
      <c r="AD53" s="27"/>
      <c r="AE53" s="27"/>
      <c r="AF53" s="52"/>
      <c r="AG53" s="52"/>
      <c r="AH53" s="52"/>
      <c r="AI53" s="52"/>
      <c r="AJ53" s="52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  <c r="IW53" s="27"/>
      <c r="IX53" s="27"/>
      <c r="IY53" s="27"/>
      <c r="IZ53" s="27"/>
      <c r="JA53" s="27"/>
      <c r="JB53" s="27"/>
      <c r="JC53" s="27"/>
      <c r="JD53" s="27"/>
      <c r="JE53" s="27"/>
      <c r="JF53" s="27"/>
      <c r="JG53" s="27"/>
      <c r="JH53" s="27"/>
      <c r="JI53" s="27"/>
      <c r="JJ53" s="27"/>
      <c r="JK53" s="27"/>
      <c r="JL53" s="27"/>
      <c r="JM53" s="27"/>
      <c r="JN53" s="27"/>
      <c r="JO53" s="27"/>
      <c r="JP53" s="27"/>
      <c r="JQ53" s="27"/>
      <c r="JR53" s="27"/>
      <c r="JS53" s="27"/>
      <c r="JT53" s="27"/>
      <c r="JU53" s="27"/>
      <c r="JV53" s="27"/>
      <c r="JW53" s="27"/>
      <c r="JX53" s="27"/>
      <c r="JY53" s="27"/>
      <c r="JZ53" s="27"/>
      <c r="KA53" s="27"/>
      <c r="KB53" s="27"/>
      <c r="KC53" s="27"/>
      <c r="KD53" s="27"/>
      <c r="KE53" s="27"/>
      <c r="KF53" s="27"/>
      <c r="KG53" s="27"/>
      <c r="KH53" s="27"/>
      <c r="KI53" s="27"/>
      <c r="KJ53" s="27"/>
      <c r="KK53" s="27"/>
      <c r="KL53" s="27"/>
      <c r="KM53" s="27"/>
      <c r="KN53" s="27"/>
      <c r="KO53" s="27"/>
      <c r="KP53" s="27"/>
      <c r="KQ53" s="27"/>
      <c r="KR53" s="27"/>
      <c r="KS53" s="27"/>
      <c r="KT53" s="27"/>
      <c r="KU53" s="27"/>
      <c r="KV53" s="27"/>
      <c r="KW53" s="27"/>
      <c r="KX53" s="27"/>
      <c r="KY53" s="27"/>
      <c r="KZ53" s="27"/>
      <c r="LA53" s="27"/>
      <c r="LB53" s="27"/>
      <c r="LC53" s="27"/>
      <c r="LD53" s="27"/>
      <c r="LE53" s="27"/>
      <c r="LF53" s="27"/>
      <c r="LG53" s="27"/>
      <c r="LH53" s="27"/>
      <c r="LI53" s="27"/>
      <c r="LJ53" s="27"/>
      <c r="LK53" s="27"/>
      <c r="LL53" s="27"/>
      <c r="LM53" s="27"/>
      <c r="LN53" s="27"/>
      <c r="LO53" s="27"/>
      <c r="LP53" s="27"/>
      <c r="LQ53" s="27"/>
      <c r="LR53" s="27"/>
      <c r="LS53" s="27"/>
      <c r="LT53" s="27"/>
      <c r="LU53" s="27"/>
      <c r="LV53" s="27"/>
      <c r="LW53" s="27"/>
      <c r="LX53" s="27"/>
      <c r="LY53" s="27"/>
      <c r="LZ53" s="27"/>
      <c r="MA53" s="27"/>
      <c r="MB53" s="27"/>
      <c r="MC53" s="27"/>
      <c r="MD53" s="27"/>
      <c r="ME53" s="27"/>
      <c r="MF53" s="27"/>
      <c r="MG53" s="27"/>
      <c r="MH53" s="27"/>
      <c r="MI53" s="27"/>
      <c r="MJ53" s="27"/>
      <c r="MK53" s="27"/>
      <c r="ML53" s="27"/>
      <c r="MM53" s="27"/>
      <c r="MN53" s="27"/>
      <c r="MO53" s="27"/>
      <c r="MP53" s="27"/>
      <c r="MQ53" s="27"/>
      <c r="MR53" s="27"/>
      <c r="MS53" s="27"/>
      <c r="MT53" s="27"/>
      <c r="MU53" s="27"/>
      <c r="MV53" s="27"/>
      <c r="MW53" s="27"/>
      <c r="MX53" s="27"/>
      <c r="MY53" s="27"/>
      <c r="MZ53" s="27"/>
      <c r="NA53" s="27"/>
      <c r="NB53" s="27"/>
      <c r="NC53" s="27"/>
      <c r="ND53" s="27"/>
      <c r="NE53" s="27"/>
      <c r="NF53" s="27"/>
      <c r="NG53" s="27"/>
      <c r="NH53" s="27"/>
      <c r="NI53" s="27"/>
      <c r="NJ53" s="27"/>
      <c r="NK53" s="27"/>
      <c r="NL53" s="27"/>
      <c r="NM53" s="27"/>
      <c r="NN53" s="27"/>
      <c r="NO53" s="27"/>
      <c r="NP53" s="27"/>
      <c r="NQ53" s="27"/>
      <c r="NR53" s="27"/>
      <c r="NS53" s="27"/>
      <c r="NT53" s="27"/>
      <c r="NU53" s="27"/>
      <c r="NV53" s="27"/>
      <c r="NW53" s="27"/>
      <c r="NX53" s="27"/>
      <c r="NY53" s="27"/>
      <c r="NZ53" s="27"/>
      <c r="OA53" s="27"/>
      <c r="OB53" s="27"/>
      <c r="OC53" s="27"/>
      <c r="OD53" s="27"/>
      <c r="OE53" s="27"/>
      <c r="OF53" s="27"/>
      <c r="OG53" s="27"/>
      <c r="OH53" s="27"/>
      <c r="OI53" s="27"/>
      <c r="OJ53" s="27"/>
      <c r="OK53" s="27"/>
      <c r="OL53" s="27"/>
      <c r="OM53" s="27"/>
      <c r="ON53" s="27"/>
      <c r="OO53" s="27"/>
      <c r="OP53" s="27"/>
      <c r="OQ53" s="27"/>
      <c r="OR53" s="27"/>
      <c r="OS53" s="27"/>
      <c r="OT53" s="27"/>
      <c r="OU53" s="27"/>
      <c r="OV53" s="27"/>
      <c r="OW53" s="27"/>
      <c r="OX53" s="27"/>
      <c r="OY53" s="27"/>
      <c r="OZ53" s="27"/>
      <c r="PA53" s="27"/>
      <c r="PB53" s="27"/>
      <c r="PC53" s="27"/>
      <c r="PD53" s="27"/>
      <c r="PE53" s="27"/>
      <c r="PF53" s="27"/>
      <c r="PG53" s="27"/>
      <c r="PH53" s="27"/>
      <c r="PI53" s="27"/>
      <c r="PJ53" s="27"/>
      <c r="PK53" s="27"/>
      <c r="PL53" s="27"/>
      <c r="PM53" s="27"/>
      <c r="PN53" s="27"/>
      <c r="PO53" s="27"/>
      <c r="PP53" s="27"/>
      <c r="PQ53" s="27"/>
      <c r="PR53" s="27"/>
      <c r="PS53" s="27"/>
      <c r="PT53" s="27"/>
      <c r="PU53" s="27"/>
      <c r="PV53" s="27"/>
      <c r="PW53" s="27"/>
      <c r="PZ53" s="29"/>
      <c r="QA53" s="29"/>
      <c r="QB53" s="29"/>
      <c r="QC53" s="29"/>
      <c r="QD53" s="29"/>
      <c r="QE53" s="29"/>
      <c r="QF53" s="29"/>
      <c r="QG53" s="29"/>
      <c r="QH53" s="29"/>
      <c r="QI53" s="29"/>
      <c r="QJ53" s="29"/>
      <c r="QK53" s="29"/>
      <c r="QL53" s="29"/>
      <c r="QM53" s="29"/>
      <c r="QN53" s="29"/>
      <c r="QO53" s="29"/>
      <c r="QP53" s="29"/>
      <c r="QQ53" s="29"/>
      <c r="QR53" s="29"/>
      <c r="QS53" s="29"/>
      <c r="QT53" s="29"/>
      <c r="QU53" s="29"/>
      <c r="QV53" s="29"/>
      <c r="QW53" s="29"/>
      <c r="QX53" s="29"/>
      <c r="QY53" s="29"/>
      <c r="QZ53" s="29"/>
      <c r="RA53" s="29"/>
      <c r="RB53" s="29"/>
      <c r="RC53" s="29"/>
      <c r="RD53" s="29"/>
      <c r="RE53" s="29"/>
      <c r="RF53" s="29"/>
      <c r="RG53" s="29"/>
      <c r="RH53" s="29"/>
      <c r="RI53" s="29"/>
      <c r="RJ53" s="29"/>
      <c r="RK53" s="29"/>
      <c r="RL53" s="29"/>
      <c r="RM53" s="29"/>
      <c r="RN53" s="29"/>
      <c r="RO53" s="29"/>
      <c r="RP53" s="29"/>
      <c r="RQ53" s="29"/>
      <c r="RR53" s="29"/>
      <c r="RS53" s="29"/>
      <c r="RT53" s="29"/>
      <c r="RU53" s="29"/>
      <c r="RV53" s="29"/>
      <c r="RW53" s="29"/>
      <c r="RX53" s="29"/>
      <c r="RY53" s="29"/>
      <c r="RZ53" s="29"/>
      <c r="SA53" s="29"/>
      <c r="SB53" s="29"/>
      <c r="SC53" s="29"/>
      <c r="SD53" s="29"/>
      <c r="SE53" s="29"/>
      <c r="SF53" s="29"/>
      <c r="SG53" s="29"/>
      <c r="SH53" s="29"/>
      <c r="SI53" s="29"/>
      <c r="SJ53" s="29"/>
      <c r="SK53" s="29"/>
      <c r="SL53" s="29"/>
      <c r="SM53" s="29"/>
      <c r="SN53" s="29"/>
      <c r="SO53" s="29"/>
      <c r="SP53" s="29"/>
      <c r="SQ53" s="29"/>
      <c r="SR53" s="29"/>
      <c r="SS53" s="29"/>
      <c r="ST53" s="29"/>
      <c r="SU53" s="29"/>
      <c r="SV53" s="29"/>
      <c r="SW53" s="29"/>
      <c r="SX53" s="29"/>
      <c r="SY53" s="29"/>
      <c r="SZ53" s="29"/>
      <c r="TA53" s="29"/>
      <c r="TB53" s="29"/>
      <c r="TC53" s="29"/>
      <c r="TD53" s="29"/>
      <c r="TE53" s="29"/>
      <c r="TF53" s="29"/>
      <c r="TG53" s="29"/>
      <c r="TH53" s="29"/>
      <c r="TI53" s="29"/>
      <c r="TJ53" s="29"/>
      <c r="TK53" s="29"/>
      <c r="TL53" s="29"/>
      <c r="TM53" s="29"/>
      <c r="TN53" s="29"/>
      <c r="TO53" s="29"/>
      <c r="TP53" s="29"/>
      <c r="TQ53" s="29"/>
      <c r="TR53" s="29"/>
      <c r="TS53" s="29"/>
      <c r="TT53" s="29"/>
      <c r="TU53" s="29"/>
      <c r="TV53" s="29"/>
      <c r="TW53" s="29"/>
      <c r="TX53" s="29"/>
      <c r="TY53" s="29"/>
      <c r="TZ53" s="29"/>
      <c r="UA53" s="29"/>
      <c r="UB53" s="29"/>
      <c r="UC53" s="29"/>
      <c r="UD53" s="29"/>
      <c r="UE53" s="29"/>
      <c r="UF53" s="29"/>
      <c r="UG53" s="29"/>
      <c r="UH53" s="29"/>
      <c r="UI53" s="29"/>
      <c r="UJ53" s="29"/>
      <c r="UK53" s="29"/>
      <c r="UL53" s="29"/>
      <c r="UM53" s="29"/>
      <c r="UN53" s="29"/>
      <c r="UO53" s="29"/>
      <c r="UP53" s="29"/>
      <c r="UQ53" s="29"/>
      <c r="UR53" s="29"/>
      <c r="US53" s="29"/>
      <c r="UT53" s="29"/>
      <c r="UU53" s="29"/>
      <c r="UV53" s="29"/>
      <c r="UW53" s="29"/>
      <c r="UX53" s="29"/>
      <c r="UY53" s="29"/>
      <c r="UZ53" s="29"/>
      <c r="VA53" s="29"/>
      <c r="VB53" s="29"/>
      <c r="VC53" s="29"/>
      <c r="VD53" s="29"/>
      <c r="VE53" s="29"/>
      <c r="VF53" s="29"/>
      <c r="VG53" s="29"/>
      <c r="VH53" s="29"/>
      <c r="VI53" s="29"/>
      <c r="VJ53" s="29"/>
      <c r="VK53" s="29"/>
      <c r="VL53" s="29"/>
      <c r="VM53" s="29"/>
      <c r="VN53" s="29"/>
      <c r="VO53" s="29"/>
      <c r="VP53" s="29"/>
      <c r="VQ53" s="29"/>
      <c r="VR53" s="29"/>
      <c r="VS53" s="29"/>
      <c r="VT53" s="29"/>
      <c r="VU53" s="29"/>
      <c r="VV53" s="29"/>
      <c r="VW53" s="29"/>
      <c r="VX53" s="29"/>
      <c r="VY53" s="29"/>
      <c r="VZ53" s="29"/>
      <c r="WA53" s="29"/>
      <c r="WB53" s="29"/>
      <c r="WC53" s="29"/>
      <c r="WD53" s="29"/>
      <c r="WE53" s="29"/>
      <c r="WF53" s="29"/>
      <c r="WG53" s="29"/>
      <c r="WH53" s="29"/>
      <c r="WI53" s="29"/>
      <c r="WJ53" s="29"/>
      <c r="WK53" s="29"/>
      <c r="WL53" s="29"/>
      <c r="WM53" s="29"/>
      <c r="WN53" s="29"/>
      <c r="WO53" s="29"/>
      <c r="WP53" s="29"/>
      <c r="WQ53" s="29"/>
      <c r="WR53" s="29"/>
      <c r="WS53" s="29"/>
      <c r="WT53" s="29"/>
      <c r="WU53" s="29"/>
      <c r="WV53" s="29"/>
      <c r="WW53" s="29"/>
      <c r="WX53" s="29"/>
      <c r="WY53" s="29"/>
      <c r="WZ53" s="29"/>
      <c r="XA53" s="29"/>
      <c r="XB53" s="29"/>
      <c r="XC53" s="29"/>
      <c r="XD53" s="29"/>
      <c r="XE53" s="29"/>
      <c r="XF53" s="29"/>
      <c r="XG53" s="29"/>
      <c r="XH53" s="29"/>
      <c r="XI53" s="29"/>
      <c r="XJ53" s="29"/>
      <c r="XK53" s="29"/>
      <c r="XL53" s="29"/>
      <c r="XM53" s="29"/>
      <c r="XN53" s="29"/>
      <c r="XO53" s="29"/>
      <c r="XP53" s="29"/>
      <c r="XQ53" s="29"/>
      <c r="XR53" s="29"/>
      <c r="XS53" s="29"/>
      <c r="XT53" s="29"/>
      <c r="XU53" s="29"/>
      <c r="XV53" s="29"/>
      <c r="XW53" s="29"/>
      <c r="XX53" s="29"/>
      <c r="XY53" s="29"/>
    </row>
    <row r="54" spans="3:649" s="53" customFormat="1" ht="14.45" outlineLevel="1">
      <c r="C54" s="30" t="s">
        <v>26</v>
      </c>
      <c r="D54" s="28" t="s">
        <v>89</v>
      </c>
      <c r="E54" s="221"/>
      <c r="F54" s="51"/>
      <c r="G54" s="51"/>
      <c r="H54" s="51"/>
      <c r="I54" s="51"/>
      <c r="J54" s="51"/>
      <c r="K54" s="51"/>
      <c r="L54" s="51"/>
      <c r="M54" s="51"/>
      <c r="N54" s="51"/>
      <c r="O54" s="154">
        <f>225*G$70</f>
        <v>26.325354700019538</v>
      </c>
      <c r="P54" s="154">
        <f>225*H$70</f>
        <v>11.184642857142862</v>
      </c>
      <c r="Q54" s="154">
        <f t="shared" si="7"/>
        <v>37.5099975571624</v>
      </c>
      <c r="R54" s="154">
        <f>225-Table4232[[#This Row],[Total]]</f>
        <v>187.49000244283761</v>
      </c>
      <c r="S54" s="176" t="s">
        <v>41</v>
      </c>
      <c r="T54" s="31"/>
      <c r="U54" s="175"/>
      <c r="V54" s="170" t="e">
        <f>IF(#REF!="","Other Major Projects","Data Centre")</f>
        <v>#REF!</v>
      </c>
      <c r="W54" s="168"/>
      <c r="X54" s="28">
        <f>Table4232[[#This Row],[Post 2033]]+Table4232[[#This Row],[Total]]</f>
        <v>225</v>
      </c>
      <c r="Y54" s="28" t="s">
        <v>50</v>
      </c>
      <c r="Z54" s="52"/>
      <c r="AA54" s="27"/>
      <c r="AB54" s="27"/>
      <c r="AC54" s="27"/>
      <c r="AD54" s="27"/>
      <c r="AE54" s="27"/>
      <c r="AF54" s="52"/>
      <c r="AG54" s="52"/>
      <c r="AH54" s="52"/>
      <c r="AI54" s="52"/>
      <c r="AJ54" s="52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  <c r="IQ54" s="27"/>
      <c r="IR54" s="27"/>
      <c r="IS54" s="27"/>
      <c r="IT54" s="27"/>
      <c r="IU54" s="27"/>
      <c r="IV54" s="27"/>
      <c r="IW54" s="27"/>
      <c r="IX54" s="27"/>
      <c r="IY54" s="27"/>
      <c r="IZ54" s="27"/>
      <c r="JA54" s="27"/>
      <c r="JB54" s="27"/>
      <c r="JC54" s="27"/>
      <c r="JD54" s="27"/>
      <c r="JE54" s="27"/>
      <c r="JF54" s="27"/>
      <c r="JG54" s="27"/>
      <c r="JH54" s="27"/>
      <c r="JI54" s="27"/>
      <c r="JJ54" s="27"/>
      <c r="JK54" s="27"/>
      <c r="JL54" s="27"/>
      <c r="JM54" s="27"/>
      <c r="JN54" s="27"/>
      <c r="JO54" s="27"/>
      <c r="JP54" s="27"/>
      <c r="JQ54" s="27"/>
      <c r="JR54" s="27"/>
      <c r="JS54" s="27"/>
      <c r="JT54" s="27"/>
      <c r="JU54" s="27"/>
      <c r="JV54" s="27"/>
      <c r="JW54" s="27"/>
      <c r="JX54" s="27"/>
      <c r="JY54" s="27"/>
      <c r="JZ54" s="27"/>
      <c r="KA54" s="27"/>
      <c r="KB54" s="27"/>
      <c r="KC54" s="27"/>
      <c r="KD54" s="27"/>
      <c r="KE54" s="27"/>
      <c r="KF54" s="27"/>
      <c r="KG54" s="27"/>
      <c r="KH54" s="27"/>
      <c r="KI54" s="27"/>
      <c r="KJ54" s="27"/>
      <c r="KK54" s="27"/>
      <c r="KL54" s="27"/>
      <c r="KM54" s="27"/>
      <c r="KN54" s="27"/>
      <c r="KO54" s="27"/>
      <c r="KP54" s="27"/>
      <c r="KQ54" s="27"/>
      <c r="KR54" s="27"/>
      <c r="KS54" s="27"/>
      <c r="KT54" s="27"/>
      <c r="KU54" s="27"/>
      <c r="KV54" s="27"/>
      <c r="KW54" s="27"/>
      <c r="KX54" s="27"/>
      <c r="KY54" s="27"/>
      <c r="KZ54" s="27"/>
      <c r="LA54" s="27"/>
      <c r="LB54" s="27"/>
      <c r="LC54" s="27"/>
      <c r="LD54" s="27"/>
      <c r="LE54" s="27"/>
      <c r="LF54" s="27"/>
      <c r="LG54" s="27"/>
      <c r="LH54" s="27"/>
      <c r="LI54" s="27"/>
      <c r="LJ54" s="27"/>
      <c r="LK54" s="27"/>
      <c r="LL54" s="27"/>
      <c r="LM54" s="27"/>
      <c r="LN54" s="27"/>
      <c r="LO54" s="27"/>
      <c r="LP54" s="27"/>
      <c r="LQ54" s="27"/>
      <c r="LR54" s="27"/>
      <c r="LS54" s="27"/>
      <c r="LT54" s="27"/>
      <c r="LU54" s="27"/>
      <c r="LV54" s="27"/>
      <c r="LW54" s="27"/>
      <c r="LX54" s="27"/>
      <c r="LY54" s="27"/>
      <c r="LZ54" s="27"/>
      <c r="MA54" s="27"/>
      <c r="MB54" s="27"/>
      <c r="MC54" s="27"/>
      <c r="MD54" s="27"/>
      <c r="ME54" s="27"/>
      <c r="MF54" s="27"/>
      <c r="MG54" s="27"/>
      <c r="MH54" s="27"/>
      <c r="MI54" s="27"/>
      <c r="MJ54" s="27"/>
      <c r="MK54" s="27"/>
      <c r="ML54" s="27"/>
      <c r="MM54" s="27"/>
      <c r="MN54" s="27"/>
      <c r="MO54" s="27"/>
      <c r="MP54" s="27"/>
      <c r="MQ54" s="27"/>
      <c r="MR54" s="27"/>
      <c r="MS54" s="27"/>
      <c r="MT54" s="27"/>
      <c r="MU54" s="27"/>
      <c r="MV54" s="27"/>
      <c r="MW54" s="27"/>
      <c r="MX54" s="27"/>
      <c r="MY54" s="27"/>
      <c r="MZ54" s="27"/>
      <c r="NA54" s="27"/>
      <c r="NB54" s="27"/>
      <c r="NC54" s="27"/>
      <c r="ND54" s="27"/>
      <c r="NE54" s="27"/>
      <c r="NF54" s="27"/>
      <c r="NG54" s="27"/>
      <c r="NH54" s="27"/>
      <c r="NI54" s="27"/>
      <c r="NJ54" s="27"/>
      <c r="NK54" s="27"/>
      <c r="NL54" s="27"/>
      <c r="NM54" s="27"/>
      <c r="NN54" s="27"/>
      <c r="NO54" s="27"/>
      <c r="NP54" s="27"/>
      <c r="NQ54" s="27"/>
      <c r="NR54" s="27"/>
      <c r="NS54" s="27"/>
      <c r="NT54" s="27"/>
      <c r="NU54" s="27"/>
      <c r="NV54" s="27"/>
      <c r="NW54" s="27"/>
      <c r="NX54" s="27"/>
      <c r="NY54" s="27"/>
      <c r="NZ54" s="27"/>
      <c r="OA54" s="27"/>
      <c r="OB54" s="27"/>
      <c r="OC54" s="27"/>
      <c r="OD54" s="27"/>
      <c r="OE54" s="27"/>
      <c r="OF54" s="27"/>
      <c r="OG54" s="27"/>
      <c r="OH54" s="27"/>
      <c r="OI54" s="27"/>
      <c r="OJ54" s="27"/>
      <c r="OK54" s="27"/>
      <c r="OL54" s="27"/>
      <c r="OM54" s="27"/>
      <c r="ON54" s="27"/>
      <c r="OO54" s="27"/>
      <c r="OP54" s="27"/>
      <c r="OQ54" s="27"/>
      <c r="OR54" s="27"/>
      <c r="OS54" s="27"/>
      <c r="OT54" s="27"/>
      <c r="OU54" s="27"/>
      <c r="OV54" s="27"/>
      <c r="OW54" s="27"/>
      <c r="OX54" s="27"/>
      <c r="OY54" s="27"/>
      <c r="OZ54" s="27"/>
      <c r="PA54" s="27"/>
      <c r="PB54" s="27"/>
      <c r="PC54" s="27"/>
      <c r="PD54" s="27"/>
      <c r="PE54" s="27"/>
      <c r="PF54" s="27"/>
      <c r="PG54" s="27"/>
      <c r="PH54" s="27"/>
      <c r="PI54" s="27"/>
      <c r="PJ54" s="27"/>
      <c r="PK54" s="27"/>
      <c r="PL54" s="27"/>
      <c r="PM54" s="27"/>
      <c r="PN54" s="27"/>
      <c r="PO54" s="27"/>
      <c r="PP54" s="27"/>
      <c r="PQ54" s="27"/>
      <c r="PR54" s="27"/>
      <c r="PS54" s="27"/>
      <c r="PT54" s="27"/>
      <c r="PU54" s="27"/>
      <c r="PV54" s="27"/>
      <c r="PW54" s="27"/>
      <c r="PZ54" s="29"/>
      <c r="QA54" s="29"/>
      <c r="QB54" s="29"/>
      <c r="QC54" s="29"/>
      <c r="QD54" s="29"/>
      <c r="QE54" s="29"/>
      <c r="QF54" s="29"/>
      <c r="QG54" s="29"/>
      <c r="QH54" s="29"/>
      <c r="QI54" s="29"/>
      <c r="QJ54" s="29"/>
      <c r="QK54" s="29"/>
      <c r="QL54" s="29"/>
      <c r="QM54" s="29"/>
      <c r="QN54" s="29"/>
      <c r="QO54" s="29"/>
      <c r="QP54" s="29"/>
      <c r="QQ54" s="29"/>
      <c r="QR54" s="29"/>
      <c r="QS54" s="29"/>
      <c r="QT54" s="29"/>
      <c r="QU54" s="29"/>
      <c r="QV54" s="29"/>
      <c r="QW54" s="29"/>
      <c r="QX54" s="29"/>
      <c r="QY54" s="29"/>
      <c r="QZ54" s="29"/>
      <c r="RA54" s="29"/>
      <c r="RB54" s="29"/>
      <c r="RC54" s="29"/>
      <c r="RD54" s="29"/>
      <c r="RE54" s="29"/>
      <c r="RF54" s="29"/>
      <c r="RG54" s="29"/>
      <c r="RH54" s="29"/>
      <c r="RI54" s="29"/>
      <c r="RJ54" s="29"/>
      <c r="RK54" s="29"/>
      <c r="RL54" s="29"/>
      <c r="RM54" s="29"/>
      <c r="RN54" s="29"/>
      <c r="RO54" s="29"/>
      <c r="RP54" s="29"/>
      <c r="RQ54" s="29"/>
      <c r="RR54" s="29"/>
      <c r="RS54" s="29"/>
      <c r="RT54" s="29"/>
      <c r="RU54" s="29"/>
      <c r="RV54" s="29"/>
      <c r="RW54" s="29"/>
      <c r="RX54" s="29"/>
      <c r="RY54" s="29"/>
      <c r="RZ54" s="29"/>
      <c r="SA54" s="29"/>
      <c r="SB54" s="29"/>
      <c r="SC54" s="29"/>
      <c r="SD54" s="29"/>
      <c r="SE54" s="29"/>
      <c r="SF54" s="29"/>
      <c r="SG54" s="29"/>
      <c r="SH54" s="29"/>
      <c r="SI54" s="29"/>
      <c r="SJ54" s="29"/>
      <c r="SK54" s="29"/>
      <c r="SL54" s="29"/>
      <c r="SM54" s="29"/>
      <c r="SN54" s="29"/>
      <c r="SO54" s="29"/>
      <c r="SP54" s="29"/>
      <c r="SQ54" s="29"/>
      <c r="SR54" s="29"/>
      <c r="SS54" s="29"/>
      <c r="ST54" s="29"/>
      <c r="SU54" s="29"/>
      <c r="SV54" s="29"/>
      <c r="SW54" s="29"/>
      <c r="SX54" s="29"/>
      <c r="SY54" s="29"/>
      <c r="SZ54" s="29"/>
      <c r="TA54" s="29"/>
      <c r="TB54" s="29"/>
      <c r="TC54" s="29"/>
      <c r="TD54" s="29"/>
      <c r="TE54" s="29"/>
      <c r="TF54" s="29"/>
      <c r="TG54" s="29"/>
      <c r="TH54" s="29"/>
      <c r="TI54" s="29"/>
      <c r="TJ54" s="29"/>
      <c r="TK54" s="29"/>
      <c r="TL54" s="29"/>
      <c r="TM54" s="29"/>
      <c r="TN54" s="29"/>
      <c r="TO54" s="29"/>
      <c r="TP54" s="29"/>
      <c r="TQ54" s="29"/>
      <c r="TR54" s="29"/>
      <c r="TS54" s="29"/>
      <c r="TT54" s="29"/>
      <c r="TU54" s="29"/>
      <c r="TV54" s="29"/>
      <c r="TW54" s="29"/>
      <c r="TX54" s="29"/>
      <c r="TY54" s="29"/>
      <c r="TZ54" s="29"/>
      <c r="UA54" s="29"/>
      <c r="UB54" s="29"/>
      <c r="UC54" s="29"/>
      <c r="UD54" s="29"/>
      <c r="UE54" s="29"/>
      <c r="UF54" s="29"/>
      <c r="UG54" s="29"/>
      <c r="UH54" s="29"/>
      <c r="UI54" s="29"/>
      <c r="UJ54" s="29"/>
      <c r="UK54" s="29"/>
      <c r="UL54" s="29"/>
      <c r="UM54" s="29"/>
      <c r="UN54" s="29"/>
      <c r="UO54" s="29"/>
      <c r="UP54" s="29"/>
      <c r="UQ54" s="29"/>
      <c r="UR54" s="29"/>
      <c r="US54" s="29"/>
      <c r="UT54" s="29"/>
      <c r="UU54" s="29"/>
      <c r="UV54" s="29"/>
      <c r="UW54" s="29"/>
      <c r="UX54" s="29"/>
      <c r="UY54" s="29"/>
      <c r="UZ54" s="29"/>
      <c r="VA54" s="29"/>
      <c r="VB54" s="29"/>
      <c r="VC54" s="29"/>
      <c r="VD54" s="29"/>
      <c r="VE54" s="29"/>
      <c r="VF54" s="29"/>
      <c r="VG54" s="29"/>
      <c r="VH54" s="29"/>
      <c r="VI54" s="29"/>
      <c r="VJ54" s="29"/>
      <c r="VK54" s="29"/>
      <c r="VL54" s="29"/>
      <c r="VM54" s="29"/>
      <c r="VN54" s="29"/>
      <c r="VO54" s="29"/>
      <c r="VP54" s="29"/>
      <c r="VQ54" s="29"/>
      <c r="VR54" s="29"/>
      <c r="VS54" s="29"/>
      <c r="VT54" s="29"/>
      <c r="VU54" s="29"/>
      <c r="VV54" s="29"/>
      <c r="VW54" s="29"/>
      <c r="VX54" s="29"/>
      <c r="VY54" s="29"/>
      <c r="VZ54" s="29"/>
      <c r="WA54" s="29"/>
      <c r="WB54" s="29"/>
      <c r="WC54" s="29"/>
      <c r="WD54" s="29"/>
      <c r="WE54" s="29"/>
      <c r="WF54" s="29"/>
      <c r="WG54" s="29"/>
      <c r="WH54" s="29"/>
      <c r="WI54" s="29"/>
      <c r="WJ54" s="29"/>
      <c r="WK54" s="29"/>
      <c r="WL54" s="29"/>
      <c r="WM54" s="29"/>
      <c r="WN54" s="29"/>
      <c r="WO54" s="29"/>
      <c r="WP54" s="29"/>
      <c r="WQ54" s="29"/>
      <c r="WR54" s="29"/>
      <c r="WS54" s="29"/>
      <c r="WT54" s="29"/>
      <c r="WU54" s="29"/>
      <c r="WV54" s="29"/>
      <c r="WW54" s="29"/>
      <c r="WX54" s="29"/>
      <c r="WY54" s="29"/>
      <c r="WZ54" s="29"/>
      <c r="XA54" s="29"/>
      <c r="XB54" s="29"/>
      <c r="XC54" s="29"/>
      <c r="XD54" s="29"/>
      <c r="XE54" s="29"/>
      <c r="XF54" s="29"/>
      <c r="XG54" s="29"/>
      <c r="XH54" s="29"/>
      <c r="XI54" s="29"/>
      <c r="XJ54" s="29"/>
      <c r="XK54" s="29"/>
      <c r="XL54" s="29"/>
      <c r="XM54" s="29"/>
      <c r="XN54" s="29"/>
      <c r="XO54" s="29"/>
      <c r="XP54" s="29"/>
      <c r="XQ54" s="29"/>
      <c r="XR54" s="29"/>
      <c r="XS54" s="29"/>
      <c r="XT54" s="29"/>
      <c r="XU54" s="29"/>
      <c r="XV54" s="29"/>
      <c r="XW54" s="29"/>
      <c r="XX54" s="29"/>
      <c r="XY54" s="29"/>
    </row>
    <row r="55" spans="3:649" s="53" customFormat="1" ht="14.45" outlineLevel="1">
      <c r="C55" s="30" t="s">
        <v>26</v>
      </c>
      <c r="D55" s="28" t="s">
        <v>90</v>
      </c>
      <c r="E55" s="221"/>
      <c r="F55" s="51"/>
      <c r="G55" s="51"/>
      <c r="H55" s="51"/>
      <c r="I55" s="51"/>
      <c r="J55" s="51"/>
      <c r="K55" s="51"/>
      <c r="L55" s="51"/>
      <c r="M55" s="51"/>
      <c r="N55" s="51"/>
      <c r="O55" s="154">
        <f>150*G$70</f>
        <v>17.550236466679692</v>
      </c>
      <c r="P55" s="154">
        <f>150*H$70</f>
        <v>7.4564285714285745</v>
      </c>
      <c r="Q55" s="51">
        <f t="shared" si="7"/>
        <v>25.006665038108267</v>
      </c>
      <c r="R55" s="154">
        <f>150-Table4232[[#This Row],[Total]]</f>
        <v>124.99333496189173</v>
      </c>
      <c r="S55" s="176" t="s">
        <v>41</v>
      </c>
      <c r="T55" s="31"/>
      <c r="U55" s="175"/>
      <c r="V55" s="170" t="e">
        <f>IF(#REF!="","Other Major Projects","Data Centre")</f>
        <v>#REF!</v>
      </c>
      <c r="W55" s="168"/>
      <c r="X55" s="28">
        <f>Table4232[[#This Row],[Post 2033]]+Table4232[[#This Row],[Total]]</f>
        <v>150</v>
      </c>
      <c r="Y55" s="28" t="s">
        <v>50</v>
      </c>
      <c r="Z55" s="52"/>
      <c r="AA55" s="27"/>
      <c r="AB55" s="27"/>
      <c r="AC55" s="27"/>
      <c r="AD55" s="27"/>
      <c r="AE55" s="27"/>
      <c r="AF55" s="52"/>
      <c r="AG55" s="52"/>
      <c r="AH55" s="52"/>
      <c r="AI55" s="52"/>
      <c r="AJ55" s="52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  <c r="IX55" s="27"/>
      <c r="IY55" s="27"/>
      <c r="IZ55" s="27"/>
      <c r="JA55" s="27"/>
      <c r="JB55" s="27"/>
      <c r="JC55" s="27"/>
      <c r="JD55" s="27"/>
      <c r="JE55" s="27"/>
      <c r="JF55" s="27"/>
      <c r="JG55" s="27"/>
      <c r="JH55" s="27"/>
      <c r="JI55" s="27"/>
      <c r="JJ55" s="27"/>
      <c r="JK55" s="27"/>
      <c r="JL55" s="27"/>
      <c r="JM55" s="27"/>
      <c r="JN55" s="27"/>
      <c r="JO55" s="27"/>
      <c r="JP55" s="27"/>
      <c r="JQ55" s="27"/>
      <c r="JR55" s="27"/>
      <c r="JS55" s="27"/>
      <c r="JT55" s="27"/>
      <c r="JU55" s="27"/>
      <c r="JV55" s="27"/>
      <c r="JW55" s="27"/>
      <c r="JX55" s="27"/>
      <c r="JY55" s="27"/>
      <c r="JZ55" s="27"/>
      <c r="KA55" s="27"/>
      <c r="KB55" s="27"/>
      <c r="KC55" s="27"/>
      <c r="KD55" s="27"/>
      <c r="KE55" s="27"/>
      <c r="KF55" s="27"/>
      <c r="KG55" s="27"/>
      <c r="KH55" s="27"/>
      <c r="KI55" s="27"/>
      <c r="KJ55" s="27"/>
      <c r="KK55" s="27"/>
      <c r="KL55" s="27"/>
      <c r="KM55" s="27"/>
      <c r="KN55" s="27"/>
      <c r="KO55" s="27"/>
      <c r="KP55" s="27"/>
      <c r="KQ55" s="27"/>
      <c r="KR55" s="27"/>
      <c r="KS55" s="27"/>
      <c r="KT55" s="27"/>
      <c r="KU55" s="27"/>
      <c r="KV55" s="27"/>
      <c r="KW55" s="27"/>
      <c r="KX55" s="27"/>
      <c r="KY55" s="27"/>
      <c r="KZ55" s="27"/>
      <c r="LA55" s="27"/>
      <c r="LB55" s="27"/>
      <c r="LC55" s="27"/>
      <c r="LD55" s="27"/>
      <c r="LE55" s="27"/>
      <c r="LF55" s="27"/>
      <c r="LG55" s="27"/>
      <c r="LH55" s="27"/>
      <c r="LI55" s="27"/>
      <c r="LJ55" s="27"/>
      <c r="LK55" s="27"/>
      <c r="LL55" s="27"/>
      <c r="LM55" s="27"/>
      <c r="LN55" s="27"/>
      <c r="LO55" s="27"/>
      <c r="LP55" s="27"/>
      <c r="LQ55" s="27"/>
      <c r="LR55" s="27"/>
      <c r="LS55" s="27"/>
      <c r="LT55" s="27"/>
      <c r="LU55" s="27"/>
      <c r="LV55" s="27"/>
      <c r="LW55" s="27"/>
      <c r="LX55" s="27"/>
      <c r="LY55" s="27"/>
      <c r="LZ55" s="27"/>
      <c r="MA55" s="27"/>
      <c r="MB55" s="27"/>
      <c r="MC55" s="27"/>
      <c r="MD55" s="27"/>
      <c r="ME55" s="27"/>
      <c r="MF55" s="27"/>
      <c r="MG55" s="27"/>
      <c r="MH55" s="27"/>
      <c r="MI55" s="27"/>
      <c r="MJ55" s="27"/>
      <c r="MK55" s="27"/>
      <c r="ML55" s="27"/>
      <c r="MM55" s="27"/>
      <c r="MN55" s="27"/>
      <c r="MO55" s="27"/>
      <c r="MP55" s="27"/>
      <c r="MQ55" s="27"/>
      <c r="MR55" s="27"/>
      <c r="MS55" s="27"/>
      <c r="MT55" s="27"/>
      <c r="MU55" s="27"/>
      <c r="MV55" s="27"/>
      <c r="MW55" s="27"/>
      <c r="MX55" s="27"/>
      <c r="MY55" s="27"/>
      <c r="MZ55" s="27"/>
      <c r="NA55" s="27"/>
      <c r="NB55" s="27"/>
      <c r="NC55" s="27"/>
      <c r="ND55" s="27"/>
      <c r="NE55" s="27"/>
      <c r="NF55" s="27"/>
      <c r="NG55" s="27"/>
      <c r="NH55" s="27"/>
      <c r="NI55" s="27"/>
      <c r="NJ55" s="27"/>
      <c r="NK55" s="27"/>
      <c r="NL55" s="27"/>
      <c r="NM55" s="27"/>
      <c r="NN55" s="27"/>
      <c r="NO55" s="27"/>
      <c r="NP55" s="27"/>
      <c r="NQ55" s="27"/>
      <c r="NR55" s="27"/>
      <c r="NS55" s="27"/>
      <c r="NT55" s="27"/>
      <c r="NU55" s="27"/>
      <c r="NV55" s="27"/>
      <c r="NW55" s="27"/>
      <c r="NX55" s="27"/>
      <c r="NY55" s="27"/>
      <c r="NZ55" s="27"/>
      <c r="OA55" s="27"/>
      <c r="OB55" s="27"/>
      <c r="OC55" s="27"/>
      <c r="OD55" s="27"/>
      <c r="OE55" s="27"/>
      <c r="OF55" s="27"/>
      <c r="OG55" s="27"/>
      <c r="OH55" s="27"/>
      <c r="OI55" s="27"/>
      <c r="OJ55" s="27"/>
      <c r="OK55" s="27"/>
      <c r="OL55" s="27"/>
      <c r="OM55" s="27"/>
      <c r="ON55" s="27"/>
      <c r="OO55" s="27"/>
      <c r="OP55" s="27"/>
      <c r="OQ55" s="27"/>
      <c r="OR55" s="27"/>
      <c r="OS55" s="27"/>
      <c r="OT55" s="27"/>
      <c r="OU55" s="27"/>
      <c r="OV55" s="27"/>
      <c r="OW55" s="27"/>
      <c r="OX55" s="27"/>
      <c r="OY55" s="27"/>
      <c r="OZ55" s="27"/>
      <c r="PA55" s="27"/>
      <c r="PB55" s="27"/>
      <c r="PC55" s="27"/>
      <c r="PD55" s="27"/>
      <c r="PE55" s="27"/>
      <c r="PF55" s="27"/>
      <c r="PG55" s="27"/>
      <c r="PH55" s="27"/>
      <c r="PI55" s="27"/>
      <c r="PJ55" s="27"/>
      <c r="PK55" s="27"/>
      <c r="PL55" s="27"/>
      <c r="PM55" s="27"/>
      <c r="PN55" s="27"/>
      <c r="PO55" s="27"/>
      <c r="PP55" s="27"/>
      <c r="PQ55" s="27"/>
      <c r="PR55" s="27"/>
      <c r="PS55" s="27"/>
      <c r="PT55" s="27"/>
      <c r="PU55" s="27"/>
      <c r="PV55" s="27"/>
      <c r="PW55" s="27"/>
      <c r="PZ55" s="29"/>
      <c r="QA55" s="29"/>
      <c r="QB55" s="29"/>
      <c r="QC55" s="29"/>
      <c r="QD55" s="29"/>
      <c r="QE55" s="29"/>
      <c r="QF55" s="29"/>
      <c r="QG55" s="29"/>
      <c r="QH55" s="29"/>
      <c r="QI55" s="29"/>
      <c r="QJ55" s="29"/>
      <c r="QK55" s="29"/>
      <c r="QL55" s="29"/>
      <c r="QM55" s="29"/>
      <c r="QN55" s="29"/>
      <c r="QO55" s="29"/>
      <c r="QP55" s="29"/>
      <c r="QQ55" s="29"/>
      <c r="QR55" s="29"/>
      <c r="QS55" s="29"/>
      <c r="QT55" s="29"/>
      <c r="QU55" s="29"/>
      <c r="QV55" s="29"/>
      <c r="QW55" s="29"/>
      <c r="QX55" s="29"/>
      <c r="QY55" s="29"/>
      <c r="QZ55" s="29"/>
      <c r="RA55" s="29"/>
      <c r="RB55" s="29"/>
      <c r="RC55" s="29"/>
      <c r="RD55" s="29"/>
      <c r="RE55" s="29"/>
      <c r="RF55" s="29"/>
      <c r="RG55" s="29"/>
      <c r="RH55" s="29"/>
      <c r="RI55" s="29"/>
      <c r="RJ55" s="29"/>
      <c r="RK55" s="29"/>
      <c r="RL55" s="29"/>
      <c r="RM55" s="29"/>
      <c r="RN55" s="29"/>
      <c r="RO55" s="29"/>
      <c r="RP55" s="29"/>
      <c r="RQ55" s="29"/>
      <c r="RR55" s="29"/>
      <c r="RS55" s="29"/>
      <c r="RT55" s="29"/>
      <c r="RU55" s="29"/>
      <c r="RV55" s="29"/>
      <c r="RW55" s="29"/>
      <c r="RX55" s="29"/>
      <c r="RY55" s="29"/>
      <c r="RZ55" s="29"/>
      <c r="SA55" s="29"/>
      <c r="SB55" s="29"/>
      <c r="SC55" s="29"/>
      <c r="SD55" s="29"/>
      <c r="SE55" s="29"/>
      <c r="SF55" s="29"/>
      <c r="SG55" s="29"/>
      <c r="SH55" s="29"/>
      <c r="SI55" s="29"/>
      <c r="SJ55" s="29"/>
      <c r="SK55" s="29"/>
      <c r="SL55" s="29"/>
      <c r="SM55" s="29"/>
      <c r="SN55" s="29"/>
      <c r="SO55" s="29"/>
      <c r="SP55" s="29"/>
      <c r="SQ55" s="29"/>
      <c r="SR55" s="29"/>
      <c r="SS55" s="29"/>
      <c r="ST55" s="29"/>
      <c r="SU55" s="29"/>
      <c r="SV55" s="29"/>
      <c r="SW55" s="29"/>
      <c r="SX55" s="29"/>
      <c r="SY55" s="29"/>
      <c r="SZ55" s="29"/>
      <c r="TA55" s="29"/>
      <c r="TB55" s="29"/>
      <c r="TC55" s="29"/>
      <c r="TD55" s="29"/>
      <c r="TE55" s="29"/>
      <c r="TF55" s="29"/>
      <c r="TG55" s="29"/>
      <c r="TH55" s="29"/>
      <c r="TI55" s="29"/>
      <c r="TJ55" s="29"/>
      <c r="TK55" s="29"/>
      <c r="TL55" s="29"/>
      <c r="TM55" s="29"/>
      <c r="TN55" s="29"/>
      <c r="TO55" s="29"/>
      <c r="TP55" s="29"/>
      <c r="TQ55" s="29"/>
      <c r="TR55" s="29"/>
      <c r="TS55" s="29"/>
      <c r="TT55" s="29"/>
      <c r="TU55" s="29"/>
      <c r="TV55" s="29"/>
      <c r="TW55" s="29"/>
      <c r="TX55" s="29"/>
      <c r="TY55" s="29"/>
      <c r="TZ55" s="29"/>
      <c r="UA55" s="29"/>
      <c r="UB55" s="29"/>
      <c r="UC55" s="29"/>
      <c r="UD55" s="29"/>
      <c r="UE55" s="29"/>
      <c r="UF55" s="29"/>
      <c r="UG55" s="29"/>
      <c r="UH55" s="29"/>
      <c r="UI55" s="29"/>
      <c r="UJ55" s="29"/>
      <c r="UK55" s="29"/>
      <c r="UL55" s="29"/>
      <c r="UM55" s="29"/>
      <c r="UN55" s="29"/>
      <c r="UO55" s="29"/>
      <c r="UP55" s="29"/>
      <c r="UQ55" s="29"/>
      <c r="UR55" s="29"/>
      <c r="US55" s="29"/>
      <c r="UT55" s="29"/>
      <c r="UU55" s="29"/>
      <c r="UV55" s="29"/>
      <c r="UW55" s="29"/>
      <c r="UX55" s="29"/>
      <c r="UY55" s="29"/>
      <c r="UZ55" s="29"/>
      <c r="VA55" s="29"/>
      <c r="VB55" s="29"/>
      <c r="VC55" s="29"/>
      <c r="VD55" s="29"/>
      <c r="VE55" s="29"/>
      <c r="VF55" s="29"/>
      <c r="VG55" s="29"/>
      <c r="VH55" s="29"/>
      <c r="VI55" s="29"/>
      <c r="VJ55" s="29"/>
      <c r="VK55" s="29"/>
      <c r="VL55" s="29"/>
      <c r="VM55" s="29"/>
      <c r="VN55" s="29"/>
      <c r="VO55" s="29"/>
      <c r="VP55" s="29"/>
      <c r="VQ55" s="29"/>
      <c r="VR55" s="29"/>
      <c r="VS55" s="29"/>
      <c r="VT55" s="29"/>
      <c r="VU55" s="29"/>
      <c r="VV55" s="29"/>
      <c r="VW55" s="29"/>
      <c r="VX55" s="29"/>
      <c r="VY55" s="29"/>
      <c r="VZ55" s="29"/>
      <c r="WA55" s="29"/>
      <c r="WB55" s="29"/>
      <c r="WC55" s="29"/>
      <c r="WD55" s="29"/>
      <c r="WE55" s="29"/>
      <c r="WF55" s="29"/>
      <c r="WG55" s="29"/>
      <c r="WH55" s="29"/>
      <c r="WI55" s="29"/>
      <c r="WJ55" s="29"/>
      <c r="WK55" s="29"/>
      <c r="WL55" s="29"/>
      <c r="WM55" s="29"/>
      <c r="WN55" s="29"/>
      <c r="WO55" s="29"/>
      <c r="WP55" s="29"/>
      <c r="WQ55" s="29"/>
      <c r="WR55" s="29"/>
      <c r="WS55" s="29"/>
      <c r="WT55" s="29"/>
      <c r="WU55" s="29"/>
      <c r="WV55" s="29"/>
      <c r="WW55" s="29"/>
      <c r="WX55" s="29"/>
      <c r="WY55" s="29"/>
      <c r="WZ55" s="29"/>
      <c r="XA55" s="29"/>
      <c r="XB55" s="29"/>
      <c r="XC55" s="29"/>
      <c r="XD55" s="29"/>
      <c r="XE55" s="29"/>
      <c r="XF55" s="29"/>
      <c r="XG55" s="29"/>
      <c r="XH55" s="29"/>
      <c r="XI55" s="29"/>
      <c r="XJ55" s="29"/>
      <c r="XK55" s="29"/>
      <c r="XL55" s="29"/>
      <c r="XM55" s="29"/>
      <c r="XN55" s="29"/>
      <c r="XO55" s="29"/>
      <c r="XP55" s="29"/>
      <c r="XQ55" s="29"/>
      <c r="XR55" s="29"/>
      <c r="XS55" s="29"/>
      <c r="XT55" s="29"/>
      <c r="XU55" s="29"/>
      <c r="XV55" s="29"/>
      <c r="XW55" s="29"/>
      <c r="XX55" s="29"/>
      <c r="XY55" s="29"/>
    </row>
    <row r="56" spans="3:649" s="157" customFormat="1" ht="14.45" outlineLevel="1">
      <c r="C56" s="151" t="s">
        <v>26</v>
      </c>
      <c r="D56" s="152" t="s">
        <v>91</v>
      </c>
      <c r="E56" s="226"/>
      <c r="F56" s="164"/>
      <c r="G56" s="164"/>
      <c r="H56" s="164"/>
      <c r="I56" s="164"/>
      <c r="J56" s="164"/>
      <c r="K56" s="164"/>
      <c r="L56" s="164"/>
      <c r="M56" s="164"/>
      <c r="N56" s="164"/>
      <c r="O56" s="154">
        <f t="shared" ref="O56:P57" si="8">225*G$70</f>
        <v>26.325354700019538</v>
      </c>
      <c r="P56" s="154">
        <f t="shared" si="8"/>
        <v>11.184642857142862</v>
      </c>
      <c r="Q56" s="164">
        <f>SUM(F56:P56)</f>
        <v>37.5099975571624</v>
      </c>
      <c r="R56" s="154">
        <f>225-Table4232[[#This Row],[Total]]</f>
        <v>187.49000244283761</v>
      </c>
      <c r="S56" s="176" t="s">
        <v>41</v>
      </c>
      <c r="T56" s="163"/>
      <c r="U56" s="178"/>
      <c r="V56" s="179" t="e">
        <f>IF(#REF!="","Other Major Projects","Data Centre")</f>
        <v>#REF!</v>
      </c>
      <c r="W56" s="173"/>
      <c r="X56" s="28">
        <f>Table4232[[#This Row],[Post 2033]]+Table4232[[#This Row],[Total]]</f>
        <v>225</v>
      </c>
      <c r="Y56" s="28" t="s">
        <v>50</v>
      </c>
      <c r="Z56" s="156"/>
      <c r="AA56" s="155"/>
      <c r="AB56" s="155"/>
      <c r="AC56" s="155"/>
      <c r="AD56" s="155"/>
      <c r="AE56" s="155"/>
      <c r="AF56" s="156"/>
      <c r="AG56" s="156"/>
      <c r="AH56" s="156"/>
      <c r="AI56" s="156"/>
      <c r="AJ56" s="156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  <c r="DT56" s="155"/>
      <c r="DU56" s="155"/>
      <c r="DV56" s="155"/>
      <c r="DW56" s="155"/>
      <c r="DX56" s="155"/>
      <c r="DY56" s="155"/>
      <c r="DZ56" s="155"/>
      <c r="EA56" s="155"/>
      <c r="EB56" s="155"/>
      <c r="EC56" s="155"/>
      <c r="ED56" s="155"/>
      <c r="EE56" s="155"/>
      <c r="EF56" s="155"/>
      <c r="EG56" s="155"/>
      <c r="EH56" s="155"/>
      <c r="EI56" s="155"/>
      <c r="EJ56" s="155"/>
      <c r="EK56" s="155"/>
      <c r="EL56" s="155"/>
      <c r="EM56" s="155"/>
      <c r="EN56" s="155"/>
      <c r="EO56" s="155"/>
      <c r="EP56" s="155"/>
      <c r="EQ56" s="155"/>
      <c r="ER56" s="155"/>
      <c r="ES56" s="155"/>
      <c r="ET56" s="155"/>
      <c r="EU56" s="155"/>
      <c r="EV56" s="155"/>
      <c r="EW56" s="155"/>
      <c r="EX56" s="155"/>
      <c r="EY56" s="155"/>
      <c r="EZ56" s="155"/>
      <c r="FA56" s="155"/>
      <c r="FB56" s="155"/>
      <c r="FC56" s="155"/>
      <c r="FD56" s="155"/>
      <c r="FE56" s="155"/>
      <c r="FF56" s="155"/>
      <c r="FG56" s="155"/>
      <c r="FH56" s="155"/>
      <c r="FI56" s="155"/>
      <c r="FJ56" s="155"/>
      <c r="FK56" s="155"/>
      <c r="FL56" s="155"/>
      <c r="FM56" s="155"/>
      <c r="FN56" s="155"/>
      <c r="FO56" s="155"/>
      <c r="FP56" s="155"/>
      <c r="FQ56" s="155"/>
      <c r="FR56" s="155"/>
      <c r="FS56" s="155"/>
      <c r="FT56" s="155"/>
      <c r="FU56" s="155"/>
      <c r="FV56" s="155"/>
      <c r="FW56" s="155"/>
      <c r="FX56" s="155"/>
      <c r="FY56" s="155"/>
      <c r="FZ56" s="155"/>
      <c r="GA56" s="155"/>
      <c r="GB56" s="155"/>
      <c r="GC56" s="155"/>
      <c r="GD56" s="155"/>
      <c r="GE56" s="155"/>
      <c r="GF56" s="155"/>
      <c r="GG56" s="155"/>
      <c r="GH56" s="155"/>
      <c r="GI56" s="155"/>
      <c r="GJ56" s="155"/>
      <c r="GK56" s="155"/>
      <c r="GL56" s="155"/>
      <c r="GM56" s="155"/>
      <c r="GN56" s="155"/>
      <c r="GO56" s="155"/>
      <c r="GP56" s="155"/>
      <c r="GQ56" s="155"/>
      <c r="GR56" s="155"/>
      <c r="GS56" s="155"/>
      <c r="GT56" s="155"/>
      <c r="GU56" s="155"/>
      <c r="GV56" s="155"/>
      <c r="GW56" s="155"/>
      <c r="GX56" s="155"/>
      <c r="GY56" s="155"/>
      <c r="GZ56" s="155"/>
      <c r="HA56" s="155"/>
      <c r="HB56" s="155"/>
      <c r="HC56" s="155"/>
      <c r="HD56" s="155"/>
      <c r="HE56" s="155"/>
      <c r="HF56" s="155"/>
      <c r="HG56" s="155"/>
      <c r="HH56" s="155"/>
      <c r="HI56" s="155"/>
      <c r="HJ56" s="155"/>
      <c r="HK56" s="155"/>
      <c r="HL56" s="155"/>
      <c r="HM56" s="155"/>
      <c r="HN56" s="155"/>
      <c r="HO56" s="155"/>
      <c r="HP56" s="155"/>
      <c r="HQ56" s="155"/>
      <c r="HR56" s="155"/>
      <c r="HS56" s="155"/>
      <c r="HT56" s="155"/>
      <c r="HU56" s="155"/>
      <c r="HX56" s="155"/>
      <c r="HY56" s="155"/>
      <c r="HZ56" s="155"/>
      <c r="IA56" s="155"/>
      <c r="IB56" s="155"/>
      <c r="IC56" s="155"/>
      <c r="ID56" s="155"/>
      <c r="IE56" s="155"/>
      <c r="IF56" s="155"/>
      <c r="IG56" s="155"/>
      <c r="IH56" s="155"/>
      <c r="II56" s="155"/>
      <c r="IJ56" s="155"/>
      <c r="IK56" s="155"/>
      <c r="IL56" s="155"/>
      <c r="IM56" s="155"/>
      <c r="IN56" s="155"/>
      <c r="IO56" s="155"/>
      <c r="IP56" s="155"/>
      <c r="IQ56" s="155"/>
      <c r="IR56" s="155"/>
      <c r="IS56" s="155"/>
      <c r="IT56" s="155"/>
      <c r="IU56" s="155"/>
      <c r="IV56" s="155"/>
      <c r="IW56" s="155"/>
      <c r="IX56" s="155"/>
      <c r="IY56" s="155"/>
      <c r="IZ56" s="155"/>
      <c r="JA56" s="155"/>
      <c r="JB56" s="155"/>
      <c r="JC56" s="155"/>
      <c r="JD56" s="155"/>
      <c r="JE56" s="155"/>
      <c r="JF56" s="155"/>
      <c r="JG56" s="155"/>
      <c r="JH56" s="155"/>
      <c r="JI56" s="155"/>
      <c r="JJ56" s="155"/>
      <c r="JK56" s="155"/>
      <c r="JL56" s="155"/>
      <c r="JM56" s="155"/>
      <c r="JN56" s="155"/>
      <c r="JO56" s="155"/>
      <c r="JP56" s="155"/>
      <c r="JQ56" s="155"/>
      <c r="JR56" s="155"/>
      <c r="JS56" s="155"/>
      <c r="JT56" s="155"/>
      <c r="JU56" s="155"/>
      <c r="JV56" s="155"/>
      <c r="JW56" s="155"/>
      <c r="JX56" s="155"/>
      <c r="JY56" s="155"/>
      <c r="JZ56" s="155"/>
      <c r="KA56" s="155"/>
      <c r="KB56" s="155"/>
      <c r="KC56" s="155"/>
      <c r="KD56" s="155"/>
      <c r="KE56" s="155"/>
      <c r="KF56" s="155"/>
      <c r="KG56" s="155"/>
      <c r="KH56" s="155"/>
      <c r="KI56" s="155"/>
      <c r="KJ56" s="155"/>
      <c r="KK56" s="155"/>
      <c r="KL56" s="155"/>
      <c r="KM56" s="155"/>
      <c r="KN56" s="155"/>
      <c r="KO56" s="155"/>
      <c r="KP56" s="155"/>
      <c r="KQ56" s="155"/>
      <c r="KR56" s="155"/>
      <c r="KS56" s="155"/>
      <c r="KT56" s="155"/>
      <c r="KU56" s="155"/>
      <c r="KV56" s="155"/>
      <c r="KW56" s="155"/>
      <c r="KX56" s="155"/>
      <c r="KY56" s="155"/>
      <c r="KZ56" s="155"/>
      <c r="LA56" s="155"/>
      <c r="LB56" s="155"/>
      <c r="LC56" s="155"/>
      <c r="LD56" s="155"/>
      <c r="LE56" s="155"/>
      <c r="LF56" s="155"/>
      <c r="LG56" s="155"/>
      <c r="LH56" s="155"/>
      <c r="LI56" s="155"/>
      <c r="LJ56" s="155"/>
      <c r="LK56" s="155"/>
      <c r="LL56" s="155"/>
      <c r="LM56" s="155"/>
      <c r="LN56" s="155"/>
      <c r="LO56" s="155"/>
      <c r="LP56" s="155"/>
      <c r="LQ56" s="155"/>
      <c r="LR56" s="155"/>
      <c r="LS56" s="155"/>
      <c r="LT56" s="155"/>
      <c r="LU56" s="155"/>
      <c r="LV56" s="155"/>
      <c r="LW56" s="155"/>
      <c r="LX56" s="155"/>
      <c r="LY56" s="155"/>
      <c r="LZ56" s="155"/>
      <c r="MA56" s="155"/>
      <c r="MB56" s="155"/>
      <c r="MC56" s="155"/>
      <c r="MD56" s="155"/>
      <c r="ME56" s="155"/>
      <c r="MF56" s="155"/>
      <c r="MG56" s="155"/>
      <c r="MH56" s="155"/>
      <c r="MI56" s="155"/>
      <c r="MJ56" s="155"/>
      <c r="MK56" s="155"/>
      <c r="ML56" s="155"/>
      <c r="MM56" s="155"/>
      <c r="MN56" s="155"/>
      <c r="MO56" s="155"/>
      <c r="MP56" s="155"/>
      <c r="MQ56" s="155"/>
      <c r="MR56" s="155"/>
      <c r="MS56" s="155"/>
      <c r="MT56" s="155"/>
      <c r="MU56" s="155"/>
      <c r="MV56" s="155"/>
      <c r="MW56" s="155"/>
      <c r="MX56" s="155"/>
      <c r="MY56" s="155"/>
      <c r="MZ56" s="155"/>
      <c r="NA56" s="155"/>
      <c r="NB56" s="155"/>
      <c r="NC56" s="155"/>
      <c r="ND56" s="155"/>
      <c r="NE56" s="155"/>
      <c r="NF56" s="155"/>
      <c r="NG56" s="155"/>
      <c r="NH56" s="155"/>
      <c r="NI56" s="155"/>
      <c r="NJ56" s="155"/>
      <c r="NK56" s="155"/>
      <c r="NL56" s="155"/>
      <c r="NM56" s="155"/>
      <c r="NN56" s="155"/>
      <c r="NO56" s="155"/>
      <c r="NP56" s="155"/>
      <c r="NQ56" s="155"/>
      <c r="NR56" s="155"/>
      <c r="NS56" s="155"/>
      <c r="NT56" s="155"/>
      <c r="NU56" s="155"/>
      <c r="NV56" s="155"/>
      <c r="NW56" s="155"/>
      <c r="NX56" s="155"/>
      <c r="NY56" s="155"/>
      <c r="NZ56" s="155"/>
      <c r="OA56" s="155"/>
      <c r="OB56" s="155"/>
      <c r="OC56" s="155"/>
      <c r="OD56" s="155"/>
      <c r="OE56" s="155"/>
      <c r="OF56" s="155"/>
      <c r="OG56" s="155"/>
      <c r="OH56" s="155"/>
      <c r="OI56" s="155"/>
      <c r="OJ56" s="155"/>
      <c r="OK56" s="155"/>
      <c r="OL56" s="155"/>
      <c r="OM56" s="155"/>
      <c r="ON56" s="155"/>
      <c r="OO56" s="155"/>
      <c r="OP56" s="155"/>
      <c r="OQ56" s="155"/>
      <c r="OR56" s="155"/>
      <c r="OS56" s="155"/>
      <c r="OT56" s="155"/>
      <c r="OU56" s="155"/>
      <c r="OV56" s="155"/>
      <c r="OW56" s="155"/>
      <c r="OX56" s="155"/>
      <c r="OY56" s="155"/>
      <c r="OZ56" s="155"/>
      <c r="PA56" s="155"/>
      <c r="PB56" s="155"/>
      <c r="PC56" s="155"/>
      <c r="PD56" s="155"/>
      <c r="PE56" s="155"/>
      <c r="PF56" s="155"/>
      <c r="PG56" s="155"/>
      <c r="PH56" s="155"/>
      <c r="PI56" s="155"/>
      <c r="PJ56" s="155"/>
      <c r="PK56" s="155"/>
      <c r="PL56" s="155"/>
      <c r="PM56" s="155"/>
      <c r="PN56" s="155"/>
      <c r="PO56" s="155"/>
      <c r="PP56" s="155"/>
      <c r="PQ56" s="155"/>
      <c r="PR56" s="155"/>
      <c r="PS56" s="155"/>
      <c r="PT56" s="155"/>
      <c r="PU56" s="155"/>
      <c r="PV56" s="155"/>
      <c r="PW56" s="155"/>
      <c r="PZ56" s="158"/>
      <c r="QA56" s="158"/>
      <c r="QB56" s="158"/>
      <c r="QC56" s="158"/>
      <c r="QD56" s="158"/>
      <c r="QE56" s="158"/>
      <c r="QF56" s="158"/>
      <c r="QG56" s="158"/>
      <c r="QH56" s="158"/>
      <c r="QI56" s="158"/>
      <c r="QJ56" s="158"/>
      <c r="QK56" s="158"/>
      <c r="QL56" s="158"/>
      <c r="QM56" s="158"/>
      <c r="QN56" s="158"/>
      <c r="QO56" s="158"/>
      <c r="QP56" s="158"/>
      <c r="QQ56" s="158"/>
      <c r="QR56" s="158"/>
      <c r="QS56" s="158"/>
      <c r="QT56" s="158"/>
      <c r="QU56" s="158"/>
      <c r="QV56" s="158"/>
      <c r="QW56" s="158"/>
      <c r="QX56" s="158"/>
      <c r="QY56" s="158"/>
      <c r="QZ56" s="158"/>
      <c r="RA56" s="158"/>
      <c r="RB56" s="158"/>
      <c r="RC56" s="158"/>
      <c r="RD56" s="158"/>
      <c r="RE56" s="158"/>
      <c r="RF56" s="158"/>
      <c r="RG56" s="158"/>
      <c r="RH56" s="158"/>
      <c r="RI56" s="158"/>
      <c r="RJ56" s="158"/>
      <c r="RK56" s="158"/>
      <c r="RL56" s="158"/>
      <c r="RM56" s="158"/>
      <c r="RN56" s="158"/>
      <c r="RO56" s="158"/>
      <c r="RP56" s="158"/>
      <c r="RQ56" s="158"/>
      <c r="RR56" s="158"/>
      <c r="RS56" s="158"/>
      <c r="RT56" s="158"/>
      <c r="RU56" s="158"/>
      <c r="RV56" s="158"/>
      <c r="RW56" s="158"/>
      <c r="RX56" s="158"/>
      <c r="RY56" s="158"/>
      <c r="RZ56" s="158"/>
      <c r="SA56" s="158"/>
      <c r="SB56" s="158"/>
      <c r="SC56" s="158"/>
      <c r="SD56" s="158"/>
      <c r="SE56" s="158"/>
      <c r="SF56" s="158"/>
      <c r="SG56" s="158"/>
      <c r="SH56" s="158"/>
      <c r="SI56" s="158"/>
      <c r="SJ56" s="158"/>
      <c r="SK56" s="158"/>
      <c r="SL56" s="158"/>
      <c r="SM56" s="158"/>
      <c r="SN56" s="158"/>
      <c r="SO56" s="158"/>
      <c r="SP56" s="158"/>
      <c r="SQ56" s="158"/>
      <c r="SR56" s="158"/>
      <c r="SS56" s="158"/>
      <c r="ST56" s="158"/>
      <c r="SU56" s="158"/>
      <c r="SV56" s="158"/>
      <c r="SW56" s="158"/>
      <c r="SX56" s="158"/>
      <c r="SY56" s="158"/>
      <c r="SZ56" s="158"/>
      <c r="TA56" s="158"/>
      <c r="TB56" s="158"/>
      <c r="TC56" s="158"/>
      <c r="TD56" s="158"/>
      <c r="TE56" s="158"/>
      <c r="TF56" s="158"/>
      <c r="TG56" s="158"/>
      <c r="TH56" s="158"/>
      <c r="TI56" s="158"/>
      <c r="TJ56" s="158"/>
      <c r="TK56" s="158"/>
      <c r="TL56" s="158"/>
      <c r="TM56" s="158"/>
      <c r="TN56" s="158"/>
      <c r="TO56" s="158"/>
      <c r="TP56" s="158"/>
      <c r="TQ56" s="158"/>
      <c r="TR56" s="158"/>
      <c r="TS56" s="158"/>
      <c r="TT56" s="158"/>
      <c r="TU56" s="158"/>
      <c r="TV56" s="158"/>
      <c r="TW56" s="158"/>
      <c r="TX56" s="158"/>
      <c r="TY56" s="158"/>
      <c r="TZ56" s="158"/>
      <c r="UA56" s="158"/>
      <c r="UB56" s="158"/>
      <c r="UC56" s="158"/>
      <c r="UD56" s="158"/>
      <c r="UE56" s="158"/>
      <c r="UF56" s="158"/>
      <c r="UG56" s="158"/>
      <c r="UH56" s="158"/>
      <c r="UI56" s="158"/>
      <c r="UJ56" s="158"/>
      <c r="UK56" s="158"/>
      <c r="UL56" s="158"/>
      <c r="UM56" s="158"/>
      <c r="UN56" s="158"/>
      <c r="UO56" s="158"/>
      <c r="UP56" s="158"/>
      <c r="UQ56" s="158"/>
      <c r="UR56" s="158"/>
      <c r="US56" s="158"/>
      <c r="UT56" s="158"/>
      <c r="UU56" s="158"/>
      <c r="UV56" s="158"/>
      <c r="UW56" s="158"/>
      <c r="UX56" s="158"/>
      <c r="UY56" s="158"/>
      <c r="UZ56" s="158"/>
      <c r="VA56" s="158"/>
      <c r="VB56" s="158"/>
      <c r="VC56" s="158"/>
      <c r="VD56" s="158"/>
      <c r="VE56" s="158"/>
      <c r="VF56" s="158"/>
      <c r="VG56" s="158"/>
      <c r="VH56" s="158"/>
      <c r="VI56" s="158"/>
      <c r="VJ56" s="158"/>
      <c r="VK56" s="158"/>
      <c r="VL56" s="158"/>
      <c r="VM56" s="158"/>
      <c r="VN56" s="158"/>
      <c r="VO56" s="158"/>
      <c r="VP56" s="158"/>
      <c r="VQ56" s="158"/>
      <c r="VR56" s="158"/>
      <c r="VS56" s="158"/>
      <c r="VT56" s="158"/>
      <c r="VU56" s="158"/>
      <c r="VV56" s="158"/>
      <c r="VW56" s="158"/>
      <c r="VX56" s="158"/>
      <c r="VY56" s="158"/>
      <c r="VZ56" s="158"/>
      <c r="WA56" s="158"/>
      <c r="WB56" s="158"/>
      <c r="WC56" s="158"/>
      <c r="WD56" s="158"/>
      <c r="WE56" s="158"/>
      <c r="WF56" s="158"/>
      <c r="WG56" s="158"/>
      <c r="WH56" s="158"/>
      <c r="WI56" s="158"/>
      <c r="WJ56" s="158"/>
      <c r="WK56" s="158"/>
      <c r="WL56" s="158"/>
      <c r="WM56" s="158"/>
      <c r="WN56" s="158"/>
      <c r="WO56" s="158"/>
      <c r="WP56" s="158"/>
      <c r="WQ56" s="158"/>
      <c r="WR56" s="158"/>
      <c r="WS56" s="158"/>
      <c r="WT56" s="158"/>
      <c r="WU56" s="158"/>
      <c r="WV56" s="158"/>
      <c r="WW56" s="158"/>
      <c r="WX56" s="158"/>
      <c r="WY56" s="158"/>
      <c r="WZ56" s="158"/>
      <c r="XA56" s="158"/>
      <c r="XB56" s="158"/>
      <c r="XC56" s="158"/>
      <c r="XD56" s="158"/>
      <c r="XE56" s="158"/>
      <c r="XF56" s="158"/>
      <c r="XG56" s="158"/>
      <c r="XH56" s="158"/>
      <c r="XI56" s="158"/>
      <c r="XJ56" s="158"/>
      <c r="XK56" s="158"/>
      <c r="XL56" s="158"/>
      <c r="XM56" s="158"/>
      <c r="XN56" s="158"/>
      <c r="XO56" s="158"/>
      <c r="XP56" s="158"/>
      <c r="XQ56" s="158"/>
      <c r="XR56" s="158"/>
      <c r="XS56" s="158"/>
      <c r="XT56" s="158"/>
      <c r="XU56" s="158"/>
      <c r="XV56" s="158"/>
      <c r="XW56" s="158"/>
      <c r="XX56" s="158"/>
      <c r="XY56" s="158"/>
    </row>
    <row r="57" spans="3:649" s="157" customFormat="1" ht="14.45" outlineLevel="1">
      <c r="C57" s="151" t="s">
        <v>26</v>
      </c>
      <c r="D57" s="152" t="s">
        <v>92</v>
      </c>
      <c r="E57" s="224"/>
      <c r="F57" s="154"/>
      <c r="G57" s="154"/>
      <c r="H57" s="154"/>
      <c r="I57" s="154"/>
      <c r="J57" s="154"/>
      <c r="K57" s="154"/>
      <c r="L57" s="154"/>
      <c r="M57" s="154"/>
      <c r="N57" s="154"/>
      <c r="O57" s="154">
        <f t="shared" si="8"/>
        <v>26.325354700019538</v>
      </c>
      <c r="P57" s="154">
        <f t="shared" si="8"/>
        <v>11.184642857142862</v>
      </c>
      <c r="Q57" s="164">
        <f>SUM(F57:P57)</f>
        <v>37.5099975571624</v>
      </c>
      <c r="R57" s="154">
        <f>225-Table4232[[#This Row],[Total]]</f>
        <v>187.49000244283761</v>
      </c>
      <c r="S57" s="176" t="s">
        <v>41</v>
      </c>
      <c r="T57" s="153"/>
      <c r="U57" s="178"/>
      <c r="V57" s="172" t="e">
        <f>IF(#REF!="","Other Major Projects","Data Centre")</f>
        <v>#REF!</v>
      </c>
      <c r="W57" s="173"/>
      <c r="X57" s="28">
        <f>Table4232[[#This Row],[Post 2033]]+Table4232[[#This Row],[Total]]</f>
        <v>225</v>
      </c>
      <c r="Y57" s="28" t="s">
        <v>50</v>
      </c>
      <c r="Z57" s="156"/>
      <c r="AA57" s="155"/>
      <c r="AB57" s="155"/>
      <c r="AC57" s="155"/>
      <c r="AD57" s="155"/>
      <c r="AE57" s="155"/>
      <c r="AF57" s="156"/>
      <c r="AG57" s="156"/>
      <c r="AH57" s="156"/>
      <c r="AI57" s="156"/>
      <c r="AJ57" s="156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  <c r="DT57" s="155"/>
      <c r="DU57" s="155"/>
      <c r="DV57" s="155"/>
      <c r="DW57" s="155"/>
      <c r="DX57" s="155"/>
      <c r="DY57" s="155"/>
      <c r="DZ57" s="155"/>
      <c r="EA57" s="155"/>
      <c r="EB57" s="155"/>
      <c r="EC57" s="155"/>
      <c r="ED57" s="155"/>
      <c r="EE57" s="155"/>
      <c r="EF57" s="155"/>
      <c r="EG57" s="155"/>
      <c r="EH57" s="155"/>
      <c r="EI57" s="155"/>
      <c r="EJ57" s="155"/>
      <c r="EK57" s="155"/>
      <c r="EL57" s="155"/>
      <c r="EM57" s="155"/>
      <c r="EN57" s="155"/>
      <c r="EO57" s="155"/>
      <c r="EP57" s="155"/>
      <c r="EQ57" s="155"/>
      <c r="ER57" s="155"/>
      <c r="ES57" s="155"/>
      <c r="ET57" s="155"/>
      <c r="EU57" s="155"/>
      <c r="EV57" s="155"/>
      <c r="EW57" s="155"/>
      <c r="EX57" s="155"/>
      <c r="EY57" s="155"/>
      <c r="EZ57" s="155"/>
      <c r="FA57" s="155"/>
      <c r="FB57" s="155"/>
      <c r="FC57" s="155"/>
      <c r="FD57" s="155"/>
      <c r="FE57" s="155"/>
      <c r="FF57" s="155"/>
      <c r="FG57" s="155"/>
      <c r="FH57" s="155"/>
      <c r="FI57" s="155"/>
      <c r="FJ57" s="155"/>
      <c r="FK57" s="155"/>
      <c r="FL57" s="155"/>
      <c r="FM57" s="155"/>
      <c r="FN57" s="155"/>
      <c r="FO57" s="155"/>
      <c r="FP57" s="155"/>
      <c r="FQ57" s="155"/>
      <c r="FR57" s="155"/>
      <c r="FS57" s="155"/>
      <c r="FT57" s="155"/>
      <c r="FU57" s="155"/>
      <c r="FV57" s="155"/>
      <c r="FW57" s="155"/>
      <c r="FX57" s="155"/>
      <c r="FY57" s="155"/>
      <c r="FZ57" s="155"/>
      <c r="GA57" s="155"/>
      <c r="GB57" s="155"/>
      <c r="GC57" s="155"/>
      <c r="GD57" s="155"/>
      <c r="GE57" s="155"/>
      <c r="GF57" s="155"/>
      <c r="GG57" s="155"/>
      <c r="GH57" s="155"/>
      <c r="GI57" s="155"/>
      <c r="GJ57" s="155"/>
      <c r="GK57" s="155"/>
      <c r="GL57" s="155"/>
      <c r="GM57" s="155"/>
      <c r="GN57" s="155"/>
      <c r="GO57" s="155"/>
      <c r="GP57" s="155"/>
      <c r="GQ57" s="155"/>
      <c r="GR57" s="155"/>
      <c r="GS57" s="155"/>
      <c r="GT57" s="155"/>
      <c r="GU57" s="155"/>
      <c r="GV57" s="155"/>
      <c r="GW57" s="155"/>
      <c r="GX57" s="155"/>
      <c r="GY57" s="155"/>
      <c r="GZ57" s="155"/>
      <c r="HA57" s="155"/>
      <c r="HB57" s="155"/>
      <c r="HC57" s="155"/>
      <c r="HD57" s="155"/>
      <c r="HE57" s="155"/>
      <c r="HF57" s="155"/>
      <c r="HG57" s="155"/>
      <c r="HH57" s="155"/>
      <c r="HI57" s="155"/>
      <c r="HJ57" s="155"/>
      <c r="HK57" s="155"/>
      <c r="HL57" s="155"/>
      <c r="HM57" s="155"/>
      <c r="HN57" s="155"/>
      <c r="HO57" s="155"/>
      <c r="HP57" s="155"/>
      <c r="HQ57" s="155"/>
      <c r="HR57" s="155"/>
      <c r="HS57" s="155"/>
      <c r="HT57" s="155"/>
      <c r="HU57" s="155"/>
      <c r="HX57" s="155"/>
      <c r="HY57" s="155"/>
      <c r="HZ57" s="155"/>
      <c r="IA57" s="155"/>
      <c r="IB57" s="155"/>
      <c r="IC57" s="155"/>
      <c r="ID57" s="155"/>
      <c r="IE57" s="155"/>
      <c r="IF57" s="155"/>
      <c r="IG57" s="155"/>
      <c r="IH57" s="155"/>
      <c r="II57" s="155"/>
      <c r="IJ57" s="155"/>
      <c r="IK57" s="155"/>
      <c r="IL57" s="155"/>
      <c r="IM57" s="155"/>
      <c r="IN57" s="155"/>
      <c r="IO57" s="155"/>
      <c r="IP57" s="155"/>
      <c r="IQ57" s="155"/>
      <c r="IR57" s="155"/>
      <c r="IS57" s="155"/>
      <c r="IT57" s="155"/>
      <c r="IU57" s="155"/>
      <c r="IV57" s="155"/>
      <c r="IW57" s="155"/>
      <c r="IX57" s="155"/>
      <c r="IY57" s="155"/>
      <c r="IZ57" s="155"/>
      <c r="JA57" s="155"/>
      <c r="JB57" s="155"/>
      <c r="JC57" s="155"/>
      <c r="JD57" s="155"/>
      <c r="JE57" s="155"/>
      <c r="JF57" s="155"/>
      <c r="JG57" s="155"/>
      <c r="JH57" s="155"/>
      <c r="JI57" s="155"/>
      <c r="JJ57" s="155"/>
      <c r="JK57" s="155"/>
      <c r="JL57" s="155"/>
      <c r="JM57" s="155"/>
      <c r="JN57" s="155"/>
      <c r="JO57" s="155"/>
      <c r="JP57" s="155"/>
      <c r="JQ57" s="155"/>
      <c r="JR57" s="155"/>
      <c r="JS57" s="155"/>
      <c r="JT57" s="155"/>
      <c r="JU57" s="155"/>
      <c r="JV57" s="155"/>
      <c r="JW57" s="155"/>
      <c r="JX57" s="155"/>
      <c r="JY57" s="155"/>
      <c r="JZ57" s="155"/>
      <c r="KA57" s="155"/>
      <c r="KB57" s="155"/>
      <c r="KC57" s="155"/>
      <c r="KD57" s="155"/>
      <c r="KE57" s="155"/>
      <c r="KF57" s="155"/>
      <c r="KG57" s="155"/>
      <c r="KH57" s="155"/>
      <c r="KI57" s="155"/>
      <c r="KJ57" s="155"/>
      <c r="KK57" s="155"/>
      <c r="KL57" s="155"/>
      <c r="KM57" s="155"/>
      <c r="KN57" s="155"/>
      <c r="KO57" s="155"/>
      <c r="KP57" s="155"/>
      <c r="KQ57" s="155"/>
      <c r="KR57" s="155"/>
      <c r="KS57" s="155"/>
      <c r="KT57" s="155"/>
      <c r="KU57" s="155"/>
      <c r="KV57" s="155"/>
      <c r="KW57" s="155"/>
      <c r="KX57" s="155"/>
      <c r="KY57" s="155"/>
      <c r="KZ57" s="155"/>
      <c r="LA57" s="155"/>
      <c r="LB57" s="155"/>
      <c r="LC57" s="155"/>
      <c r="LD57" s="155"/>
      <c r="LE57" s="155"/>
      <c r="LF57" s="155"/>
      <c r="LG57" s="155"/>
      <c r="LH57" s="155"/>
      <c r="LI57" s="155"/>
      <c r="LJ57" s="155"/>
      <c r="LK57" s="155"/>
      <c r="LL57" s="155"/>
      <c r="LM57" s="155"/>
      <c r="LN57" s="155"/>
      <c r="LO57" s="155"/>
      <c r="LP57" s="155"/>
      <c r="LQ57" s="155"/>
      <c r="LR57" s="155"/>
      <c r="LS57" s="155"/>
      <c r="LT57" s="155"/>
      <c r="LU57" s="155"/>
      <c r="LV57" s="155"/>
      <c r="LW57" s="155"/>
      <c r="LX57" s="155"/>
      <c r="LY57" s="155"/>
      <c r="LZ57" s="155"/>
      <c r="MA57" s="155"/>
      <c r="MB57" s="155"/>
      <c r="MC57" s="155"/>
      <c r="MD57" s="155"/>
      <c r="ME57" s="155"/>
      <c r="MF57" s="155"/>
      <c r="MG57" s="155"/>
      <c r="MH57" s="155"/>
      <c r="MI57" s="155"/>
      <c r="MJ57" s="155"/>
      <c r="MK57" s="155"/>
      <c r="ML57" s="155"/>
      <c r="MM57" s="155"/>
      <c r="MN57" s="155"/>
      <c r="MO57" s="155"/>
      <c r="MP57" s="155"/>
      <c r="MQ57" s="155"/>
      <c r="MR57" s="155"/>
      <c r="MS57" s="155"/>
      <c r="MT57" s="155"/>
      <c r="MU57" s="155"/>
      <c r="MV57" s="155"/>
      <c r="MW57" s="155"/>
      <c r="MX57" s="155"/>
      <c r="MY57" s="155"/>
      <c r="MZ57" s="155"/>
      <c r="NA57" s="155"/>
      <c r="NB57" s="155"/>
      <c r="NC57" s="155"/>
      <c r="ND57" s="155"/>
      <c r="NE57" s="155"/>
      <c r="NF57" s="155"/>
      <c r="NG57" s="155"/>
      <c r="NH57" s="155"/>
      <c r="NI57" s="155"/>
      <c r="NJ57" s="155"/>
      <c r="NK57" s="155"/>
      <c r="NL57" s="155"/>
      <c r="NM57" s="155"/>
      <c r="NN57" s="155"/>
      <c r="NO57" s="155"/>
      <c r="NP57" s="155"/>
      <c r="NQ57" s="155"/>
      <c r="NR57" s="155"/>
      <c r="NS57" s="155"/>
      <c r="NT57" s="155"/>
      <c r="NU57" s="155"/>
      <c r="NV57" s="155"/>
      <c r="NW57" s="155"/>
      <c r="NX57" s="155"/>
      <c r="NY57" s="155"/>
      <c r="NZ57" s="155"/>
      <c r="OA57" s="155"/>
      <c r="OB57" s="155"/>
      <c r="OC57" s="155"/>
      <c r="OD57" s="155"/>
      <c r="OE57" s="155"/>
      <c r="OF57" s="155"/>
      <c r="OG57" s="155"/>
      <c r="OH57" s="155"/>
      <c r="OI57" s="155"/>
      <c r="OJ57" s="155"/>
      <c r="OK57" s="155"/>
      <c r="OL57" s="155"/>
      <c r="OM57" s="155"/>
      <c r="ON57" s="155"/>
      <c r="OO57" s="155"/>
      <c r="OP57" s="155"/>
      <c r="OQ57" s="155"/>
      <c r="OR57" s="155"/>
      <c r="OS57" s="155"/>
      <c r="OT57" s="155"/>
      <c r="OU57" s="155"/>
      <c r="OV57" s="155"/>
      <c r="OW57" s="155"/>
      <c r="OX57" s="155"/>
      <c r="OY57" s="155"/>
      <c r="OZ57" s="155"/>
      <c r="PA57" s="155"/>
      <c r="PB57" s="155"/>
      <c r="PC57" s="155"/>
      <c r="PD57" s="155"/>
      <c r="PE57" s="155"/>
      <c r="PF57" s="155"/>
      <c r="PG57" s="155"/>
      <c r="PH57" s="155"/>
      <c r="PI57" s="155"/>
      <c r="PJ57" s="155"/>
      <c r="PK57" s="155"/>
      <c r="PL57" s="155"/>
      <c r="PM57" s="155"/>
      <c r="PN57" s="155"/>
      <c r="PO57" s="155"/>
      <c r="PP57" s="155"/>
      <c r="PQ57" s="155"/>
      <c r="PR57" s="155"/>
      <c r="PS57" s="155"/>
      <c r="PT57" s="155"/>
      <c r="PU57" s="155"/>
      <c r="PV57" s="155"/>
      <c r="PW57" s="155"/>
      <c r="PZ57" s="158"/>
      <c r="QA57" s="158"/>
      <c r="QB57" s="158"/>
      <c r="QC57" s="158"/>
      <c r="QD57" s="158"/>
      <c r="QE57" s="158"/>
      <c r="QF57" s="158"/>
      <c r="QG57" s="158"/>
      <c r="QH57" s="158"/>
      <c r="QI57" s="158"/>
      <c r="QJ57" s="158"/>
      <c r="QK57" s="158"/>
      <c r="QL57" s="158"/>
      <c r="QM57" s="158"/>
      <c r="QN57" s="158"/>
      <c r="QO57" s="158"/>
      <c r="QP57" s="158"/>
      <c r="QQ57" s="158"/>
      <c r="QR57" s="158"/>
      <c r="QS57" s="158"/>
      <c r="QT57" s="158"/>
      <c r="QU57" s="158"/>
      <c r="QV57" s="158"/>
      <c r="QW57" s="158"/>
      <c r="QX57" s="158"/>
      <c r="QY57" s="158"/>
      <c r="QZ57" s="158"/>
      <c r="RA57" s="158"/>
      <c r="RB57" s="158"/>
      <c r="RC57" s="158"/>
      <c r="RD57" s="158"/>
      <c r="RE57" s="158"/>
      <c r="RF57" s="158"/>
      <c r="RG57" s="158"/>
      <c r="RH57" s="158"/>
      <c r="RI57" s="158"/>
      <c r="RJ57" s="158"/>
      <c r="RK57" s="158"/>
      <c r="RL57" s="158"/>
      <c r="RM57" s="158"/>
      <c r="RN57" s="158"/>
      <c r="RO57" s="158"/>
      <c r="RP57" s="158"/>
      <c r="RQ57" s="158"/>
      <c r="RR57" s="158"/>
      <c r="RS57" s="158"/>
      <c r="RT57" s="158"/>
      <c r="RU57" s="158"/>
      <c r="RV57" s="158"/>
      <c r="RW57" s="158"/>
      <c r="RX57" s="158"/>
      <c r="RY57" s="158"/>
      <c r="RZ57" s="158"/>
      <c r="SA57" s="158"/>
      <c r="SB57" s="158"/>
      <c r="SC57" s="158"/>
      <c r="SD57" s="158"/>
      <c r="SE57" s="158"/>
      <c r="SF57" s="158"/>
      <c r="SG57" s="158"/>
      <c r="SH57" s="158"/>
      <c r="SI57" s="158"/>
      <c r="SJ57" s="158"/>
      <c r="SK57" s="158"/>
      <c r="SL57" s="158"/>
      <c r="SM57" s="158"/>
      <c r="SN57" s="158"/>
      <c r="SO57" s="158"/>
      <c r="SP57" s="158"/>
      <c r="SQ57" s="158"/>
      <c r="SR57" s="158"/>
      <c r="SS57" s="158"/>
      <c r="ST57" s="158"/>
      <c r="SU57" s="158"/>
      <c r="SV57" s="158"/>
      <c r="SW57" s="158"/>
      <c r="SX57" s="158"/>
      <c r="SY57" s="158"/>
      <c r="SZ57" s="158"/>
      <c r="TA57" s="158"/>
      <c r="TB57" s="158"/>
      <c r="TC57" s="158"/>
      <c r="TD57" s="158"/>
      <c r="TE57" s="158"/>
      <c r="TF57" s="158"/>
      <c r="TG57" s="158"/>
      <c r="TH57" s="158"/>
      <c r="TI57" s="158"/>
      <c r="TJ57" s="158"/>
      <c r="TK57" s="158"/>
      <c r="TL57" s="158"/>
      <c r="TM57" s="158"/>
      <c r="TN57" s="158"/>
      <c r="TO57" s="158"/>
      <c r="TP57" s="158"/>
      <c r="TQ57" s="158"/>
      <c r="TR57" s="158"/>
      <c r="TS57" s="158"/>
      <c r="TT57" s="158"/>
      <c r="TU57" s="158"/>
      <c r="TV57" s="158"/>
      <c r="TW57" s="158"/>
      <c r="TX57" s="158"/>
      <c r="TY57" s="158"/>
      <c r="TZ57" s="158"/>
      <c r="UA57" s="158"/>
      <c r="UB57" s="158"/>
      <c r="UC57" s="158"/>
      <c r="UD57" s="158"/>
      <c r="UE57" s="158"/>
      <c r="UF57" s="158"/>
      <c r="UG57" s="158"/>
      <c r="UH57" s="158"/>
      <c r="UI57" s="158"/>
      <c r="UJ57" s="158"/>
      <c r="UK57" s="158"/>
      <c r="UL57" s="158"/>
      <c r="UM57" s="158"/>
      <c r="UN57" s="158"/>
      <c r="UO57" s="158"/>
      <c r="UP57" s="158"/>
      <c r="UQ57" s="158"/>
      <c r="UR57" s="158"/>
      <c r="US57" s="158"/>
      <c r="UT57" s="158"/>
      <c r="UU57" s="158"/>
      <c r="UV57" s="158"/>
      <c r="UW57" s="158"/>
      <c r="UX57" s="158"/>
      <c r="UY57" s="158"/>
      <c r="UZ57" s="158"/>
      <c r="VA57" s="158"/>
      <c r="VB57" s="158"/>
      <c r="VC57" s="158"/>
      <c r="VD57" s="158"/>
      <c r="VE57" s="158"/>
      <c r="VF57" s="158"/>
      <c r="VG57" s="158"/>
      <c r="VH57" s="158"/>
      <c r="VI57" s="158"/>
      <c r="VJ57" s="158"/>
      <c r="VK57" s="158"/>
      <c r="VL57" s="158"/>
      <c r="VM57" s="158"/>
      <c r="VN57" s="158"/>
      <c r="VO57" s="158"/>
      <c r="VP57" s="158"/>
      <c r="VQ57" s="158"/>
      <c r="VR57" s="158"/>
      <c r="VS57" s="158"/>
      <c r="VT57" s="158"/>
      <c r="VU57" s="158"/>
      <c r="VV57" s="158"/>
      <c r="VW57" s="158"/>
      <c r="VX57" s="158"/>
      <c r="VY57" s="158"/>
      <c r="VZ57" s="158"/>
      <c r="WA57" s="158"/>
      <c r="WB57" s="158"/>
      <c r="WC57" s="158"/>
      <c r="WD57" s="158"/>
      <c r="WE57" s="158"/>
      <c r="WF57" s="158"/>
      <c r="WG57" s="158"/>
      <c r="WH57" s="158"/>
      <c r="WI57" s="158"/>
      <c r="WJ57" s="158"/>
      <c r="WK57" s="158"/>
      <c r="WL57" s="158"/>
      <c r="WM57" s="158"/>
      <c r="WN57" s="158"/>
      <c r="WO57" s="158"/>
      <c r="WP57" s="158"/>
      <c r="WQ57" s="158"/>
      <c r="WR57" s="158"/>
      <c r="WS57" s="158"/>
      <c r="WT57" s="158"/>
      <c r="WU57" s="158"/>
      <c r="WV57" s="158"/>
      <c r="WW57" s="158"/>
      <c r="WX57" s="158"/>
      <c r="WY57" s="158"/>
      <c r="WZ57" s="158"/>
      <c r="XA57" s="158"/>
      <c r="XB57" s="158"/>
      <c r="XC57" s="158"/>
      <c r="XD57" s="158"/>
      <c r="XE57" s="158"/>
      <c r="XF57" s="158"/>
      <c r="XG57" s="158"/>
      <c r="XH57" s="158"/>
      <c r="XI57" s="158"/>
      <c r="XJ57" s="158"/>
      <c r="XK57" s="158"/>
      <c r="XL57" s="158"/>
      <c r="XM57" s="158"/>
      <c r="XN57" s="158"/>
      <c r="XO57" s="158"/>
      <c r="XP57" s="158"/>
      <c r="XQ57" s="158"/>
      <c r="XR57" s="158"/>
      <c r="XS57" s="158"/>
      <c r="XT57" s="158"/>
      <c r="XU57" s="158"/>
      <c r="XV57" s="158"/>
      <c r="XW57" s="158"/>
      <c r="XX57" s="158"/>
      <c r="XY57" s="158"/>
    </row>
    <row r="58" spans="3:649" s="157" customFormat="1" ht="14.45" outlineLevel="1">
      <c r="C58" s="151" t="s">
        <v>26</v>
      </c>
      <c r="D58" s="152" t="s">
        <v>93</v>
      </c>
      <c r="E58" s="224"/>
      <c r="F58" s="154"/>
      <c r="G58" s="154"/>
      <c r="H58" s="154"/>
      <c r="I58" s="154"/>
      <c r="J58" s="154"/>
      <c r="K58" s="154"/>
      <c r="L58" s="154"/>
      <c r="M58" s="154">
        <f>300*G$70</f>
        <v>35.100472933359384</v>
      </c>
      <c r="N58" s="154">
        <f t="shared" ref="N58:P58" si="9">300*H$70</f>
        <v>14.912857142857149</v>
      </c>
      <c r="O58" s="154">
        <f t="shared" si="9"/>
        <v>11.07428571428572</v>
      </c>
      <c r="P58" s="154">
        <f t="shared" si="9"/>
        <v>33.064</v>
      </c>
      <c r="Q58" s="154">
        <f t="shared" ref="Q58" si="10">SUM(F58:P58)</f>
        <v>94.151615790502262</v>
      </c>
      <c r="R58" s="154">
        <f>300-Table4232[[#This Row],[Total]]</f>
        <v>205.84838420949774</v>
      </c>
      <c r="S58" s="176" t="s">
        <v>41</v>
      </c>
      <c r="T58" s="153"/>
      <c r="U58" s="178"/>
      <c r="V58" s="172" t="e">
        <f>IF(#REF!="","Other Major Projects","Data Centre")</f>
        <v>#REF!</v>
      </c>
      <c r="W58" s="173"/>
      <c r="X58" s="28">
        <f>Table4232[[#This Row],[Post 2033]]+Table4232[[#This Row],[Total]]</f>
        <v>300</v>
      </c>
      <c r="Y58" s="28" t="s">
        <v>50</v>
      </c>
      <c r="Z58" s="156"/>
      <c r="AA58" s="155"/>
      <c r="AB58" s="155"/>
      <c r="AC58" s="155"/>
      <c r="AD58" s="155"/>
      <c r="AE58" s="155"/>
      <c r="AF58" s="156"/>
      <c r="AG58" s="156"/>
      <c r="AH58" s="156"/>
      <c r="AI58" s="156"/>
      <c r="AJ58" s="156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  <c r="DT58" s="155"/>
      <c r="DU58" s="155"/>
      <c r="DV58" s="155"/>
      <c r="DW58" s="155"/>
      <c r="DX58" s="155"/>
      <c r="DY58" s="155"/>
      <c r="DZ58" s="155"/>
      <c r="EA58" s="155"/>
      <c r="EB58" s="155"/>
      <c r="EC58" s="155"/>
      <c r="ED58" s="155"/>
      <c r="EE58" s="155"/>
      <c r="EF58" s="155"/>
      <c r="EG58" s="155"/>
      <c r="EH58" s="155"/>
      <c r="EI58" s="155"/>
      <c r="EJ58" s="155"/>
      <c r="EK58" s="155"/>
      <c r="EL58" s="155"/>
      <c r="EM58" s="155"/>
      <c r="EN58" s="155"/>
      <c r="EO58" s="155"/>
      <c r="EP58" s="155"/>
      <c r="EQ58" s="155"/>
      <c r="ER58" s="155"/>
      <c r="ES58" s="155"/>
      <c r="ET58" s="155"/>
      <c r="EU58" s="155"/>
      <c r="EV58" s="155"/>
      <c r="EW58" s="155"/>
      <c r="EX58" s="155"/>
      <c r="EY58" s="155"/>
      <c r="EZ58" s="155"/>
      <c r="FA58" s="155"/>
      <c r="FB58" s="155"/>
      <c r="FC58" s="155"/>
      <c r="FD58" s="155"/>
      <c r="FE58" s="155"/>
      <c r="FF58" s="155"/>
      <c r="FG58" s="155"/>
      <c r="FH58" s="155"/>
      <c r="FI58" s="155"/>
      <c r="FJ58" s="155"/>
      <c r="FK58" s="155"/>
      <c r="FL58" s="155"/>
      <c r="FM58" s="155"/>
      <c r="FN58" s="155"/>
      <c r="FO58" s="155"/>
      <c r="FP58" s="155"/>
      <c r="FQ58" s="155"/>
      <c r="FR58" s="155"/>
      <c r="FS58" s="155"/>
      <c r="FT58" s="155"/>
      <c r="FU58" s="155"/>
      <c r="FV58" s="155"/>
      <c r="FW58" s="155"/>
      <c r="FX58" s="155"/>
      <c r="FY58" s="155"/>
      <c r="FZ58" s="155"/>
      <c r="GA58" s="155"/>
      <c r="GB58" s="155"/>
      <c r="GC58" s="155"/>
      <c r="GD58" s="155"/>
      <c r="GE58" s="155"/>
      <c r="GF58" s="155"/>
      <c r="GG58" s="155"/>
      <c r="GH58" s="155"/>
      <c r="GI58" s="155"/>
      <c r="GJ58" s="155"/>
      <c r="GK58" s="155"/>
      <c r="GL58" s="155"/>
      <c r="GM58" s="155"/>
      <c r="GN58" s="155"/>
      <c r="GO58" s="155"/>
      <c r="GP58" s="155"/>
      <c r="GQ58" s="155"/>
      <c r="GR58" s="155"/>
      <c r="GS58" s="155"/>
      <c r="GT58" s="155"/>
      <c r="GU58" s="155"/>
      <c r="GV58" s="155"/>
      <c r="GW58" s="155"/>
      <c r="GX58" s="155"/>
      <c r="GY58" s="155"/>
      <c r="GZ58" s="155"/>
      <c r="HA58" s="155"/>
      <c r="HB58" s="155"/>
      <c r="HC58" s="155"/>
      <c r="HD58" s="155"/>
      <c r="HE58" s="155"/>
      <c r="HF58" s="155"/>
      <c r="HG58" s="155"/>
      <c r="HH58" s="155"/>
      <c r="HI58" s="155"/>
      <c r="HJ58" s="155"/>
      <c r="HK58" s="155"/>
      <c r="HL58" s="155"/>
      <c r="HM58" s="155"/>
      <c r="HN58" s="155"/>
      <c r="HO58" s="155"/>
      <c r="HP58" s="155"/>
      <c r="HQ58" s="155"/>
      <c r="HR58" s="155"/>
      <c r="HS58" s="155"/>
      <c r="HT58" s="155"/>
      <c r="HU58" s="155"/>
      <c r="HX58" s="155"/>
      <c r="HY58" s="155"/>
      <c r="HZ58" s="155"/>
      <c r="IA58" s="155"/>
      <c r="IB58" s="155"/>
      <c r="IC58" s="155"/>
      <c r="ID58" s="155"/>
      <c r="IE58" s="155"/>
      <c r="IF58" s="155"/>
      <c r="IG58" s="155"/>
      <c r="IH58" s="155"/>
      <c r="II58" s="155"/>
      <c r="IJ58" s="155"/>
      <c r="IK58" s="155"/>
      <c r="IL58" s="155"/>
      <c r="IM58" s="155"/>
      <c r="IN58" s="155"/>
      <c r="IO58" s="155"/>
      <c r="IP58" s="155"/>
      <c r="IQ58" s="155"/>
      <c r="IR58" s="155"/>
      <c r="IS58" s="155"/>
      <c r="IT58" s="155"/>
      <c r="IU58" s="155"/>
      <c r="IV58" s="155"/>
      <c r="IW58" s="155"/>
      <c r="IX58" s="155"/>
      <c r="IY58" s="155"/>
      <c r="IZ58" s="155"/>
      <c r="JA58" s="155"/>
      <c r="JB58" s="155"/>
      <c r="JC58" s="155"/>
      <c r="JD58" s="155"/>
      <c r="JE58" s="155"/>
      <c r="JF58" s="155"/>
      <c r="JG58" s="155"/>
      <c r="JH58" s="155"/>
      <c r="JI58" s="155"/>
      <c r="JJ58" s="155"/>
      <c r="JK58" s="155"/>
      <c r="JL58" s="155"/>
      <c r="JM58" s="155"/>
      <c r="JN58" s="155"/>
      <c r="JO58" s="155"/>
      <c r="JP58" s="155"/>
      <c r="JQ58" s="155"/>
      <c r="JR58" s="155"/>
      <c r="JS58" s="155"/>
      <c r="JT58" s="155"/>
      <c r="JU58" s="155"/>
      <c r="JV58" s="155"/>
      <c r="JW58" s="155"/>
      <c r="JX58" s="155"/>
      <c r="JY58" s="155"/>
      <c r="JZ58" s="155"/>
      <c r="KA58" s="155"/>
      <c r="KB58" s="155"/>
      <c r="KC58" s="155"/>
      <c r="KD58" s="155"/>
      <c r="KE58" s="155"/>
      <c r="KF58" s="155"/>
      <c r="KG58" s="155"/>
      <c r="KH58" s="155"/>
      <c r="KI58" s="155"/>
      <c r="KJ58" s="155"/>
      <c r="KK58" s="155"/>
      <c r="KL58" s="155"/>
      <c r="KM58" s="155"/>
      <c r="KN58" s="155"/>
      <c r="KO58" s="155"/>
      <c r="KP58" s="155"/>
      <c r="KQ58" s="155"/>
      <c r="KR58" s="155"/>
      <c r="KS58" s="155"/>
      <c r="KT58" s="155"/>
      <c r="KU58" s="155"/>
      <c r="KV58" s="155"/>
      <c r="KW58" s="155"/>
      <c r="KX58" s="155"/>
      <c r="KY58" s="155"/>
      <c r="KZ58" s="155"/>
      <c r="LA58" s="155"/>
      <c r="LB58" s="155"/>
      <c r="LC58" s="155"/>
      <c r="LD58" s="155"/>
      <c r="LE58" s="155"/>
      <c r="LF58" s="155"/>
      <c r="LG58" s="155"/>
      <c r="LH58" s="155"/>
      <c r="LI58" s="155"/>
      <c r="LJ58" s="155"/>
      <c r="LK58" s="155"/>
      <c r="LL58" s="155"/>
      <c r="LM58" s="155"/>
      <c r="LN58" s="155"/>
      <c r="LO58" s="155"/>
      <c r="LP58" s="155"/>
      <c r="LQ58" s="155"/>
      <c r="LR58" s="155"/>
      <c r="LS58" s="155"/>
      <c r="LT58" s="155"/>
      <c r="LU58" s="155"/>
      <c r="LV58" s="155"/>
      <c r="LW58" s="155"/>
      <c r="LX58" s="155"/>
      <c r="LY58" s="155"/>
      <c r="LZ58" s="155"/>
      <c r="MA58" s="155"/>
      <c r="MB58" s="155"/>
      <c r="MC58" s="155"/>
      <c r="MD58" s="155"/>
      <c r="ME58" s="155"/>
      <c r="MF58" s="155"/>
      <c r="MG58" s="155"/>
      <c r="MH58" s="155"/>
      <c r="MI58" s="155"/>
      <c r="MJ58" s="155"/>
      <c r="MK58" s="155"/>
      <c r="ML58" s="155"/>
      <c r="MM58" s="155"/>
      <c r="MN58" s="155"/>
      <c r="MO58" s="155"/>
      <c r="MP58" s="155"/>
      <c r="MQ58" s="155"/>
      <c r="MR58" s="155"/>
      <c r="MS58" s="155"/>
      <c r="MT58" s="155"/>
      <c r="MU58" s="155"/>
      <c r="MV58" s="155"/>
      <c r="MW58" s="155"/>
      <c r="MX58" s="155"/>
      <c r="MY58" s="155"/>
      <c r="MZ58" s="155"/>
      <c r="NA58" s="155"/>
      <c r="NB58" s="155"/>
      <c r="NC58" s="155"/>
      <c r="ND58" s="155"/>
      <c r="NE58" s="155"/>
      <c r="NF58" s="155"/>
      <c r="NG58" s="155"/>
      <c r="NH58" s="155"/>
      <c r="NI58" s="155"/>
      <c r="NJ58" s="155"/>
      <c r="NK58" s="155"/>
      <c r="NL58" s="155"/>
      <c r="NM58" s="155"/>
      <c r="NN58" s="155"/>
      <c r="NO58" s="155"/>
      <c r="NP58" s="155"/>
      <c r="NQ58" s="155"/>
      <c r="NR58" s="155"/>
      <c r="NS58" s="155"/>
      <c r="NT58" s="155"/>
      <c r="NU58" s="155"/>
      <c r="NV58" s="155"/>
      <c r="NW58" s="155"/>
      <c r="NX58" s="155"/>
      <c r="NY58" s="155"/>
      <c r="NZ58" s="155"/>
      <c r="OA58" s="155"/>
      <c r="OB58" s="155"/>
      <c r="OC58" s="155"/>
      <c r="OD58" s="155"/>
      <c r="OE58" s="155"/>
      <c r="OF58" s="155"/>
      <c r="OG58" s="155"/>
      <c r="OH58" s="155"/>
      <c r="OI58" s="155"/>
      <c r="OJ58" s="155"/>
      <c r="OK58" s="155"/>
      <c r="OL58" s="155"/>
      <c r="OM58" s="155"/>
      <c r="ON58" s="155"/>
      <c r="OO58" s="155"/>
      <c r="OP58" s="155"/>
      <c r="OQ58" s="155"/>
      <c r="OR58" s="155"/>
      <c r="OS58" s="155"/>
      <c r="OT58" s="155"/>
      <c r="OU58" s="155"/>
      <c r="OV58" s="155"/>
      <c r="OW58" s="155"/>
      <c r="OX58" s="155"/>
      <c r="OY58" s="155"/>
      <c r="OZ58" s="155"/>
      <c r="PA58" s="155"/>
      <c r="PB58" s="155"/>
      <c r="PC58" s="155"/>
      <c r="PD58" s="155"/>
      <c r="PE58" s="155"/>
      <c r="PF58" s="155"/>
      <c r="PG58" s="155"/>
      <c r="PH58" s="155"/>
      <c r="PI58" s="155"/>
      <c r="PJ58" s="155"/>
      <c r="PK58" s="155"/>
      <c r="PL58" s="155"/>
      <c r="PM58" s="155"/>
      <c r="PN58" s="155"/>
      <c r="PO58" s="155"/>
      <c r="PP58" s="155"/>
      <c r="PQ58" s="155"/>
      <c r="PR58" s="155"/>
      <c r="PS58" s="155"/>
      <c r="PT58" s="155"/>
      <c r="PU58" s="155"/>
      <c r="PV58" s="155"/>
      <c r="PW58" s="155"/>
      <c r="PZ58" s="158"/>
      <c r="QA58" s="158"/>
      <c r="QB58" s="158"/>
      <c r="QC58" s="158"/>
      <c r="QD58" s="158"/>
      <c r="QE58" s="158"/>
      <c r="QF58" s="158"/>
      <c r="QG58" s="158"/>
      <c r="QH58" s="158"/>
      <c r="QI58" s="158"/>
      <c r="QJ58" s="158"/>
      <c r="QK58" s="158"/>
      <c r="QL58" s="158"/>
      <c r="QM58" s="158"/>
      <c r="QN58" s="158"/>
      <c r="QO58" s="158"/>
      <c r="QP58" s="158"/>
      <c r="QQ58" s="158"/>
      <c r="QR58" s="158"/>
      <c r="QS58" s="158"/>
      <c r="QT58" s="158"/>
      <c r="QU58" s="158"/>
      <c r="QV58" s="158"/>
      <c r="QW58" s="158"/>
      <c r="QX58" s="158"/>
      <c r="QY58" s="158"/>
      <c r="QZ58" s="158"/>
      <c r="RA58" s="158"/>
      <c r="RB58" s="158"/>
      <c r="RC58" s="158"/>
      <c r="RD58" s="158"/>
      <c r="RE58" s="158"/>
      <c r="RF58" s="158"/>
      <c r="RG58" s="158"/>
      <c r="RH58" s="158"/>
      <c r="RI58" s="158"/>
      <c r="RJ58" s="158"/>
      <c r="RK58" s="158"/>
      <c r="RL58" s="158"/>
      <c r="RM58" s="158"/>
      <c r="RN58" s="158"/>
      <c r="RO58" s="158"/>
      <c r="RP58" s="158"/>
      <c r="RQ58" s="158"/>
      <c r="RR58" s="158"/>
      <c r="RS58" s="158"/>
      <c r="RT58" s="158"/>
      <c r="RU58" s="158"/>
      <c r="RV58" s="158"/>
      <c r="RW58" s="158"/>
      <c r="RX58" s="158"/>
      <c r="RY58" s="158"/>
      <c r="RZ58" s="158"/>
      <c r="SA58" s="158"/>
      <c r="SB58" s="158"/>
      <c r="SC58" s="158"/>
      <c r="SD58" s="158"/>
      <c r="SE58" s="158"/>
      <c r="SF58" s="158"/>
      <c r="SG58" s="158"/>
      <c r="SH58" s="158"/>
      <c r="SI58" s="158"/>
      <c r="SJ58" s="158"/>
      <c r="SK58" s="158"/>
      <c r="SL58" s="158"/>
      <c r="SM58" s="158"/>
      <c r="SN58" s="158"/>
      <c r="SO58" s="158"/>
      <c r="SP58" s="158"/>
      <c r="SQ58" s="158"/>
      <c r="SR58" s="158"/>
      <c r="SS58" s="158"/>
      <c r="ST58" s="158"/>
      <c r="SU58" s="158"/>
      <c r="SV58" s="158"/>
      <c r="SW58" s="158"/>
      <c r="SX58" s="158"/>
      <c r="SY58" s="158"/>
      <c r="SZ58" s="158"/>
      <c r="TA58" s="158"/>
      <c r="TB58" s="158"/>
      <c r="TC58" s="158"/>
      <c r="TD58" s="158"/>
      <c r="TE58" s="158"/>
      <c r="TF58" s="158"/>
      <c r="TG58" s="158"/>
      <c r="TH58" s="158"/>
      <c r="TI58" s="158"/>
      <c r="TJ58" s="158"/>
      <c r="TK58" s="158"/>
      <c r="TL58" s="158"/>
      <c r="TM58" s="158"/>
      <c r="TN58" s="158"/>
      <c r="TO58" s="158"/>
      <c r="TP58" s="158"/>
      <c r="TQ58" s="158"/>
      <c r="TR58" s="158"/>
      <c r="TS58" s="158"/>
      <c r="TT58" s="158"/>
      <c r="TU58" s="158"/>
      <c r="TV58" s="158"/>
      <c r="TW58" s="158"/>
      <c r="TX58" s="158"/>
      <c r="TY58" s="158"/>
      <c r="TZ58" s="158"/>
      <c r="UA58" s="158"/>
      <c r="UB58" s="158"/>
      <c r="UC58" s="158"/>
      <c r="UD58" s="158"/>
      <c r="UE58" s="158"/>
      <c r="UF58" s="158"/>
      <c r="UG58" s="158"/>
      <c r="UH58" s="158"/>
      <c r="UI58" s="158"/>
      <c r="UJ58" s="158"/>
      <c r="UK58" s="158"/>
      <c r="UL58" s="158"/>
      <c r="UM58" s="158"/>
      <c r="UN58" s="158"/>
      <c r="UO58" s="158"/>
      <c r="UP58" s="158"/>
      <c r="UQ58" s="158"/>
      <c r="UR58" s="158"/>
      <c r="US58" s="158"/>
      <c r="UT58" s="158"/>
      <c r="UU58" s="158"/>
      <c r="UV58" s="158"/>
      <c r="UW58" s="158"/>
      <c r="UX58" s="158"/>
      <c r="UY58" s="158"/>
      <c r="UZ58" s="158"/>
      <c r="VA58" s="158"/>
      <c r="VB58" s="158"/>
      <c r="VC58" s="158"/>
      <c r="VD58" s="158"/>
      <c r="VE58" s="158"/>
      <c r="VF58" s="158"/>
      <c r="VG58" s="158"/>
      <c r="VH58" s="158"/>
      <c r="VI58" s="158"/>
      <c r="VJ58" s="158"/>
      <c r="VK58" s="158"/>
      <c r="VL58" s="158"/>
      <c r="VM58" s="158"/>
      <c r="VN58" s="158"/>
      <c r="VO58" s="158"/>
      <c r="VP58" s="158"/>
      <c r="VQ58" s="158"/>
      <c r="VR58" s="158"/>
      <c r="VS58" s="158"/>
      <c r="VT58" s="158"/>
      <c r="VU58" s="158"/>
      <c r="VV58" s="158"/>
      <c r="VW58" s="158"/>
      <c r="VX58" s="158"/>
      <c r="VY58" s="158"/>
      <c r="VZ58" s="158"/>
      <c r="WA58" s="158"/>
      <c r="WB58" s="158"/>
      <c r="WC58" s="158"/>
      <c r="WD58" s="158"/>
      <c r="WE58" s="158"/>
      <c r="WF58" s="158"/>
      <c r="WG58" s="158"/>
      <c r="WH58" s="158"/>
      <c r="WI58" s="158"/>
      <c r="WJ58" s="158"/>
      <c r="WK58" s="158"/>
      <c r="WL58" s="158"/>
      <c r="WM58" s="158"/>
      <c r="WN58" s="158"/>
      <c r="WO58" s="158"/>
      <c r="WP58" s="158"/>
      <c r="WQ58" s="158"/>
      <c r="WR58" s="158"/>
      <c r="WS58" s="158"/>
      <c r="WT58" s="158"/>
      <c r="WU58" s="158"/>
      <c r="WV58" s="158"/>
      <c r="WW58" s="158"/>
      <c r="WX58" s="158"/>
      <c r="WY58" s="158"/>
      <c r="WZ58" s="158"/>
      <c r="XA58" s="158"/>
      <c r="XB58" s="158"/>
      <c r="XC58" s="158"/>
      <c r="XD58" s="158"/>
      <c r="XE58" s="158"/>
      <c r="XF58" s="158"/>
      <c r="XG58" s="158"/>
      <c r="XH58" s="158"/>
      <c r="XI58" s="158"/>
      <c r="XJ58" s="158"/>
      <c r="XK58" s="158"/>
      <c r="XL58" s="158"/>
      <c r="XM58" s="158"/>
      <c r="XN58" s="158"/>
      <c r="XO58" s="158"/>
      <c r="XP58" s="158"/>
      <c r="XQ58" s="158"/>
      <c r="XR58" s="158"/>
      <c r="XS58" s="158"/>
      <c r="XT58" s="158"/>
      <c r="XU58" s="158"/>
      <c r="XV58" s="158"/>
      <c r="XW58" s="158"/>
      <c r="XX58" s="158"/>
      <c r="XY58" s="158"/>
    </row>
    <row r="59" spans="3:649" s="157" customFormat="1" ht="14.45" outlineLevel="1">
      <c r="C59" s="151" t="s">
        <v>26</v>
      </c>
      <c r="D59" s="152" t="s">
        <v>94</v>
      </c>
      <c r="E59" s="224"/>
      <c r="F59" s="154"/>
      <c r="G59" s="154"/>
      <c r="H59" s="154"/>
      <c r="I59" s="154"/>
      <c r="J59" s="154"/>
      <c r="K59" s="154"/>
      <c r="L59" s="154"/>
      <c r="M59" s="154"/>
      <c r="N59" s="154"/>
      <c r="O59" s="154">
        <f>150*G$70</f>
        <v>17.550236466679692</v>
      </c>
      <c r="P59" s="154">
        <f>150*H$70</f>
        <v>7.4564285714285745</v>
      </c>
      <c r="Q59" s="154">
        <f>SUM(F59:P59)</f>
        <v>25.006665038108267</v>
      </c>
      <c r="R59" s="154">
        <f>150-Table4232[[#This Row],[Total]]</f>
        <v>124.99333496189173</v>
      </c>
      <c r="S59" s="176" t="s">
        <v>41</v>
      </c>
      <c r="T59" s="153"/>
      <c r="U59" s="178"/>
      <c r="V59" s="172" t="e">
        <f>IF(#REF!="","Other Major Projects","Data Centre")</f>
        <v>#REF!</v>
      </c>
      <c r="W59" s="173"/>
      <c r="X59" s="28">
        <f>Table4232[[#This Row],[Post 2033]]+Table4232[[#This Row],[Total]]</f>
        <v>150</v>
      </c>
      <c r="Y59" s="28" t="s">
        <v>50</v>
      </c>
      <c r="Z59" s="156"/>
      <c r="AA59" s="155"/>
      <c r="AB59" s="155"/>
      <c r="AC59" s="155"/>
      <c r="AD59" s="155"/>
      <c r="AE59" s="155"/>
      <c r="AF59" s="156"/>
      <c r="AG59" s="156"/>
      <c r="AH59" s="156"/>
      <c r="AI59" s="156"/>
      <c r="AJ59" s="156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  <c r="DT59" s="155"/>
      <c r="DU59" s="155"/>
      <c r="DV59" s="155"/>
      <c r="DW59" s="155"/>
      <c r="DX59" s="155"/>
      <c r="DY59" s="155"/>
      <c r="DZ59" s="155"/>
      <c r="EA59" s="155"/>
      <c r="EB59" s="155"/>
      <c r="EC59" s="155"/>
      <c r="ED59" s="155"/>
      <c r="EE59" s="155"/>
      <c r="EF59" s="155"/>
      <c r="EG59" s="155"/>
      <c r="EH59" s="155"/>
      <c r="EI59" s="155"/>
      <c r="EJ59" s="155"/>
      <c r="EK59" s="155"/>
      <c r="EL59" s="155"/>
      <c r="EM59" s="155"/>
      <c r="EN59" s="155"/>
      <c r="EO59" s="155"/>
      <c r="EP59" s="155"/>
      <c r="EQ59" s="155"/>
      <c r="ER59" s="155"/>
      <c r="ES59" s="155"/>
      <c r="ET59" s="155"/>
      <c r="EU59" s="155"/>
      <c r="EV59" s="155"/>
      <c r="EW59" s="155"/>
      <c r="EX59" s="155"/>
      <c r="EY59" s="155"/>
      <c r="EZ59" s="155"/>
      <c r="FA59" s="155"/>
      <c r="FB59" s="155"/>
      <c r="FC59" s="155"/>
      <c r="FD59" s="155"/>
      <c r="FE59" s="155"/>
      <c r="FF59" s="155"/>
      <c r="FG59" s="155"/>
      <c r="FH59" s="155"/>
      <c r="FI59" s="155"/>
      <c r="FJ59" s="155"/>
      <c r="FK59" s="155"/>
      <c r="FL59" s="155"/>
      <c r="FM59" s="155"/>
      <c r="FN59" s="155"/>
      <c r="FO59" s="155"/>
      <c r="FP59" s="155"/>
      <c r="FQ59" s="155"/>
      <c r="FR59" s="155"/>
      <c r="FS59" s="155"/>
      <c r="FT59" s="155"/>
      <c r="FU59" s="155"/>
      <c r="FV59" s="155"/>
      <c r="FW59" s="155"/>
      <c r="FX59" s="155"/>
      <c r="FY59" s="155"/>
      <c r="FZ59" s="155"/>
      <c r="GA59" s="155"/>
      <c r="GB59" s="155"/>
      <c r="GC59" s="155"/>
      <c r="GD59" s="155"/>
      <c r="GE59" s="155"/>
      <c r="GF59" s="155"/>
      <c r="GG59" s="155"/>
      <c r="GH59" s="155"/>
      <c r="GI59" s="155"/>
      <c r="GJ59" s="155"/>
      <c r="GK59" s="155"/>
      <c r="GL59" s="155"/>
      <c r="GM59" s="155"/>
      <c r="GN59" s="155"/>
      <c r="GO59" s="155"/>
      <c r="GP59" s="155"/>
      <c r="GQ59" s="155"/>
      <c r="GR59" s="155"/>
      <c r="GS59" s="155"/>
      <c r="GT59" s="155"/>
      <c r="GU59" s="155"/>
      <c r="GV59" s="155"/>
      <c r="GW59" s="155"/>
      <c r="GX59" s="155"/>
      <c r="GY59" s="155"/>
      <c r="GZ59" s="155"/>
      <c r="HA59" s="155"/>
      <c r="HB59" s="155"/>
      <c r="HC59" s="155"/>
      <c r="HD59" s="155"/>
      <c r="HE59" s="155"/>
      <c r="HF59" s="155"/>
      <c r="HG59" s="155"/>
      <c r="HH59" s="155"/>
      <c r="HI59" s="155"/>
      <c r="HJ59" s="155"/>
      <c r="HK59" s="155"/>
      <c r="HL59" s="155"/>
      <c r="HM59" s="155"/>
      <c r="HN59" s="155"/>
      <c r="HO59" s="155"/>
      <c r="HP59" s="155"/>
      <c r="HQ59" s="155"/>
      <c r="HR59" s="155"/>
      <c r="HS59" s="155"/>
      <c r="HT59" s="155"/>
      <c r="HU59" s="155"/>
      <c r="HX59" s="155"/>
      <c r="HY59" s="155"/>
      <c r="HZ59" s="155"/>
      <c r="IA59" s="155"/>
      <c r="IB59" s="155"/>
      <c r="IC59" s="155"/>
      <c r="ID59" s="155"/>
      <c r="IE59" s="155"/>
      <c r="IF59" s="155"/>
      <c r="IG59" s="155"/>
      <c r="IH59" s="155"/>
      <c r="II59" s="155"/>
      <c r="IJ59" s="155"/>
      <c r="IK59" s="155"/>
      <c r="IL59" s="155"/>
      <c r="IM59" s="155"/>
      <c r="IN59" s="155"/>
      <c r="IO59" s="155"/>
      <c r="IP59" s="155"/>
      <c r="IQ59" s="155"/>
      <c r="IR59" s="155"/>
      <c r="IS59" s="155"/>
      <c r="IT59" s="155"/>
      <c r="IU59" s="155"/>
      <c r="IV59" s="155"/>
      <c r="IW59" s="155"/>
      <c r="IX59" s="155"/>
      <c r="IY59" s="155"/>
      <c r="IZ59" s="155"/>
      <c r="JA59" s="155"/>
      <c r="JB59" s="155"/>
      <c r="JC59" s="155"/>
      <c r="JD59" s="155"/>
      <c r="JE59" s="155"/>
      <c r="JF59" s="155"/>
      <c r="JG59" s="155"/>
      <c r="JH59" s="155"/>
      <c r="JI59" s="155"/>
      <c r="JJ59" s="155"/>
      <c r="JK59" s="155"/>
      <c r="JL59" s="155"/>
      <c r="JM59" s="155"/>
      <c r="JN59" s="155"/>
      <c r="JO59" s="155"/>
      <c r="JP59" s="155"/>
      <c r="JQ59" s="155"/>
      <c r="JR59" s="155"/>
      <c r="JS59" s="155"/>
      <c r="JT59" s="155"/>
      <c r="JU59" s="155"/>
      <c r="JV59" s="155"/>
      <c r="JW59" s="155"/>
      <c r="JX59" s="155"/>
      <c r="JY59" s="155"/>
      <c r="JZ59" s="155"/>
      <c r="KA59" s="155"/>
      <c r="KB59" s="155"/>
      <c r="KC59" s="155"/>
      <c r="KD59" s="155"/>
      <c r="KE59" s="155"/>
      <c r="KF59" s="155"/>
      <c r="KG59" s="155"/>
      <c r="KH59" s="155"/>
      <c r="KI59" s="155"/>
      <c r="KJ59" s="155"/>
      <c r="KK59" s="155"/>
      <c r="KL59" s="155"/>
      <c r="KM59" s="155"/>
      <c r="KN59" s="155"/>
      <c r="KO59" s="155"/>
      <c r="KP59" s="155"/>
      <c r="KQ59" s="155"/>
      <c r="KR59" s="155"/>
      <c r="KS59" s="155"/>
      <c r="KT59" s="155"/>
      <c r="KU59" s="155"/>
      <c r="KV59" s="155"/>
      <c r="KW59" s="155"/>
      <c r="KX59" s="155"/>
      <c r="KY59" s="155"/>
      <c r="KZ59" s="155"/>
      <c r="LA59" s="155"/>
      <c r="LB59" s="155"/>
      <c r="LC59" s="155"/>
      <c r="LD59" s="155"/>
      <c r="LE59" s="155"/>
      <c r="LF59" s="155"/>
      <c r="LG59" s="155"/>
      <c r="LH59" s="155"/>
      <c r="LI59" s="155"/>
      <c r="LJ59" s="155"/>
      <c r="LK59" s="155"/>
      <c r="LL59" s="155"/>
      <c r="LM59" s="155"/>
      <c r="LN59" s="155"/>
      <c r="LO59" s="155"/>
      <c r="LP59" s="155"/>
      <c r="LQ59" s="155"/>
      <c r="LR59" s="155"/>
      <c r="LS59" s="155"/>
      <c r="LT59" s="155"/>
      <c r="LU59" s="155"/>
      <c r="LV59" s="155"/>
      <c r="LW59" s="155"/>
      <c r="LX59" s="155"/>
      <c r="LY59" s="155"/>
      <c r="LZ59" s="155"/>
      <c r="MA59" s="155"/>
      <c r="MB59" s="155"/>
      <c r="MC59" s="155"/>
      <c r="MD59" s="155"/>
      <c r="ME59" s="155"/>
      <c r="MF59" s="155"/>
      <c r="MG59" s="155"/>
      <c r="MH59" s="155"/>
      <c r="MI59" s="155"/>
      <c r="MJ59" s="155"/>
      <c r="MK59" s="155"/>
      <c r="ML59" s="155"/>
      <c r="MM59" s="155"/>
      <c r="MN59" s="155"/>
      <c r="MO59" s="155"/>
      <c r="MP59" s="155"/>
      <c r="MQ59" s="155"/>
      <c r="MR59" s="155"/>
      <c r="MS59" s="155"/>
      <c r="MT59" s="155"/>
      <c r="MU59" s="155"/>
      <c r="MV59" s="155"/>
      <c r="MW59" s="155"/>
      <c r="MX59" s="155"/>
      <c r="MY59" s="155"/>
      <c r="MZ59" s="155"/>
      <c r="NA59" s="155"/>
      <c r="NB59" s="155"/>
      <c r="NC59" s="155"/>
      <c r="ND59" s="155"/>
      <c r="NE59" s="155"/>
      <c r="NF59" s="155"/>
      <c r="NG59" s="155"/>
      <c r="NH59" s="155"/>
      <c r="NI59" s="155"/>
      <c r="NJ59" s="155"/>
      <c r="NK59" s="155"/>
      <c r="NL59" s="155"/>
      <c r="NM59" s="155"/>
      <c r="NN59" s="155"/>
      <c r="NO59" s="155"/>
      <c r="NP59" s="155"/>
      <c r="NQ59" s="155"/>
      <c r="NR59" s="155"/>
      <c r="NS59" s="155"/>
      <c r="NT59" s="155"/>
      <c r="NU59" s="155"/>
      <c r="NV59" s="155"/>
      <c r="NW59" s="155"/>
      <c r="NX59" s="155"/>
      <c r="NY59" s="155"/>
      <c r="NZ59" s="155"/>
      <c r="OA59" s="155"/>
      <c r="OB59" s="155"/>
      <c r="OC59" s="155"/>
      <c r="OD59" s="155"/>
      <c r="OE59" s="155"/>
      <c r="OF59" s="155"/>
      <c r="OG59" s="155"/>
      <c r="OH59" s="155"/>
      <c r="OI59" s="155"/>
      <c r="OJ59" s="155"/>
      <c r="OK59" s="155"/>
      <c r="OL59" s="155"/>
      <c r="OM59" s="155"/>
      <c r="ON59" s="155"/>
      <c r="OO59" s="155"/>
      <c r="OP59" s="155"/>
      <c r="OQ59" s="155"/>
      <c r="OR59" s="155"/>
      <c r="OS59" s="155"/>
      <c r="OT59" s="155"/>
      <c r="OU59" s="155"/>
      <c r="OV59" s="155"/>
      <c r="OW59" s="155"/>
      <c r="OX59" s="155"/>
      <c r="OY59" s="155"/>
      <c r="OZ59" s="155"/>
      <c r="PA59" s="155"/>
      <c r="PB59" s="155"/>
      <c r="PC59" s="155"/>
      <c r="PD59" s="155"/>
      <c r="PE59" s="155"/>
      <c r="PF59" s="155"/>
      <c r="PG59" s="155"/>
      <c r="PH59" s="155"/>
      <c r="PI59" s="155"/>
      <c r="PJ59" s="155"/>
      <c r="PK59" s="155"/>
      <c r="PL59" s="155"/>
      <c r="PM59" s="155"/>
      <c r="PN59" s="155"/>
      <c r="PO59" s="155"/>
      <c r="PP59" s="155"/>
      <c r="PQ59" s="155"/>
      <c r="PR59" s="155"/>
      <c r="PS59" s="155"/>
      <c r="PT59" s="155"/>
      <c r="PU59" s="155"/>
      <c r="PV59" s="155"/>
      <c r="PW59" s="155"/>
      <c r="PZ59" s="158"/>
      <c r="QA59" s="158"/>
      <c r="QB59" s="158"/>
      <c r="QC59" s="158"/>
      <c r="QD59" s="158"/>
      <c r="QE59" s="158"/>
      <c r="QF59" s="158"/>
      <c r="QG59" s="158"/>
      <c r="QH59" s="158"/>
      <c r="QI59" s="158"/>
      <c r="QJ59" s="158"/>
      <c r="QK59" s="158"/>
      <c r="QL59" s="158"/>
      <c r="QM59" s="158"/>
      <c r="QN59" s="158"/>
      <c r="QO59" s="158"/>
      <c r="QP59" s="158"/>
      <c r="QQ59" s="158"/>
      <c r="QR59" s="158"/>
      <c r="QS59" s="158"/>
      <c r="QT59" s="158"/>
      <c r="QU59" s="158"/>
      <c r="QV59" s="158"/>
      <c r="QW59" s="158"/>
      <c r="QX59" s="158"/>
      <c r="QY59" s="158"/>
      <c r="QZ59" s="158"/>
      <c r="RA59" s="158"/>
      <c r="RB59" s="158"/>
      <c r="RC59" s="158"/>
      <c r="RD59" s="158"/>
      <c r="RE59" s="158"/>
      <c r="RF59" s="158"/>
      <c r="RG59" s="158"/>
      <c r="RH59" s="158"/>
      <c r="RI59" s="158"/>
      <c r="RJ59" s="158"/>
      <c r="RK59" s="158"/>
      <c r="RL59" s="158"/>
      <c r="RM59" s="158"/>
      <c r="RN59" s="158"/>
      <c r="RO59" s="158"/>
      <c r="RP59" s="158"/>
      <c r="RQ59" s="158"/>
      <c r="RR59" s="158"/>
      <c r="RS59" s="158"/>
      <c r="RT59" s="158"/>
      <c r="RU59" s="158"/>
      <c r="RV59" s="158"/>
      <c r="RW59" s="158"/>
      <c r="RX59" s="158"/>
      <c r="RY59" s="158"/>
      <c r="RZ59" s="158"/>
      <c r="SA59" s="158"/>
      <c r="SB59" s="158"/>
      <c r="SC59" s="158"/>
      <c r="SD59" s="158"/>
      <c r="SE59" s="158"/>
      <c r="SF59" s="158"/>
      <c r="SG59" s="158"/>
      <c r="SH59" s="158"/>
      <c r="SI59" s="158"/>
      <c r="SJ59" s="158"/>
      <c r="SK59" s="158"/>
      <c r="SL59" s="158"/>
      <c r="SM59" s="158"/>
      <c r="SN59" s="158"/>
      <c r="SO59" s="158"/>
      <c r="SP59" s="158"/>
      <c r="SQ59" s="158"/>
      <c r="SR59" s="158"/>
      <c r="SS59" s="158"/>
      <c r="ST59" s="158"/>
      <c r="SU59" s="158"/>
      <c r="SV59" s="158"/>
      <c r="SW59" s="158"/>
      <c r="SX59" s="158"/>
      <c r="SY59" s="158"/>
      <c r="SZ59" s="158"/>
      <c r="TA59" s="158"/>
      <c r="TB59" s="158"/>
      <c r="TC59" s="158"/>
      <c r="TD59" s="158"/>
      <c r="TE59" s="158"/>
      <c r="TF59" s="158"/>
      <c r="TG59" s="158"/>
      <c r="TH59" s="158"/>
      <c r="TI59" s="158"/>
      <c r="TJ59" s="158"/>
      <c r="TK59" s="158"/>
      <c r="TL59" s="158"/>
      <c r="TM59" s="158"/>
      <c r="TN59" s="158"/>
      <c r="TO59" s="158"/>
      <c r="TP59" s="158"/>
      <c r="TQ59" s="158"/>
      <c r="TR59" s="158"/>
      <c r="TS59" s="158"/>
      <c r="TT59" s="158"/>
      <c r="TU59" s="158"/>
      <c r="TV59" s="158"/>
      <c r="TW59" s="158"/>
      <c r="TX59" s="158"/>
      <c r="TY59" s="158"/>
      <c r="TZ59" s="158"/>
      <c r="UA59" s="158"/>
      <c r="UB59" s="158"/>
      <c r="UC59" s="158"/>
      <c r="UD59" s="158"/>
      <c r="UE59" s="158"/>
      <c r="UF59" s="158"/>
      <c r="UG59" s="158"/>
      <c r="UH59" s="158"/>
      <c r="UI59" s="158"/>
      <c r="UJ59" s="158"/>
      <c r="UK59" s="158"/>
      <c r="UL59" s="158"/>
      <c r="UM59" s="158"/>
      <c r="UN59" s="158"/>
      <c r="UO59" s="158"/>
      <c r="UP59" s="158"/>
      <c r="UQ59" s="158"/>
      <c r="UR59" s="158"/>
      <c r="US59" s="158"/>
      <c r="UT59" s="158"/>
      <c r="UU59" s="158"/>
      <c r="UV59" s="158"/>
      <c r="UW59" s="158"/>
      <c r="UX59" s="158"/>
      <c r="UY59" s="158"/>
      <c r="UZ59" s="158"/>
      <c r="VA59" s="158"/>
      <c r="VB59" s="158"/>
      <c r="VC59" s="158"/>
      <c r="VD59" s="158"/>
      <c r="VE59" s="158"/>
      <c r="VF59" s="158"/>
      <c r="VG59" s="158"/>
      <c r="VH59" s="158"/>
      <c r="VI59" s="158"/>
      <c r="VJ59" s="158"/>
      <c r="VK59" s="158"/>
      <c r="VL59" s="158"/>
      <c r="VM59" s="158"/>
      <c r="VN59" s="158"/>
      <c r="VO59" s="158"/>
      <c r="VP59" s="158"/>
      <c r="VQ59" s="158"/>
      <c r="VR59" s="158"/>
      <c r="VS59" s="158"/>
      <c r="VT59" s="158"/>
      <c r="VU59" s="158"/>
      <c r="VV59" s="158"/>
      <c r="VW59" s="158"/>
      <c r="VX59" s="158"/>
      <c r="VY59" s="158"/>
      <c r="VZ59" s="158"/>
      <c r="WA59" s="158"/>
      <c r="WB59" s="158"/>
      <c r="WC59" s="158"/>
      <c r="WD59" s="158"/>
      <c r="WE59" s="158"/>
      <c r="WF59" s="158"/>
      <c r="WG59" s="158"/>
      <c r="WH59" s="158"/>
      <c r="WI59" s="158"/>
      <c r="WJ59" s="158"/>
      <c r="WK59" s="158"/>
      <c r="WL59" s="158"/>
      <c r="WM59" s="158"/>
      <c r="WN59" s="158"/>
      <c r="WO59" s="158"/>
      <c r="WP59" s="158"/>
      <c r="WQ59" s="158"/>
      <c r="WR59" s="158"/>
      <c r="WS59" s="158"/>
      <c r="WT59" s="158"/>
      <c r="WU59" s="158"/>
      <c r="WV59" s="158"/>
      <c r="WW59" s="158"/>
      <c r="WX59" s="158"/>
      <c r="WY59" s="158"/>
      <c r="WZ59" s="158"/>
      <c r="XA59" s="158"/>
      <c r="XB59" s="158"/>
      <c r="XC59" s="158"/>
      <c r="XD59" s="158"/>
      <c r="XE59" s="158"/>
      <c r="XF59" s="158"/>
      <c r="XG59" s="158"/>
      <c r="XH59" s="158"/>
      <c r="XI59" s="158"/>
      <c r="XJ59" s="158"/>
      <c r="XK59" s="158"/>
      <c r="XL59" s="158"/>
      <c r="XM59" s="158"/>
      <c r="XN59" s="158"/>
      <c r="XO59" s="158"/>
      <c r="XP59" s="158"/>
      <c r="XQ59" s="158"/>
      <c r="XR59" s="158"/>
      <c r="XS59" s="158"/>
      <c r="XT59" s="158"/>
      <c r="XU59" s="158"/>
      <c r="XV59" s="158"/>
      <c r="XW59" s="158"/>
      <c r="XX59" s="158"/>
      <c r="XY59" s="158"/>
    </row>
    <row r="60" spans="3:649" ht="14.45">
      <c r="C60" s="165" t="s">
        <v>26</v>
      </c>
      <c r="D60" s="181" t="s">
        <v>95</v>
      </c>
      <c r="E60" s="226"/>
      <c r="F60" s="166"/>
      <c r="G60" s="166"/>
      <c r="H60" s="166"/>
      <c r="I60" s="166"/>
      <c r="J60" s="166"/>
      <c r="K60" s="166"/>
      <c r="L60" s="166"/>
      <c r="M60" s="166"/>
      <c r="N60" s="164">
        <f>75*G$70</f>
        <v>8.7751182333398461</v>
      </c>
      <c r="O60" s="164">
        <f t="shared" ref="O60:P60" si="11">75*H$70</f>
        <v>3.7282142857142873</v>
      </c>
      <c r="P60" s="164">
        <f t="shared" si="11"/>
        <v>2.76857142857143</v>
      </c>
      <c r="Q60" s="166">
        <f>SUM(F60:P60)</f>
        <v>15.271903947625564</v>
      </c>
      <c r="R60" s="154">
        <f>75-Table4232[[#This Row],[Total]]</f>
        <v>59.72809605237444</v>
      </c>
      <c r="S60" s="176" t="s">
        <v>41</v>
      </c>
      <c r="T60" s="38"/>
      <c r="U60" s="175"/>
      <c r="V60" s="180" t="e">
        <f>IF(#REF!="","Other Major Projects","Data Centre")</f>
        <v>#REF!</v>
      </c>
      <c r="W60" s="34"/>
      <c r="X60" s="28">
        <f>Table4232[[#This Row],[Post 2033]]+Table4232[[#This Row],[Total]]</f>
        <v>75</v>
      </c>
      <c r="Y60" s="28" t="s">
        <v>50</v>
      </c>
    </row>
    <row r="61" spans="3:649" ht="14.45">
      <c r="C61" s="30"/>
      <c r="D61" s="28"/>
      <c r="E61" s="3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30"/>
      <c r="T61" s="167"/>
      <c r="U61" s="167"/>
      <c r="V61" s="168"/>
    </row>
    <row r="62" spans="3:649" ht="14.45">
      <c r="C62" s="28"/>
      <c r="D62" s="28"/>
      <c r="E62" s="32" t="s">
        <v>18</v>
      </c>
      <c r="F62" s="114">
        <f t="shared" ref="F62:R62" si="12">SUM(F6:F55)</f>
        <v>79.75</v>
      </c>
      <c r="G62" s="114">
        <f t="shared" si="12"/>
        <v>105.77117813823203</v>
      </c>
      <c r="H62" s="114">
        <f t="shared" si="12"/>
        <v>69.757255012702757</v>
      </c>
      <c r="I62" s="114">
        <f t="shared" si="12"/>
        <v>55.401093153540486</v>
      </c>
      <c r="J62" s="114">
        <f t="shared" si="12"/>
        <v>82.326169333593896</v>
      </c>
      <c r="K62" s="114">
        <f t="shared" si="12"/>
        <v>102.41866929841703</v>
      </c>
      <c r="L62" s="114">
        <f t="shared" si="12"/>
        <v>158.47929984105272</v>
      </c>
      <c r="M62" s="114">
        <f t="shared" si="12"/>
        <v>155.78140775454369</v>
      </c>
      <c r="N62" s="114">
        <f t="shared" si="12"/>
        <v>195.99003932642825</v>
      </c>
      <c r="O62" s="114">
        <f t="shared" si="12"/>
        <v>229.70224969317962</v>
      </c>
      <c r="P62" s="114">
        <f>SUM(P6:P55)</f>
        <v>284.02768859487981</v>
      </c>
      <c r="Q62" s="114">
        <f t="shared" si="12"/>
        <v>1519.4050501465701</v>
      </c>
      <c r="R62" s="114">
        <f t="shared" si="12"/>
        <v>2012.0949498534299</v>
      </c>
      <c r="S62" s="33"/>
      <c r="T62" s="34"/>
      <c r="U62" s="34"/>
      <c r="V62" s="34"/>
    </row>
    <row r="63" spans="3:649">
      <c r="C63" s="34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27"/>
    </row>
    <row r="64" spans="3:649" ht="10.5">
      <c r="C64" s="28"/>
      <c r="D64" s="28"/>
      <c r="E64" s="32" t="s">
        <v>96</v>
      </c>
      <c r="F64" s="46">
        <f>F62</f>
        <v>79.75</v>
      </c>
      <c r="G64" s="46">
        <f>G62+F64</f>
        <v>185.52117813823202</v>
      </c>
      <c r="H64" s="46">
        <f t="shared" ref="H64:P64" si="13">H62+G64</f>
        <v>255.27843315093477</v>
      </c>
      <c r="I64" s="46">
        <f t="shared" si="13"/>
        <v>310.67952630447525</v>
      </c>
      <c r="J64" s="46">
        <f t="shared" si="13"/>
        <v>393.00569563806914</v>
      </c>
      <c r="K64" s="46">
        <f t="shared" si="13"/>
        <v>495.4243649364862</v>
      </c>
      <c r="L64" s="46">
        <f t="shared" si="13"/>
        <v>653.90366477753889</v>
      </c>
      <c r="M64" s="46">
        <f t="shared" si="13"/>
        <v>809.68507253208259</v>
      </c>
      <c r="N64" s="46">
        <f t="shared" si="13"/>
        <v>1005.6751118585108</v>
      </c>
      <c r="O64" s="46">
        <f t="shared" si="13"/>
        <v>1235.3773615516905</v>
      </c>
      <c r="P64" s="46">
        <f t="shared" si="13"/>
        <v>1519.4050501465704</v>
      </c>
      <c r="Q64" s="46">
        <f>Q62</f>
        <v>1519.4050501465701</v>
      </c>
      <c r="R64" s="46">
        <f>SUM(I64+R62)</f>
        <v>2322.7744761579052</v>
      </c>
      <c r="S64" s="33">
        <f>Q64+R64</f>
        <v>3842.1795263044751</v>
      </c>
    </row>
    <row r="65" spans="5:19">
      <c r="E65" s="35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36"/>
    </row>
    <row r="69" spans="5:19">
      <c r="E69" s="15" t="s">
        <v>97</v>
      </c>
      <c r="G69" s="69">
        <v>0.11700157644453128</v>
      </c>
      <c r="H69" s="69">
        <v>0.16671110025405511</v>
      </c>
      <c r="I69" s="69">
        <v>0.20362538596834084</v>
      </c>
      <c r="J69" s="69">
        <v>0.31383871930167417</v>
      </c>
      <c r="K69" s="69">
        <v>0.38589586215881699</v>
      </c>
      <c r="L69" s="69">
        <v>0.46380374438147348</v>
      </c>
      <c r="M69" s="69">
        <v>0.55092818708878899</v>
      </c>
      <c r="N69" s="69">
        <v>0.59692749658002742</v>
      </c>
      <c r="O69" s="69">
        <v>0.65765891472868221</v>
      </c>
      <c r="P69" s="69">
        <v>0.7246639306885545</v>
      </c>
    </row>
    <row r="70" spans="5:19">
      <c r="E70" s="15" t="s">
        <v>98</v>
      </c>
      <c r="G70" s="69">
        <f>G69-F69</f>
        <v>0.11700157644453128</v>
      </c>
      <c r="H70" s="69">
        <f t="shared" ref="H70:P70" si="14">H69-G69</f>
        <v>4.9709523809523828E-2</v>
      </c>
      <c r="I70" s="69">
        <f t="shared" si="14"/>
        <v>3.6914285714285733E-2</v>
      </c>
      <c r="J70" s="69">
        <f t="shared" si="14"/>
        <v>0.11021333333333333</v>
      </c>
      <c r="K70" s="69">
        <f t="shared" si="14"/>
        <v>7.205714285714282E-2</v>
      </c>
      <c r="L70" s="69">
        <f t="shared" si="14"/>
        <v>7.7907882222656488E-2</v>
      </c>
      <c r="M70" s="69">
        <f t="shared" si="14"/>
        <v>8.7124442707315508E-2</v>
      </c>
      <c r="N70" s="69">
        <f t="shared" si="14"/>
        <v>4.5999309491238427E-2</v>
      </c>
      <c r="O70" s="69">
        <f t="shared" si="14"/>
        <v>6.0731418148654792E-2</v>
      </c>
      <c r="P70" s="69">
        <f t="shared" si="14"/>
        <v>6.7005015959872294E-2</v>
      </c>
    </row>
  </sheetData>
  <phoneticPr fontId="28" type="noConversion"/>
  <conditionalFormatting sqref="D10:D14">
    <cfRule type="duplicateValues" dxfId="133" priority="7"/>
    <cfRule type="duplicateValues" dxfId="132" priority="9"/>
  </conditionalFormatting>
  <conditionalFormatting sqref="D13:D14 D16:D28 D30:D61">
    <cfRule type="duplicateValues" dxfId="131" priority="10"/>
  </conditionalFormatting>
  <conditionalFormatting sqref="D15">
    <cfRule type="duplicateValues" dxfId="130" priority="4"/>
    <cfRule type="duplicateValues" dxfId="129" priority="6"/>
  </conditionalFormatting>
  <conditionalFormatting sqref="D29">
    <cfRule type="duplicateValues" dxfId="128" priority="1"/>
    <cfRule type="duplicateValues" dxfId="127" priority="3"/>
  </conditionalFormatting>
  <conditionalFormatting sqref="E10:E14">
    <cfRule type="duplicateValues" dxfId="126" priority="8"/>
  </conditionalFormatting>
  <conditionalFormatting sqref="E15">
    <cfRule type="duplicateValues" dxfId="125" priority="5"/>
  </conditionalFormatting>
  <conditionalFormatting sqref="E29">
    <cfRule type="duplicateValues" dxfId="124" priority="2"/>
  </conditionalFormatting>
  <pageMargins left="0.7" right="0.7" top="0.75" bottom="0.75" header="0.3" footer="0.3"/>
  <pageSetup paperSize="9" scale="10" orientation="portrait" horizontalDpi="200" verticalDpi="200" r:id="rId1"/>
  <customProperties>
    <customPr name="_pios_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3"/>
  <sheetViews>
    <sheetView zoomScale="90" zoomScaleNormal="90" workbookViewId="0">
      <selection activeCell="A146" sqref="A146:B146"/>
    </sheetView>
  </sheetViews>
  <sheetFormatPr defaultRowHeight="14.45"/>
  <cols>
    <col min="1" max="1" width="20.7109375" customWidth="1"/>
    <col min="2" max="2" width="31.140625" customWidth="1"/>
    <col min="3" max="12" width="20.7109375" customWidth="1"/>
  </cols>
  <sheetData>
    <row r="1" spans="1:19" s="11" customFormat="1" ht="15.6">
      <c r="A1" s="10" t="s">
        <v>99</v>
      </c>
      <c r="C1" s="10"/>
      <c r="D1" s="12"/>
      <c r="E1" s="12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3"/>
    </row>
    <row r="2" spans="1:19" ht="15" thickBot="1"/>
    <row r="3" spans="1:19" ht="35.1" thickBot="1">
      <c r="A3" s="1" t="s">
        <v>100</v>
      </c>
      <c r="B3" s="2" t="s">
        <v>101</v>
      </c>
      <c r="C3" s="2" t="s">
        <v>102</v>
      </c>
      <c r="D3" s="2" t="s">
        <v>103</v>
      </c>
      <c r="E3" s="3" t="s">
        <v>104</v>
      </c>
      <c r="F3" s="3" t="s">
        <v>105</v>
      </c>
      <c r="G3" s="3" t="s">
        <v>106</v>
      </c>
    </row>
    <row r="4" spans="1:19" ht="15" thickTop="1">
      <c r="A4" s="239" t="s">
        <v>107</v>
      </c>
      <c r="B4" s="4" t="s">
        <v>31</v>
      </c>
      <c r="C4" s="4">
        <v>-1</v>
      </c>
      <c r="D4" s="182">
        <v>0.9</v>
      </c>
      <c r="E4" s="4">
        <v>-3</v>
      </c>
      <c r="F4" s="182">
        <v>0.7</v>
      </c>
      <c r="G4" s="235">
        <v>0.7</v>
      </c>
    </row>
    <row r="5" spans="1:19" ht="15" thickTop="1">
      <c r="A5" s="240"/>
      <c r="B5" s="5" t="s">
        <v>28</v>
      </c>
      <c r="C5" s="5">
        <v>-2</v>
      </c>
      <c r="D5" s="183">
        <v>0.7</v>
      </c>
      <c r="E5" s="5">
        <v>-5</v>
      </c>
      <c r="F5" s="183">
        <v>0.5</v>
      </c>
      <c r="G5" s="236"/>
    </row>
    <row r="6" spans="1:19" ht="15" thickTop="1">
      <c r="A6" s="240"/>
      <c r="B6" s="6" t="s">
        <v>37</v>
      </c>
      <c r="C6" s="6">
        <v>-3</v>
      </c>
      <c r="D6" s="184">
        <v>0.5</v>
      </c>
      <c r="E6" s="6">
        <v>-8</v>
      </c>
      <c r="F6" s="184">
        <v>0.3</v>
      </c>
      <c r="G6" s="236"/>
    </row>
    <row r="7" spans="1:19" ht="15" thickTop="1">
      <c r="A7" s="240"/>
      <c r="B7" s="7" t="s">
        <v>41</v>
      </c>
      <c r="C7" s="7">
        <v>-5</v>
      </c>
      <c r="D7" s="185">
        <v>0.3</v>
      </c>
      <c r="E7" s="7">
        <v>-10</v>
      </c>
      <c r="F7" s="185">
        <v>0.1</v>
      </c>
      <c r="G7" s="236"/>
    </row>
    <row r="8" spans="1:19" ht="15.6" thickTop="1" thickBot="1">
      <c r="A8" s="241"/>
      <c r="B8" s="8" t="s">
        <v>53</v>
      </c>
      <c r="C8" s="8"/>
      <c r="D8" s="186">
        <v>0</v>
      </c>
      <c r="E8" s="8"/>
      <c r="F8" s="186">
        <f t="shared" ref="F8:F13" si="0">D8</f>
        <v>0</v>
      </c>
      <c r="G8" s="237"/>
    </row>
    <row r="9" spans="1:19" ht="15" thickTop="1">
      <c r="A9" s="242" t="s">
        <v>108</v>
      </c>
      <c r="B9" s="4" t="str">
        <f>B4</f>
        <v>1. In Flight</v>
      </c>
      <c r="C9" s="4">
        <v>-2</v>
      </c>
      <c r="D9" s="182">
        <v>0.6</v>
      </c>
      <c r="E9" s="4">
        <v>-5</v>
      </c>
      <c r="F9" s="182">
        <v>0.6</v>
      </c>
      <c r="G9" s="238">
        <v>0.5</v>
      </c>
    </row>
    <row r="10" spans="1:19" ht="15" thickTop="1">
      <c r="A10" s="240"/>
      <c r="B10" s="5" t="str">
        <f t="shared" ref="B10:B18" si="1">B5</f>
        <v>2. High</v>
      </c>
      <c r="C10" s="5">
        <v>-3</v>
      </c>
      <c r="D10" s="183">
        <v>0.4</v>
      </c>
      <c r="E10" s="5">
        <v>-8</v>
      </c>
      <c r="F10" s="183">
        <v>0.4</v>
      </c>
      <c r="G10" s="236"/>
    </row>
    <row r="11" spans="1:19" ht="15" thickTop="1">
      <c r="A11" s="240"/>
      <c r="B11" s="6" t="str">
        <f t="shared" si="1"/>
        <v>3. Medium</v>
      </c>
      <c r="C11" s="6">
        <v>-5</v>
      </c>
      <c r="D11" s="184">
        <v>0.2</v>
      </c>
      <c r="E11" s="6">
        <v>-10</v>
      </c>
      <c r="F11" s="184">
        <v>0.2</v>
      </c>
      <c r="G11" s="236"/>
    </row>
    <row r="12" spans="1:19" ht="15" thickTop="1">
      <c r="A12" s="240"/>
      <c r="B12" s="7" t="str">
        <f t="shared" si="1"/>
        <v>4. Low</v>
      </c>
      <c r="C12" s="7"/>
      <c r="D12" s="185">
        <v>0</v>
      </c>
      <c r="E12" s="7"/>
      <c r="F12" s="185">
        <f t="shared" si="0"/>
        <v>0</v>
      </c>
      <c r="G12" s="236"/>
    </row>
    <row r="13" spans="1:19" ht="15.6" thickTop="1" thickBot="1">
      <c r="A13" s="241"/>
      <c r="B13" s="8" t="str">
        <f t="shared" si="1"/>
        <v>5. Unlikely</v>
      </c>
      <c r="C13" s="8"/>
      <c r="D13" s="186">
        <v>0</v>
      </c>
      <c r="E13" s="8"/>
      <c r="F13" s="186">
        <f t="shared" si="0"/>
        <v>0</v>
      </c>
      <c r="G13" s="237"/>
    </row>
    <row r="14" spans="1:19" ht="15" thickTop="1">
      <c r="A14" s="242" t="s">
        <v>109</v>
      </c>
      <c r="B14" s="4" t="str">
        <f t="shared" si="1"/>
        <v>1. In Flight</v>
      </c>
      <c r="C14" s="4">
        <v>0</v>
      </c>
      <c r="D14" s="182">
        <v>1</v>
      </c>
      <c r="E14" s="4">
        <v>-2</v>
      </c>
      <c r="F14" s="182">
        <v>1</v>
      </c>
      <c r="G14" s="238">
        <v>0.9</v>
      </c>
    </row>
    <row r="15" spans="1:19" ht="15" thickTop="1">
      <c r="A15" s="240"/>
      <c r="B15" s="5" t="str">
        <f t="shared" si="1"/>
        <v>2. High</v>
      </c>
      <c r="C15" s="5">
        <v>-1</v>
      </c>
      <c r="D15" s="183">
        <v>0.8</v>
      </c>
      <c r="E15" s="5">
        <v>-3</v>
      </c>
      <c r="F15" s="183">
        <v>0.8</v>
      </c>
      <c r="G15" s="236"/>
    </row>
    <row r="16" spans="1:19" ht="15" thickTop="1">
      <c r="A16" s="240"/>
      <c r="B16" s="6" t="str">
        <f t="shared" si="1"/>
        <v>3. Medium</v>
      </c>
      <c r="C16" s="6">
        <v>-2</v>
      </c>
      <c r="D16" s="184">
        <v>0.6</v>
      </c>
      <c r="E16" s="6">
        <v>-5</v>
      </c>
      <c r="F16" s="184">
        <v>0.6</v>
      </c>
      <c r="G16" s="236"/>
    </row>
    <row r="17" spans="1:12" ht="15" thickTop="1">
      <c r="A17" s="240"/>
      <c r="B17" s="7" t="str">
        <f t="shared" si="1"/>
        <v>4. Low</v>
      </c>
      <c r="C17" s="7">
        <v>-3</v>
      </c>
      <c r="D17" s="185">
        <v>0.4</v>
      </c>
      <c r="E17" s="7">
        <v>-8</v>
      </c>
      <c r="F17" s="185">
        <v>0.4</v>
      </c>
      <c r="G17" s="236"/>
    </row>
    <row r="18" spans="1:12" ht="15" thickBot="1">
      <c r="A18" s="241"/>
      <c r="B18" s="8" t="str">
        <f t="shared" si="1"/>
        <v>5. Unlikely</v>
      </c>
      <c r="C18" s="8">
        <v>-5</v>
      </c>
      <c r="D18" s="186">
        <v>0.2</v>
      </c>
      <c r="E18" s="8">
        <v>-10</v>
      </c>
      <c r="F18" s="186">
        <v>0.2</v>
      </c>
      <c r="G18" s="237"/>
    </row>
    <row r="20" spans="1:12" ht="15" thickBot="1">
      <c r="A20" s="231">
        <f>_xlfn.XLOOKUP(F20,FEED!D:D,FEED!E:E,FALSE)</f>
        <v>0</v>
      </c>
      <c r="B20" s="232"/>
      <c r="C20" s="188" t="s">
        <v>110</v>
      </c>
      <c r="D20" s="189"/>
      <c r="E20" s="189"/>
      <c r="F20" s="189" t="s">
        <v>27</v>
      </c>
      <c r="G20" s="189" t="str">
        <f>IFERROR(_xlfn.XLOOKUP(F20,FEED!$D:$D,FEED!$S:$S),$B$8)</f>
        <v>2. High</v>
      </c>
      <c r="H20" s="189" t="str">
        <f>IFERROR(_xlfn.XLOOKUP(F20,FEED!$D:$D,FEED!$Y:$Y),"Major Load")</f>
        <v>Major Load</v>
      </c>
      <c r="I20" s="189" t="str">
        <f>IFERROR(_xlfn.XLOOKUP(F20,FEED!$D:$D,FEED!$C:$C),"N")</f>
        <v>Y</v>
      </c>
      <c r="J20" s="190"/>
      <c r="K20" s="190"/>
      <c r="L20" s="190"/>
    </row>
    <row r="21" spans="1:12" ht="15" thickBot="1">
      <c r="A21" s="191" t="str">
        <f t="shared" ref="A21" si="2">A28</f>
        <v>Uptake Scenario</v>
      </c>
      <c r="B21" s="192">
        <f>Table4232[[#Headers],[2024 ]]-1</f>
        <v>2023</v>
      </c>
      <c r="C21" s="192">
        <f>B21+1</f>
        <v>2024</v>
      </c>
      <c r="D21" s="192">
        <f t="shared" ref="D21:L21" si="3">C21+1</f>
        <v>2025</v>
      </c>
      <c r="E21" s="192">
        <f t="shared" si="3"/>
        <v>2026</v>
      </c>
      <c r="F21" s="192">
        <f t="shared" si="3"/>
        <v>2027</v>
      </c>
      <c r="G21" s="192">
        <f t="shared" si="3"/>
        <v>2028</v>
      </c>
      <c r="H21" s="192">
        <f t="shared" si="3"/>
        <v>2029</v>
      </c>
      <c r="I21" s="192">
        <f t="shared" si="3"/>
        <v>2030</v>
      </c>
      <c r="J21" s="192">
        <f t="shared" si="3"/>
        <v>2031</v>
      </c>
      <c r="K21" s="192">
        <f t="shared" si="3"/>
        <v>2032</v>
      </c>
      <c r="L21" s="192">
        <f t="shared" si="3"/>
        <v>2033</v>
      </c>
    </row>
    <row r="22" spans="1:12" ht="15.6" thickTop="1" thickBot="1">
      <c r="A22" s="193" t="s">
        <v>111</v>
      </c>
      <c r="B22" s="194">
        <v>0</v>
      </c>
      <c r="C22" s="194">
        <f>SUMIF(FEED!$D:$D,$F20,FEED!F:F)+B22</f>
        <v>0</v>
      </c>
      <c r="D22" s="194">
        <f>SUMIF(FEED!$D:$D,$F20,FEED!G:G)+C22</f>
        <v>4</v>
      </c>
      <c r="E22" s="194">
        <f>SUMIF(FEED!$D:$D,$F20,FEED!H:H)+D22</f>
        <v>8</v>
      </c>
      <c r="F22" s="194">
        <f>SUMIF(FEED!$D:$D,$F20,FEED!I:I)+E22</f>
        <v>12</v>
      </c>
      <c r="G22" s="194">
        <f>SUMIF(FEED!$D:$D,$F20,FEED!J:J)+F22</f>
        <v>12</v>
      </c>
      <c r="H22" s="194">
        <f>SUMIF(FEED!$D:$D,$F20,FEED!K:K)+G22</f>
        <v>12</v>
      </c>
      <c r="I22" s="194">
        <f>SUMIF(FEED!$D:$D,$F20,FEED!L:L)+H22</f>
        <v>12</v>
      </c>
      <c r="J22" s="194">
        <f>SUMIF(FEED!$D:$D,$F20,FEED!M:M)+I22</f>
        <v>12</v>
      </c>
      <c r="K22" s="194">
        <f>SUMIF(FEED!$D:$D,$F20,FEED!N:N)+J22</f>
        <v>12</v>
      </c>
      <c r="L22" s="194">
        <f>SUMIF(FEED!$D:$D,$F20,FEED!O:O)+K22</f>
        <v>12</v>
      </c>
    </row>
    <row r="23" spans="1:12" ht="15" thickBot="1">
      <c r="A23" s="195" t="s">
        <v>107</v>
      </c>
      <c r="B23" s="196">
        <f>B22</f>
        <v>0</v>
      </c>
      <c r="C23" s="196">
        <f ca="1">IF($I20="N",C22,IF($G20="1. In Flight",1,$G$4)*MIN(MAX($C22:$L22)*_xlfn.XLOOKUP($G20,$B$4:$B$8,$F$4:$F$8),MAX(IF(IFERROR(OFFSET(C22,0,_xlfn.XLOOKUP($G20,$B$4:$B$8,$C$4:$C$8)),0)=MAX($C22:$L22),_xlfn.MINIFS($C22:$L22,$C22:$L22,"&gt;0")*_xlfn.XLOOKUP($G20,$B$4:$B$8,$D$4:$D$8),IFERROR(OFFSET(C22,0,_xlfn.XLOOKUP($G20,$B$4:$B$8,$C$4:$C$8))*_xlfn.XLOOKUP($G20,$B$4:$B$8,$D$4:$D$8),0)),IFERROR(OFFSET(C22,0,_xlfn.XLOOKUP($G20,$B$4:$B$8,$E$4:$E$8))*_xlfn.XLOOKUP($G20,$B$4:$B$8,$F$4:$F$8),0),A23)))</f>
        <v>0</v>
      </c>
      <c r="D23" s="196">
        <f t="shared" ref="D23:L23" ca="1" si="4">IF($I20="N",D22,IF($G20="1. In Flight",1,$G$4)*MIN(MAX($C22:$L22)*_xlfn.XLOOKUP($G20,$B$4:$B$8,$F$4:$F$8),MAX(IF(IFERROR(OFFSET(D22,0,_xlfn.XLOOKUP($G20,$B$4:$B$8,$C$4:$C$8)),0)=MAX($C22:$L22),_xlfn.MINIFS($C22:$L22,$C22:$L22,"&gt;0")*_xlfn.XLOOKUP($G20,$B$4:$B$8,$D$4:$D$8),IFERROR(OFFSET(D22,0,_xlfn.XLOOKUP($G20,$B$4:$B$8,$C$4:$C$8))*_xlfn.XLOOKUP($G20,$B$4:$B$8,$D$4:$D$8),0)),IFERROR(OFFSET(D22,0,_xlfn.XLOOKUP($G20,$B$4:$B$8,$E$4:$E$8))*_xlfn.XLOOKUP($G20,$B$4:$B$8,$F$4:$F$8),0),B23)))</f>
        <v>0</v>
      </c>
      <c r="E23" s="196">
        <f t="shared" ca="1" si="4"/>
        <v>0</v>
      </c>
      <c r="F23" s="196">
        <f t="shared" ca="1" si="4"/>
        <v>1.9599999999999997</v>
      </c>
      <c r="G23" s="196">
        <f t="shared" ca="1" si="4"/>
        <v>3.9199999999999995</v>
      </c>
      <c r="H23" s="196">
        <f t="shared" ca="1" si="4"/>
        <v>1.9599999999999997</v>
      </c>
      <c r="I23" s="196">
        <f t="shared" ca="1" si="4"/>
        <v>2.7439999999999993</v>
      </c>
      <c r="J23" s="196">
        <f t="shared" ca="1" si="4"/>
        <v>2.8</v>
      </c>
      <c r="K23" s="196">
        <f t="shared" ca="1" si="4"/>
        <v>4.1999999999999993</v>
      </c>
      <c r="L23" s="196">
        <f t="shared" ca="1" si="4"/>
        <v>4.1999999999999993</v>
      </c>
    </row>
    <row r="24" spans="1:12" ht="15" thickBot="1">
      <c r="A24" s="195" t="s">
        <v>108</v>
      </c>
      <c r="B24" s="196">
        <f>B22</f>
        <v>0</v>
      </c>
      <c r="C24" s="196">
        <f ca="1">IF($I20="N",C22,IF($G20="1. In Flight",1,$G$9)*MIN(MAX($C22:$L22)*_xlfn.XLOOKUP($G20,$B$9:$B$13,$F$9:$F$13),MAX(IF(IFERROR(OFFSET(C22,0,_xlfn.XLOOKUP($G20,$B$9:$B$13,$C$9:$C$13)),0)=MAX($C22:$L22),_xlfn.MINIFS($C22:$L22,$C22:$L22,"&gt;0")*_xlfn.XLOOKUP($G20,$B$9:$B$13,$D$9:$D$13),IFERROR(OFFSET(C22,0,_xlfn.XLOOKUP($G20,$B$9:$B$13,$C$9:$C$13))*_xlfn.XLOOKUP($G20,$B$9:$B$13,$D$9:$D$13),0)),IFERROR(OFFSET(C22,0,_xlfn.XLOOKUP($G20,$B$9:$B$13,$E$9:$E$13))*_xlfn.XLOOKUP($G20,$B$9:$B$13,$F$9:$F$13),0),A24)))</f>
        <v>0</v>
      </c>
      <c r="D24" s="196">
        <f t="shared" ref="D24:L24" ca="1" si="5">IF($I20="N",D22,IF($G20="1. In Flight",1,$G$9)*MIN(MAX($C22:$L22)*_xlfn.XLOOKUP($G20,$B$9:$B$13,$F$9:$F$13),MAX(IF(IFERROR(OFFSET(D22,0,_xlfn.XLOOKUP($G20,$B$9:$B$13,$C$9:$C$13)),0)=MAX($C22:$L22),_xlfn.MINIFS($C22:$L22,$C22:$L22,"&gt;0")*_xlfn.XLOOKUP($G20,$B$9:$B$13,$D$9:$D$13),IFERROR(OFFSET(D22,0,_xlfn.XLOOKUP($G20,$B$9:$B$13,$C$9:$C$13))*_xlfn.XLOOKUP($G20,$B$9:$B$13,$D$9:$D$13),0)),IFERROR(OFFSET(D22,0,_xlfn.XLOOKUP($G20,$B$9:$B$13,$E$9:$E$13))*_xlfn.XLOOKUP($G20,$B$9:$B$13,$F$9:$F$13),0),B24)))</f>
        <v>0</v>
      </c>
      <c r="E24" s="196">
        <f t="shared" ca="1" si="5"/>
        <v>0</v>
      </c>
      <c r="F24" s="196">
        <f t="shared" ca="1" si="5"/>
        <v>0</v>
      </c>
      <c r="G24" s="196">
        <f t="shared" ca="1" si="5"/>
        <v>0.8</v>
      </c>
      <c r="H24" s="196">
        <f t="shared" ca="1" si="5"/>
        <v>1.6</v>
      </c>
      <c r="I24" s="196">
        <f t="shared" ca="1" si="5"/>
        <v>0.8</v>
      </c>
      <c r="J24" s="196">
        <f t="shared" ca="1" si="5"/>
        <v>0.8</v>
      </c>
      <c r="K24" s="196">
        <f t="shared" ca="1" si="5"/>
        <v>0.8</v>
      </c>
      <c r="L24" s="196">
        <f t="shared" ca="1" si="5"/>
        <v>0.8</v>
      </c>
    </row>
    <row r="25" spans="1:12" ht="15" thickBot="1">
      <c r="A25" s="197" t="s">
        <v>109</v>
      </c>
      <c r="B25" s="198">
        <f>B22</f>
        <v>0</v>
      </c>
      <c r="C25" s="198">
        <f ca="1">IF($I20="N",C22,IF($G20="1. In Flight",1,$G$14)*MIN(MAX($C22:$L22)*_xlfn.XLOOKUP($G20,$B$14:$B$18,$F$14:$F$18),MAX(IF(IFERROR(OFFSET(C22,0,_xlfn.XLOOKUP($G20,$B$14:$B$18,$C$14:$C$18)),0)=MAX($C22:$L22),_xlfn.MINIFS($C22:$L22,$C22:$L22,"&gt;0")*_xlfn.XLOOKUP($G20,$B$14:$B$18,$D$14:$D$18),IFERROR(OFFSET(C22,0,_xlfn.XLOOKUP($G20,$B$14:$B$18,$C$14:$C$18))*_xlfn.XLOOKUP($G20,$B$14:$B$18,$D$14:$D$18),0)),IFERROR(OFFSET(C22,0,_xlfn.XLOOKUP($G20,$B$14:$B$18,$E$14:$E$18))*_xlfn.XLOOKUP($G20,$B$14:$B$18,$F$14:$F$18),0),A25)))</f>
        <v>0</v>
      </c>
      <c r="D25" s="198">
        <f t="shared" ref="D25:L25" ca="1" si="6">IF($I20="N",D22,IF($G20="1. In Flight",1,$G$14)*MIN(MAX($C22:$L22)*_xlfn.XLOOKUP($G20,$B$14:$B$18,$F$14:$F$18),MAX(IF(IFERROR(OFFSET(D22,0,_xlfn.XLOOKUP($G20,$B$14:$B$18,$C$14:$C$18)),0)=MAX($C22:$L22),_xlfn.MINIFS($C22:$L22,$C22:$L22,"&gt;0")*_xlfn.XLOOKUP($G20,$B$14:$B$18,$D$14:$D$18),IFERROR(OFFSET(D22,0,_xlfn.XLOOKUP($G20,$B$14:$B$18,$C$14:$C$18))*_xlfn.XLOOKUP($G20,$B$14:$B$18,$D$14:$D$18),0)),IFERROR(OFFSET(D22,0,_xlfn.XLOOKUP($G20,$B$14:$B$18,$E$14:$E$18))*_xlfn.XLOOKUP($G20,$B$14:$B$18,$F$14:$F$18),0),B25)))</f>
        <v>0</v>
      </c>
      <c r="E25" s="198">
        <f t="shared" ca="1" si="6"/>
        <v>2.8800000000000003</v>
      </c>
      <c r="F25" s="198">
        <f t="shared" ca="1" si="6"/>
        <v>5.7600000000000007</v>
      </c>
      <c r="G25" s="198">
        <f t="shared" ca="1" si="6"/>
        <v>2.8800000000000003</v>
      </c>
      <c r="H25" s="198">
        <f t="shared" ca="1" si="6"/>
        <v>5.7600000000000007</v>
      </c>
      <c r="I25" s="198">
        <f t="shared" ca="1" si="6"/>
        <v>8.6400000000000023</v>
      </c>
      <c r="J25" s="198">
        <f t="shared" ca="1" si="6"/>
        <v>8.6400000000000023</v>
      </c>
      <c r="K25" s="198">
        <f t="shared" ca="1" si="6"/>
        <v>8.6400000000000023</v>
      </c>
      <c r="L25" s="198">
        <f t="shared" ca="1" si="6"/>
        <v>8.6400000000000023</v>
      </c>
    </row>
    <row r="26" spans="1:12" ht="15" thickTop="1"/>
    <row r="27" spans="1:12" ht="15" thickBot="1">
      <c r="A27" s="231">
        <f>_xlfn.XLOOKUP(F27,FEED!D:D,FEED!E:E,FALSE)</f>
        <v>0</v>
      </c>
      <c r="B27" s="232"/>
      <c r="C27" s="188" t="s">
        <v>110</v>
      </c>
      <c r="D27" s="189"/>
      <c r="E27" s="189"/>
      <c r="F27" s="189" t="s">
        <v>30</v>
      </c>
      <c r="G27" s="189" t="s">
        <v>31</v>
      </c>
      <c r="H27" s="189" t="str">
        <f>IFERROR(_xlfn.XLOOKUP(F27,FEED!$D:$D,FEED!$Y:$Y),"Major Load")</f>
        <v>Major Load</v>
      </c>
      <c r="I27" s="189" t="str">
        <f>IFERROR(_xlfn.XLOOKUP(F27,FEED!$D:$D,FEED!$C:$C),"N")</f>
        <v>Y</v>
      </c>
      <c r="J27" s="190"/>
      <c r="K27" s="190"/>
      <c r="L27" s="190"/>
    </row>
    <row r="28" spans="1:12" ht="15" thickBot="1">
      <c r="A28" s="191" t="s">
        <v>112</v>
      </c>
      <c r="B28" s="192">
        <f>B21</f>
        <v>2023</v>
      </c>
      <c r="C28" s="192">
        <f t="shared" ref="C28:L28" si="7">C21</f>
        <v>2024</v>
      </c>
      <c r="D28" s="192">
        <f t="shared" si="7"/>
        <v>2025</v>
      </c>
      <c r="E28" s="192">
        <f t="shared" si="7"/>
        <v>2026</v>
      </c>
      <c r="F28" s="192">
        <f t="shared" si="7"/>
        <v>2027</v>
      </c>
      <c r="G28" s="192">
        <f t="shared" si="7"/>
        <v>2028</v>
      </c>
      <c r="H28" s="192">
        <f t="shared" si="7"/>
        <v>2029</v>
      </c>
      <c r="I28" s="192">
        <f t="shared" si="7"/>
        <v>2030</v>
      </c>
      <c r="J28" s="192">
        <f t="shared" si="7"/>
        <v>2031</v>
      </c>
      <c r="K28" s="192">
        <f t="shared" si="7"/>
        <v>2032</v>
      </c>
      <c r="L28" s="192">
        <f t="shared" si="7"/>
        <v>2033</v>
      </c>
    </row>
    <row r="29" spans="1:12" ht="15.6" thickTop="1" thickBot="1">
      <c r="A29" s="193" t="s">
        <v>113</v>
      </c>
      <c r="B29" s="194">
        <v>0</v>
      </c>
      <c r="C29" s="194">
        <f>SUMIF(FEED!$D:$D,$F27,FEED!F:F)+B29</f>
        <v>0</v>
      </c>
      <c r="D29" s="194">
        <f>SUMIF(FEED!$D:$D,$F27,FEED!G:G)+C29</f>
        <v>7</v>
      </c>
      <c r="E29" s="194">
        <f>SUMIF(FEED!$D:$D,$F27,FEED!H:H)+D29</f>
        <v>7</v>
      </c>
      <c r="F29" s="194">
        <f>SUMIF(FEED!$D:$D,$F27,FEED!I:I)+E29</f>
        <v>7</v>
      </c>
      <c r="G29" s="194">
        <f>SUMIF(FEED!$D:$D,$F27,FEED!J:J)+F29</f>
        <v>7</v>
      </c>
      <c r="H29" s="194">
        <f>SUMIF(FEED!$D:$D,$F27,FEED!K:K)+G29</f>
        <v>7</v>
      </c>
      <c r="I29" s="194">
        <f>SUMIF(FEED!$D:$D,$F27,FEED!L:L)+H29</f>
        <v>7</v>
      </c>
      <c r="J29" s="194">
        <f>SUMIF(FEED!$D:$D,$F27,FEED!M:M)+I29</f>
        <v>7</v>
      </c>
      <c r="K29" s="194">
        <f>SUMIF(FEED!$D:$D,$F27,FEED!N:N)+J29</f>
        <v>7</v>
      </c>
      <c r="L29" s="194">
        <f>SUMIF(FEED!$D:$D,$F27,FEED!O:O)+K29</f>
        <v>7</v>
      </c>
    </row>
    <row r="30" spans="1:12" ht="15" thickBot="1">
      <c r="A30" s="195" t="s">
        <v>107</v>
      </c>
      <c r="B30" s="196">
        <f>B29</f>
        <v>0</v>
      </c>
      <c r="C30" s="196">
        <f ca="1">IF($I27="N",C29,IF($G27="1. In Flight",1,$G$4)*MIN(MAX($C29:$L29)*_xlfn.XLOOKUP($G27,$B$4:$B$8,$F$4:$F$8),MAX(IF(IFERROR(OFFSET(C29,0,_xlfn.XLOOKUP($G27,$B$4:$B$8,$C$4:$C$8)),0)=MAX($C29:$L29),_xlfn.MINIFS($C29:$L29,$C29:$L29,"&gt;0")*_xlfn.XLOOKUP($G27,$B$4:$B$8,$D$4:$D$8),IFERROR(OFFSET(C29,0,_xlfn.XLOOKUP($G27,$B$4:$B$8,$C$4:$C$8))*_xlfn.XLOOKUP($G27,$B$4:$B$8,$D$4:$D$8),0)),IFERROR(OFFSET(C29,0,_xlfn.XLOOKUP($G27,$B$4:$B$8,$E$4:$E$8))*_xlfn.XLOOKUP($G27,$B$4:$B$8,$F$4:$F$8),0),A30)))</f>
        <v>0</v>
      </c>
      <c r="D30" s="196">
        <f t="shared" ref="D30" ca="1" si="8">IF($I27="N",D29,IF($G27="1. In Flight",1,$G$4)*MIN(MAX($C29:$L29)*_xlfn.XLOOKUP($G27,$B$4:$B$8,$F$4:$F$8),MAX(IF(IFERROR(OFFSET(D29,0,_xlfn.XLOOKUP($G27,$B$4:$B$8,$C$4:$C$8)),0)=MAX($C29:$L29),_xlfn.MINIFS($C29:$L29,$C29:$L29,"&gt;0")*_xlfn.XLOOKUP($G27,$B$4:$B$8,$D$4:$D$8),IFERROR(OFFSET(D29,0,_xlfn.XLOOKUP($G27,$B$4:$B$8,$C$4:$C$8))*_xlfn.XLOOKUP($G27,$B$4:$B$8,$D$4:$D$8),0)),IFERROR(OFFSET(D29,0,_xlfn.XLOOKUP($G27,$B$4:$B$8,$E$4:$E$8))*_xlfn.XLOOKUP($G27,$B$4:$B$8,$F$4:$F$8),0),B30)))</f>
        <v>0</v>
      </c>
      <c r="E30" s="196">
        <f t="shared" ref="E30" ca="1" si="9">IF($I27="N",E29,IF($G27="1. In Flight",1,$G$4)*MIN(MAX($C29:$L29)*_xlfn.XLOOKUP($G27,$B$4:$B$8,$F$4:$F$8),MAX(IF(IFERROR(OFFSET(E29,0,_xlfn.XLOOKUP($G27,$B$4:$B$8,$C$4:$C$8)),0)=MAX($C29:$L29),_xlfn.MINIFS($C29:$L29,$C29:$L29,"&gt;0")*_xlfn.XLOOKUP($G27,$B$4:$B$8,$D$4:$D$8),IFERROR(OFFSET(E29,0,_xlfn.XLOOKUP($G27,$B$4:$B$8,$C$4:$C$8))*_xlfn.XLOOKUP($G27,$B$4:$B$8,$D$4:$D$8),0)),IFERROR(OFFSET(E29,0,_xlfn.XLOOKUP($G27,$B$4:$B$8,$E$4:$E$8))*_xlfn.XLOOKUP($G27,$B$4:$B$8,$F$4:$F$8),0),C30)))</f>
        <v>4.8999999999999995</v>
      </c>
      <c r="F30" s="196">
        <f t="shared" ref="F30" ca="1" si="10">IF($I27="N",F29,IF($G27="1. In Flight",1,$G$4)*MIN(MAX($C29:$L29)*_xlfn.XLOOKUP($G27,$B$4:$B$8,$F$4:$F$8),MAX(IF(IFERROR(OFFSET(F29,0,_xlfn.XLOOKUP($G27,$B$4:$B$8,$C$4:$C$8)),0)=MAX($C29:$L29),_xlfn.MINIFS($C29:$L29,$C29:$L29,"&gt;0")*_xlfn.XLOOKUP($G27,$B$4:$B$8,$D$4:$D$8),IFERROR(OFFSET(F29,0,_xlfn.XLOOKUP($G27,$B$4:$B$8,$C$4:$C$8))*_xlfn.XLOOKUP($G27,$B$4:$B$8,$D$4:$D$8),0)),IFERROR(OFFSET(F29,0,_xlfn.XLOOKUP($G27,$B$4:$B$8,$E$4:$E$8))*_xlfn.XLOOKUP($G27,$B$4:$B$8,$F$4:$F$8),0),D30)))</f>
        <v>4.8999999999999995</v>
      </c>
      <c r="G30" s="196">
        <f t="shared" ref="G30" ca="1" si="11">IF($I27="N",G29,IF($G27="1. In Flight",1,$G$4)*MIN(MAX($C29:$L29)*_xlfn.XLOOKUP($G27,$B$4:$B$8,$F$4:$F$8),MAX(IF(IFERROR(OFFSET(G29,0,_xlfn.XLOOKUP($G27,$B$4:$B$8,$C$4:$C$8)),0)=MAX($C29:$L29),_xlfn.MINIFS($C29:$L29,$C29:$L29,"&gt;0")*_xlfn.XLOOKUP($G27,$B$4:$B$8,$D$4:$D$8),IFERROR(OFFSET(G29,0,_xlfn.XLOOKUP($G27,$B$4:$B$8,$C$4:$C$8))*_xlfn.XLOOKUP($G27,$B$4:$B$8,$D$4:$D$8),0)),IFERROR(OFFSET(G29,0,_xlfn.XLOOKUP($G27,$B$4:$B$8,$E$4:$E$8))*_xlfn.XLOOKUP($G27,$B$4:$B$8,$F$4:$F$8),0),E30)))</f>
        <v>4.8999999999999995</v>
      </c>
      <c r="H30" s="196">
        <f t="shared" ref="H30" ca="1" si="12">IF($I27="N",H29,IF($G27="1. In Flight",1,$G$4)*MIN(MAX($C29:$L29)*_xlfn.XLOOKUP($G27,$B$4:$B$8,$F$4:$F$8),MAX(IF(IFERROR(OFFSET(H29,0,_xlfn.XLOOKUP($G27,$B$4:$B$8,$C$4:$C$8)),0)=MAX($C29:$L29),_xlfn.MINIFS($C29:$L29,$C29:$L29,"&gt;0")*_xlfn.XLOOKUP($G27,$B$4:$B$8,$D$4:$D$8),IFERROR(OFFSET(H29,0,_xlfn.XLOOKUP($G27,$B$4:$B$8,$C$4:$C$8))*_xlfn.XLOOKUP($G27,$B$4:$B$8,$D$4:$D$8),0)),IFERROR(OFFSET(H29,0,_xlfn.XLOOKUP($G27,$B$4:$B$8,$E$4:$E$8))*_xlfn.XLOOKUP($G27,$B$4:$B$8,$F$4:$F$8),0),F30)))</f>
        <v>4.8999999999999995</v>
      </c>
      <c r="I30" s="196">
        <f t="shared" ref="I30" ca="1" si="13">IF($I27="N",I29,IF($G27="1. In Flight",1,$G$4)*MIN(MAX($C29:$L29)*_xlfn.XLOOKUP($G27,$B$4:$B$8,$F$4:$F$8),MAX(IF(IFERROR(OFFSET(I29,0,_xlfn.XLOOKUP($G27,$B$4:$B$8,$C$4:$C$8)),0)=MAX($C29:$L29),_xlfn.MINIFS($C29:$L29,$C29:$L29,"&gt;0")*_xlfn.XLOOKUP($G27,$B$4:$B$8,$D$4:$D$8),IFERROR(OFFSET(I29,0,_xlfn.XLOOKUP($G27,$B$4:$B$8,$C$4:$C$8))*_xlfn.XLOOKUP($G27,$B$4:$B$8,$D$4:$D$8),0)),IFERROR(OFFSET(I29,0,_xlfn.XLOOKUP($G27,$B$4:$B$8,$E$4:$E$8))*_xlfn.XLOOKUP($G27,$B$4:$B$8,$F$4:$F$8),0),G30)))</f>
        <v>4.8999999999999995</v>
      </c>
      <c r="J30" s="196">
        <f t="shared" ref="J30" ca="1" si="14">IF($I27="N",J29,IF($G27="1. In Flight",1,$G$4)*MIN(MAX($C29:$L29)*_xlfn.XLOOKUP($G27,$B$4:$B$8,$F$4:$F$8),MAX(IF(IFERROR(OFFSET(J29,0,_xlfn.XLOOKUP($G27,$B$4:$B$8,$C$4:$C$8)),0)=MAX($C29:$L29),_xlfn.MINIFS($C29:$L29,$C29:$L29,"&gt;0")*_xlfn.XLOOKUP($G27,$B$4:$B$8,$D$4:$D$8),IFERROR(OFFSET(J29,0,_xlfn.XLOOKUP($G27,$B$4:$B$8,$C$4:$C$8))*_xlfn.XLOOKUP($G27,$B$4:$B$8,$D$4:$D$8),0)),IFERROR(OFFSET(J29,0,_xlfn.XLOOKUP($G27,$B$4:$B$8,$E$4:$E$8))*_xlfn.XLOOKUP($G27,$B$4:$B$8,$F$4:$F$8),0),H30)))</f>
        <v>4.8999999999999995</v>
      </c>
      <c r="K30" s="196">
        <f t="shared" ref="K30" ca="1" si="15">IF($I27="N",K29,IF($G27="1. In Flight",1,$G$4)*MIN(MAX($C29:$L29)*_xlfn.XLOOKUP($G27,$B$4:$B$8,$F$4:$F$8),MAX(IF(IFERROR(OFFSET(K29,0,_xlfn.XLOOKUP($G27,$B$4:$B$8,$C$4:$C$8)),0)=MAX($C29:$L29),_xlfn.MINIFS($C29:$L29,$C29:$L29,"&gt;0")*_xlfn.XLOOKUP($G27,$B$4:$B$8,$D$4:$D$8),IFERROR(OFFSET(K29,0,_xlfn.XLOOKUP($G27,$B$4:$B$8,$C$4:$C$8))*_xlfn.XLOOKUP($G27,$B$4:$B$8,$D$4:$D$8),0)),IFERROR(OFFSET(K29,0,_xlfn.XLOOKUP($G27,$B$4:$B$8,$E$4:$E$8))*_xlfn.XLOOKUP($G27,$B$4:$B$8,$F$4:$F$8),0),I30)))</f>
        <v>4.8999999999999995</v>
      </c>
      <c r="L30" s="196">
        <f t="shared" ref="L30" ca="1" si="16">IF($I27="N",L29,IF($G27="1. In Flight",1,$G$4)*MIN(MAX($C29:$L29)*_xlfn.XLOOKUP($G27,$B$4:$B$8,$F$4:$F$8),MAX(IF(IFERROR(OFFSET(L29,0,_xlfn.XLOOKUP($G27,$B$4:$B$8,$C$4:$C$8)),0)=MAX($C29:$L29),_xlfn.MINIFS($C29:$L29,$C29:$L29,"&gt;0")*_xlfn.XLOOKUP($G27,$B$4:$B$8,$D$4:$D$8),IFERROR(OFFSET(L29,0,_xlfn.XLOOKUP($G27,$B$4:$B$8,$C$4:$C$8))*_xlfn.XLOOKUP($G27,$B$4:$B$8,$D$4:$D$8),0)),IFERROR(OFFSET(L29,0,_xlfn.XLOOKUP($G27,$B$4:$B$8,$E$4:$E$8))*_xlfn.XLOOKUP($G27,$B$4:$B$8,$F$4:$F$8),0),J30)))</f>
        <v>4.8999999999999995</v>
      </c>
    </row>
    <row r="31" spans="1:12" ht="15" thickBot="1">
      <c r="A31" s="195" t="s">
        <v>108</v>
      </c>
      <c r="B31" s="196">
        <f>B29</f>
        <v>0</v>
      </c>
      <c r="C31" s="196">
        <f ca="1">IF($I27="N",C29,IF($G27="1. In Flight",1,$G$9)*MIN(MAX($C29:$L29)*_xlfn.XLOOKUP($G27,$B$9:$B$13,$F$9:$F$13),MAX(IF(IFERROR(OFFSET(C29,0,_xlfn.XLOOKUP($G27,$B$9:$B$13,$C$9:$C$13)),0)=MAX($C29:$L29),_xlfn.MINIFS($C29:$L29,$C29:$L29,"&gt;0")*_xlfn.XLOOKUP($G27,$B$9:$B$13,$D$9:$D$13),IFERROR(OFFSET(C29,0,_xlfn.XLOOKUP($G27,$B$9:$B$13,$C$9:$C$13))*_xlfn.XLOOKUP($G27,$B$9:$B$13,$D$9:$D$13),0)),IFERROR(OFFSET(C29,0,_xlfn.XLOOKUP($G27,$B$9:$B$13,$E$9:$E$13))*_xlfn.XLOOKUP($G27,$B$9:$B$13,$F$9:$F$13),0),A31)))</f>
        <v>0</v>
      </c>
      <c r="D31" s="196">
        <f t="shared" ref="D31" ca="1" si="17">IF($I27="N",D29,IF($G27="1. In Flight",1,$G$9)*MIN(MAX($C29:$L29)*_xlfn.XLOOKUP($G27,$B$9:$B$13,$F$9:$F$13),MAX(IF(IFERROR(OFFSET(D29,0,_xlfn.XLOOKUP($G27,$B$9:$B$13,$C$9:$C$13)),0)=MAX($C29:$L29),_xlfn.MINIFS($C29:$L29,$C29:$L29,"&gt;0")*_xlfn.XLOOKUP($G27,$B$9:$B$13,$D$9:$D$13),IFERROR(OFFSET(D29,0,_xlfn.XLOOKUP($G27,$B$9:$B$13,$C$9:$C$13))*_xlfn.XLOOKUP($G27,$B$9:$B$13,$D$9:$D$13),0)),IFERROR(OFFSET(D29,0,_xlfn.XLOOKUP($G27,$B$9:$B$13,$E$9:$E$13))*_xlfn.XLOOKUP($G27,$B$9:$B$13,$F$9:$F$13),0),B31)))</f>
        <v>0</v>
      </c>
      <c r="E31" s="196">
        <f t="shared" ref="E31" ca="1" si="18">IF($I27="N",E29,IF($G27="1. In Flight",1,$G$9)*MIN(MAX($C29:$L29)*_xlfn.XLOOKUP($G27,$B$9:$B$13,$F$9:$F$13),MAX(IF(IFERROR(OFFSET(E29,0,_xlfn.XLOOKUP($G27,$B$9:$B$13,$C$9:$C$13)),0)=MAX($C29:$L29),_xlfn.MINIFS($C29:$L29,$C29:$L29,"&gt;0")*_xlfn.XLOOKUP($G27,$B$9:$B$13,$D$9:$D$13),IFERROR(OFFSET(E29,0,_xlfn.XLOOKUP($G27,$B$9:$B$13,$C$9:$C$13))*_xlfn.XLOOKUP($G27,$B$9:$B$13,$D$9:$D$13),0)),IFERROR(OFFSET(E29,0,_xlfn.XLOOKUP($G27,$B$9:$B$13,$E$9:$E$13))*_xlfn.XLOOKUP($G27,$B$9:$B$13,$F$9:$F$13),0),C31)))</f>
        <v>0</v>
      </c>
      <c r="F31" s="196">
        <f t="shared" ref="F31" ca="1" si="19">IF($I27="N",F29,IF($G27="1. In Flight",1,$G$9)*MIN(MAX($C29:$L29)*_xlfn.XLOOKUP($G27,$B$9:$B$13,$F$9:$F$13),MAX(IF(IFERROR(OFFSET(F29,0,_xlfn.XLOOKUP($G27,$B$9:$B$13,$C$9:$C$13)),0)=MAX($C29:$L29),_xlfn.MINIFS($C29:$L29,$C29:$L29,"&gt;0")*_xlfn.XLOOKUP($G27,$B$9:$B$13,$D$9:$D$13),IFERROR(OFFSET(F29,0,_xlfn.XLOOKUP($G27,$B$9:$B$13,$C$9:$C$13))*_xlfn.XLOOKUP($G27,$B$9:$B$13,$D$9:$D$13),0)),IFERROR(OFFSET(F29,0,_xlfn.XLOOKUP($G27,$B$9:$B$13,$E$9:$E$13))*_xlfn.XLOOKUP($G27,$B$9:$B$13,$F$9:$F$13),0),D31)))</f>
        <v>4.2</v>
      </c>
      <c r="G31" s="196">
        <f t="shared" ref="G31" ca="1" si="20">IF($I27="N",G29,IF($G27="1. In Flight",1,$G$9)*MIN(MAX($C29:$L29)*_xlfn.XLOOKUP($G27,$B$9:$B$13,$F$9:$F$13),MAX(IF(IFERROR(OFFSET(G29,0,_xlfn.XLOOKUP($G27,$B$9:$B$13,$C$9:$C$13)),0)=MAX($C29:$L29),_xlfn.MINIFS($C29:$L29,$C29:$L29,"&gt;0")*_xlfn.XLOOKUP($G27,$B$9:$B$13,$D$9:$D$13),IFERROR(OFFSET(G29,0,_xlfn.XLOOKUP($G27,$B$9:$B$13,$C$9:$C$13))*_xlfn.XLOOKUP($G27,$B$9:$B$13,$D$9:$D$13),0)),IFERROR(OFFSET(G29,0,_xlfn.XLOOKUP($G27,$B$9:$B$13,$E$9:$E$13))*_xlfn.XLOOKUP($G27,$B$9:$B$13,$F$9:$F$13),0),E31)))</f>
        <v>4.2</v>
      </c>
      <c r="H31" s="196">
        <f t="shared" ref="H31" ca="1" si="21">IF($I27="N",H29,IF($G27="1. In Flight",1,$G$9)*MIN(MAX($C29:$L29)*_xlfn.XLOOKUP($G27,$B$9:$B$13,$F$9:$F$13),MAX(IF(IFERROR(OFFSET(H29,0,_xlfn.XLOOKUP($G27,$B$9:$B$13,$C$9:$C$13)),0)=MAX($C29:$L29),_xlfn.MINIFS($C29:$L29,$C29:$L29,"&gt;0")*_xlfn.XLOOKUP($G27,$B$9:$B$13,$D$9:$D$13),IFERROR(OFFSET(H29,0,_xlfn.XLOOKUP($G27,$B$9:$B$13,$C$9:$C$13))*_xlfn.XLOOKUP($G27,$B$9:$B$13,$D$9:$D$13),0)),IFERROR(OFFSET(H29,0,_xlfn.XLOOKUP($G27,$B$9:$B$13,$E$9:$E$13))*_xlfn.XLOOKUP($G27,$B$9:$B$13,$F$9:$F$13),0),F31)))</f>
        <v>4.2</v>
      </c>
      <c r="I31" s="196">
        <f t="shared" ref="I31" ca="1" si="22">IF($I27="N",I29,IF($G27="1. In Flight",1,$G$9)*MIN(MAX($C29:$L29)*_xlfn.XLOOKUP($G27,$B$9:$B$13,$F$9:$F$13),MAX(IF(IFERROR(OFFSET(I29,0,_xlfn.XLOOKUP($G27,$B$9:$B$13,$C$9:$C$13)),0)=MAX($C29:$L29),_xlfn.MINIFS($C29:$L29,$C29:$L29,"&gt;0")*_xlfn.XLOOKUP($G27,$B$9:$B$13,$D$9:$D$13),IFERROR(OFFSET(I29,0,_xlfn.XLOOKUP($G27,$B$9:$B$13,$C$9:$C$13))*_xlfn.XLOOKUP($G27,$B$9:$B$13,$D$9:$D$13),0)),IFERROR(OFFSET(I29,0,_xlfn.XLOOKUP($G27,$B$9:$B$13,$E$9:$E$13))*_xlfn.XLOOKUP($G27,$B$9:$B$13,$F$9:$F$13),0),G31)))</f>
        <v>4.2</v>
      </c>
      <c r="J31" s="196">
        <f t="shared" ref="J31" ca="1" si="23">IF($I27="N",J29,IF($G27="1. In Flight",1,$G$9)*MIN(MAX($C29:$L29)*_xlfn.XLOOKUP($G27,$B$9:$B$13,$F$9:$F$13),MAX(IF(IFERROR(OFFSET(J29,0,_xlfn.XLOOKUP($G27,$B$9:$B$13,$C$9:$C$13)),0)=MAX($C29:$L29),_xlfn.MINIFS($C29:$L29,$C29:$L29,"&gt;0")*_xlfn.XLOOKUP($G27,$B$9:$B$13,$D$9:$D$13),IFERROR(OFFSET(J29,0,_xlfn.XLOOKUP($G27,$B$9:$B$13,$C$9:$C$13))*_xlfn.XLOOKUP($G27,$B$9:$B$13,$D$9:$D$13),0)),IFERROR(OFFSET(J29,0,_xlfn.XLOOKUP($G27,$B$9:$B$13,$E$9:$E$13))*_xlfn.XLOOKUP($G27,$B$9:$B$13,$F$9:$F$13),0),H31)))</f>
        <v>4.2</v>
      </c>
      <c r="K31" s="196">
        <f t="shared" ref="K31" ca="1" si="24">IF($I27="N",K29,IF($G27="1. In Flight",1,$G$9)*MIN(MAX($C29:$L29)*_xlfn.XLOOKUP($G27,$B$9:$B$13,$F$9:$F$13),MAX(IF(IFERROR(OFFSET(K29,0,_xlfn.XLOOKUP($G27,$B$9:$B$13,$C$9:$C$13)),0)=MAX($C29:$L29),_xlfn.MINIFS($C29:$L29,$C29:$L29,"&gt;0")*_xlfn.XLOOKUP($G27,$B$9:$B$13,$D$9:$D$13),IFERROR(OFFSET(K29,0,_xlfn.XLOOKUP($G27,$B$9:$B$13,$C$9:$C$13))*_xlfn.XLOOKUP($G27,$B$9:$B$13,$D$9:$D$13),0)),IFERROR(OFFSET(K29,0,_xlfn.XLOOKUP($G27,$B$9:$B$13,$E$9:$E$13))*_xlfn.XLOOKUP($G27,$B$9:$B$13,$F$9:$F$13),0),I31)))</f>
        <v>4.2</v>
      </c>
      <c r="L31" s="196">
        <f t="shared" ref="L31" ca="1" si="25">IF($I27="N",L29,IF($G27="1. In Flight",1,$G$9)*MIN(MAX($C29:$L29)*_xlfn.XLOOKUP($G27,$B$9:$B$13,$F$9:$F$13),MAX(IF(IFERROR(OFFSET(L29,0,_xlfn.XLOOKUP($G27,$B$9:$B$13,$C$9:$C$13)),0)=MAX($C29:$L29),_xlfn.MINIFS($C29:$L29,$C29:$L29,"&gt;0")*_xlfn.XLOOKUP($G27,$B$9:$B$13,$D$9:$D$13),IFERROR(OFFSET(L29,0,_xlfn.XLOOKUP($G27,$B$9:$B$13,$C$9:$C$13))*_xlfn.XLOOKUP($G27,$B$9:$B$13,$D$9:$D$13),0)),IFERROR(OFFSET(L29,0,_xlfn.XLOOKUP($G27,$B$9:$B$13,$E$9:$E$13))*_xlfn.XLOOKUP($G27,$B$9:$B$13,$F$9:$F$13),0),J31)))</f>
        <v>4.2</v>
      </c>
    </row>
    <row r="32" spans="1:12" ht="15" thickBot="1">
      <c r="A32" s="197" t="s">
        <v>109</v>
      </c>
      <c r="B32" s="198">
        <f>B29</f>
        <v>0</v>
      </c>
      <c r="C32" s="198">
        <f ca="1">IF($I27="N",C29,IF($G27="1. In Flight",1,$G$14)*MIN(MAX($C29:$L29)*_xlfn.XLOOKUP($G27,$B$14:$B$18,$F$14:$F$18),MAX(IF(IFERROR(OFFSET(C29,0,_xlfn.XLOOKUP($G27,$B$14:$B$18,$C$14:$C$18)),0)=MAX($C29:$L29),_xlfn.MINIFS($C29:$L29,$C29:$L29,"&gt;0")*_xlfn.XLOOKUP($G27,$B$14:$B$18,$D$14:$D$18),IFERROR(OFFSET(C29,0,_xlfn.XLOOKUP($G27,$B$14:$B$18,$C$14:$C$18))*_xlfn.XLOOKUP($G27,$B$14:$B$18,$D$14:$D$18),0)),IFERROR(OFFSET(C29,0,_xlfn.XLOOKUP($G27,$B$14:$B$18,$E$14:$E$18))*_xlfn.XLOOKUP($G27,$B$14:$B$18,$F$14:$F$18),0),A32)))</f>
        <v>0</v>
      </c>
      <c r="D32" s="198">
        <f t="shared" ref="D32" ca="1" si="26">IF($I27="N",D29,IF($G27="1. In Flight",1,$G$14)*MIN(MAX($C29:$L29)*_xlfn.XLOOKUP($G27,$B$14:$B$18,$F$14:$F$18),MAX(IF(IFERROR(OFFSET(D29,0,_xlfn.XLOOKUP($G27,$B$14:$B$18,$C$14:$C$18)),0)=MAX($C29:$L29),_xlfn.MINIFS($C29:$L29,$C29:$L29,"&gt;0")*_xlfn.XLOOKUP($G27,$B$14:$B$18,$D$14:$D$18),IFERROR(OFFSET(D29,0,_xlfn.XLOOKUP($G27,$B$14:$B$18,$C$14:$C$18))*_xlfn.XLOOKUP($G27,$B$14:$B$18,$D$14:$D$18),0)),IFERROR(OFFSET(D29,0,_xlfn.XLOOKUP($G27,$B$14:$B$18,$E$14:$E$18))*_xlfn.XLOOKUP($G27,$B$14:$B$18,$F$14:$F$18),0),B32)))</f>
        <v>7</v>
      </c>
      <c r="E32" s="198">
        <f t="shared" ref="E32" ca="1" si="27">IF($I27="N",E29,IF($G27="1. In Flight",1,$G$14)*MIN(MAX($C29:$L29)*_xlfn.XLOOKUP($G27,$B$14:$B$18,$F$14:$F$18),MAX(IF(IFERROR(OFFSET(E29,0,_xlfn.XLOOKUP($G27,$B$14:$B$18,$C$14:$C$18)),0)=MAX($C29:$L29),_xlfn.MINIFS($C29:$L29,$C29:$L29,"&gt;0")*_xlfn.XLOOKUP($G27,$B$14:$B$18,$D$14:$D$18),IFERROR(OFFSET(E29,0,_xlfn.XLOOKUP($G27,$B$14:$B$18,$C$14:$C$18))*_xlfn.XLOOKUP($G27,$B$14:$B$18,$D$14:$D$18),0)),IFERROR(OFFSET(E29,0,_xlfn.XLOOKUP($G27,$B$14:$B$18,$E$14:$E$18))*_xlfn.XLOOKUP($G27,$B$14:$B$18,$F$14:$F$18),0),C32)))</f>
        <v>7</v>
      </c>
      <c r="F32" s="198">
        <f t="shared" ref="F32" ca="1" si="28">IF($I27="N",F29,IF($G27="1. In Flight",1,$G$14)*MIN(MAX($C29:$L29)*_xlfn.XLOOKUP($G27,$B$14:$B$18,$F$14:$F$18),MAX(IF(IFERROR(OFFSET(F29,0,_xlfn.XLOOKUP($G27,$B$14:$B$18,$C$14:$C$18)),0)=MAX($C29:$L29),_xlfn.MINIFS($C29:$L29,$C29:$L29,"&gt;0")*_xlfn.XLOOKUP($G27,$B$14:$B$18,$D$14:$D$18),IFERROR(OFFSET(F29,0,_xlfn.XLOOKUP($G27,$B$14:$B$18,$C$14:$C$18))*_xlfn.XLOOKUP($G27,$B$14:$B$18,$D$14:$D$18),0)),IFERROR(OFFSET(F29,0,_xlfn.XLOOKUP($G27,$B$14:$B$18,$E$14:$E$18))*_xlfn.XLOOKUP($G27,$B$14:$B$18,$F$14:$F$18),0),D32)))</f>
        <v>7</v>
      </c>
      <c r="G32" s="198">
        <f t="shared" ref="G32" ca="1" si="29">IF($I27="N",G29,IF($G27="1. In Flight",1,$G$14)*MIN(MAX($C29:$L29)*_xlfn.XLOOKUP($G27,$B$14:$B$18,$F$14:$F$18),MAX(IF(IFERROR(OFFSET(G29,0,_xlfn.XLOOKUP($G27,$B$14:$B$18,$C$14:$C$18)),0)=MAX($C29:$L29),_xlfn.MINIFS($C29:$L29,$C29:$L29,"&gt;0")*_xlfn.XLOOKUP($G27,$B$14:$B$18,$D$14:$D$18),IFERROR(OFFSET(G29,0,_xlfn.XLOOKUP($G27,$B$14:$B$18,$C$14:$C$18))*_xlfn.XLOOKUP($G27,$B$14:$B$18,$D$14:$D$18),0)),IFERROR(OFFSET(G29,0,_xlfn.XLOOKUP($G27,$B$14:$B$18,$E$14:$E$18))*_xlfn.XLOOKUP($G27,$B$14:$B$18,$F$14:$F$18),0),E32)))</f>
        <v>7</v>
      </c>
      <c r="H32" s="198">
        <f t="shared" ref="H32" ca="1" si="30">IF($I27="N",H29,IF($G27="1. In Flight",1,$G$14)*MIN(MAX($C29:$L29)*_xlfn.XLOOKUP($G27,$B$14:$B$18,$F$14:$F$18),MAX(IF(IFERROR(OFFSET(H29,0,_xlfn.XLOOKUP($G27,$B$14:$B$18,$C$14:$C$18)),0)=MAX($C29:$L29),_xlfn.MINIFS($C29:$L29,$C29:$L29,"&gt;0")*_xlfn.XLOOKUP($G27,$B$14:$B$18,$D$14:$D$18),IFERROR(OFFSET(H29,0,_xlfn.XLOOKUP($G27,$B$14:$B$18,$C$14:$C$18))*_xlfn.XLOOKUP($G27,$B$14:$B$18,$D$14:$D$18),0)),IFERROR(OFFSET(H29,0,_xlfn.XLOOKUP($G27,$B$14:$B$18,$E$14:$E$18))*_xlfn.XLOOKUP($G27,$B$14:$B$18,$F$14:$F$18),0),F32)))</f>
        <v>7</v>
      </c>
      <c r="I32" s="198">
        <f t="shared" ref="I32" ca="1" si="31">IF($I27="N",I29,IF($G27="1. In Flight",1,$G$14)*MIN(MAX($C29:$L29)*_xlfn.XLOOKUP($G27,$B$14:$B$18,$F$14:$F$18),MAX(IF(IFERROR(OFFSET(I29,0,_xlfn.XLOOKUP($G27,$B$14:$B$18,$C$14:$C$18)),0)=MAX($C29:$L29),_xlfn.MINIFS($C29:$L29,$C29:$L29,"&gt;0")*_xlfn.XLOOKUP($G27,$B$14:$B$18,$D$14:$D$18),IFERROR(OFFSET(I29,0,_xlfn.XLOOKUP($G27,$B$14:$B$18,$C$14:$C$18))*_xlfn.XLOOKUP($G27,$B$14:$B$18,$D$14:$D$18),0)),IFERROR(OFFSET(I29,0,_xlfn.XLOOKUP($G27,$B$14:$B$18,$E$14:$E$18))*_xlfn.XLOOKUP($G27,$B$14:$B$18,$F$14:$F$18),0),G32)))</f>
        <v>7</v>
      </c>
      <c r="J32" s="198">
        <f t="shared" ref="J32" ca="1" si="32">IF($I27="N",J29,IF($G27="1. In Flight",1,$G$14)*MIN(MAX($C29:$L29)*_xlfn.XLOOKUP($G27,$B$14:$B$18,$F$14:$F$18),MAX(IF(IFERROR(OFFSET(J29,0,_xlfn.XLOOKUP($G27,$B$14:$B$18,$C$14:$C$18)),0)=MAX($C29:$L29),_xlfn.MINIFS($C29:$L29,$C29:$L29,"&gt;0")*_xlfn.XLOOKUP($G27,$B$14:$B$18,$D$14:$D$18),IFERROR(OFFSET(J29,0,_xlfn.XLOOKUP($G27,$B$14:$B$18,$C$14:$C$18))*_xlfn.XLOOKUP($G27,$B$14:$B$18,$D$14:$D$18),0)),IFERROR(OFFSET(J29,0,_xlfn.XLOOKUP($G27,$B$14:$B$18,$E$14:$E$18))*_xlfn.XLOOKUP($G27,$B$14:$B$18,$F$14:$F$18),0),H32)))</f>
        <v>7</v>
      </c>
      <c r="K32" s="198">
        <f t="shared" ref="K32" ca="1" si="33">IF($I27="N",K29,IF($G27="1. In Flight",1,$G$14)*MIN(MAX($C29:$L29)*_xlfn.XLOOKUP($G27,$B$14:$B$18,$F$14:$F$18),MAX(IF(IFERROR(OFFSET(K29,0,_xlfn.XLOOKUP($G27,$B$14:$B$18,$C$14:$C$18)),0)=MAX($C29:$L29),_xlfn.MINIFS($C29:$L29,$C29:$L29,"&gt;0")*_xlfn.XLOOKUP($G27,$B$14:$B$18,$D$14:$D$18),IFERROR(OFFSET(K29,0,_xlfn.XLOOKUP($G27,$B$14:$B$18,$C$14:$C$18))*_xlfn.XLOOKUP($G27,$B$14:$B$18,$D$14:$D$18),0)),IFERROR(OFFSET(K29,0,_xlfn.XLOOKUP($G27,$B$14:$B$18,$E$14:$E$18))*_xlfn.XLOOKUP($G27,$B$14:$B$18,$F$14:$F$18),0),I32)))</f>
        <v>7</v>
      </c>
      <c r="L32" s="198">
        <f t="shared" ref="L32" ca="1" si="34">IF($I27="N",L29,IF($G27="1. In Flight",1,$G$14)*MIN(MAX($C29:$L29)*_xlfn.XLOOKUP($G27,$B$14:$B$18,$F$14:$F$18),MAX(IF(IFERROR(OFFSET(L29,0,_xlfn.XLOOKUP($G27,$B$14:$B$18,$C$14:$C$18)),0)=MAX($C29:$L29),_xlfn.MINIFS($C29:$L29,$C29:$L29,"&gt;0")*_xlfn.XLOOKUP($G27,$B$14:$B$18,$D$14:$D$18),IFERROR(OFFSET(L29,0,_xlfn.XLOOKUP($G27,$B$14:$B$18,$C$14:$C$18))*_xlfn.XLOOKUP($G27,$B$14:$B$18,$D$14:$D$18),0)),IFERROR(OFFSET(L29,0,_xlfn.XLOOKUP($G27,$B$14:$B$18,$E$14:$E$18))*_xlfn.XLOOKUP($G27,$B$14:$B$18,$F$14:$F$18),0),J32)))</f>
        <v>7</v>
      </c>
    </row>
    <row r="33" spans="1:12" ht="15" thickTop="1">
      <c r="A33" s="50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</row>
    <row r="34" spans="1:12" ht="15" thickBot="1">
      <c r="A34" s="231">
        <f>_xlfn.XLOOKUP(F34,FEED!D:D,FEED!E:E,FALSE)</f>
        <v>0</v>
      </c>
      <c r="B34" s="232"/>
      <c r="C34" s="189"/>
      <c r="D34" s="189" t="s">
        <v>114</v>
      </c>
      <c r="E34" s="189" t="s">
        <v>115</v>
      </c>
      <c r="F34" s="189" t="s">
        <v>32</v>
      </c>
      <c r="G34" s="189" t="str">
        <f>IFERROR(_xlfn.XLOOKUP(F34,FEED!$D:$D,FEED!$S:$S),$B$8)</f>
        <v>1. In Flight</v>
      </c>
      <c r="H34" s="189" t="str">
        <f>IFERROR(_xlfn.XLOOKUP(F34,FEED!$D:$D,FEED!$Y:$Y),"Major Load")</f>
        <v>Major Load</v>
      </c>
      <c r="I34" s="189" t="str">
        <f>IFERROR(_xlfn.XLOOKUP(F34,FEED!$D:$D,FEED!$C:$C),"N")</f>
        <v>Y</v>
      </c>
      <c r="J34" s="190"/>
      <c r="K34" s="190"/>
      <c r="L34" s="190"/>
    </row>
    <row r="35" spans="1:12" ht="15" thickBot="1">
      <c r="A35" s="191" t="s">
        <v>112</v>
      </c>
      <c r="B35" s="192">
        <f>B28</f>
        <v>2023</v>
      </c>
      <c r="C35" s="192">
        <f t="shared" ref="C35:L35" si="35">C28</f>
        <v>2024</v>
      </c>
      <c r="D35" s="192">
        <f t="shared" si="35"/>
        <v>2025</v>
      </c>
      <c r="E35" s="192">
        <f t="shared" si="35"/>
        <v>2026</v>
      </c>
      <c r="F35" s="192">
        <f t="shared" si="35"/>
        <v>2027</v>
      </c>
      <c r="G35" s="192">
        <f t="shared" si="35"/>
        <v>2028</v>
      </c>
      <c r="H35" s="192">
        <f t="shared" si="35"/>
        <v>2029</v>
      </c>
      <c r="I35" s="192">
        <f t="shared" si="35"/>
        <v>2030</v>
      </c>
      <c r="J35" s="192">
        <f t="shared" si="35"/>
        <v>2031</v>
      </c>
      <c r="K35" s="192">
        <f t="shared" si="35"/>
        <v>2032</v>
      </c>
      <c r="L35" s="192">
        <f t="shared" si="35"/>
        <v>2033</v>
      </c>
    </row>
    <row r="36" spans="1:12" ht="15.6" thickTop="1" thickBot="1">
      <c r="A36" s="193" t="s">
        <v>113</v>
      </c>
      <c r="B36" s="194">
        <v>0</v>
      </c>
      <c r="C36" s="194">
        <f>SUMIF(FEED!$D:$D,$F34,FEED!F:F)+B36</f>
        <v>5</v>
      </c>
      <c r="D36" s="194">
        <f>SUMIF(FEED!$D:$D,$F34,FEED!G:G)+C36</f>
        <v>15</v>
      </c>
      <c r="E36" s="194">
        <f>SUMIF(FEED!$D:$D,$F34,FEED!H:H)+D36</f>
        <v>15</v>
      </c>
      <c r="F36" s="194">
        <f>SUMIF(FEED!$D:$D,$F34,FEED!I:I)+E36</f>
        <v>15</v>
      </c>
      <c r="G36" s="194">
        <f>SUMIF(FEED!$D:$D,$F34,FEED!J:J)+F36</f>
        <v>25</v>
      </c>
      <c r="H36" s="194">
        <f>SUMIF(FEED!$D:$D,$F34,FEED!K:K)+G36</f>
        <v>25</v>
      </c>
      <c r="I36" s="194">
        <f>SUMIF(FEED!$D:$D,$F34,FEED!L:L)+H36</f>
        <v>25</v>
      </c>
      <c r="J36" s="194">
        <f>SUMIF(FEED!$D:$D,$F34,FEED!M:M)+I36</f>
        <v>25</v>
      </c>
      <c r="K36" s="194">
        <f>SUMIF(FEED!$D:$D,$F34,FEED!N:N)+J36</f>
        <v>25</v>
      </c>
      <c r="L36" s="194">
        <f>SUMIF(FEED!$D:$D,$F34,FEED!O:O)+K36</f>
        <v>25</v>
      </c>
    </row>
    <row r="37" spans="1:12" ht="15" thickBot="1">
      <c r="A37" s="195" t="s">
        <v>107</v>
      </c>
      <c r="B37" s="196">
        <f>B36</f>
        <v>0</v>
      </c>
      <c r="C37" s="196">
        <f ca="1">IF($I34="N",C36,IF($G34="1. In Flight",1,$G$4)*MIN(MAX($C36:$L36)*_xlfn.XLOOKUP($G34,$B$4:$B$8,$F$4:$F$8),MAX(IF(IFERROR(OFFSET(C36,0,_xlfn.XLOOKUP($G34,$B$4:$B$8,$C$4:$C$8)),0)=MAX($C36:$L36),_xlfn.MINIFS($C36:$L36,$C36:$L36,"&gt;0")*_xlfn.XLOOKUP($G34,$B$4:$B$8,$D$4:$D$8),IFERROR(OFFSET(C36,0,_xlfn.XLOOKUP($G34,$B$4:$B$8,$C$4:$C$8))*_xlfn.XLOOKUP($G34,$B$4:$B$8,$D$4:$D$8),0)),IFERROR(OFFSET(C36,0,_xlfn.XLOOKUP($G34,$B$4:$B$8,$E$4:$E$8))*_xlfn.XLOOKUP($G34,$B$4:$B$8,$F$4:$F$8),0),A37)))</f>
        <v>0</v>
      </c>
      <c r="D37" s="196">
        <f t="shared" ref="D37" ca="1" si="36">IF($I34="N",D36,IF($G34="1. In Flight",1,$G$4)*MIN(MAX($C36:$L36)*_xlfn.XLOOKUP($G34,$B$4:$B$8,$F$4:$F$8),MAX(IF(IFERROR(OFFSET(D36,0,_xlfn.XLOOKUP($G34,$B$4:$B$8,$C$4:$C$8)),0)=MAX($C36:$L36),_xlfn.MINIFS($C36:$L36,$C36:$L36,"&gt;0")*_xlfn.XLOOKUP($G34,$B$4:$B$8,$D$4:$D$8),IFERROR(OFFSET(D36,0,_xlfn.XLOOKUP($G34,$B$4:$B$8,$C$4:$C$8))*_xlfn.XLOOKUP($G34,$B$4:$B$8,$D$4:$D$8),0)),IFERROR(OFFSET(D36,0,_xlfn.XLOOKUP($G34,$B$4:$B$8,$E$4:$E$8))*_xlfn.XLOOKUP($G34,$B$4:$B$8,$F$4:$F$8),0),B37)))</f>
        <v>4.5</v>
      </c>
      <c r="E37" s="196">
        <f t="shared" ref="E37" ca="1" si="37">IF($I34="N",E36,IF($G34="1. In Flight",1,$G$4)*MIN(MAX($C36:$L36)*_xlfn.XLOOKUP($G34,$B$4:$B$8,$F$4:$F$8),MAX(IF(IFERROR(OFFSET(E36,0,_xlfn.XLOOKUP($G34,$B$4:$B$8,$C$4:$C$8)),0)=MAX($C36:$L36),_xlfn.MINIFS($C36:$L36,$C36:$L36,"&gt;0")*_xlfn.XLOOKUP($G34,$B$4:$B$8,$D$4:$D$8),IFERROR(OFFSET(E36,0,_xlfn.XLOOKUP($G34,$B$4:$B$8,$C$4:$C$8))*_xlfn.XLOOKUP($G34,$B$4:$B$8,$D$4:$D$8),0)),IFERROR(OFFSET(E36,0,_xlfn.XLOOKUP($G34,$B$4:$B$8,$E$4:$E$8))*_xlfn.XLOOKUP($G34,$B$4:$B$8,$F$4:$F$8),0),C37)))</f>
        <v>13.5</v>
      </c>
      <c r="F37" s="196">
        <f t="shared" ref="F37" ca="1" si="38">IF($I34="N",F36,IF($G34="1. In Flight",1,$G$4)*MIN(MAX($C36:$L36)*_xlfn.XLOOKUP($G34,$B$4:$B$8,$F$4:$F$8),MAX(IF(IFERROR(OFFSET(F36,0,_xlfn.XLOOKUP($G34,$B$4:$B$8,$C$4:$C$8)),0)=MAX($C36:$L36),_xlfn.MINIFS($C36:$L36,$C36:$L36,"&gt;0")*_xlfn.XLOOKUP($G34,$B$4:$B$8,$D$4:$D$8),IFERROR(OFFSET(F36,0,_xlfn.XLOOKUP($G34,$B$4:$B$8,$C$4:$C$8))*_xlfn.XLOOKUP($G34,$B$4:$B$8,$D$4:$D$8),0)),IFERROR(OFFSET(F36,0,_xlfn.XLOOKUP($G34,$B$4:$B$8,$E$4:$E$8))*_xlfn.XLOOKUP($G34,$B$4:$B$8,$F$4:$F$8),0),D37)))</f>
        <v>13.5</v>
      </c>
      <c r="G37" s="196">
        <f t="shared" ref="G37" ca="1" si="39">IF($I34="N",G36,IF($G34="1. In Flight",1,$G$4)*MIN(MAX($C36:$L36)*_xlfn.XLOOKUP($G34,$B$4:$B$8,$F$4:$F$8),MAX(IF(IFERROR(OFFSET(G36,0,_xlfn.XLOOKUP($G34,$B$4:$B$8,$C$4:$C$8)),0)=MAX($C36:$L36),_xlfn.MINIFS($C36:$L36,$C36:$L36,"&gt;0")*_xlfn.XLOOKUP($G34,$B$4:$B$8,$D$4:$D$8),IFERROR(OFFSET(G36,0,_xlfn.XLOOKUP($G34,$B$4:$B$8,$C$4:$C$8))*_xlfn.XLOOKUP($G34,$B$4:$B$8,$D$4:$D$8),0)),IFERROR(OFFSET(G36,0,_xlfn.XLOOKUP($G34,$B$4:$B$8,$E$4:$E$8))*_xlfn.XLOOKUP($G34,$B$4:$B$8,$F$4:$F$8),0),E37)))</f>
        <v>13.5</v>
      </c>
      <c r="H37" s="196">
        <f t="shared" ref="H37" ca="1" si="40">IF($I34="N",H36,IF($G34="1. In Flight",1,$G$4)*MIN(MAX($C36:$L36)*_xlfn.XLOOKUP($G34,$B$4:$B$8,$F$4:$F$8),MAX(IF(IFERROR(OFFSET(H36,0,_xlfn.XLOOKUP($G34,$B$4:$B$8,$C$4:$C$8)),0)=MAX($C36:$L36),_xlfn.MINIFS($C36:$L36,$C36:$L36,"&gt;0")*_xlfn.XLOOKUP($G34,$B$4:$B$8,$D$4:$D$8),IFERROR(OFFSET(H36,0,_xlfn.XLOOKUP($G34,$B$4:$B$8,$C$4:$C$8))*_xlfn.XLOOKUP($G34,$B$4:$B$8,$D$4:$D$8),0)),IFERROR(OFFSET(H36,0,_xlfn.XLOOKUP($G34,$B$4:$B$8,$E$4:$E$8))*_xlfn.XLOOKUP($G34,$B$4:$B$8,$F$4:$F$8),0),F37)))</f>
        <v>13.5</v>
      </c>
      <c r="I37" s="196">
        <f t="shared" ref="I37" ca="1" si="41">IF($I34="N",I36,IF($G34="1. In Flight",1,$G$4)*MIN(MAX($C36:$L36)*_xlfn.XLOOKUP($G34,$B$4:$B$8,$F$4:$F$8),MAX(IF(IFERROR(OFFSET(I36,0,_xlfn.XLOOKUP($G34,$B$4:$B$8,$C$4:$C$8)),0)=MAX($C36:$L36),_xlfn.MINIFS($C36:$L36,$C36:$L36,"&gt;0")*_xlfn.XLOOKUP($G34,$B$4:$B$8,$D$4:$D$8),IFERROR(OFFSET(I36,0,_xlfn.XLOOKUP($G34,$B$4:$B$8,$C$4:$C$8))*_xlfn.XLOOKUP($G34,$B$4:$B$8,$D$4:$D$8),0)),IFERROR(OFFSET(I36,0,_xlfn.XLOOKUP($G34,$B$4:$B$8,$E$4:$E$8))*_xlfn.XLOOKUP($G34,$B$4:$B$8,$F$4:$F$8),0),G37)))</f>
        <v>13.5</v>
      </c>
      <c r="J37" s="196">
        <f t="shared" ref="J37" ca="1" si="42">IF($I34="N",J36,IF($G34="1. In Flight",1,$G$4)*MIN(MAX($C36:$L36)*_xlfn.XLOOKUP($G34,$B$4:$B$8,$F$4:$F$8),MAX(IF(IFERROR(OFFSET(J36,0,_xlfn.XLOOKUP($G34,$B$4:$B$8,$C$4:$C$8)),0)=MAX($C36:$L36),_xlfn.MINIFS($C36:$L36,$C36:$L36,"&gt;0")*_xlfn.XLOOKUP($G34,$B$4:$B$8,$D$4:$D$8),IFERROR(OFFSET(J36,0,_xlfn.XLOOKUP($G34,$B$4:$B$8,$C$4:$C$8))*_xlfn.XLOOKUP($G34,$B$4:$B$8,$D$4:$D$8),0)),IFERROR(OFFSET(J36,0,_xlfn.XLOOKUP($G34,$B$4:$B$8,$E$4:$E$8))*_xlfn.XLOOKUP($G34,$B$4:$B$8,$F$4:$F$8),0),H37)))</f>
        <v>17.5</v>
      </c>
      <c r="K37" s="196">
        <f t="shared" ref="K37" ca="1" si="43">IF($I34="N",K36,IF($G34="1. In Flight",1,$G$4)*MIN(MAX($C36:$L36)*_xlfn.XLOOKUP($G34,$B$4:$B$8,$F$4:$F$8),MAX(IF(IFERROR(OFFSET(K36,0,_xlfn.XLOOKUP($G34,$B$4:$B$8,$C$4:$C$8)),0)=MAX($C36:$L36),_xlfn.MINIFS($C36:$L36,$C36:$L36,"&gt;0")*_xlfn.XLOOKUP($G34,$B$4:$B$8,$D$4:$D$8),IFERROR(OFFSET(K36,0,_xlfn.XLOOKUP($G34,$B$4:$B$8,$C$4:$C$8))*_xlfn.XLOOKUP($G34,$B$4:$B$8,$D$4:$D$8),0)),IFERROR(OFFSET(K36,0,_xlfn.XLOOKUP($G34,$B$4:$B$8,$E$4:$E$8))*_xlfn.XLOOKUP($G34,$B$4:$B$8,$F$4:$F$8),0),I37)))</f>
        <v>17.5</v>
      </c>
      <c r="L37" s="196">
        <f t="shared" ref="L37" ca="1" si="44">IF($I34="N",L36,IF($G34="1. In Flight",1,$G$4)*MIN(MAX($C36:$L36)*_xlfn.XLOOKUP($G34,$B$4:$B$8,$F$4:$F$8),MAX(IF(IFERROR(OFFSET(L36,0,_xlfn.XLOOKUP($G34,$B$4:$B$8,$C$4:$C$8)),0)=MAX($C36:$L36),_xlfn.MINIFS($C36:$L36,$C36:$L36,"&gt;0")*_xlfn.XLOOKUP($G34,$B$4:$B$8,$D$4:$D$8),IFERROR(OFFSET(L36,0,_xlfn.XLOOKUP($G34,$B$4:$B$8,$C$4:$C$8))*_xlfn.XLOOKUP($G34,$B$4:$B$8,$D$4:$D$8),0)),IFERROR(OFFSET(L36,0,_xlfn.XLOOKUP($G34,$B$4:$B$8,$E$4:$E$8))*_xlfn.XLOOKUP($G34,$B$4:$B$8,$F$4:$F$8),0),J37)))</f>
        <v>17.5</v>
      </c>
    </row>
    <row r="38" spans="1:12" ht="15" thickBot="1">
      <c r="A38" s="195" t="s">
        <v>108</v>
      </c>
      <c r="B38" s="196">
        <f>B36</f>
        <v>0</v>
      </c>
      <c r="C38" s="196">
        <f ca="1">IF($I34="N",C36,IF($G34="1. In Flight",1,$G$9)*MIN(MAX($C36:$L36)*_xlfn.XLOOKUP($G34,$B$9:$B$13,$F$9:$F$13),MAX(IF(IFERROR(OFFSET(C36,0,_xlfn.XLOOKUP($G34,$B$9:$B$13,$C$9:$C$13)),0)=MAX($C36:$L36),_xlfn.MINIFS($C36:$L36,$C36:$L36,"&gt;0")*_xlfn.XLOOKUP($G34,$B$9:$B$13,$D$9:$D$13),IFERROR(OFFSET(C36,0,_xlfn.XLOOKUP($G34,$B$9:$B$13,$C$9:$C$13))*_xlfn.XLOOKUP($G34,$B$9:$B$13,$D$9:$D$13),0)),IFERROR(OFFSET(C36,0,_xlfn.XLOOKUP($G34,$B$9:$B$13,$E$9:$E$13))*_xlfn.XLOOKUP($G34,$B$9:$B$13,$F$9:$F$13),0),A38)))</f>
        <v>0</v>
      </c>
      <c r="D38" s="196">
        <f t="shared" ref="D38" ca="1" si="45">IF($I34="N",D36,IF($G34="1. In Flight",1,$G$9)*MIN(MAX($C36:$L36)*_xlfn.XLOOKUP($G34,$B$9:$B$13,$F$9:$F$13),MAX(IF(IFERROR(OFFSET(D36,0,_xlfn.XLOOKUP($G34,$B$9:$B$13,$C$9:$C$13)),0)=MAX($C36:$L36),_xlfn.MINIFS($C36:$L36,$C36:$L36,"&gt;0")*_xlfn.XLOOKUP($G34,$B$9:$B$13,$D$9:$D$13),IFERROR(OFFSET(D36,0,_xlfn.XLOOKUP($G34,$B$9:$B$13,$C$9:$C$13))*_xlfn.XLOOKUP($G34,$B$9:$B$13,$D$9:$D$13),0)),IFERROR(OFFSET(D36,0,_xlfn.XLOOKUP($G34,$B$9:$B$13,$E$9:$E$13))*_xlfn.XLOOKUP($G34,$B$9:$B$13,$F$9:$F$13),0),B38)))</f>
        <v>0</v>
      </c>
      <c r="E38" s="196">
        <f t="shared" ref="E38" ca="1" si="46">IF($I34="N",E36,IF($G34="1. In Flight",1,$G$9)*MIN(MAX($C36:$L36)*_xlfn.XLOOKUP($G34,$B$9:$B$13,$F$9:$F$13),MAX(IF(IFERROR(OFFSET(E36,0,_xlfn.XLOOKUP($G34,$B$9:$B$13,$C$9:$C$13)),0)=MAX($C36:$L36),_xlfn.MINIFS($C36:$L36,$C36:$L36,"&gt;0")*_xlfn.XLOOKUP($G34,$B$9:$B$13,$D$9:$D$13),IFERROR(OFFSET(E36,0,_xlfn.XLOOKUP($G34,$B$9:$B$13,$C$9:$C$13))*_xlfn.XLOOKUP($G34,$B$9:$B$13,$D$9:$D$13),0)),IFERROR(OFFSET(E36,0,_xlfn.XLOOKUP($G34,$B$9:$B$13,$E$9:$E$13))*_xlfn.XLOOKUP($G34,$B$9:$B$13,$F$9:$F$13),0),C38)))</f>
        <v>3</v>
      </c>
      <c r="F38" s="196">
        <f t="shared" ref="F38" ca="1" si="47">IF($I34="N",F36,IF($G34="1. In Flight",1,$G$9)*MIN(MAX($C36:$L36)*_xlfn.XLOOKUP($G34,$B$9:$B$13,$F$9:$F$13),MAX(IF(IFERROR(OFFSET(F36,0,_xlfn.XLOOKUP($G34,$B$9:$B$13,$C$9:$C$13)),0)=MAX($C36:$L36),_xlfn.MINIFS($C36:$L36,$C36:$L36,"&gt;0")*_xlfn.XLOOKUP($G34,$B$9:$B$13,$D$9:$D$13),IFERROR(OFFSET(F36,0,_xlfn.XLOOKUP($G34,$B$9:$B$13,$C$9:$C$13))*_xlfn.XLOOKUP($G34,$B$9:$B$13,$D$9:$D$13),0)),IFERROR(OFFSET(F36,0,_xlfn.XLOOKUP($G34,$B$9:$B$13,$E$9:$E$13))*_xlfn.XLOOKUP($G34,$B$9:$B$13,$F$9:$F$13),0),D38)))</f>
        <v>9</v>
      </c>
      <c r="G38" s="196">
        <f t="shared" ref="G38" ca="1" si="48">IF($I34="N",G36,IF($G34="1. In Flight",1,$G$9)*MIN(MAX($C36:$L36)*_xlfn.XLOOKUP($G34,$B$9:$B$13,$F$9:$F$13),MAX(IF(IFERROR(OFFSET(G36,0,_xlfn.XLOOKUP($G34,$B$9:$B$13,$C$9:$C$13)),0)=MAX($C36:$L36),_xlfn.MINIFS($C36:$L36,$C36:$L36,"&gt;0")*_xlfn.XLOOKUP($G34,$B$9:$B$13,$D$9:$D$13),IFERROR(OFFSET(G36,0,_xlfn.XLOOKUP($G34,$B$9:$B$13,$C$9:$C$13))*_xlfn.XLOOKUP($G34,$B$9:$B$13,$D$9:$D$13),0)),IFERROR(OFFSET(G36,0,_xlfn.XLOOKUP($G34,$B$9:$B$13,$E$9:$E$13))*_xlfn.XLOOKUP($G34,$B$9:$B$13,$F$9:$F$13),0),E38)))</f>
        <v>9</v>
      </c>
      <c r="H38" s="196">
        <f t="shared" ref="H38" ca="1" si="49">IF($I34="N",H36,IF($G34="1. In Flight",1,$G$9)*MIN(MAX($C36:$L36)*_xlfn.XLOOKUP($G34,$B$9:$B$13,$F$9:$F$13),MAX(IF(IFERROR(OFFSET(H36,0,_xlfn.XLOOKUP($G34,$B$9:$B$13,$C$9:$C$13)),0)=MAX($C36:$L36),_xlfn.MINIFS($C36:$L36,$C36:$L36,"&gt;0")*_xlfn.XLOOKUP($G34,$B$9:$B$13,$D$9:$D$13),IFERROR(OFFSET(H36,0,_xlfn.XLOOKUP($G34,$B$9:$B$13,$C$9:$C$13))*_xlfn.XLOOKUP($G34,$B$9:$B$13,$D$9:$D$13),0)),IFERROR(OFFSET(H36,0,_xlfn.XLOOKUP($G34,$B$9:$B$13,$E$9:$E$13))*_xlfn.XLOOKUP($G34,$B$9:$B$13,$F$9:$F$13),0),F38)))</f>
        <v>9</v>
      </c>
      <c r="I38" s="196">
        <f t="shared" ref="I38" ca="1" si="50">IF($I34="N",I36,IF($G34="1. In Flight",1,$G$9)*MIN(MAX($C36:$L36)*_xlfn.XLOOKUP($G34,$B$9:$B$13,$F$9:$F$13),MAX(IF(IFERROR(OFFSET(I36,0,_xlfn.XLOOKUP($G34,$B$9:$B$13,$C$9:$C$13)),0)=MAX($C36:$L36),_xlfn.MINIFS($C36:$L36,$C36:$L36,"&gt;0")*_xlfn.XLOOKUP($G34,$B$9:$B$13,$D$9:$D$13),IFERROR(OFFSET(I36,0,_xlfn.XLOOKUP($G34,$B$9:$B$13,$C$9:$C$13))*_xlfn.XLOOKUP($G34,$B$9:$B$13,$D$9:$D$13),0)),IFERROR(OFFSET(I36,0,_xlfn.XLOOKUP($G34,$B$9:$B$13,$E$9:$E$13))*_xlfn.XLOOKUP($G34,$B$9:$B$13,$F$9:$F$13),0),G38)))</f>
        <v>9</v>
      </c>
      <c r="J38" s="196">
        <f t="shared" ref="J38" ca="1" si="51">IF($I34="N",J36,IF($G34="1. In Flight",1,$G$9)*MIN(MAX($C36:$L36)*_xlfn.XLOOKUP($G34,$B$9:$B$13,$F$9:$F$13),MAX(IF(IFERROR(OFFSET(J36,0,_xlfn.XLOOKUP($G34,$B$9:$B$13,$C$9:$C$13)),0)=MAX($C36:$L36),_xlfn.MINIFS($C36:$L36,$C36:$L36,"&gt;0")*_xlfn.XLOOKUP($G34,$B$9:$B$13,$D$9:$D$13),IFERROR(OFFSET(J36,0,_xlfn.XLOOKUP($G34,$B$9:$B$13,$C$9:$C$13))*_xlfn.XLOOKUP($G34,$B$9:$B$13,$D$9:$D$13),0)),IFERROR(OFFSET(J36,0,_xlfn.XLOOKUP($G34,$B$9:$B$13,$E$9:$E$13))*_xlfn.XLOOKUP($G34,$B$9:$B$13,$F$9:$F$13),0),H38)))</f>
        <v>9</v>
      </c>
      <c r="K38" s="196">
        <f t="shared" ref="K38" ca="1" si="52">IF($I34="N",K36,IF($G34="1. In Flight",1,$G$9)*MIN(MAX($C36:$L36)*_xlfn.XLOOKUP($G34,$B$9:$B$13,$F$9:$F$13),MAX(IF(IFERROR(OFFSET(K36,0,_xlfn.XLOOKUP($G34,$B$9:$B$13,$C$9:$C$13)),0)=MAX($C36:$L36),_xlfn.MINIFS($C36:$L36,$C36:$L36,"&gt;0")*_xlfn.XLOOKUP($G34,$B$9:$B$13,$D$9:$D$13),IFERROR(OFFSET(K36,0,_xlfn.XLOOKUP($G34,$B$9:$B$13,$C$9:$C$13))*_xlfn.XLOOKUP($G34,$B$9:$B$13,$D$9:$D$13),0)),IFERROR(OFFSET(K36,0,_xlfn.XLOOKUP($G34,$B$9:$B$13,$E$9:$E$13))*_xlfn.XLOOKUP($G34,$B$9:$B$13,$F$9:$F$13),0),I38)))</f>
        <v>9</v>
      </c>
      <c r="L38" s="196">
        <f t="shared" ref="L38" ca="1" si="53">IF($I34="N",L36,IF($G34="1. In Flight",1,$G$9)*MIN(MAX($C36:$L36)*_xlfn.XLOOKUP($G34,$B$9:$B$13,$F$9:$F$13),MAX(IF(IFERROR(OFFSET(L36,0,_xlfn.XLOOKUP($G34,$B$9:$B$13,$C$9:$C$13)),0)=MAX($C36:$L36),_xlfn.MINIFS($C36:$L36,$C36:$L36,"&gt;0")*_xlfn.XLOOKUP($G34,$B$9:$B$13,$D$9:$D$13),IFERROR(OFFSET(L36,0,_xlfn.XLOOKUP($G34,$B$9:$B$13,$C$9:$C$13))*_xlfn.XLOOKUP($G34,$B$9:$B$13,$D$9:$D$13),0)),IFERROR(OFFSET(L36,0,_xlfn.XLOOKUP($G34,$B$9:$B$13,$E$9:$E$13))*_xlfn.XLOOKUP($G34,$B$9:$B$13,$F$9:$F$13),0),J38)))</f>
        <v>15</v>
      </c>
    </row>
    <row r="39" spans="1:12" ht="15" thickBot="1">
      <c r="A39" s="197" t="s">
        <v>109</v>
      </c>
      <c r="B39" s="198">
        <f>B36</f>
        <v>0</v>
      </c>
      <c r="C39" s="198">
        <f ca="1">IF($I34="N",C36,IF($G34="1. In Flight",1,$G$14)*MIN(MAX($C36:$L36)*_xlfn.XLOOKUP($G34,$B$14:$B$18,$F$14:$F$18),MAX(IF(IFERROR(OFFSET(C36,0,_xlfn.XLOOKUP($G34,$B$14:$B$18,$C$14:$C$18)),0)=MAX($C36:$L36),_xlfn.MINIFS($C36:$L36,$C36:$L36,"&gt;0")*_xlfn.XLOOKUP($G34,$B$14:$B$18,$D$14:$D$18),IFERROR(OFFSET(C36,0,_xlfn.XLOOKUP($G34,$B$14:$B$18,$C$14:$C$18))*_xlfn.XLOOKUP($G34,$B$14:$B$18,$D$14:$D$18),0)),IFERROR(OFFSET(C36,0,_xlfn.XLOOKUP($G34,$B$14:$B$18,$E$14:$E$18))*_xlfn.XLOOKUP($G34,$B$14:$B$18,$F$14:$F$18),0),A39)))</f>
        <v>5</v>
      </c>
      <c r="D39" s="198">
        <f t="shared" ref="D39" ca="1" si="54">IF($I34="N",D36,IF($G34="1. In Flight",1,$G$14)*MIN(MAX($C36:$L36)*_xlfn.XLOOKUP($G34,$B$14:$B$18,$F$14:$F$18),MAX(IF(IFERROR(OFFSET(D36,0,_xlfn.XLOOKUP($G34,$B$14:$B$18,$C$14:$C$18)),0)=MAX($C36:$L36),_xlfn.MINIFS($C36:$L36,$C36:$L36,"&gt;0")*_xlfn.XLOOKUP($G34,$B$14:$B$18,$D$14:$D$18),IFERROR(OFFSET(D36,0,_xlfn.XLOOKUP($G34,$B$14:$B$18,$C$14:$C$18))*_xlfn.XLOOKUP($G34,$B$14:$B$18,$D$14:$D$18),0)),IFERROR(OFFSET(D36,0,_xlfn.XLOOKUP($G34,$B$14:$B$18,$E$14:$E$18))*_xlfn.XLOOKUP($G34,$B$14:$B$18,$F$14:$F$18),0),B39)))</f>
        <v>15</v>
      </c>
      <c r="E39" s="198">
        <f t="shared" ref="E39" ca="1" si="55">IF($I34="N",E36,IF($G34="1. In Flight",1,$G$14)*MIN(MAX($C36:$L36)*_xlfn.XLOOKUP($G34,$B$14:$B$18,$F$14:$F$18),MAX(IF(IFERROR(OFFSET(E36,0,_xlfn.XLOOKUP($G34,$B$14:$B$18,$C$14:$C$18)),0)=MAX($C36:$L36),_xlfn.MINIFS($C36:$L36,$C36:$L36,"&gt;0")*_xlfn.XLOOKUP($G34,$B$14:$B$18,$D$14:$D$18),IFERROR(OFFSET(E36,0,_xlfn.XLOOKUP($G34,$B$14:$B$18,$C$14:$C$18))*_xlfn.XLOOKUP($G34,$B$14:$B$18,$D$14:$D$18),0)),IFERROR(OFFSET(E36,0,_xlfn.XLOOKUP($G34,$B$14:$B$18,$E$14:$E$18))*_xlfn.XLOOKUP($G34,$B$14:$B$18,$F$14:$F$18),0),C39)))</f>
        <v>15</v>
      </c>
      <c r="F39" s="198">
        <f t="shared" ref="F39" ca="1" si="56">IF($I34="N",F36,IF($G34="1. In Flight",1,$G$14)*MIN(MAX($C36:$L36)*_xlfn.XLOOKUP($G34,$B$14:$B$18,$F$14:$F$18),MAX(IF(IFERROR(OFFSET(F36,0,_xlfn.XLOOKUP($G34,$B$14:$B$18,$C$14:$C$18)),0)=MAX($C36:$L36),_xlfn.MINIFS($C36:$L36,$C36:$L36,"&gt;0")*_xlfn.XLOOKUP($G34,$B$14:$B$18,$D$14:$D$18),IFERROR(OFFSET(F36,0,_xlfn.XLOOKUP($G34,$B$14:$B$18,$C$14:$C$18))*_xlfn.XLOOKUP($G34,$B$14:$B$18,$D$14:$D$18),0)),IFERROR(OFFSET(F36,0,_xlfn.XLOOKUP($G34,$B$14:$B$18,$E$14:$E$18))*_xlfn.XLOOKUP($G34,$B$14:$B$18,$F$14:$F$18),0),D39)))</f>
        <v>15</v>
      </c>
      <c r="G39" s="198">
        <f t="shared" ref="G39" ca="1" si="57">IF($I34="N",G36,IF($G34="1. In Flight",1,$G$14)*MIN(MAX($C36:$L36)*_xlfn.XLOOKUP($G34,$B$14:$B$18,$F$14:$F$18),MAX(IF(IFERROR(OFFSET(G36,0,_xlfn.XLOOKUP($G34,$B$14:$B$18,$C$14:$C$18)),0)=MAX($C36:$L36),_xlfn.MINIFS($C36:$L36,$C36:$L36,"&gt;0")*_xlfn.XLOOKUP($G34,$B$14:$B$18,$D$14:$D$18),IFERROR(OFFSET(G36,0,_xlfn.XLOOKUP($G34,$B$14:$B$18,$C$14:$C$18))*_xlfn.XLOOKUP($G34,$B$14:$B$18,$D$14:$D$18),0)),IFERROR(OFFSET(G36,0,_xlfn.XLOOKUP($G34,$B$14:$B$18,$E$14:$E$18))*_xlfn.XLOOKUP($G34,$B$14:$B$18,$F$14:$F$18),0),E39)))</f>
        <v>15</v>
      </c>
      <c r="H39" s="198">
        <f t="shared" ref="H39" ca="1" si="58">IF($I34="N",H36,IF($G34="1. In Flight",1,$G$14)*MIN(MAX($C36:$L36)*_xlfn.XLOOKUP($G34,$B$14:$B$18,$F$14:$F$18),MAX(IF(IFERROR(OFFSET(H36,0,_xlfn.XLOOKUP($G34,$B$14:$B$18,$C$14:$C$18)),0)=MAX($C36:$L36),_xlfn.MINIFS($C36:$L36,$C36:$L36,"&gt;0")*_xlfn.XLOOKUP($G34,$B$14:$B$18,$D$14:$D$18),IFERROR(OFFSET(H36,0,_xlfn.XLOOKUP($G34,$B$14:$B$18,$C$14:$C$18))*_xlfn.XLOOKUP($G34,$B$14:$B$18,$D$14:$D$18),0)),IFERROR(OFFSET(H36,0,_xlfn.XLOOKUP($G34,$B$14:$B$18,$E$14:$E$18))*_xlfn.XLOOKUP($G34,$B$14:$B$18,$F$14:$F$18),0),F39)))</f>
        <v>15</v>
      </c>
      <c r="I39" s="198">
        <f t="shared" ref="I39" ca="1" si="59">IF($I34="N",I36,IF($G34="1. In Flight",1,$G$14)*MIN(MAX($C36:$L36)*_xlfn.XLOOKUP($G34,$B$14:$B$18,$F$14:$F$18),MAX(IF(IFERROR(OFFSET(I36,0,_xlfn.XLOOKUP($G34,$B$14:$B$18,$C$14:$C$18)),0)=MAX($C36:$L36),_xlfn.MINIFS($C36:$L36,$C36:$L36,"&gt;0")*_xlfn.XLOOKUP($G34,$B$14:$B$18,$D$14:$D$18),IFERROR(OFFSET(I36,0,_xlfn.XLOOKUP($G34,$B$14:$B$18,$C$14:$C$18))*_xlfn.XLOOKUP($G34,$B$14:$B$18,$D$14:$D$18),0)),IFERROR(OFFSET(I36,0,_xlfn.XLOOKUP($G34,$B$14:$B$18,$E$14:$E$18))*_xlfn.XLOOKUP($G34,$B$14:$B$18,$F$14:$F$18),0),G39)))</f>
        <v>25</v>
      </c>
      <c r="J39" s="198">
        <f t="shared" ref="J39" ca="1" si="60">IF($I34="N",J36,IF($G34="1. In Flight",1,$G$14)*MIN(MAX($C36:$L36)*_xlfn.XLOOKUP($G34,$B$14:$B$18,$F$14:$F$18),MAX(IF(IFERROR(OFFSET(J36,0,_xlfn.XLOOKUP($G34,$B$14:$B$18,$C$14:$C$18)),0)=MAX($C36:$L36),_xlfn.MINIFS($C36:$L36,$C36:$L36,"&gt;0")*_xlfn.XLOOKUP($G34,$B$14:$B$18,$D$14:$D$18),IFERROR(OFFSET(J36,0,_xlfn.XLOOKUP($G34,$B$14:$B$18,$C$14:$C$18))*_xlfn.XLOOKUP($G34,$B$14:$B$18,$D$14:$D$18),0)),IFERROR(OFFSET(J36,0,_xlfn.XLOOKUP($G34,$B$14:$B$18,$E$14:$E$18))*_xlfn.XLOOKUP($G34,$B$14:$B$18,$F$14:$F$18),0),H39)))</f>
        <v>25</v>
      </c>
      <c r="K39" s="198">
        <f t="shared" ref="K39" ca="1" si="61">IF($I34="N",K36,IF($G34="1. In Flight",1,$G$14)*MIN(MAX($C36:$L36)*_xlfn.XLOOKUP($G34,$B$14:$B$18,$F$14:$F$18),MAX(IF(IFERROR(OFFSET(K36,0,_xlfn.XLOOKUP($G34,$B$14:$B$18,$C$14:$C$18)),0)=MAX($C36:$L36),_xlfn.MINIFS($C36:$L36,$C36:$L36,"&gt;0")*_xlfn.XLOOKUP($G34,$B$14:$B$18,$D$14:$D$18),IFERROR(OFFSET(K36,0,_xlfn.XLOOKUP($G34,$B$14:$B$18,$C$14:$C$18))*_xlfn.XLOOKUP($G34,$B$14:$B$18,$D$14:$D$18),0)),IFERROR(OFFSET(K36,0,_xlfn.XLOOKUP($G34,$B$14:$B$18,$E$14:$E$18))*_xlfn.XLOOKUP($G34,$B$14:$B$18,$F$14:$F$18),0),I39)))</f>
        <v>25</v>
      </c>
      <c r="L39" s="198">
        <f t="shared" ref="L39" ca="1" si="62">IF($I34="N",L36,IF($G34="1. In Flight",1,$G$14)*MIN(MAX($C36:$L36)*_xlfn.XLOOKUP($G34,$B$14:$B$18,$F$14:$F$18),MAX(IF(IFERROR(OFFSET(L36,0,_xlfn.XLOOKUP($G34,$B$14:$B$18,$C$14:$C$18)),0)=MAX($C36:$L36),_xlfn.MINIFS($C36:$L36,$C36:$L36,"&gt;0")*_xlfn.XLOOKUP($G34,$B$14:$B$18,$D$14:$D$18),IFERROR(OFFSET(L36,0,_xlfn.XLOOKUP($G34,$B$14:$B$18,$C$14:$C$18))*_xlfn.XLOOKUP($G34,$B$14:$B$18,$D$14:$D$18),0)),IFERROR(OFFSET(L36,0,_xlfn.XLOOKUP($G34,$B$14:$B$18,$E$14:$E$18))*_xlfn.XLOOKUP($G34,$B$14:$B$18,$F$14:$F$18),0),J39)))</f>
        <v>25</v>
      </c>
    </row>
    <row r="40" spans="1:12" ht="15" thickTop="1">
      <c r="A40" s="50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</row>
    <row r="41" spans="1:12" ht="15" thickBot="1">
      <c r="A41" s="231">
        <f>_xlfn.XLOOKUP(F41,FEED!D:D,FEED!E:E,FALSE)</f>
        <v>0</v>
      </c>
      <c r="B41" s="232"/>
      <c r="C41" s="188" t="s">
        <v>110</v>
      </c>
      <c r="D41" s="200"/>
      <c r="E41" s="189"/>
      <c r="F41" s="189" t="s">
        <v>34</v>
      </c>
      <c r="G41" s="189" t="str">
        <f>IFERROR(_xlfn.XLOOKUP(F41,FEED!$D:$D,FEED!$S:$S),$B$8)</f>
        <v>1. In Flight</v>
      </c>
      <c r="H41" s="189" t="str">
        <f>IFERROR(_xlfn.XLOOKUP(F41,FEED!$D:$D,FEED!$Y:$Y),"Major Load")</f>
        <v>Major Load</v>
      </c>
      <c r="I41" s="189" t="str">
        <f>IFERROR(_xlfn.XLOOKUP(F41,FEED!$D:$D,FEED!$C:$C),"N")</f>
        <v>Y</v>
      </c>
      <c r="J41" s="190"/>
      <c r="K41" s="190"/>
      <c r="L41" s="190"/>
    </row>
    <row r="42" spans="1:12" ht="15" thickBot="1">
      <c r="A42" s="191" t="str">
        <f t="shared" ref="A42" si="63">A70</f>
        <v>Uptake Scenario</v>
      </c>
      <c r="B42" s="192">
        <f>B28</f>
        <v>2023</v>
      </c>
      <c r="C42" s="192">
        <f t="shared" ref="C42:L42" si="64">C28</f>
        <v>2024</v>
      </c>
      <c r="D42" s="192">
        <f t="shared" si="64"/>
        <v>2025</v>
      </c>
      <c r="E42" s="192">
        <f t="shared" si="64"/>
        <v>2026</v>
      </c>
      <c r="F42" s="192">
        <f t="shared" si="64"/>
        <v>2027</v>
      </c>
      <c r="G42" s="192">
        <f t="shared" si="64"/>
        <v>2028</v>
      </c>
      <c r="H42" s="192">
        <f t="shared" si="64"/>
        <v>2029</v>
      </c>
      <c r="I42" s="192">
        <f t="shared" si="64"/>
        <v>2030</v>
      </c>
      <c r="J42" s="192">
        <f t="shared" si="64"/>
        <v>2031</v>
      </c>
      <c r="K42" s="192">
        <f t="shared" si="64"/>
        <v>2032</v>
      </c>
      <c r="L42" s="192">
        <f t="shared" si="64"/>
        <v>2033</v>
      </c>
    </row>
    <row r="43" spans="1:12" ht="15.6" thickTop="1" thickBot="1">
      <c r="A43" s="193" t="s">
        <v>111</v>
      </c>
      <c r="B43" s="194">
        <v>0</v>
      </c>
      <c r="C43" s="194">
        <f>SUMIF(FEED!$D:$D,$F41,FEED!F:F)+B43</f>
        <v>2</v>
      </c>
      <c r="D43" s="194">
        <f>SUMIF(FEED!$D:$D,$F41,FEED!G:G)+C43</f>
        <v>4</v>
      </c>
      <c r="E43" s="194">
        <f>SUMIF(FEED!$D:$D,$F41,FEED!H:H)+D43</f>
        <v>5</v>
      </c>
      <c r="F43" s="194">
        <f>SUMIF(FEED!$D:$D,$F41,FEED!I:I)+E43</f>
        <v>6</v>
      </c>
      <c r="G43" s="194">
        <f>SUMIF(FEED!$D:$D,$F41,FEED!J:J)+F43</f>
        <v>6</v>
      </c>
      <c r="H43" s="194">
        <f>SUMIF(FEED!$D:$D,$F41,FEED!K:K)+G43</f>
        <v>6</v>
      </c>
      <c r="I43" s="194">
        <f>SUMIF(FEED!$D:$D,$F41,FEED!L:L)+H43</f>
        <v>6</v>
      </c>
      <c r="J43" s="194">
        <f>SUMIF(FEED!$D:$D,$F41,FEED!M:M)+I43</f>
        <v>6</v>
      </c>
      <c r="K43" s="194">
        <f>SUMIF(FEED!$D:$D,$F41,FEED!N:N)+J43</f>
        <v>6</v>
      </c>
      <c r="L43" s="194">
        <f>SUMIF(FEED!$D:$D,$F41,FEED!O:O)+K43</f>
        <v>6</v>
      </c>
    </row>
    <row r="44" spans="1:12" ht="15" thickBot="1">
      <c r="A44" s="195" t="s">
        <v>107</v>
      </c>
      <c r="B44" s="196">
        <f>B43</f>
        <v>0</v>
      </c>
      <c r="C44" s="196">
        <f ca="1">IF($I41="N",C43,IF($G41="1. In Flight",1,$G$4)*MIN(MAX($C43:$L43)*_xlfn.XLOOKUP($G41,$B$4:$B$8,$F$4:$F$8),MAX(IF(IFERROR(OFFSET(C43,0,_xlfn.XLOOKUP($G41,$B$4:$B$8,$C$4:$C$8)),0)=MAX($C43:$L43),_xlfn.MINIFS($C43:$L43,$C43:$L43,"&gt;0")*_xlfn.XLOOKUP($G41,$B$4:$B$8,$D$4:$D$8),IFERROR(OFFSET(C43,0,_xlfn.XLOOKUP($G41,$B$4:$B$8,$C$4:$C$8))*_xlfn.XLOOKUP($G41,$B$4:$B$8,$D$4:$D$8),0)),IFERROR(OFFSET(C43,0,_xlfn.XLOOKUP($G41,$B$4:$B$8,$E$4:$E$8))*_xlfn.XLOOKUP($G41,$B$4:$B$8,$F$4:$F$8),0),A44)))</f>
        <v>0</v>
      </c>
      <c r="D44" s="196">
        <f t="shared" ref="D44" ca="1" si="65">IF($I41="N",D43,IF($G41="1. In Flight",1,$G$4)*MIN(MAX($C43:$L43)*_xlfn.XLOOKUP($G41,$B$4:$B$8,$F$4:$F$8),MAX(IF(IFERROR(OFFSET(D43,0,_xlfn.XLOOKUP($G41,$B$4:$B$8,$C$4:$C$8)),0)=MAX($C43:$L43),_xlfn.MINIFS($C43:$L43,$C43:$L43,"&gt;0")*_xlfn.XLOOKUP($G41,$B$4:$B$8,$D$4:$D$8),IFERROR(OFFSET(D43,0,_xlfn.XLOOKUP($G41,$B$4:$B$8,$C$4:$C$8))*_xlfn.XLOOKUP($G41,$B$4:$B$8,$D$4:$D$8),0)),IFERROR(OFFSET(D43,0,_xlfn.XLOOKUP($G41,$B$4:$B$8,$E$4:$E$8))*_xlfn.XLOOKUP($G41,$B$4:$B$8,$F$4:$F$8),0),B44)))</f>
        <v>1.8</v>
      </c>
      <c r="E44" s="196">
        <f t="shared" ref="E44" ca="1" si="66">IF($I41="N",E43,IF($G41="1. In Flight",1,$G$4)*MIN(MAX($C43:$L43)*_xlfn.XLOOKUP($G41,$B$4:$B$8,$F$4:$F$8),MAX(IF(IFERROR(OFFSET(E43,0,_xlfn.XLOOKUP($G41,$B$4:$B$8,$C$4:$C$8)),0)=MAX($C43:$L43),_xlfn.MINIFS($C43:$L43,$C43:$L43,"&gt;0")*_xlfn.XLOOKUP($G41,$B$4:$B$8,$D$4:$D$8),IFERROR(OFFSET(E43,0,_xlfn.XLOOKUP($G41,$B$4:$B$8,$C$4:$C$8))*_xlfn.XLOOKUP($G41,$B$4:$B$8,$D$4:$D$8),0)),IFERROR(OFFSET(E43,0,_xlfn.XLOOKUP($G41,$B$4:$B$8,$E$4:$E$8))*_xlfn.XLOOKUP($G41,$B$4:$B$8,$F$4:$F$8),0),C44)))</f>
        <v>3.6</v>
      </c>
      <c r="F44" s="196">
        <f t="shared" ref="F44" ca="1" si="67">IF($I41="N",F43,IF($G41="1. In Flight",1,$G$4)*MIN(MAX($C43:$L43)*_xlfn.XLOOKUP($G41,$B$4:$B$8,$F$4:$F$8),MAX(IF(IFERROR(OFFSET(F43,0,_xlfn.XLOOKUP($G41,$B$4:$B$8,$C$4:$C$8)),0)=MAX($C43:$L43),_xlfn.MINIFS($C43:$L43,$C43:$L43,"&gt;0")*_xlfn.XLOOKUP($G41,$B$4:$B$8,$D$4:$D$8),IFERROR(OFFSET(F43,0,_xlfn.XLOOKUP($G41,$B$4:$B$8,$C$4:$C$8))*_xlfn.XLOOKUP($G41,$B$4:$B$8,$D$4:$D$8),0)),IFERROR(OFFSET(F43,0,_xlfn.XLOOKUP($G41,$B$4:$B$8,$E$4:$E$8))*_xlfn.XLOOKUP($G41,$B$4:$B$8,$F$4:$F$8),0),D44)))</f>
        <v>4.1999999999999993</v>
      </c>
      <c r="G44" s="196">
        <f t="shared" ref="G44" ca="1" si="68">IF($I41="N",G43,IF($G41="1. In Flight",1,$G$4)*MIN(MAX($C43:$L43)*_xlfn.XLOOKUP($G41,$B$4:$B$8,$F$4:$F$8),MAX(IF(IFERROR(OFFSET(G43,0,_xlfn.XLOOKUP($G41,$B$4:$B$8,$C$4:$C$8)),0)=MAX($C43:$L43),_xlfn.MINIFS($C43:$L43,$C43:$L43,"&gt;0")*_xlfn.XLOOKUP($G41,$B$4:$B$8,$D$4:$D$8),IFERROR(OFFSET(G43,0,_xlfn.XLOOKUP($G41,$B$4:$B$8,$C$4:$C$8))*_xlfn.XLOOKUP($G41,$B$4:$B$8,$D$4:$D$8),0)),IFERROR(OFFSET(G43,0,_xlfn.XLOOKUP($G41,$B$4:$B$8,$E$4:$E$8))*_xlfn.XLOOKUP($G41,$B$4:$B$8,$F$4:$F$8),0),E44)))</f>
        <v>3.6</v>
      </c>
      <c r="H44" s="196">
        <f t="shared" ref="H44" ca="1" si="69">IF($I41="N",H43,IF($G41="1. In Flight",1,$G$4)*MIN(MAX($C43:$L43)*_xlfn.XLOOKUP($G41,$B$4:$B$8,$F$4:$F$8),MAX(IF(IFERROR(OFFSET(H43,0,_xlfn.XLOOKUP($G41,$B$4:$B$8,$C$4:$C$8)),0)=MAX($C43:$L43),_xlfn.MINIFS($C43:$L43,$C43:$L43,"&gt;0")*_xlfn.XLOOKUP($G41,$B$4:$B$8,$D$4:$D$8),IFERROR(OFFSET(H43,0,_xlfn.XLOOKUP($G41,$B$4:$B$8,$C$4:$C$8))*_xlfn.XLOOKUP($G41,$B$4:$B$8,$D$4:$D$8),0)),IFERROR(OFFSET(H43,0,_xlfn.XLOOKUP($G41,$B$4:$B$8,$E$4:$E$8))*_xlfn.XLOOKUP($G41,$B$4:$B$8,$F$4:$F$8),0),F44)))</f>
        <v>4.1999999999999993</v>
      </c>
      <c r="I44" s="196">
        <f t="shared" ref="I44" ca="1" si="70">IF($I41="N",I43,IF($G41="1. In Flight",1,$G$4)*MIN(MAX($C43:$L43)*_xlfn.XLOOKUP($G41,$B$4:$B$8,$F$4:$F$8),MAX(IF(IFERROR(OFFSET(I43,0,_xlfn.XLOOKUP($G41,$B$4:$B$8,$C$4:$C$8)),0)=MAX($C43:$L43),_xlfn.MINIFS($C43:$L43,$C43:$L43,"&gt;0")*_xlfn.XLOOKUP($G41,$B$4:$B$8,$D$4:$D$8),IFERROR(OFFSET(I43,0,_xlfn.XLOOKUP($G41,$B$4:$B$8,$C$4:$C$8))*_xlfn.XLOOKUP($G41,$B$4:$B$8,$D$4:$D$8),0)),IFERROR(OFFSET(I43,0,_xlfn.XLOOKUP($G41,$B$4:$B$8,$E$4:$E$8))*_xlfn.XLOOKUP($G41,$B$4:$B$8,$F$4:$F$8),0),G44)))</f>
        <v>4.1999999999999993</v>
      </c>
      <c r="J44" s="196">
        <f t="shared" ref="J44" ca="1" si="71">IF($I41="N",J43,IF($G41="1. In Flight",1,$G$4)*MIN(MAX($C43:$L43)*_xlfn.XLOOKUP($G41,$B$4:$B$8,$F$4:$F$8),MAX(IF(IFERROR(OFFSET(J43,0,_xlfn.XLOOKUP($G41,$B$4:$B$8,$C$4:$C$8)),0)=MAX($C43:$L43),_xlfn.MINIFS($C43:$L43,$C43:$L43,"&gt;0")*_xlfn.XLOOKUP($G41,$B$4:$B$8,$D$4:$D$8),IFERROR(OFFSET(J43,0,_xlfn.XLOOKUP($G41,$B$4:$B$8,$C$4:$C$8))*_xlfn.XLOOKUP($G41,$B$4:$B$8,$D$4:$D$8),0)),IFERROR(OFFSET(J43,0,_xlfn.XLOOKUP($G41,$B$4:$B$8,$E$4:$E$8))*_xlfn.XLOOKUP($G41,$B$4:$B$8,$F$4:$F$8),0),H44)))</f>
        <v>4.1999999999999993</v>
      </c>
      <c r="K44" s="196">
        <f t="shared" ref="K44" ca="1" si="72">IF($I41="N",K43,IF($G41="1. In Flight",1,$G$4)*MIN(MAX($C43:$L43)*_xlfn.XLOOKUP($G41,$B$4:$B$8,$F$4:$F$8),MAX(IF(IFERROR(OFFSET(K43,0,_xlfn.XLOOKUP($G41,$B$4:$B$8,$C$4:$C$8)),0)=MAX($C43:$L43),_xlfn.MINIFS($C43:$L43,$C43:$L43,"&gt;0")*_xlfn.XLOOKUP($G41,$B$4:$B$8,$D$4:$D$8),IFERROR(OFFSET(K43,0,_xlfn.XLOOKUP($G41,$B$4:$B$8,$C$4:$C$8))*_xlfn.XLOOKUP($G41,$B$4:$B$8,$D$4:$D$8),0)),IFERROR(OFFSET(K43,0,_xlfn.XLOOKUP($G41,$B$4:$B$8,$E$4:$E$8))*_xlfn.XLOOKUP($G41,$B$4:$B$8,$F$4:$F$8),0),I44)))</f>
        <v>4.1999999999999993</v>
      </c>
      <c r="L44" s="196">
        <f t="shared" ref="L44" ca="1" si="73">IF($I41="N",L43,IF($G41="1. In Flight",1,$G$4)*MIN(MAX($C43:$L43)*_xlfn.XLOOKUP($G41,$B$4:$B$8,$F$4:$F$8),MAX(IF(IFERROR(OFFSET(L43,0,_xlfn.XLOOKUP($G41,$B$4:$B$8,$C$4:$C$8)),0)=MAX($C43:$L43),_xlfn.MINIFS($C43:$L43,$C43:$L43,"&gt;0")*_xlfn.XLOOKUP($G41,$B$4:$B$8,$D$4:$D$8),IFERROR(OFFSET(L43,0,_xlfn.XLOOKUP($G41,$B$4:$B$8,$C$4:$C$8))*_xlfn.XLOOKUP($G41,$B$4:$B$8,$D$4:$D$8),0)),IFERROR(OFFSET(L43,0,_xlfn.XLOOKUP($G41,$B$4:$B$8,$E$4:$E$8))*_xlfn.XLOOKUP($G41,$B$4:$B$8,$F$4:$F$8),0),J44)))</f>
        <v>4.1999999999999993</v>
      </c>
    </row>
    <row r="45" spans="1:12" ht="15" thickBot="1">
      <c r="A45" s="195" t="s">
        <v>108</v>
      </c>
      <c r="B45" s="196">
        <f>B43</f>
        <v>0</v>
      </c>
      <c r="C45" s="196">
        <f ca="1">IF($I41="N",C43,IF($G41="1. In Flight",1,$G$9)*MIN(MAX($C43:$L43)*_xlfn.XLOOKUP($G41,$B$9:$B$13,$F$9:$F$13),MAX(IF(IFERROR(OFFSET(C43,0,_xlfn.XLOOKUP($G41,$B$9:$B$13,$C$9:$C$13)),0)=MAX($C43:$L43),_xlfn.MINIFS($C43:$L43,$C43:$L43,"&gt;0")*_xlfn.XLOOKUP($G41,$B$9:$B$13,$D$9:$D$13),IFERROR(OFFSET(C43,0,_xlfn.XLOOKUP($G41,$B$9:$B$13,$C$9:$C$13))*_xlfn.XLOOKUP($G41,$B$9:$B$13,$D$9:$D$13),0)),IFERROR(OFFSET(C43,0,_xlfn.XLOOKUP($G41,$B$9:$B$13,$E$9:$E$13))*_xlfn.XLOOKUP($G41,$B$9:$B$13,$F$9:$F$13),0),A45)))</f>
        <v>0</v>
      </c>
      <c r="D45" s="196">
        <f t="shared" ref="D45" ca="1" si="74">IF($I41="N",D43,IF($G41="1. In Flight",1,$G$9)*MIN(MAX($C43:$L43)*_xlfn.XLOOKUP($G41,$B$9:$B$13,$F$9:$F$13),MAX(IF(IFERROR(OFFSET(D43,0,_xlfn.XLOOKUP($G41,$B$9:$B$13,$C$9:$C$13)),0)=MAX($C43:$L43),_xlfn.MINIFS($C43:$L43,$C43:$L43,"&gt;0")*_xlfn.XLOOKUP($G41,$B$9:$B$13,$D$9:$D$13),IFERROR(OFFSET(D43,0,_xlfn.XLOOKUP($G41,$B$9:$B$13,$C$9:$C$13))*_xlfn.XLOOKUP($G41,$B$9:$B$13,$D$9:$D$13),0)),IFERROR(OFFSET(D43,0,_xlfn.XLOOKUP($G41,$B$9:$B$13,$E$9:$E$13))*_xlfn.XLOOKUP($G41,$B$9:$B$13,$F$9:$F$13),0),B45)))</f>
        <v>0</v>
      </c>
      <c r="E45" s="196">
        <f t="shared" ref="E45" ca="1" si="75">IF($I41="N",E43,IF($G41="1. In Flight",1,$G$9)*MIN(MAX($C43:$L43)*_xlfn.XLOOKUP($G41,$B$9:$B$13,$F$9:$F$13),MAX(IF(IFERROR(OFFSET(E43,0,_xlfn.XLOOKUP($G41,$B$9:$B$13,$C$9:$C$13)),0)=MAX($C43:$L43),_xlfn.MINIFS($C43:$L43,$C43:$L43,"&gt;0")*_xlfn.XLOOKUP($G41,$B$9:$B$13,$D$9:$D$13),IFERROR(OFFSET(E43,0,_xlfn.XLOOKUP($G41,$B$9:$B$13,$C$9:$C$13))*_xlfn.XLOOKUP($G41,$B$9:$B$13,$D$9:$D$13),0)),IFERROR(OFFSET(E43,0,_xlfn.XLOOKUP($G41,$B$9:$B$13,$E$9:$E$13))*_xlfn.XLOOKUP($G41,$B$9:$B$13,$F$9:$F$13),0),C45)))</f>
        <v>1.2</v>
      </c>
      <c r="F45" s="196">
        <f t="shared" ref="F45" ca="1" si="76">IF($I41="N",F43,IF($G41="1. In Flight",1,$G$9)*MIN(MAX($C43:$L43)*_xlfn.XLOOKUP($G41,$B$9:$B$13,$F$9:$F$13),MAX(IF(IFERROR(OFFSET(F43,0,_xlfn.XLOOKUP($G41,$B$9:$B$13,$C$9:$C$13)),0)=MAX($C43:$L43),_xlfn.MINIFS($C43:$L43,$C43:$L43,"&gt;0")*_xlfn.XLOOKUP($G41,$B$9:$B$13,$D$9:$D$13),IFERROR(OFFSET(F43,0,_xlfn.XLOOKUP($G41,$B$9:$B$13,$C$9:$C$13))*_xlfn.XLOOKUP($G41,$B$9:$B$13,$D$9:$D$13),0)),IFERROR(OFFSET(F43,0,_xlfn.XLOOKUP($G41,$B$9:$B$13,$E$9:$E$13))*_xlfn.XLOOKUP($G41,$B$9:$B$13,$F$9:$F$13),0),D45)))</f>
        <v>2.4</v>
      </c>
      <c r="G45" s="196">
        <f t="shared" ref="G45" ca="1" si="77">IF($I41="N",G43,IF($G41="1. In Flight",1,$G$9)*MIN(MAX($C43:$L43)*_xlfn.XLOOKUP($G41,$B$9:$B$13,$F$9:$F$13),MAX(IF(IFERROR(OFFSET(G43,0,_xlfn.XLOOKUP($G41,$B$9:$B$13,$C$9:$C$13)),0)=MAX($C43:$L43),_xlfn.MINIFS($C43:$L43,$C43:$L43,"&gt;0")*_xlfn.XLOOKUP($G41,$B$9:$B$13,$D$9:$D$13),IFERROR(OFFSET(G43,0,_xlfn.XLOOKUP($G41,$B$9:$B$13,$C$9:$C$13))*_xlfn.XLOOKUP($G41,$B$9:$B$13,$D$9:$D$13),0)),IFERROR(OFFSET(G43,0,_xlfn.XLOOKUP($G41,$B$9:$B$13,$E$9:$E$13))*_xlfn.XLOOKUP($G41,$B$9:$B$13,$F$9:$F$13),0),E45)))</f>
        <v>3</v>
      </c>
      <c r="H45" s="196">
        <f t="shared" ref="H45" ca="1" si="78">IF($I41="N",H43,IF($G41="1. In Flight",1,$G$9)*MIN(MAX($C43:$L43)*_xlfn.XLOOKUP($G41,$B$9:$B$13,$F$9:$F$13),MAX(IF(IFERROR(OFFSET(H43,0,_xlfn.XLOOKUP($G41,$B$9:$B$13,$C$9:$C$13)),0)=MAX($C43:$L43),_xlfn.MINIFS($C43:$L43,$C43:$L43,"&gt;0")*_xlfn.XLOOKUP($G41,$B$9:$B$13,$D$9:$D$13),IFERROR(OFFSET(H43,0,_xlfn.XLOOKUP($G41,$B$9:$B$13,$C$9:$C$13))*_xlfn.XLOOKUP($G41,$B$9:$B$13,$D$9:$D$13),0)),IFERROR(OFFSET(H43,0,_xlfn.XLOOKUP($G41,$B$9:$B$13,$E$9:$E$13))*_xlfn.XLOOKUP($G41,$B$9:$B$13,$F$9:$F$13),0),F45)))</f>
        <v>2.4</v>
      </c>
      <c r="I45" s="196">
        <f t="shared" ref="I45" ca="1" si="79">IF($I41="N",I43,IF($G41="1. In Flight",1,$G$9)*MIN(MAX($C43:$L43)*_xlfn.XLOOKUP($G41,$B$9:$B$13,$F$9:$F$13),MAX(IF(IFERROR(OFFSET(I43,0,_xlfn.XLOOKUP($G41,$B$9:$B$13,$C$9:$C$13)),0)=MAX($C43:$L43),_xlfn.MINIFS($C43:$L43,$C43:$L43,"&gt;0")*_xlfn.XLOOKUP($G41,$B$9:$B$13,$D$9:$D$13),IFERROR(OFFSET(I43,0,_xlfn.XLOOKUP($G41,$B$9:$B$13,$C$9:$C$13))*_xlfn.XLOOKUP($G41,$B$9:$B$13,$D$9:$D$13),0)),IFERROR(OFFSET(I43,0,_xlfn.XLOOKUP($G41,$B$9:$B$13,$E$9:$E$13))*_xlfn.XLOOKUP($G41,$B$9:$B$13,$F$9:$F$13),0),G45)))</f>
        <v>3</v>
      </c>
      <c r="J45" s="196">
        <f t="shared" ref="J45" ca="1" si="80">IF($I41="N",J43,IF($G41="1. In Flight",1,$G$9)*MIN(MAX($C43:$L43)*_xlfn.XLOOKUP($G41,$B$9:$B$13,$F$9:$F$13),MAX(IF(IFERROR(OFFSET(J43,0,_xlfn.XLOOKUP($G41,$B$9:$B$13,$C$9:$C$13)),0)=MAX($C43:$L43),_xlfn.MINIFS($C43:$L43,$C43:$L43,"&gt;0")*_xlfn.XLOOKUP($G41,$B$9:$B$13,$D$9:$D$13),IFERROR(OFFSET(J43,0,_xlfn.XLOOKUP($G41,$B$9:$B$13,$C$9:$C$13))*_xlfn.XLOOKUP($G41,$B$9:$B$13,$D$9:$D$13),0)),IFERROR(OFFSET(J43,0,_xlfn.XLOOKUP($G41,$B$9:$B$13,$E$9:$E$13))*_xlfn.XLOOKUP($G41,$B$9:$B$13,$F$9:$F$13),0),H45)))</f>
        <v>3</v>
      </c>
      <c r="K45" s="196">
        <f t="shared" ref="K45" ca="1" si="81">IF($I41="N",K43,IF($G41="1. In Flight",1,$G$9)*MIN(MAX($C43:$L43)*_xlfn.XLOOKUP($G41,$B$9:$B$13,$F$9:$F$13),MAX(IF(IFERROR(OFFSET(K43,0,_xlfn.XLOOKUP($G41,$B$9:$B$13,$C$9:$C$13)),0)=MAX($C43:$L43),_xlfn.MINIFS($C43:$L43,$C43:$L43,"&gt;0")*_xlfn.XLOOKUP($G41,$B$9:$B$13,$D$9:$D$13),IFERROR(OFFSET(K43,0,_xlfn.XLOOKUP($G41,$B$9:$B$13,$C$9:$C$13))*_xlfn.XLOOKUP($G41,$B$9:$B$13,$D$9:$D$13),0)),IFERROR(OFFSET(K43,0,_xlfn.XLOOKUP($G41,$B$9:$B$13,$E$9:$E$13))*_xlfn.XLOOKUP($G41,$B$9:$B$13,$F$9:$F$13),0),I45)))</f>
        <v>3.5999999999999996</v>
      </c>
      <c r="L45" s="196">
        <f t="shared" ref="L45" ca="1" si="82">IF($I41="N",L43,IF($G41="1. In Flight",1,$G$9)*MIN(MAX($C43:$L43)*_xlfn.XLOOKUP($G41,$B$9:$B$13,$F$9:$F$13),MAX(IF(IFERROR(OFFSET(L43,0,_xlfn.XLOOKUP($G41,$B$9:$B$13,$C$9:$C$13)),0)=MAX($C43:$L43),_xlfn.MINIFS($C43:$L43,$C43:$L43,"&gt;0")*_xlfn.XLOOKUP($G41,$B$9:$B$13,$D$9:$D$13),IFERROR(OFFSET(L43,0,_xlfn.XLOOKUP($G41,$B$9:$B$13,$C$9:$C$13))*_xlfn.XLOOKUP($G41,$B$9:$B$13,$D$9:$D$13),0)),IFERROR(OFFSET(L43,0,_xlfn.XLOOKUP($G41,$B$9:$B$13,$E$9:$E$13))*_xlfn.XLOOKUP($G41,$B$9:$B$13,$F$9:$F$13),0),J45)))</f>
        <v>3.5999999999999996</v>
      </c>
    </row>
    <row r="46" spans="1:12" ht="15" thickBot="1">
      <c r="A46" s="197" t="s">
        <v>109</v>
      </c>
      <c r="B46" s="198">
        <f>B43</f>
        <v>0</v>
      </c>
      <c r="C46" s="198">
        <f ca="1">IF($I41="N",C43,IF($G41="1. In Flight",1,$G$14)*MIN(MAX($C43:$L43)*_xlfn.XLOOKUP($G41,$B$14:$B$18,$F$14:$F$18),MAX(IF(IFERROR(OFFSET(C43,0,_xlfn.XLOOKUP($G41,$B$14:$B$18,$C$14:$C$18)),0)=MAX($C43:$L43),_xlfn.MINIFS($C43:$L43,$C43:$L43,"&gt;0")*_xlfn.XLOOKUP($G41,$B$14:$B$18,$D$14:$D$18),IFERROR(OFFSET(C43,0,_xlfn.XLOOKUP($G41,$B$14:$B$18,$C$14:$C$18))*_xlfn.XLOOKUP($G41,$B$14:$B$18,$D$14:$D$18),0)),IFERROR(OFFSET(C43,0,_xlfn.XLOOKUP($G41,$B$14:$B$18,$E$14:$E$18))*_xlfn.XLOOKUP($G41,$B$14:$B$18,$F$14:$F$18),0),A46)))</f>
        <v>2</v>
      </c>
      <c r="D46" s="198">
        <f t="shared" ref="D46" ca="1" si="83">IF($I41="N",D43,IF($G41="1. In Flight",1,$G$14)*MIN(MAX($C43:$L43)*_xlfn.XLOOKUP($G41,$B$14:$B$18,$F$14:$F$18),MAX(IF(IFERROR(OFFSET(D43,0,_xlfn.XLOOKUP($G41,$B$14:$B$18,$C$14:$C$18)),0)=MAX($C43:$L43),_xlfn.MINIFS($C43:$L43,$C43:$L43,"&gt;0")*_xlfn.XLOOKUP($G41,$B$14:$B$18,$D$14:$D$18),IFERROR(OFFSET(D43,0,_xlfn.XLOOKUP($G41,$B$14:$B$18,$C$14:$C$18))*_xlfn.XLOOKUP($G41,$B$14:$B$18,$D$14:$D$18),0)),IFERROR(OFFSET(D43,0,_xlfn.XLOOKUP($G41,$B$14:$B$18,$E$14:$E$18))*_xlfn.XLOOKUP($G41,$B$14:$B$18,$F$14:$F$18),0),B46)))</f>
        <v>4</v>
      </c>
      <c r="E46" s="198">
        <f t="shared" ref="E46" ca="1" si="84">IF($I41="N",E43,IF($G41="1. In Flight",1,$G$14)*MIN(MAX($C43:$L43)*_xlfn.XLOOKUP($G41,$B$14:$B$18,$F$14:$F$18),MAX(IF(IFERROR(OFFSET(E43,0,_xlfn.XLOOKUP($G41,$B$14:$B$18,$C$14:$C$18)),0)=MAX($C43:$L43),_xlfn.MINIFS($C43:$L43,$C43:$L43,"&gt;0")*_xlfn.XLOOKUP($G41,$B$14:$B$18,$D$14:$D$18),IFERROR(OFFSET(E43,0,_xlfn.XLOOKUP($G41,$B$14:$B$18,$C$14:$C$18))*_xlfn.XLOOKUP($G41,$B$14:$B$18,$D$14:$D$18),0)),IFERROR(OFFSET(E43,0,_xlfn.XLOOKUP($G41,$B$14:$B$18,$E$14:$E$18))*_xlfn.XLOOKUP($G41,$B$14:$B$18,$F$14:$F$18),0),C46)))</f>
        <v>5</v>
      </c>
      <c r="F46" s="198">
        <f t="shared" ref="F46" ca="1" si="85">IF($I41="N",F43,IF($G41="1. In Flight",1,$G$14)*MIN(MAX($C43:$L43)*_xlfn.XLOOKUP($G41,$B$14:$B$18,$F$14:$F$18),MAX(IF(IFERROR(OFFSET(F43,0,_xlfn.XLOOKUP($G41,$B$14:$B$18,$C$14:$C$18)),0)=MAX($C43:$L43),_xlfn.MINIFS($C43:$L43,$C43:$L43,"&gt;0")*_xlfn.XLOOKUP($G41,$B$14:$B$18,$D$14:$D$18),IFERROR(OFFSET(F43,0,_xlfn.XLOOKUP($G41,$B$14:$B$18,$C$14:$C$18))*_xlfn.XLOOKUP($G41,$B$14:$B$18,$D$14:$D$18),0)),IFERROR(OFFSET(F43,0,_xlfn.XLOOKUP($G41,$B$14:$B$18,$E$14:$E$18))*_xlfn.XLOOKUP($G41,$B$14:$B$18,$F$14:$F$18),0),D46)))</f>
        <v>4</v>
      </c>
      <c r="G46" s="198">
        <f t="shared" ref="G46" ca="1" si="86">IF($I41="N",G43,IF($G41="1. In Flight",1,$G$14)*MIN(MAX($C43:$L43)*_xlfn.XLOOKUP($G41,$B$14:$B$18,$F$14:$F$18),MAX(IF(IFERROR(OFFSET(G43,0,_xlfn.XLOOKUP($G41,$B$14:$B$18,$C$14:$C$18)),0)=MAX($C43:$L43),_xlfn.MINIFS($C43:$L43,$C43:$L43,"&gt;0")*_xlfn.XLOOKUP($G41,$B$14:$B$18,$D$14:$D$18),IFERROR(OFFSET(G43,0,_xlfn.XLOOKUP($G41,$B$14:$B$18,$C$14:$C$18))*_xlfn.XLOOKUP($G41,$B$14:$B$18,$D$14:$D$18),0)),IFERROR(OFFSET(G43,0,_xlfn.XLOOKUP($G41,$B$14:$B$18,$E$14:$E$18))*_xlfn.XLOOKUP($G41,$B$14:$B$18,$F$14:$F$18),0),E46)))</f>
        <v>5</v>
      </c>
      <c r="H46" s="198">
        <f t="shared" ref="H46" ca="1" si="87">IF($I41="N",H43,IF($G41="1. In Flight",1,$G$14)*MIN(MAX($C43:$L43)*_xlfn.XLOOKUP($G41,$B$14:$B$18,$F$14:$F$18),MAX(IF(IFERROR(OFFSET(H43,0,_xlfn.XLOOKUP($G41,$B$14:$B$18,$C$14:$C$18)),0)=MAX($C43:$L43),_xlfn.MINIFS($C43:$L43,$C43:$L43,"&gt;0")*_xlfn.XLOOKUP($G41,$B$14:$B$18,$D$14:$D$18),IFERROR(OFFSET(H43,0,_xlfn.XLOOKUP($G41,$B$14:$B$18,$C$14:$C$18))*_xlfn.XLOOKUP($G41,$B$14:$B$18,$D$14:$D$18),0)),IFERROR(OFFSET(H43,0,_xlfn.XLOOKUP($G41,$B$14:$B$18,$E$14:$E$18))*_xlfn.XLOOKUP($G41,$B$14:$B$18,$F$14:$F$18),0),F46)))</f>
        <v>6</v>
      </c>
      <c r="I46" s="198">
        <f t="shared" ref="I46" ca="1" si="88">IF($I41="N",I43,IF($G41="1. In Flight",1,$G$14)*MIN(MAX($C43:$L43)*_xlfn.XLOOKUP($G41,$B$14:$B$18,$F$14:$F$18),MAX(IF(IFERROR(OFFSET(I43,0,_xlfn.XLOOKUP($G41,$B$14:$B$18,$C$14:$C$18)),0)=MAX($C43:$L43),_xlfn.MINIFS($C43:$L43,$C43:$L43,"&gt;0")*_xlfn.XLOOKUP($G41,$B$14:$B$18,$D$14:$D$18),IFERROR(OFFSET(I43,0,_xlfn.XLOOKUP($G41,$B$14:$B$18,$C$14:$C$18))*_xlfn.XLOOKUP($G41,$B$14:$B$18,$D$14:$D$18),0)),IFERROR(OFFSET(I43,0,_xlfn.XLOOKUP($G41,$B$14:$B$18,$E$14:$E$18))*_xlfn.XLOOKUP($G41,$B$14:$B$18,$F$14:$F$18),0),G46)))</f>
        <v>6</v>
      </c>
      <c r="J46" s="198">
        <f t="shared" ref="J46" ca="1" si="89">IF($I41="N",J43,IF($G41="1. In Flight",1,$G$14)*MIN(MAX($C43:$L43)*_xlfn.XLOOKUP($G41,$B$14:$B$18,$F$14:$F$18),MAX(IF(IFERROR(OFFSET(J43,0,_xlfn.XLOOKUP($G41,$B$14:$B$18,$C$14:$C$18)),0)=MAX($C43:$L43),_xlfn.MINIFS($C43:$L43,$C43:$L43,"&gt;0")*_xlfn.XLOOKUP($G41,$B$14:$B$18,$D$14:$D$18),IFERROR(OFFSET(J43,0,_xlfn.XLOOKUP($G41,$B$14:$B$18,$C$14:$C$18))*_xlfn.XLOOKUP($G41,$B$14:$B$18,$D$14:$D$18),0)),IFERROR(OFFSET(J43,0,_xlfn.XLOOKUP($G41,$B$14:$B$18,$E$14:$E$18))*_xlfn.XLOOKUP($G41,$B$14:$B$18,$F$14:$F$18),0),H46)))</f>
        <v>6</v>
      </c>
      <c r="K46" s="198">
        <f t="shared" ref="K46" ca="1" si="90">IF($I41="N",K43,IF($G41="1. In Flight",1,$G$14)*MIN(MAX($C43:$L43)*_xlfn.XLOOKUP($G41,$B$14:$B$18,$F$14:$F$18),MAX(IF(IFERROR(OFFSET(K43,0,_xlfn.XLOOKUP($G41,$B$14:$B$18,$C$14:$C$18)),0)=MAX($C43:$L43),_xlfn.MINIFS($C43:$L43,$C43:$L43,"&gt;0")*_xlfn.XLOOKUP($G41,$B$14:$B$18,$D$14:$D$18),IFERROR(OFFSET(K43,0,_xlfn.XLOOKUP($G41,$B$14:$B$18,$C$14:$C$18))*_xlfn.XLOOKUP($G41,$B$14:$B$18,$D$14:$D$18),0)),IFERROR(OFFSET(K43,0,_xlfn.XLOOKUP($G41,$B$14:$B$18,$E$14:$E$18))*_xlfn.XLOOKUP($G41,$B$14:$B$18,$F$14:$F$18),0),I46)))</f>
        <v>6</v>
      </c>
      <c r="L46" s="198">
        <f t="shared" ref="L46" ca="1" si="91">IF($I41="N",L43,IF($G41="1. In Flight",1,$G$14)*MIN(MAX($C43:$L43)*_xlfn.XLOOKUP($G41,$B$14:$B$18,$F$14:$F$18),MAX(IF(IFERROR(OFFSET(L43,0,_xlfn.XLOOKUP($G41,$B$14:$B$18,$C$14:$C$18)),0)=MAX($C43:$L43),_xlfn.MINIFS($C43:$L43,$C43:$L43,"&gt;0")*_xlfn.XLOOKUP($G41,$B$14:$B$18,$D$14:$D$18),IFERROR(OFFSET(L43,0,_xlfn.XLOOKUP($G41,$B$14:$B$18,$C$14:$C$18))*_xlfn.XLOOKUP($G41,$B$14:$B$18,$D$14:$D$18),0)),IFERROR(OFFSET(L43,0,_xlfn.XLOOKUP($G41,$B$14:$B$18,$E$14:$E$18))*_xlfn.XLOOKUP($G41,$B$14:$B$18,$F$14:$F$18),0),J46)))</f>
        <v>6</v>
      </c>
    </row>
    <row r="47" spans="1:12" ht="15" thickTop="1"/>
    <row r="48" spans="1:12" ht="15" thickBot="1">
      <c r="A48" s="231">
        <f>_xlfn.XLOOKUP(F48,FEED!D:D,FEED!E:E,FALSE)</f>
        <v>0</v>
      </c>
      <c r="B48" s="232"/>
      <c r="C48" s="188" t="s">
        <v>110</v>
      </c>
      <c r="D48" s="200"/>
      <c r="E48" s="189"/>
      <c r="F48" s="189" t="s">
        <v>35</v>
      </c>
      <c r="G48" s="189" t="str">
        <f>IFERROR(_xlfn.XLOOKUP(F48,FEED!$D:$D,FEED!$S:$S),$B$8)</f>
        <v>2. High</v>
      </c>
      <c r="H48" s="189" t="str">
        <f>IFERROR(_xlfn.XLOOKUP(F48,FEED!$D:$D,FEED!$Y:$Y),"Major Load")</f>
        <v>Major Load</v>
      </c>
      <c r="I48" s="189" t="str">
        <f>IFERROR(_xlfn.XLOOKUP(F48,FEED!$D:$D,FEED!$C:$C),"N")</f>
        <v>Y</v>
      </c>
      <c r="J48" s="190"/>
      <c r="K48" s="190"/>
      <c r="L48" s="190"/>
    </row>
    <row r="49" spans="1:12" ht="15" thickBot="1">
      <c r="A49" s="191" t="str">
        <f t="shared" ref="A49" si="92">A77</f>
        <v>Uptake Scenario</v>
      </c>
      <c r="B49" s="192">
        <f>B35</f>
        <v>2023</v>
      </c>
      <c r="C49" s="192">
        <f t="shared" ref="C49:L49" si="93">C35</f>
        <v>2024</v>
      </c>
      <c r="D49" s="192">
        <f t="shared" si="93"/>
        <v>2025</v>
      </c>
      <c r="E49" s="192">
        <f t="shared" si="93"/>
        <v>2026</v>
      </c>
      <c r="F49" s="192">
        <f t="shared" si="93"/>
        <v>2027</v>
      </c>
      <c r="G49" s="192">
        <f t="shared" si="93"/>
        <v>2028</v>
      </c>
      <c r="H49" s="192">
        <f t="shared" si="93"/>
        <v>2029</v>
      </c>
      <c r="I49" s="192">
        <f t="shared" si="93"/>
        <v>2030</v>
      </c>
      <c r="J49" s="192">
        <f t="shared" si="93"/>
        <v>2031</v>
      </c>
      <c r="K49" s="192">
        <f t="shared" si="93"/>
        <v>2032</v>
      </c>
      <c r="L49" s="192">
        <f t="shared" si="93"/>
        <v>2033</v>
      </c>
    </row>
    <row r="50" spans="1:12" ht="15.6" thickTop="1" thickBot="1">
      <c r="A50" s="193" t="s">
        <v>111</v>
      </c>
      <c r="B50" s="194">
        <v>0</v>
      </c>
      <c r="C50" s="194">
        <f>SUMIF(FEED!$D:$D,$F48,FEED!F:F)+B50</f>
        <v>0</v>
      </c>
      <c r="D50" s="194">
        <f>SUMIF(FEED!$D:$D,$F48,FEED!G:G)+C50</f>
        <v>6</v>
      </c>
      <c r="E50" s="194">
        <f>SUMIF(FEED!$D:$D,$F48,FEED!H:H)+D50</f>
        <v>6</v>
      </c>
      <c r="F50" s="194">
        <f>SUMIF(FEED!$D:$D,$F48,FEED!I:I)+E50</f>
        <v>6</v>
      </c>
      <c r="G50" s="194">
        <f>SUMIF(FEED!$D:$D,$F48,FEED!J:J)+F50</f>
        <v>6</v>
      </c>
      <c r="H50" s="194">
        <f>SUMIF(FEED!$D:$D,$F48,FEED!K:K)+G50</f>
        <v>6</v>
      </c>
      <c r="I50" s="194">
        <f>SUMIF(FEED!$D:$D,$F48,FEED!L:L)+H50</f>
        <v>6</v>
      </c>
      <c r="J50" s="194">
        <f>SUMIF(FEED!$D:$D,$F48,FEED!M:M)+I50</f>
        <v>6</v>
      </c>
      <c r="K50" s="194">
        <f>SUMIF(FEED!$D:$D,$F48,FEED!N:N)+J50</f>
        <v>6</v>
      </c>
      <c r="L50" s="194">
        <f>SUMIF(FEED!$D:$D,$F48,FEED!O:O)+K50</f>
        <v>6</v>
      </c>
    </row>
    <row r="51" spans="1:12" ht="15" thickBot="1">
      <c r="A51" s="195" t="s">
        <v>107</v>
      </c>
      <c r="B51" s="196">
        <f>B50</f>
        <v>0</v>
      </c>
      <c r="C51" s="196">
        <f ca="1">IF($I48="N",C50,IF($G48="1. In Flight",1,$G$4)*MIN(MAX($C50:$L50)*_xlfn.XLOOKUP($G48,$B$4:$B$8,$F$4:$F$8),MAX(IF(IFERROR(OFFSET(C50,0,_xlfn.XLOOKUP($G48,$B$4:$B$8,$C$4:$C$8)),0)=MAX($C50:$L50),_xlfn.MINIFS($C50:$L50,$C50:$L50,"&gt;0")*_xlfn.XLOOKUP($G48,$B$4:$B$8,$D$4:$D$8),IFERROR(OFFSET(C50,0,_xlfn.XLOOKUP($G48,$B$4:$B$8,$C$4:$C$8))*_xlfn.XLOOKUP($G48,$B$4:$B$8,$D$4:$D$8),0)),IFERROR(OFFSET(C50,0,_xlfn.XLOOKUP($G48,$B$4:$B$8,$E$4:$E$8))*_xlfn.XLOOKUP($G48,$B$4:$B$8,$F$4:$F$8),0),A51)))</f>
        <v>0</v>
      </c>
      <c r="D51" s="196">
        <f t="shared" ref="D51" ca="1" si="94">IF($I48="N",D50,IF($G48="1. In Flight",1,$G$4)*MIN(MAX($C50:$L50)*_xlfn.XLOOKUP($G48,$B$4:$B$8,$F$4:$F$8),MAX(IF(IFERROR(OFFSET(D50,0,_xlfn.XLOOKUP($G48,$B$4:$B$8,$C$4:$C$8)),0)=MAX($C50:$L50),_xlfn.MINIFS($C50:$L50,$C50:$L50,"&gt;0")*_xlfn.XLOOKUP($G48,$B$4:$B$8,$D$4:$D$8),IFERROR(OFFSET(D50,0,_xlfn.XLOOKUP($G48,$B$4:$B$8,$C$4:$C$8))*_xlfn.XLOOKUP($G48,$B$4:$B$8,$D$4:$D$8),0)),IFERROR(OFFSET(D50,0,_xlfn.XLOOKUP($G48,$B$4:$B$8,$E$4:$E$8))*_xlfn.XLOOKUP($G48,$B$4:$B$8,$F$4:$F$8),0),B51)))</f>
        <v>0</v>
      </c>
      <c r="E51" s="196">
        <f t="shared" ref="E51" ca="1" si="95">IF($I48="N",E50,IF($G48="1. In Flight",1,$G$4)*MIN(MAX($C50:$L50)*_xlfn.XLOOKUP($G48,$B$4:$B$8,$F$4:$F$8),MAX(IF(IFERROR(OFFSET(E50,0,_xlfn.XLOOKUP($G48,$B$4:$B$8,$C$4:$C$8)),0)=MAX($C50:$L50),_xlfn.MINIFS($C50:$L50,$C50:$L50,"&gt;0")*_xlfn.XLOOKUP($G48,$B$4:$B$8,$D$4:$D$8),IFERROR(OFFSET(E50,0,_xlfn.XLOOKUP($G48,$B$4:$B$8,$C$4:$C$8))*_xlfn.XLOOKUP($G48,$B$4:$B$8,$D$4:$D$8),0)),IFERROR(OFFSET(E50,0,_xlfn.XLOOKUP($G48,$B$4:$B$8,$E$4:$E$8))*_xlfn.XLOOKUP($G48,$B$4:$B$8,$F$4:$F$8),0),C51)))</f>
        <v>0</v>
      </c>
      <c r="F51" s="196">
        <f t="shared" ref="F51" ca="1" si="96">IF($I48="N",F50,IF($G48="1. In Flight",1,$G$4)*MIN(MAX($C50:$L50)*_xlfn.XLOOKUP($G48,$B$4:$B$8,$F$4:$F$8),MAX(IF(IFERROR(OFFSET(F50,0,_xlfn.XLOOKUP($G48,$B$4:$B$8,$C$4:$C$8)),0)=MAX($C50:$L50),_xlfn.MINIFS($C50:$L50,$C50:$L50,"&gt;0")*_xlfn.XLOOKUP($G48,$B$4:$B$8,$D$4:$D$8),IFERROR(OFFSET(F50,0,_xlfn.XLOOKUP($G48,$B$4:$B$8,$C$4:$C$8))*_xlfn.XLOOKUP($G48,$B$4:$B$8,$D$4:$D$8),0)),IFERROR(OFFSET(F50,0,_xlfn.XLOOKUP($G48,$B$4:$B$8,$E$4:$E$8))*_xlfn.XLOOKUP($G48,$B$4:$B$8,$F$4:$F$8),0),D51)))</f>
        <v>2.0999999999999996</v>
      </c>
      <c r="G51" s="196">
        <f t="shared" ref="G51" ca="1" si="97">IF($I48="N",G50,IF($G48="1. In Flight",1,$G$4)*MIN(MAX($C50:$L50)*_xlfn.XLOOKUP($G48,$B$4:$B$8,$F$4:$F$8),MAX(IF(IFERROR(OFFSET(G50,0,_xlfn.XLOOKUP($G48,$B$4:$B$8,$C$4:$C$8)),0)=MAX($C50:$L50),_xlfn.MINIFS($C50:$L50,$C50:$L50,"&gt;0")*_xlfn.XLOOKUP($G48,$B$4:$B$8,$D$4:$D$8),IFERROR(OFFSET(G50,0,_xlfn.XLOOKUP($G48,$B$4:$B$8,$C$4:$C$8))*_xlfn.XLOOKUP($G48,$B$4:$B$8,$D$4:$D$8),0)),IFERROR(OFFSET(G50,0,_xlfn.XLOOKUP($G48,$B$4:$B$8,$E$4:$E$8))*_xlfn.XLOOKUP($G48,$B$4:$B$8,$F$4:$F$8),0),E51)))</f>
        <v>2.0999999999999996</v>
      </c>
      <c r="H51" s="196">
        <f t="shared" ref="H51" ca="1" si="98">IF($I48="N",H50,IF($G48="1. In Flight",1,$G$4)*MIN(MAX($C50:$L50)*_xlfn.XLOOKUP($G48,$B$4:$B$8,$F$4:$F$8),MAX(IF(IFERROR(OFFSET(H50,0,_xlfn.XLOOKUP($G48,$B$4:$B$8,$C$4:$C$8)),0)=MAX($C50:$L50),_xlfn.MINIFS($C50:$L50,$C50:$L50,"&gt;0")*_xlfn.XLOOKUP($G48,$B$4:$B$8,$D$4:$D$8),IFERROR(OFFSET(H50,0,_xlfn.XLOOKUP($G48,$B$4:$B$8,$C$4:$C$8))*_xlfn.XLOOKUP($G48,$B$4:$B$8,$D$4:$D$8),0)),IFERROR(OFFSET(H50,0,_xlfn.XLOOKUP($G48,$B$4:$B$8,$E$4:$E$8))*_xlfn.XLOOKUP($G48,$B$4:$B$8,$F$4:$F$8),0),F51)))</f>
        <v>2.0999999999999996</v>
      </c>
      <c r="I51" s="196">
        <f t="shared" ref="I51" ca="1" si="99">IF($I48="N",I50,IF($G48="1. In Flight",1,$G$4)*MIN(MAX($C50:$L50)*_xlfn.XLOOKUP($G48,$B$4:$B$8,$F$4:$F$8),MAX(IF(IFERROR(OFFSET(I50,0,_xlfn.XLOOKUP($G48,$B$4:$B$8,$C$4:$C$8)),0)=MAX($C50:$L50),_xlfn.MINIFS($C50:$L50,$C50:$L50,"&gt;0")*_xlfn.XLOOKUP($G48,$B$4:$B$8,$D$4:$D$8),IFERROR(OFFSET(I50,0,_xlfn.XLOOKUP($G48,$B$4:$B$8,$C$4:$C$8))*_xlfn.XLOOKUP($G48,$B$4:$B$8,$D$4:$D$8),0)),IFERROR(OFFSET(I50,0,_xlfn.XLOOKUP($G48,$B$4:$B$8,$E$4:$E$8))*_xlfn.XLOOKUP($G48,$B$4:$B$8,$F$4:$F$8),0),G51)))</f>
        <v>2.0999999999999996</v>
      </c>
      <c r="J51" s="196">
        <f t="shared" ref="J51" ca="1" si="100">IF($I48="N",J50,IF($G48="1. In Flight",1,$G$4)*MIN(MAX($C50:$L50)*_xlfn.XLOOKUP($G48,$B$4:$B$8,$F$4:$F$8),MAX(IF(IFERROR(OFFSET(J50,0,_xlfn.XLOOKUP($G48,$B$4:$B$8,$C$4:$C$8)),0)=MAX($C50:$L50),_xlfn.MINIFS($C50:$L50,$C50:$L50,"&gt;0")*_xlfn.XLOOKUP($G48,$B$4:$B$8,$D$4:$D$8),IFERROR(OFFSET(J50,0,_xlfn.XLOOKUP($G48,$B$4:$B$8,$C$4:$C$8))*_xlfn.XLOOKUP($G48,$B$4:$B$8,$D$4:$D$8),0)),IFERROR(OFFSET(J50,0,_xlfn.XLOOKUP($G48,$B$4:$B$8,$E$4:$E$8))*_xlfn.XLOOKUP($G48,$B$4:$B$8,$F$4:$F$8),0),H51)))</f>
        <v>2.0999999999999996</v>
      </c>
      <c r="K51" s="196">
        <f t="shared" ref="K51" ca="1" si="101">IF($I48="N",K50,IF($G48="1. In Flight",1,$G$4)*MIN(MAX($C50:$L50)*_xlfn.XLOOKUP($G48,$B$4:$B$8,$F$4:$F$8),MAX(IF(IFERROR(OFFSET(K50,0,_xlfn.XLOOKUP($G48,$B$4:$B$8,$C$4:$C$8)),0)=MAX($C50:$L50),_xlfn.MINIFS($C50:$L50,$C50:$L50,"&gt;0")*_xlfn.XLOOKUP($G48,$B$4:$B$8,$D$4:$D$8),IFERROR(OFFSET(K50,0,_xlfn.XLOOKUP($G48,$B$4:$B$8,$C$4:$C$8))*_xlfn.XLOOKUP($G48,$B$4:$B$8,$D$4:$D$8),0)),IFERROR(OFFSET(K50,0,_xlfn.XLOOKUP($G48,$B$4:$B$8,$E$4:$E$8))*_xlfn.XLOOKUP($G48,$B$4:$B$8,$F$4:$F$8),0),I51)))</f>
        <v>2.0999999999999996</v>
      </c>
      <c r="L51" s="196">
        <f t="shared" ref="L51" ca="1" si="102">IF($I48="N",L50,IF($G48="1. In Flight",1,$G$4)*MIN(MAX($C50:$L50)*_xlfn.XLOOKUP($G48,$B$4:$B$8,$F$4:$F$8),MAX(IF(IFERROR(OFFSET(L50,0,_xlfn.XLOOKUP($G48,$B$4:$B$8,$C$4:$C$8)),0)=MAX($C50:$L50),_xlfn.MINIFS($C50:$L50,$C50:$L50,"&gt;0")*_xlfn.XLOOKUP($G48,$B$4:$B$8,$D$4:$D$8),IFERROR(OFFSET(L50,0,_xlfn.XLOOKUP($G48,$B$4:$B$8,$C$4:$C$8))*_xlfn.XLOOKUP($G48,$B$4:$B$8,$D$4:$D$8),0)),IFERROR(OFFSET(L50,0,_xlfn.XLOOKUP($G48,$B$4:$B$8,$E$4:$E$8))*_xlfn.XLOOKUP($G48,$B$4:$B$8,$F$4:$F$8),0),J51)))</f>
        <v>2.0999999999999996</v>
      </c>
    </row>
    <row r="52" spans="1:12" ht="15" thickBot="1">
      <c r="A52" s="195" t="s">
        <v>108</v>
      </c>
      <c r="B52" s="196">
        <f>B50</f>
        <v>0</v>
      </c>
      <c r="C52" s="196">
        <f ca="1">IF($I48="N",C50,IF($G48="1. In Flight",1,$G$9)*MIN(MAX($C50:$L50)*_xlfn.XLOOKUP($G48,$B$9:$B$13,$F$9:$F$13),MAX(IF(IFERROR(OFFSET(C50,0,_xlfn.XLOOKUP($G48,$B$9:$B$13,$C$9:$C$13)),0)=MAX($C50:$L50),_xlfn.MINIFS($C50:$L50,$C50:$L50,"&gt;0")*_xlfn.XLOOKUP($G48,$B$9:$B$13,$D$9:$D$13),IFERROR(OFFSET(C50,0,_xlfn.XLOOKUP($G48,$B$9:$B$13,$C$9:$C$13))*_xlfn.XLOOKUP($G48,$B$9:$B$13,$D$9:$D$13),0)),IFERROR(OFFSET(C50,0,_xlfn.XLOOKUP($G48,$B$9:$B$13,$E$9:$E$13))*_xlfn.XLOOKUP($G48,$B$9:$B$13,$F$9:$F$13),0),A52)))</f>
        <v>0</v>
      </c>
      <c r="D52" s="196">
        <f t="shared" ref="D52" ca="1" si="103">IF($I48="N",D50,IF($G48="1. In Flight",1,$G$9)*MIN(MAX($C50:$L50)*_xlfn.XLOOKUP($G48,$B$9:$B$13,$F$9:$F$13),MAX(IF(IFERROR(OFFSET(D50,0,_xlfn.XLOOKUP($G48,$B$9:$B$13,$C$9:$C$13)),0)=MAX($C50:$L50),_xlfn.MINIFS($C50:$L50,$C50:$L50,"&gt;0")*_xlfn.XLOOKUP($G48,$B$9:$B$13,$D$9:$D$13),IFERROR(OFFSET(D50,0,_xlfn.XLOOKUP($G48,$B$9:$B$13,$C$9:$C$13))*_xlfn.XLOOKUP($G48,$B$9:$B$13,$D$9:$D$13),0)),IFERROR(OFFSET(D50,0,_xlfn.XLOOKUP($G48,$B$9:$B$13,$E$9:$E$13))*_xlfn.XLOOKUP($G48,$B$9:$B$13,$F$9:$F$13),0),B52)))</f>
        <v>0</v>
      </c>
      <c r="E52" s="196">
        <f t="shared" ref="E52" ca="1" si="104">IF($I48="N",E50,IF($G48="1. In Flight",1,$G$9)*MIN(MAX($C50:$L50)*_xlfn.XLOOKUP($G48,$B$9:$B$13,$F$9:$F$13),MAX(IF(IFERROR(OFFSET(E50,0,_xlfn.XLOOKUP($G48,$B$9:$B$13,$C$9:$C$13)),0)=MAX($C50:$L50),_xlfn.MINIFS($C50:$L50,$C50:$L50,"&gt;0")*_xlfn.XLOOKUP($G48,$B$9:$B$13,$D$9:$D$13),IFERROR(OFFSET(E50,0,_xlfn.XLOOKUP($G48,$B$9:$B$13,$C$9:$C$13))*_xlfn.XLOOKUP($G48,$B$9:$B$13,$D$9:$D$13),0)),IFERROR(OFFSET(E50,0,_xlfn.XLOOKUP($G48,$B$9:$B$13,$E$9:$E$13))*_xlfn.XLOOKUP($G48,$B$9:$B$13,$F$9:$F$13),0),C52)))</f>
        <v>0</v>
      </c>
      <c r="F52" s="196">
        <f t="shared" ref="F52" ca="1" si="105">IF($I48="N",F50,IF($G48="1. In Flight",1,$G$9)*MIN(MAX($C50:$L50)*_xlfn.XLOOKUP($G48,$B$9:$B$13,$F$9:$F$13),MAX(IF(IFERROR(OFFSET(F50,0,_xlfn.XLOOKUP($G48,$B$9:$B$13,$C$9:$C$13)),0)=MAX($C50:$L50),_xlfn.MINIFS($C50:$L50,$C50:$L50,"&gt;0")*_xlfn.XLOOKUP($G48,$B$9:$B$13,$D$9:$D$13),IFERROR(OFFSET(F50,0,_xlfn.XLOOKUP($G48,$B$9:$B$13,$C$9:$C$13))*_xlfn.XLOOKUP($G48,$B$9:$B$13,$D$9:$D$13),0)),IFERROR(OFFSET(F50,0,_xlfn.XLOOKUP($G48,$B$9:$B$13,$E$9:$E$13))*_xlfn.XLOOKUP($G48,$B$9:$B$13,$F$9:$F$13),0),D52)))</f>
        <v>0</v>
      </c>
      <c r="G52" s="196">
        <f t="shared" ref="G52" ca="1" si="106">IF($I48="N",G50,IF($G48="1. In Flight",1,$G$9)*MIN(MAX($C50:$L50)*_xlfn.XLOOKUP($G48,$B$9:$B$13,$F$9:$F$13),MAX(IF(IFERROR(OFFSET(G50,0,_xlfn.XLOOKUP($G48,$B$9:$B$13,$C$9:$C$13)),0)=MAX($C50:$L50),_xlfn.MINIFS($C50:$L50,$C50:$L50,"&gt;0")*_xlfn.XLOOKUP($G48,$B$9:$B$13,$D$9:$D$13),IFERROR(OFFSET(G50,0,_xlfn.XLOOKUP($G48,$B$9:$B$13,$C$9:$C$13))*_xlfn.XLOOKUP($G48,$B$9:$B$13,$D$9:$D$13),0)),IFERROR(OFFSET(G50,0,_xlfn.XLOOKUP($G48,$B$9:$B$13,$E$9:$E$13))*_xlfn.XLOOKUP($G48,$B$9:$B$13,$F$9:$F$13),0),E52)))</f>
        <v>1.2000000000000002</v>
      </c>
      <c r="H52" s="196">
        <f t="shared" ref="H52" ca="1" si="107">IF($I48="N",H50,IF($G48="1. In Flight",1,$G$9)*MIN(MAX($C50:$L50)*_xlfn.XLOOKUP($G48,$B$9:$B$13,$F$9:$F$13),MAX(IF(IFERROR(OFFSET(H50,0,_xlfn.XLOOKUP($G48,$B$9:$B$13,$C$9:$C$13)),0)=MAX($C50:$L50),_xlfn.MINIFS($C50:$L50,$C50:$L50,"&gt;0")*_xlfn.XLOOKUP($G48,$B$9:$B$13,$D$9:$D$13),IFERROR(OFFSET(H50,0,_xlfn.XLOOKUP($G48,$B$9:$B$13,$C$9:$C$13))*_xlfn.XLOOKUP($G48,$B$9:$B$13,$D$9:$D$13),0)),IFERROR(OFFSET(H50,0,_xlfn.XLOOKUP($G48,$B$9:$B$13,$E$9:$E$13))*_xlfn.XLOOKUP($G48,$B$9:$B$13,$F$9:$F$13),0),F52)))</f>
        <v>1.2000000000000002</v>
      </c>
      <c r="I52" s="196">
        <f t="shared" ref="I52" ca="1" si="108">IF($I48="N",I50,IF($G48="1. In Flight",1,$G$9)*MIN(MAX($C50:$L50)*_xlfn.XLOOKUP($G48,$B$9:$B$13,$F$9:$F$13),MAX(IF(IFERROR(OFFSET(I50,0,_xlfn.XLOOKUP($G48,$B$9:$B$13,$C$9:$C$13)),0)=MAX($C50:$L50),_xlfn.MINIFS($C50:$L50,$C50:$L50,"&gt;0")*_xlfn.XLOOKUP($G48,$B$9:$B$13,$D$9:$D$13),IFERROR(OFFSET(I50,0,_xlfn.XLOOKUP($G48,$B$9:$B$13,$C$9:$C$13))*_xlfn.XLOOKUP($G48,$B$9:$B$13,$D$9:$D$13),0)),IFERROR(OFFSET(I50,0,_xlfn.XLOOKUP($G48,$B$9:$B$13,$E$9:$E$13))*_xlfn.XLOOKUP($G48,$B$9:$B$13,$F$9:$F$13),0),G52)))</f>
        <v>1.2000000000000002</v>
      </c>
      <c r="J52" s="196">
        <f t="shared" ref="J52" ca="1" si="109">IF($I48="N",J50,IF($G48="1. In Flight",1,$G$9)*MIN(MAX($C50:$L50)*_xlfn.XLOOKUP($G48,$B$9:$B$13,$F$9:$F$13),MAX(IF(IFERROR(OFFSET(J50,0,_xlfn.XLOOKUP($G48,$B$9:$B$13,$C$9:$C$13)),0)=MAX($C50:$L50),_xlfn.MINIFS($C50:$L50,$C50:$L50,"&gt;0")*_xlfn.XLOOKUP($G48,$B$9:$B$13,$D$9:$D$13),IFERROR(OFFSET(J50,0,_xlfn.XLOOKUP($G48,$B$9:$B$13,$C$9:$C$13))*_xlfn.XLOOKUP($G48,$B$9:$B$13,$D$9:$D$13),0)),IFERROR(OFFSET(J50,0,_xlfn.XLOOKUP($G48,$B$9:$B$13,$E$9:$E$13))*_xlfn.XLOOKUP($G48,$B$9:$B$13,$F$9:$F$13),0),H52)))</f>
        <v>1.2000000000000002</v>
      </c>
      <c r="K52" s="196">
        <f t="shared" ref="K52" ca="1" si="110">IF($I48="N",K50,IF($G48="1. In Flight",1,$G$9)*MIN(MAX($C50:$L50)*_xlfn.XLOOKUP($G48,$B$9:$B$13,$F$9:$F$13),MAX(IF(IFERROR(OFFSET(K50,0,_xlfn.XLOOKUP($G48,$B$9:$B$13,$C$9:$C$13)),0)=MAX($C50:$L50),_xlfn.MINIFS($C50:$L50,$C50:$L50,"&gt;0")*_xlfn.XLOOKUP($G48,$B$9:$B$13,$D$9:$D$13),IFERROR(OFFSET(K50,0,_xlfn.XLOOKUP($G48,$B$9:$B$13,$C$9:$C$13))*_xlfn.XLOOKUP($G48,$B$9:$B$13,$D$9:$D$13),0)),IFERROR(OFFSET(K50,0,_xlfn.XLOOKUP($G48,$B$9:$B$13,$E$9:$E$13))*_xlfn.XLOOKUP($G48,$B$9:$B$13,$F$9:$F$13),0),I52)))</f>
        <v>1.2000000000000002</v>
      </c>
      <c r="L52" s="196">
        <f t="shared" ref="L52" ca="1" si="111">IF($I48="N",L50,IF($G48="1. In Flight",1,$G$9)*MIN(MAX($C50:$L50)*_xlfn.XLOOKUP($G48,$B$9:$B$13,$F$9:$F$13),MAX(IF(IFERROR(OFFSET(L50,0,_xlfn.XLOOKUP($G48,$B$9:$B$13,$C$9:$C$13)),0)=MAX($C50:$L50),_xlfn.MINIFS($C50:$L50,$C50:$L50,"&gt;0")*_xlfn.XLOOKUP($G48,$B$9:$B$13,$D$9:$D$13),IFERROR(OFFSET(L50,0,_xlfn.XLOOKUP($G48,$B$9:$B$13,$C$9:$C$13))*_xlfn.XLOOKUP($G48,$B$9:$B$13,$D$9:$D$13),0)),IFERROR(OFFSET(L50,0,_xlfn.XLOOKUP($G48,$B$9:$B$13,$E$9:$E$13))*_xlfn.XLOOKUP($G48,$B$9:$B$13,$F$9:$F$13),0),J52)))</f>
        <v>1.2000000000000002</v>
      </c>
    </row>
    <row r="53" spans="1:12" ht="15" thickBot="1">
      <c r="A53" s="197" t="s">
        <v>109</v>
      </c>
      <c r="B53" s="198">
        <f>B50</f>
        <v>0</v>
      </c>
      <c r="C53" s="198">
        <f ca="1">IF($I48="N",C50,IF($G48="1. In Flight",1,$G$14)*MIN(MAX($C50:$L50)*_xlfn.XLOOKUP($G48,$B$14:$B$18,$F$14:$F$18),MAX(IF(IFERROR(OFFSET(C50,0,_xlfn.XLOOKUP($G48,$B$14:$B$18,$C$14:$C$18)),0)=MAX($C50:$L50),_xlfn.MINIFS($C50:$L50,$C50:$L50,"&gt;0")*_xlfn.XLOOKUP($G48,$B$14:$B$18,$D$14:$D$18),IFERROR(OFFSET(C50,0,_xlfn.XLOOKUP($G48,$B$14:$B$18,$C$14:$C$18))*_xlfn.XLOOKUP($G48,$B$14:$B$18,$D$14:$D$18),0)),IFERROR(OFFSET(C50,0,_xlfn.XLOOKUP($G48,$B$14:$B$18,$E$14:$E$18))*_xlfn.XLOOKUP($G48,$B$14:$B$18,$F$14:$F$18),0),A53)))</f>
        <v>0</v>
      </c>
      <c r="D53" s="198">
        <f t="shared" ref="D53" ca="1" si="112">IF($I48="N",D50,IF($G48="1. In Flight",1,$G$14)*MIN(MAX($C50:$L50)*_xlfn.XLOOKUP($G48,$B$14:$B$18,$F$14:$F$18),MAX(IF(IFERROR(OFFSET(D50,0,_xlfn.XLOOKUP($G48,$B$14:$B$18,$C$14:$C$18)),0)=MAX($C50:$L50),_xlfn.MINIFS($C50:$L50,$C50:$L50,"&gt;0")*_xlfn.XLOOKUP($G48,$B$14:$B$18,$D$14:$D$18),IFERROR(OFFSET(D50,0,_xlfn.XLOOKUP($G48,$B$14:$B$18,$C$14:$C$18))*_xlfn.XLOOKUP($G48,$B$14:$B$18,$D$14:$D$18),0)),IFERROR(OFFSET(D50,0,_xlfn.XLOOKUP($G48,$B$14:$B$18,$E$14:$E$18))*_xlfn.XLOOKUP($G48,$B$14:$B$18,$F$14:$F$18),0),B53)))</f>
        <v>0</v>
      </c>
      <c r="E53" s="198">
        <f t="shared" ref="E53" ca="1" si="113">IF($I48="N",E50,IF($G48="1. In Flight",1,$G$14)*MIN(MAX($C50:$L50)*_xlfn.XLOOKUP($G48,$B$14:$B$18,$F$14:$F$18),MAX(IF(IFERROR(OFFSET(E50,0,_xlfn.XLOOKUP($G48,$B$14:$B$18,$C$14:$C$18)),0)=MAX($C50:$L50),_xlfn.MINIFS($C50:$L50,$C50:$L50,"&gt;0")*_xlfn.XLOOKUP($G48,$B$14:$B$18,$D$14:$D$18),IFERROR(OFFSET(E50,0,_xlfn.XLOOKUP($G48,$B$14:$B$18,$C$14:$C$18))*_xlfn.XLOOKUP($G48,$B$14:$B$18,$D$14:$D$18),0)),IFERROR(OFFSET(E50,0,_xlfn.XLOOKUP($G48,$B$14:$B$18,$E$14:$E$18))*_xlfn.XLOOKUP($G48,$B$14:$B$18,$F$14:$F$18),0),C53)))</f>
        <v>4.3200000000000012</v>
      </c>
      <c r="F53" s="198">
        <f t="shared" ref="F53" ca="1" si="114">IF($I48="N",F50,IF($G48="1. In Flight",1,$G$14)*MIN(MAX($C50:$L50)*_xlfn.XLOOKUP($G48,$B$14:$B$18,$F$14:$F$18),MAX(IF(IFERROR(OFFSET(F50,0,_xlfn.XLOOKUP($G48,$B$14:$B$18,$C$14:$C$18)),0)=MAX($C50:$L50),_xlfn.MINIFS($C50:$L50,$C50:$L50,"&gt;0")*_xlfn.XLOOKUP($G48,$B$14:$B$18,$D$14:$D$18),IFERROR(OFFSET(F50,0,_xlfn.XLOOKUP($G48,$B$14:$B$18,$C$14:$C$18))*_xlfn.XLOOKUP($G48,$B$14:$B$18,$D$14:$D$18),0)),IFERROR(OFFSET(F50,0,_xlfn.XLOOKUP($G48,$B$14:$B$18,$E$14:$E$18))*_xlfn.XLOOKUP($G48,$B$14:$B$18,$F$14:$F$18),0),D53)))</f>
        <v>4.3200000000000012</v>
      </c>
      <c r="G53" s="198">
        <f t="shared" ref="G53" ca="1" si="115">IF($I48="N",G50,IF($G48="1. In Flight",1,$G$14)*MIN(MAX($C50:$L50)*_xlfn.XLOOKUP($G48,$B$14:$B$18,$F$14:$F$18),MAX(IF(IFERROR(OFFSET(G50,0,_xlfn.XLOOKUP($G48,$B$14:$B$18,$C$14:$C$18)),0)=MAX($C50:$L50),_xlfn.MINIFS($C50:$L50,$C50:$L50,"&gt;0")*_xlfn.XLOOKUP($G48,$B$14:$B$18,$D$14:$D$18),IFERROR(OFFSET(G50,0,_xlfn.XLOOKUP($G48,$B$14:$B$18,$C$14:$C$18))*_xlfn.XLOOKUP($G48,$B$14:$B$18,$D$14:$D$18),0)),IFERROR(OFFSET(G50,0,_xlfn.XLOOKUP($G48,$B$14:$B$18,$E$14:$E$18))*_xlfn.XLOOKUP($G48,$B$14:$B$18,$F$14:$F$18),0),E53)))</f>
        <v>4.3200000000000012</v>
      </c>
      <c r="H53" s="198">
        <f t="shared" ref="H53" ca="1" si="116">IF($I48="N",H50,IF($G48="1. In Flight",1,$G$14)*MIN(MAX($C50:$L50)*_xlfn.XLOOKUP($G48,$B$14:$B$18,$F$14:$F$18),MAX(IF(IFERROR(OFFSET(H50,0,_xlfn.XLOOKUP($G48,$B$14:$B$18,$C$14:$C$18)),0)=MAX($C50:$L50),_xlfn.MINIFS($C50:$L50,$C50:$L50,"&gt;0")*_xlfn.XLOOKUP($G48,$B$14:$B$18,$D$14:$D$18),IFERROR(OFFSET(H50,0,_xlfn.XLOOKUP($G48,$B$14:$B$18,$C$14:$C$18))*_xlfn.XLOOKUP($G48,$B$14:$B$18,$D$14:$D$18),0)),IFERROR(OFFSET(H50,0,_xlfn.XLOOKUP($G48,$B$14:$B$18,$E$14:$E$18))*_xlfn.XLOOKUP($G48,$B$14:$B$18,$F$14:$F$18),0),F53)))</f>
        <v>4.3200000000000012</v>
      </c>
      <c r="I53" s="198">
        <f t="shared" ref="I53" ca="1" si="117">IF($I48="N",I50,IF($G48="1. In Flight",1,$G$14)*MIN(MAX($C50:$L50)*_xlfn.XLOOKUP($G48,$B$14:$B$18,$F$14:$F$18),MAX(IF(IFERROR(OFFSET(I50,0,_xlfn.XLOOKUP($G48,$B$14:$B$18,$C$14:$C$18)),0)=MAX($C50:$L50),_xlfn.MINIFS($C50:$L50,$C50:$L50,"&gt;0")*_xlfn.XLOOKUP($G48,$B$14:$B$18,$D$14:$D$18),IFERROR(OFFSET(I50,0,_xlfn.XLOOKUP($G48,$B$14:$B$18,$C$14:$C$18))*_xlfn.XLOOKUP($G48,$B$14:$B$18,$D$14:$D$18),0)),IFERROR(OFFSET(I50,0,_xlfn.XLOOKUP($G48,$B$14:$B$18,$E$14:$E$18))*_xlfn.XLOOKUP($G48,$B$14:$B$18,$F$14:$F$18),0),G53)))</f>
        <v>4.3200000000000012</v>
      </c>
      <c r="J53" s="198">
        <f t="shared" ref="J53" ca="1" si="118">IF($I48="N",J50,IF($G48="1. In Flight",1,$G$14)*MIN(MAX($C50:$L50)*_xlfn.XLOOKUP($G48,$B$14:$B$18,$F$14:$F$18),MAX(IF(IFERROR(OFFSET(J50,0,_xlfn.XLOOKUP($G48,$B$14:$B$18,$C$14:$C$18)),0)=MAX($C50:$L50),_xlfn.MINIFS($C50:$L50,$C50:$L50,"&gt;0")*_xlfn.XLOOKUP($G48,$B$14:$B$18,$D$14:$D$18),IFERROR(OFFSET(J50,0,_xlfn.XLOOKUP($G48,$B$14:$B$18,$C$14:$C$18))*_xlfn.XLOOKUP($G48,$B$14:$B$18,$D$14:$D$18),0)),IFERROR(OFFSET(J50,0,_xlfn.XLOOKUP($G48,$B$14:$B$18,$E$14:$E$18))*_xlfn.XLOOKUP($G48,$B$14:$B$18,$F$14:$F$18),0),H53)))</f>
        <v>4.3200000000000012</v>
      </c>
      <c r="K53" s="198">
        <f t="shared" ref="K53" ca="1" si="119">IF($I48="N",K50,IF($G48="1. In Flight",1,$G$14)*MIN(MAX($C50:$L50)*_xlfn.XLOOKUP($G48,$B$14:$B$18,$F$14:$F$18),MAX(IF(IFERROR(OFFSET(K50,0,_xlfn.XLOOKUP($G48,$B$14:$B$18,$C$14:$C$18)),0)=MAX($C50:$L50),_xlfn.MINIFS($C50:$L50,$C50:$L50,"&gt;0")*_xlfn.XLOOKUP($G48,$B$14:$B$18,$D$14:$D$18),IFERROR(OFFSET(K50,0,_xlfn.XLOOKUP($G48,$B$14:$B$18,$C$14:$C$18))*_xlfn.XLOOKUP($G48,$B$14:$B$18,$D$14:$D$18),0)),IFERROR(OFFSET(K50,0,_xlfn.XLOOKUP($G48,$B$14:$B$18,$E$14:$E$18))*_xlfn.XLOOKUP($G48,$B$14:$B$18,$F$14:$F$18),0),I53)))</f>
        <v>4.3200000000000012</v>
      </c>
      <c r="L53" s="198">
        <f t="shared" ref="L53" ca="1" si="120">IF($I48="N",L50,IF($G48="1. In Flight",1,$G$14)*MIN(MAX($C50:$L50)*_xlfn.XLOOKUP($G48,$B$14:$B$18,$F$14:$F$18),MAX(IF(IFERROR(OFFSET(L50,0,_xlfn.XLOOKUP($G48,$B$14:$B$18,$C$14:$C$18)),0)=MAX($C50:$L50),_xlfn.MINIFS($C50:$L50,$C50:$L50,"&gt;0")*_xlfn.XLOOKUP($G48,$B$14:$B$18,$D$14:$D$18),IFERROR(OFFSET(L50,0,_xlfn.XLOOKUP($G48,$B$14:$B$18,$C$14:$C$18))*_xlfn.XLOOKUP($G48,$B$14:$B$18,$D$14:$D$18),0)),IFERROR(OFFSET(L50,0,_xlfn.XLOOKUP($G48,$B$14:$B$18,$E$14:$E$18))*_xlfn.XLOOKUP($G48,$B$14:$B$18,$F$14:$F$18),0),J53)))</f>
        <v>4.3200000000000012</v>
      </c>
    </row>
    <row r="54" spans="1:12" ht="15" thickTop="1"/>
    <row r="55" spans="1:12" ht="15" thickBot="1">
      <c r="A55" s="231">
        <f>_xlfn.XLOOKUP(F55,FEED!D:D,FEED!E:E,FALSE)</f>
        <v>0</v>
      </c>
      <c r="B55" s="232"/>
      <c r="C55" s="201" t="s">
        <v>116</v>
      </c>
      <c r="D55" s="200" t="s">
        <v>117</v>
      </c>
      <c r="E55" s="189" t="s">
        <v>115</v>
      </c>
      <c r="F55" s="189" t="s">
        <v>36</v>
      </c>
      <c r="G55" s="189" t="str">
        <f>IFERROR(_xlfn.XLOOKUP(F55,FEED!$D:$D,FEED!$S:$S),$B$8)</f>
        <v>3. Medium</v>
      </c>
      <c r="H55" s="189" t="str">
        <f>IFERROR(_xlfn.XLOOKUP(F55,FEED!$D:$D,FEED!$Y:$Y),"Major Load")</f>
        <v>Major Load</v>
      </c>
      <c r="I55" s="189" t="str">
        <f>IFERROR(_xlfn.XLOOKUP(F55,FEED!$D:$D,FEED!$C:$C),"N")</f>
        <v>Y</v>
      </c>
      <c r="J55" s="190"/>
      <c r="K55" s="190"/>
      <c r="L55" s="190"/>
    </row>
    <row r="56" spans="1:12" ht="15" thickBot="1">
      <c r="A56" s="191" t="str">
        <f t="shared" ref="A56" si="121">A21</f>
        <v>Uptake Scenario</v>
      </c>
      <c r="B56" s="192">
        <f>B42</f>
        <v>2023</v>
      </c>
      <c r="C56" s="192">
        <f t="shared" ref="C56:L56" si="122">C42</f>
        <v>2024</v>
      </c>
      <c r="D56" s="192">
        <f t="shared" si="122"/>
        <v>2025</v>
      </c>
      <c r="E56" s="192">
        <f t="shared" si="122"/>
        <v>2026</v>
      </c>
      <c r="F56" s="192">
        <f t="shared" si="122"/>
        <v>2027</v>
      </c>
      <c r="G56" s="192">
        <f t="shared" si="122"/>
        <v>2028</v>
      </c>
      <c r="H56" s="192">
        <f t="shared" si="122"/>
        <v>2029</v>
      </c>
      <c r="I56" s="192">
        <f t="shared" si="122"/>
        <v>2030</v>
      </c>
      <c r="J56" s="192">
        <f t="shared" si="122"/>
        <v>2031</v>
      </c>
      <c r="K56" s="192">
        <f t="shared" si="122"/>
        <v>2032</v>
      </c>
      <c r="L56" s="192">
        <f t="shared" si="122"/>
        <v>2033</v>
      </c>
    </row>
    <row r="57" spans="1:12" ht="15.6" thickTop="1" thickBot="1">
      <c r="A57" s="193" t="s">
        <v>111</v>
      </c>
      <c r="B57" s="194">
        <v>0</v>
      </c>
      <c r="C57" s="194">
        <f>SUMIF(FEED!$D:$D,$F55,FEED!F:F)+B57</f>
        <v>0</v>
      </c>
      <c r="D57" s="194">
        <f>SUMIF(FEED!$D:$D,$F55,FEED!G:G)+C57</f>
        <v>6</v>
      </c>
      <c r="E57" s="194">
        <f>SUMIF(FEED!$D:$D,$F55,FEED!H:H)+D57</f>
        <v>20</v>
      </c>
      <c r="F57" s="194">
        <f>SUMIF(FEED!$D:$D,$F55,FEED!I:I)+E57</f>
        <v>20</v>
      </c>
      <c r="G57" s="194">
        <f>SUMIF(FEED!$D:$D,$F55,FEED!J:J)+F57</f>
        <v>20</v>
      </c>
      <c r="H57" s="194">
        <f>SUMIF(FEED!$D:$D,$F55,FEED!K:K)+G57</f>
        <v>20</v>
      </c>
      <c r="I57" s="194">
        <f>SUMIF(FEED!$D:$D,$F55,FEED!L:L)+H57</f>
        <v>20</v>
      </c>
      <c r="J57" s="194">
        <f>SUMIF(FEED!$D:$D,$F55,FEED!M:M)+I57</f>
        <v>20</v>
      </c>
      <c r="K57" s="194">
        <f>SUMIF(FEED!$D:$D,$F55,FEED!N:N)+J57</f>
        <v>20</v>
      </c>
      <c r="L57" s="194">
        <f>SUMIF(FEED!$D:$D,$F55,FEED!O:O)+K57</f>
        <v>20</v>
      </c>
    </row>
    <row r="58" spans="1:12" ht="15" thickBot="1">
      <c r="A58" s="195" t="s">
        <v>107</v>
      </c>
      <c r="B58" s="196">
        <f>B57</f>
        <v>0</v>
      </c>
      <c r="C58" s="196">
        <f ca="1">IF($I55="N",C57,IF($G55="1. In Flight",1,$G$4)*MIN(MAX($C57:$L57)*_xlfn.XLOOKUP($G55,$B$4:$B$8,$F$4:$F$8),MAX(IF(IFERROR(OFFSET(C57,0,_xlfn.XLOOKUP($G55,$B$4:$B$8,$C$4:$C$8)),0)=MAX($C57:$L57),_xlfn.MINIFS($C57:$L57,$C57:$L57,"&gt;0")*_xlfn.XLOOKUP($G55,$B$4:$B$8,$D$4:$D$8),IFERROR(OFFSET(C57,0,_xlfn.XLOOKUP($G55,$B$4:$B$8,$C$4:$C$8))*_xlfn.XLOOKUP($G55,$B$4:$B$8,$D$4:$D$8),0)),IFERROR(OFFSET(C57,0,_xlfn.XLOOKUP($G55,$B$4:$B$8,$E$4:$E$8))*_xlfn.XLOOKUP($G55,$B$4:$B$8,$F$4:$F$8),0),A58)))</f>
        <v>0</v>
      </c>
      <c r="D58" s="196">
        <f t="shared" ref="D58" ca="1" si="123">IF($I55="N",D57,IF($G55="1. In Flight",1,$G$4)*MIN(MAX($C57:$L57)*_xlfn.XLOOKUP($G55,$B$4:$B$8,$F$4:$F$8),MAX(IF(IFERROR(OFFSET(D57,0,_xlfn.XLOOKUP($G55,$B$4:$B$8,$C$4:$C$8)),0)=MAX($C57:$L57),_xlfn.MINIFS($C57:$L57,$C57:$L57,"&gt;0")*_xlfn.XLOOKUP($G55,$B$4:$B$8,$D$4:$D$8),IFERROR(OFFSET(D57,0,_xlfn.XLOOKUP($G55,$B$4:$B$8,$C$4:$C$8))*_xlfn.XLOOKUP($G55,$B$4:$B$8,$D$4:$D$8),0)),IFERROR(OFFSET(D57,0,_xlfn.XLOOKUP($G55,$B$4:$B$8,$E$4:$E$8))*_xlfn.XLOOKUP($G55,$B$4:$B$8,$F$4:$F$8),0),B58)))</f>
        <v>0</v>
      </c>
      <c r="E58" s="196">
        <f t="shared" ref="E58" ca="1" si="124">IF($I55="N",E57,IF($G55="1. In Flight",1,$G$4)*MIN(MAX($C57:$L57)*_xlfn.XLOOKUP($G55,$B$4:$B$8,$F$4:$F$8),MAX(IF(IFERROR(OFFSET(E57,0,_xlfn.XLOOKUP($G55,$B$4:$B$8,$C$4:$C$8)),0)=MAX($C57:$L57),_xlfn.MINIFS($C57:$L57,$C57:$L57,"&gt;0")*_xlfn.XLOOKUP($G55,$B$4:$B$8,$D$4:$D$8),IFERROR(OFFSET(E57,0,_xlfn.XLOOKUP($G55,$B$4:$B$8,$C$4:$C$8))*_xlfn.XLOOKUP($G55,$B$4:$B$8,$D$4:$D$8),0)),IFERROR(OFFSET(E57,0,_xlfn.XLOOKUP($G55,$B$4:$B$8,$E$4:$E$8))*_xlfn.XLOOKUP($G55,$B$4:$B$8,$F$4:$F$8),0),C58)))</f>
        <v>0</v>
      </c>
      <c r="F58" s="196">
        <f t="shared" ref="F58" ca="1" si="125">IF($I55="N",F57,IF($G55="1. In Flight",1,$G$4)*MIN(MAX($C57:$L57)*_xlfn.XLOOKUP($G55,$B$4:$B$8,$F$4:$F$8),MAX(IF(IFERROR(OFFSET(F57,0,_xlfn.XLOOKUP($G55,$B$4:$B$8,$C$4:$C$8)),0)=MAX($C57:$L57),_xlfn.MINIFS($C57:$L57,$C57:$L57,"&gt;0")*_xlfn.XLOOKUP($G55,$B$4:$B$8,$D$4:$D$8),IFERROR(OFFSET(F57,0,_xlfn.XLOOKUP($G55,$B$4:$B$8,$C$4:$C$8))*_xlfn.XLOOKUP($G55,$B$4:$B$8,$D$4:$D$8),0)),IFERROR(OFFSET(F57,0,_xlfn.XLOOKUP($G55,$B$4:$B$8,$E$4:$E$8))*_xlfn.XLOOKUP($G55,$B$4:$B$8,$F$4:$F$8),0),D58)))</f>
        <v>0</v>
      </c>
      <c r="G58" s="196">
        <f t="shared" ref="G58" ca="1" si="126">IF($I55="N",G57,IF($G55="1. In Flight",1,$G$4)*MIN(MAX($C57:$L57)*_xlfn.XLOOKUP($G55,$B$4:$B$8,$F$4:$F$8),MAX(IF(IFERROR(OFFSET(G57,0,_xlfn.XLOOKUP($G55,$B$4:$B$8,$C$4:$C$8)),0)=MAX($C57:$L57),_xlfn.MINIFS($C57:$L57,$C57:$L57,"&gt;0")*_xlfn.XLOOKUP($G55,$B$4:$B$8,$D$4:$D$8),IFERROR(OFFSET(G57,0,_xlfn.XLOOKUP($G55,$B$4:$B$8,$C$4:$C$8))*_xlfn.XLOOKUP($G55,$B$4:$B$8,$D$4:$D$8),0)),IFERROR(OFFSET(G57,0,_xlfn.XLOOKUP($G55,$B$4:$B$8,$E$4:$E$8))*_xlfn.XLOOKUP($G55,$B$4:$B$8,$F$4:$F$8),0),E58)))</f>
        <v>2.0999999999999996</v>
      </c>
      <c r="H58" s="196">
        <f t="shared" ref="H58" ca="1" si="127">IF($I55="N",H57,IF($G55="1. In Flight",1,$G$4)*MIN(MAX($C57:$L57)*_xlfn.XLOOKUP($G55,$B$4:$B$8,$F$4:$F$8),MAX(IF(IFERROR(OFFSET(H57,0,_xlfn.XLOOKUP($G55,$B$4:$B$8,$C$4:$C$8)),0)=MAX($C57:$L57),_xlfn.MINIFS($C57:$L57,$C57:$L57,"&gt;0")*_xlfn.XLOOKUP($G55,$B$4:$B$8,$D$4:$D$8),IFERROR(OFFSET(H57,0,_xlfn.XLOOKUP($G55,$B$4:$B$8,$C$4:$C$8))*_xlfn.XLOOKUP($G55,$B$4:$B$8,$D$4:$D$8),0)),IFERROR(OFFSET(H57,0,_xlfn.XLOOKUP($G55,$B$4:$B$8,$E$4:$E$8))*_xlfn.XLOOKUP($G55,$B$4:$B$8,$F$4:$F$8),0),F58)))</f>
        <v>2.0999999999999996</v>
      </c>
      <c r="I58" s="196">
        <f t="shared" ref="I58" ca="1" si="128">IF($I55="N",I57,IF($G55="1. In Flight",1,$G$4)*MIN(MAX($C57:$L57)*_xlfn.XLOOKUP($G55,$B$4:$B$8,$F$4:$F$8),MAX(IF(IFERROR(OFFSET(I57,0,_xlfn.XLOOKUP($G55,$B$4:$B$8,$C$4:$C$8)),0)=MAX($C57:$L57),_xlfn.MINIFS($C57:$L57,$C57:$L57,"&gt;0")*_xlfn.XLOOKUP($G55,$B$4:$B$8,$D$4:$D$8),IFERROR(OFFSET(I57,0,_xlfn.XLOOKUP($G55,$B$4:$B$8,$C$4:$C$8))*_xlfn.XLOOKUP($G55,$B$4:$B$8,$D$4:$D$8),0)),IFERROR(OFFSET(I57,0,_xlfn.XLOOKUP($G55,$B$4:$B$8,$E$4:$E$8))*_xlfn.XLOOKUP($G55,$B$4:$B$8,$F$4:$F$8),0),G58)))</f>
        <v>2.0999999999999996</v>
      </c>
      <c r="J58" s="196">
        <f t="shared" ref="J58" ca="1" si="129">IF($I55="N",J57,IF($G55="1. In Flight",1,$G$4)*MIN(MAX($C57:$L57)*_xlfn.XLOOKUP($G55,$B$4:$B$8,$F$4:$F$8),MAX(IF(IFERROR(OFFSET(J57,0,_xlfn.XLOOKUP($G55,$B$4:$B$8,$C$4:$C$8)),0)=MAX($C57:$L57),_xlfn.MINIFS($C57:$L57,$C57:$L57,"&gt;0")*_xlfn.XLOOKUP($G55,$B$4:$B$8,$D$4:$D$8),IFERROR(OFFSET(J57,0,_xlfn.XLOOKUP($G55,$B$4:$B$8,$C$4:$C$8))*_xlfn.XLOOKUP($G55,$B$4:$B$8,$D$4:$D$8),0)),IFERROR(OFFSET(J57,0,_xlfn.XLOOKUP($G55,$B$4:$B$8,$E$4:$E$8))*_xlfn.XLOOKUP($G55,$B$4:$B$8,$F$4:$F$8),0),H58)))</f>
        <v>2.0999999999999996</v>
      </c>
      <c r="K58" s="196">
        <f t="shared" ref="K58" ca="1" si="130">IF($I55="N",K57,IF($G55="1. In Flight",1,$G$4)*MIN(MAX($C57:$L57)*_xlfn.XLOOKUP($G55,$B$4:$B$8,$F$4:$F$8),MAX(IF(IFERROR(OFFSET(K57,0,_xlfn.XLOOKUP($G55,$B$4:$B$8,$C$4:$C$8)),0)=MAX($C57:$L57),_xlfn.MINIFS($C57:$L57,$C57:$L57,"&gt;0")*_xlfn.XLOOKUP($G55,$B$4:$B$8,$D$4:$D$8),IFERROR(OFFSET(K57,0,_xlfn.XLOOKUP($G55,$B$4:$B$8,$C$4:$C$8))*_xlfn.XLOOKUP($G55,$B$4:$B$8,$D$4:$D$8),0)),IFERROR(OFFSET(K57,0,_xlfn.XLOOKUP($G55,$B$4:$B$8,$E$4:$E$8))*_xlfn.XLOOKUP($G55,$B$4:$B$8,$F$4:$F$8),0),I58)))</f>
        <v>2.0999999999999996</v>
      </c>
      <c r="L58" s="196">
        <f t="shared" ref="L58" ca="1" si="131">IF($I55="N",L57,IF($G55="1. In Flight",1,$G$4)*MIN(MAX($C57:$L57)*_xlfn.XLOOKUP($G55,$B$4:$B$8,$F$4:$F$8),MAX(IF(IFERROR(OFFSET(L57,0,_xlfn.XLOOKUP($G55,$B$4:$B$8,$C$4:$C$8)),0)=MAX($C57:$L57),_xlfn.MINIFS($C57:$L57,$C57:$L57,"&gt;0")*_xlfn.XLOOKUP($G55,$B$4:$B$8,$D$4:$D$8),IFERROR(OFFSET(L57,0,_xlfn.XLOOKUP($G55,$B$4:$B$8,$C$4:$C$8))*_xlfn.XLOOKUP($G55,$B$4:$B$8,$D$4:$D$8),0)),IFERROR(OFFSET(L57,0,_xlfn.XLOOKUP($G55,$B$4:$B$8,$E$4:$E$8))*_xlfn.XLOOKUP($G55,$B$4:$B$8,$F$4:$F$8),0),J58)))</f>
        <v>2.0999999999999996</v>
      </c>
    </row>
    <row r="59" spans="1:12" ht="15" thickBot="1">
      <c r="A59" s="195" t="s">
        <v>108</v>
      </c>
      <c r="B59" s="196">
        <f>B57</f>
        <v>0</v>
      </c>
      <c r="C59" s="196">
        <f ca="1">IF($I55="N",C57,IF($G55="1. In Flight",1,$G$9)*MIN(MAX($C57:$L57)*_xlfn.XLOOKUP($G55,$B$9:$B$13,$F$9:$F$13),MAX(IF(IFERROR(OFFSET(C57,0,_xlfn.XLOOKUP($G55,$B$9:$B$13,$C$9:$C$13)),0)=MAX($C57:$L57),_xlfn.MINIFS($C57:$L57,$C57:$L57,"&gt;0")*_xlfn.XLOOKUP($G55,$B$9:$B$13,$D$9:$D$13),IFERROR(OFFSET(C57,0,_xlfn.XLOOKUP($G55,$B$9:$B$13,$C$9:$C$13))*_xlfn.XLOOKUP($G55,$B$9:$B$13,$D$9:$D$13),0)),IFERROR(OFFSET(C57,0,_xlfn.XLOOKUP($G55,$B$9:$B$13,$E$9:$E$13))*_xlfn.XLOOKUP($G55,$B$9:$B$13,$F$9:$F$13),0),A59)))</f>
        <v>0</v>
      </c>
      <c r="D59" s="196">
        <f t="shared" ref="D59" ca="1" si="132">IF($I55="N",D57,IF($G55="1. In Flight",1,$G$9)*MIN(MAX($C57:$L57)*_xlfn.XLOOKUP($G55,$B$9:$B$13,$F$9:$F$13),MAX(IF(IFERROR(OFFSET(D57,0,_xlfn.XLOOKUP($G55,$B$9:$B$13,$C$9:$C$13)),0)=MAX($C57:$L57),_xlfn.MINIFS($C57:$L57,$C57:$L57,"&gt;0")*_xlfn.XLOOKUP($G55,$B$9:$B$13,$D$9:$D$13),IFERROR(OFFSET(D57,0,_xlfn.XLOOKUP($G55,$B$9:$B$13,$C$9:$C$13))*_xlfn.XLOOKUP($G55,$B$9:$B$13,$D$9:$D$13),0)),IFERROR(OFFSET(D57,0,_xlfn.XLOOKUP($G55,$B$9:$B$13,$E$9:$E$13))*_xlfn.XLOOKUP($G55,$B$9:$B$13,$F$9:$F$13),0),B59)))</f>
        <v>0</v>
      </c>
      <c r="E59" s="196">
        <f t="shared" ref="E59" ca="1" si="133">IF($I55="N",E57,IF($G55="1. In Flight",1,$G$9)*MIN(MAX($C57:$L57)*_xlfn.XLOOKUP($G55,$B$9:$B$13,$F$9:$F$13),MAX(IF(IFERROR(OFFSET(E57,0,_xlfn.XLOOKUP($G55,$B$9:$B$13,$C$9:$C$13)),0)=MAX($C57:$L57),_xlfn.MINIFS($C57:$L57,$C57:$L57,"&gt;0")*_xlfn.XLOOKUP($G55,$B$9:$B$13,$D$9:$D$13),IFERROR(OFFSET(E57,0,_xlfn.XLOOKUP($G55,$B$9:$B$13,$C$9:$C$13))*_xlfn.XLOOKUP($G55,$B$9:$B$13,$D$9:$D$13),0)),IFERROR(OFFSET(E57,0,_xlfn.XLOOKUP($G55,$B$9:$B$13,$E$9:$E$13))*_xlfn.XLOOKUP($G55,$B$9:$B$13,$F$9:$F$13),0),C59)))</f>
        <v>0</v>
      </c>
      <c r="F59" s="196">
        <f t="shared" ref="F59" ca="1" si="134">IF($I55="N",F57,IF($G55="1. In Flight",1,$G$9)*MIN(MAX($C57:$L57)*_xlfn.XLOOKUP($G55,$B$9:$B$13,$F$9:$F$13),MAX(IF(IFERROR(OFFSET(F57,0,_xlfn.XLOOKUP($G55,$B$9:$B$13,$C$9:$C$13)),0)=MAX($C57:$L57),_xlfn.MINIFS($C57:$L57,$C57:$L57,"&gt;0")*_xlfn.XLOOKUP($G55,$B$9:$B$13,$D$9:$D$13),IFERROR(OFFSET(F57,0,_xlfn.XLOOKUP($G55,$B$9:$B$13,$C$9:$C$13))*_xlfn.XLOOKUP($G55,$B$9:$B$13,$D$9:$D$13),0)),IFERROR(OFFSET(F57,0,_xlfn.XLOOKUP($G55,$B$9:$B$13,$E$9:$E$13))*_xlfn.XLOOKUP($G55,$B$9:$B$13,$F$9:$F$13),0),D59)))</f>
        <v>0</v>
      </c>
      <c r="G59" s="196">
        <f t="shared" ref="G59" ca="1" si="135">IF($I55="N",G57,IF($G55="1. In Flight",1,$G$9)*MIN(MAX($C57:$L57)*_xlfn.XLOOKUP($G55,$B$9:$B$13,$F$9:$F$13),MAX(IF(IFERROR(OFFSET(G57,0,_xlfn.XLOOKUP($G55,$B$9:$B$13,$C$9:$C$13)),0)=MAX($C57:$L57),_xlfn.MINIFS($C57:$L57,$C57:$L57,"&gt;0")*_xlfn.XLOOKUP($G55,$B$9:$B$13,$D$9:$D$13),IFERROR(OFFSET(G57,0,_xlfn.XLOOKUP($G55,$B$9:$B$13,$C$9:$C$13))*_xlfn.XLOOKUP($G55,$B$9:$B$13,$D$9:$D$13),0)),IFERROR(OFFSET(G57,0,_xlfn.XLOOKUP($G55,$B$9:$B$13,$E$9:$E$13))*_xlfn.XLOOKUP($G55,$B$9:$B$13,$F$9:$F$13),0),E59)))</f>
        <v>0</v>
      </c>
      <c r="H59" s="196">
        <f t="shared" ref="H59" ca="1" si="136">IF($I55="N",H57,IF($G55="1. In Flight",1,$G$9)*MIN(MAX($C57:$L57)*_xlfn.XLOOKUP($G55,$B$9:$B$13,$F$9:$F$13),MAX(IF(IFERROR(OFFSET(H57,0,_xlfn.XLOOKUP($G55,$B$9:$B$13,$C$9:$C$13)),0)=MAX($C57:$L57),_xlfn.MINIFS($C57:$L57,$C57:$L57,"&gt;0")*_xlfn.XLOOKUP($G55,$B$9:$B$13,$D$9:$D$13),IFERROR(OFFSET(H57,0,_xlfn.XLOOKUP($G55,$B$9:$B$13,$C$9:$C$13))*_xlfn.XLOOKUP($G55,$B$9:$B$13,$D$9:$D$13),0)),IFERROR(OFFSET(H57,0,_xlfn.XLOOKUP($G55,$B$9:$B$13,$E$9:$E$13))*_xlfn.XLOOKUP($G55,$B$9:$B$13,$F$9:$F$13),0),F59)))</f>
        <v>0</v>
      </c>
      <c r="I59" s="196">
        <f t="shared" ref="I59" ca="1" si="137">IF($I55="N",I57,IF($G55="1. In Flight",1,$G$9)*MIN(MAX($C57:$L57)*_xlfn.XLOOKUP($G55,$B$9:$B$13,$F$9:$F$13),MAX(IF(IFERROR(OFFSET(I57,0,_xlfn.XLOOKUP($G55,$B$9:$B$13,$C$9:$C$13)),0)=MAX($C57:$L57),_xlfn.MINIFS($C57:$L57,$C57:$L57,"&gt;0")*_xlfn.XLOOKUP($G55,$B$9:$B$13,$D$9:$D$13),IFERROR(OFFSET(I57,0,_xlfn.XLOOKUP($G55,$B$9:$B$13,$C$9:$C$13))*_xlfn.XLOOKUP($G55,$B$9:$B$13,$D$9:$D$13),0)),IFERROR(OFFSET(I57,0,_xlfn.XLOOKUP($G55,$B$9:$B$13,$E$9:$E$13))*_xlfn.XLOOKUP($G55,$B$9:$B$13,$F$9:$F$13),0),G59)))</f>
        <v>0.60000000000000009</v>
      </c>
      <c r="J59" s="196">
        <f t="shared" ref="J59" ca="1" si="138">IF($I55="N",J57,IF($G55="1. In Flight",1,$G$9)*MIN(MAX($C57:$L57)*_xlfn.XLOOKUP($G55,$B$9:$B$13,$F$9:$F$13),MAX(IF(IFERROR(OFFSET(J57,0,_xlfn.XLOOKUP($G55,$B$9:$B$13,$C$9:$C$13)),0)=MAX($C57:$L57),_xlfn.MINIFS($C57:$L57,$C57:$L57,"&gt;0")*_xlfn.XLOOKUP($G55,$B$9:$B$13,$D$9:$D$13),IFERROR(OFFSET(J57,0,_xlfn.XLOOKUP($G55,$B$9:$B$13,$C$9:$C$13))*_xlfn.XLOOKUP($G55,$B$9:$B$13,$D$9:$D$13),0)),IFERROR(OFFSET(J57,0,_xlfn.XLOOKUP($G55,$B$9:$B$13,$E$9:$E$13))*_xlfn.XLOOKUP($G55,$B$9:$B$13,$F$9:$F$13),0),H59)))</f>
        <v>0.60000000000000009</v>
      </c>
      <c r="K59" s="196">
        <f t="shared" ref="K59" ca="1" si="139">IF($I55="N",K57,IF($G55="1. In Flight",1,$G$9)*MIN(MAX($C57:$L57)*_xlfn.XLOOKUP($G55,$B$9:$B$13,$F$9:$F$13),MAX(IF(IFERROR(OFFSET(K57,0,_xlfn.XLOOKUP($G55,$B$9:$B$13,$C$9:$C$13)),0)=MAX($C57:$L57),_xlfn.MINIFS($C57:$L57,$C57:$L57,"&gt;0")*_xlfn.XLOOKUP($G55,$B$9:$B$13,$D$9:$D$13),IFERROR(OFFSET(K57,0,_xlfn.XLOOKUP($G55,$B$9:$B$13,$C$9:$C$13))*_xlfn.XLOOKUP($G55,$B$9:$B$13,$D$9:$D$13),0)),IFERROR(OFFSET(K57,0,_xlfn.XLOOKUP($G55,$B$9:$B$13,$E$9:$E$13))*_xlfn.XLOOKUP($G55,$B$9:$B$13,$F$9:$F$13),0),I59)))</f>
        <v>0.60000000000000009</v>
      </c>
      <c r="L59" s="196">
        <f t="shared" ref="L59" ca="1" si="140">IF($I55="N",L57,IF($G55="1. In Flight",1,$G$9)*MIN(MAX($C57:$L57)*_xlfn.XLOOKUP($G55,$B$9:$B$13,$F$9:$F$13),MAX(IF(IFERROR(OFFSET(L57,0,_xlfn.XLOOKUP($G55,$B$9:$B$13,$C$9:$C$13)),0)=MAX($C57:$L57),_xlfn.MINIFS($C57:$L57,$C57:$L57,"&gt;0")*_xlfn.XLOOKUP($G55,$B$9:$B$13,$D$9:$D$13),IFERROR(OFFSET(L57,0,_xlfn.XLOOKUP($G55,$B$9:$B$13,$C$9:$C$13))*_xlfn.XLOOKUP($G55,$B$9:$B$13,$D$9:$D$13),0)),IFERROR(OFFSET(L57,0,_xlfn.XLOOKUP($G55,$B$9:$B$13,$E$9:$E$13))*_xlfn.XLOOKUP($G55,$B$9:$B$13,$F$9:$F$13),0),J59)))</f>
        <v>0.60000000000000009</v>
      </c>
    </row>
    <row r="60" spans="1:12" ht="15" thickBot="1">
      <c r="A60" s="197" t="s">
        <v>109</v>
      </c>
      <c r="B60" s="198">
        <f>B57</f>
        <v>0</v>
      </c>
      <c r="C60" s="198">
        <f ca="1">IF($I55="N",C57,IF($G55="1. In Flight",1,$G$14)*MIN(MAX($C57:$L57)*_xlfn.XLOOKUP($G55,$B$14:$B$18,$F$14:$F$18),MAX(IF(IFERROR(OFFSET(C57,0,_xlfn.XLOOKUP($G55,$B$14:$B$18,$C$14:$C$18)),0)=MAX($C57:$L57),_xlfn.MINIFS($C57:$L57,$C57:$L57,"&gt;0")*_xlfn.XLOOKUP($G55,$B$14:$B$18,$D$14:$D$18),IFERROR(OFFSET(C57,0,_xlfn.XLOOKUP($G55,$B$14:$B$18,$C$14:$C$18))*_xlfn.XLOOKUP($G55,$B$14:$B$18,$D$14:$D$18),0)),IFERROR(OFFSET(C57,0,_xlfn.XLOOKUP($G55,$B$14:$B$18,$E$14:$E$18))*_xlfn.XLOOKUP($G55,$B$14:$B$18,$F$14:$F$18),0),A60)))</f>
        <v>0</v>
      </c>
      <c r="D60" s="198">
        <f t="shared" ref="D60" ca="1" si="141">IF($I55="N",D57,IF($G55="1. In Flight",1,$G$14)*MIN(MAX($C57:$L57)*_xlfn.XLOOKUP($G55,$B$14:$B$18,$F$14:$F$18),MAX(IF(IFERROR(OFFSET(D57,0,_xlfn.XLOOKUP($G55,$B$14:$B$18,$C$14:$C$18)),0)=MAX($C57:$L57),_xlfn.MINIFS($C57:$L57,$C57:$L57,"&gt;0")*_xlfn.XLOOKUP($G55,$B$14:$B$18,$D$14:$D$18),IFERROR(OFFSET(D57,0,_xlfn.XLOOKUP($G55,$B$14:$B$18,$C$14:$C$18))*_xlfn.XLOOKUP($G55,$B$14:$B$18,$D$14:$D$18),0)),IFERROR(OFFSET(D57,0,_xlfn.XLOOKUP($G55,$B$14:$B$18,$E$14:$E$18))*_xlfn.XLOOKUP($G55,$B$14:$B$18,$F$14:$F$18),0),B60)))</f>
        <v>0</v>
      </c>
      <c r="E60" s="198">
        <f t="shared" ref="E60" ca="1" si="142">IF($I55="N",E57,IF($G55="1. In Flight",1,$G$14)*MIN(MAX($C57:$L57)*_xlfn.XLOOKUP($G55,$B$14:$B$18,$F$14:$F$18),MAX(IF(IFERROR(OFFSET(E57,0,_xlfn.XLOOKUP($G55,$B$14:$B$18,$C$14:$C$18)),0)=MAX($C57:$L57),_xlfn.MINIFS($C57:$L57,$C57:$L57,"&gt;0")*_xlfn.XLOOKUP($G55,$B$14:$B$18,$D$14:$D$18),IFERROR(OFFSET(E57,0,_xlfn.XLOOKUP($G55,$B$14:$B$18,$C$14:$C$18))*_xlfn.XLOOKUP($G55,$B$14:$B$18,$D$14:$D$18),0)),IFERROR(OFFSET(E57,0,_xlfn.XLOOKUP($G55,$B$14:$B$18,$E$14:$E$18))*_xlfn.XLOOKUP($G55,$B$14:$B$18,$F$14:$F$18),0),C60)))</f>
        <v>0</v>
      </c>
      <c r="F60" s="198">
        <f t="shared" ref="F60" ca="1" si="143">IF($I55="N",F57,IF($G55="1. In Flight",1,$G$14)*MIN(MAX($C57:$L57)*_xlfn.XLOOKUP($G55,$B$14:$B$18,$F$14:$F$18),MAX(IF(IFERROR(OFFSET(F57,0,_xlfn.XLOOKUP($G55,$B$14:$B$18,$C$14:$C$18)),0)=MAX($C57:$L57),_xlfn.MINIFS($C57:$L57,$C57:$L57,"&gt;0")*_xlfn.XLOOKUP($G55,$B$14:$B$18,$D$14:$D$18),IFERROR(OFFSET(F57,0,_xlfn.XLOOKUP($G55,$B$14:$B$18,$C$14:$C$18))*_xlfn.XLOOKUP($G55,$B$14:$B$18,$D$14:$D$18),0)),IFERROR(OFFSET(F57,0,_xlfn.XLOOKUP($G55,$B$14:$B$18,$E$14:$E$18))*_xlfn.XLOOKUP($G55,$B$14:$B$18,$F$14:$F$18),0),D60)))</f>
        <v>3.2399999999999998</v>
      </c>
      <c r="G60" s="198">
        <f t="shared" ref="G60" ca="1" si="144">IF($I55="N",G57,IF($G55="1. In Flight",1,$G$14)*MIN(MAX($C57:$L57)*_xlfn.XLOOKUP($G55,$B$14:$B$18,$F$14:$F$18),MAX(IF(IFERROR(OFFSET(G57,0,_xlfn.XLOOKUP($G55,$B$14:$B$18,$C$14:$C$18)),0)=MAX($C57:$L57),_xlfn.MINIFS($C57:$L57,$C57:$L57,"&gt;0")*_xlfn.XLOOKUP($G55,$B$14:$B$18,$D$14:$D$18),IFERROR(OFFSET(G57,0,_xlfn.XLOOKUP($G55,$B$14:$B$18,$C$14:$C$18))*_xlfn.XLOOKUP($G55,$B$14:$B$18,$D$14:$D$18),0)),IFERROR(OFFSET(G57,0,_xlfn.XLOOKUP($G55,$B$14:$B$18,$E$14:$E$18))*_xlfn.XLOOKUP($G55,$B$14:$B$18,$F$14:$F$18),0),E60)))</f>
        <v>3.2399999999999998</v>
      </c>
      <c r="H60" s="198">
        <f t="shared" ref="H60" ca="1" si="145">IF($I55="N",H57,IF($G55="1. In Flight",1,$G$14)*MIN(MAX($C57:$L57)*_xlfn.XLOOKUP($G55,$B$14:$B$18,$F$14:$F$18),MAX(IF(IFERROR(OFFSET(H57,0,_xlfn.XLOOKUP($G55,$B$14:$B$18,$C$14:$C$18)),0)=MAX($C57:$L57),_xlfn.MINIFS($C57:$L57,$C57:$L57,"&gt;0")*_xlfn.XLOOKUP($G55,$B$14:$B$18,$D$14:$D$18),IFERROR(OFFSET(H57,0,_xlfn.XLOOKUP($G55,$B$14:$B$18,$C$14:$C$18))*_xlfn.XLOOKUP($G55,$B$14:$B$18,$D$14:$D$18),0)),IFERROR(OFFSET(H57,0,_xlfn.XLOOKUP($G55,$B$14:$B$18,$E$14:$E$18))*_xlfn.XLOOKUP($G55,$B$14:$B$18,$F$14:$F$18),0),F60)))</f>
        <v>3.2399999999999998</v>
      </c>
      <c r="I60" s="198">
        <f t="shared" ref="I60" ca="1" si="146">IF($I55="N",I57,IF($G55="1. In Flight",1,$G$14)*MIN(MAX($C57:$L57)*_xlfn.XLOOKUP($G55,$B$14:$B$18,$F$14:$F$18),MAX(IF(IFERROR(OFFSET(I57,0,_xlfn.XLOOKUP($G55,$B$14:$B$18,$C$14:$C$18)),0)=MAX($C57:$L57),_xlfn.MINIFS($C57:$L57,$C57:$L57,"&gt;0")*_xlfn.XLOOKUP($G55,$B$14:$B$18,$D$14:$D$18),IFERROR(OFFSET(I57,0,_xlfn.XLOOKUP($G55,$B$14:$B$18,$C$14:$C$18))*_xlfn.XLOOKUP($G55,$B$14:$B$18,$D$14:$D$18),0)),IFERROR(OFFSET(I57,0,_xlfn.XLOOKUP($G55,$B$14:$B$18,$E$14:$E$18))*_xlfn.XLOOKUP($G55,$B$14:$B$18,$F$14:$F$18),0),G60)))</f>
        <v>3.2399999999999998</v>
      </c>
      <c r="J60" s="198">
        <f t="shared" ref="J60" ca="1" si="147">IF($I55="N",J57,IF($G55="1. In Flight",1,$G$14)*MIN(MAX($C57:$L57)*_xlfn.XLOOKUP($G55,$B$14:$B$18,$F$14:$F$18),MAX(IF(IFERROR(OFFSET(J57,0,_xlfn.XLOOKUP($G55,$B$14:$B$18,$C$14:$C$18)),0)=MAX($C57:$L57),_xlfn.MINIFS($C57:$L57,$C57:$L57,"&gt;0")*_xlfn.XLOOKUP($G55,$B$14:$B$18,$D$14:$D$18),IFERROR(OFFSET(J57,0,_xlfn.XLOOKUP($G55,$B$14:$B$18,$C$14:$C$18))*_xlfn.XLOOKUP($G55,$B$14:$B$18,$D$14:$D$18),0)),IFERROR(OFFSET(J57,0,_xlfn.XLOOKUP($G55,$B$14:$B$18,$E$14:$E$18))*_xlfn.XLOOKUP($G55,$B$14:$B$18,$F$14:$F$18),0),H60)))</f>
        <v>10.8</v>
      </c>
      <c r="K60" s="198">
        <f t="shared" ref="K60" ca="1" si="148">IF($I55="N",K57,IF($G55="1. In Flight",1,$G$14)*MIN(MAX($C57:$L57)*_xlfn.XLOOKUP($G55,$B$14:$B$18,$F$14:$F$18),MAX(IF(IFERROR(OFFSET(K57,0,_xlfn.XLOOKUP($G55,$B$14:$B$18,$C$14:$C$18)),0)=MAX($C57:$L57),_xlfn.MINIFS($C57:$L57,$C57:$L57,"&gt;0")*_xlfn.XLOOKUP($G55,$B$14:$B$18,$D$14:$D$18),IFERROR(OFFSET(K57,0,_xlfn.XLOOKUP($G55,$B$14:$B$18,$C$14:$C$18))*_xlfn.XLOOKUP($G55,$B$14:$B$18,$D$14:$D$18),0)),IFERROR(OFFSET(K57,0,_xlfn.XLOOKUP($G55,$B$14:$B$18,$E$14:$E$18))*_xlfn.XLOOKUP($G55,$B$14:$B$18,$F$14:$F$18),0),I60)))</f>
        <v>10.8</v>
      </c>
      <c r="L60" s="198">
        <f t="shared" ref="L60" ca="1" si="149">IF($I55="N",L57,IF($G55="1. In Flight",1,$G$14)*MIN(MAX($C57:$L57)*_xlfn.XLOOKUP($G55,$B$14:$B$18,$F$14:$F$18),MAX(IF(IFERROR(OFFSET(L57,0,_xlfn.XLOOKUP($G55,$B$14:$B$18,$C$14:$C$18)),0)=MAX($C57:$L57),_xlfn.MINIFS($C57:$L57,$C57:$L57,"&gt;0")*_xlfn.XLOOKUP($G55,$B$14:$B$18,$D$14:$D$18),IFERROR(OFFSET(L57,0,_xlfn.XLOOKUP($G55,$B$14:$B$18,$C$14:$C$18))*_xlfn.XLOOKUP($G55,$B$14:$B$18,$D$14:$D$18),0)),IFERROR(OFFSET(L57,0,_xlfn.XLOOKUP($G55,$B$14:$B$18,$E$14:$E$18))*_xlfn.XLOOKUP($G55,$B$14:$B$18,$F$14:$F$18),0),J60)))</f>
        <v>10.8</v>
      </c>
    </row>
    <row r="61" spans="1:12" ht="15" thickTop="1"/>
    <row r="62" spans="1:12" ht="15" thickBot="1">
      <c r="A62" s="231">
        <f>_xlfn.XLOOKUP(F62,FEED!D:D,FEED!E:E,FALSE)</f>
        <v>0</v>
      </c>
      <c r="B62" s="232"/>
      <c r="C62" s="189" t="s">
        <v>118</v>
      </c>
      <c r="D62" s="189" t="s">
        <v>114</v>
      </c>
      <c r="E62" s="189" t="s">
        <v>115</v>
      </c>
      <c r="F62" s="189" t="s">
        <v>39</v>
      </c>
      <c r="G62" s="189" t="str">
        <f>IFERROR(_xlfn.XLOOKUP(F62,FEED!$D:$D,FEED!$S:$S),$B$8)</f>
        <v>3. Medium</v>
      </c>
      <c r="H62" s="189" t="str">
        <f>IFERROR(_xlfn.XLOOKUP(F62,FEED!$D:$D,FEED!$Y:$Y),"Major Load")</f>
        <v>Major Load</v>
      </c>
      <c r="I62" s="189" t="str">
        <f>IFERROR(_xlfn.XLOOKUP(F62,FEED!$D:$D,FEED!$C:$C),"N")</f>
        <v>Y</v>
      </c>
      <c r="J62" s="190"/>
      <c r="K62" s="190"/>
      <c r="L62" s="190"/>
    </row>
    <row r="63" spans="1:12" ht="15" thickBot="1">
      <c r="A63" s="191" t="str">
        <f t="shared" ref="A63" si="150">A91</f>
        <v>Uptake Scenario</v>
      </c>
      <c r="B63" s="192">
        <f>B56</f>
        <v>2023</v>
      </c>
      <c r="C63" s="192">
        <f t="shared" ref="C63:L63" si="151">C56</f>
        <v>2024</v>
      </c>
      <c r="D63" s="192">
        <f t="shared" si="151"/>
        <v>2025</v>
      </c>
      <c r="E63" s="192">
        <f t="shared" si="151"/>
        <v>2026</v>
      </c>
      <c r="F63" s="192">
        <f t="shared" si="151"/>
        <v>2027</v>
      </c>
      <c r="G63" s="192">
        <f t="shared" si="151"/>
        <v>2028</v>
      </c>
      <c r="H63" s="192">
        <f t="shared" si="151"/>
        <v>2029</v>
      </c>
      <c r="I63" s="192">
        <f t="shared" si="151"/>
        <v>2030</v>
      </c>
      <c r="J63" s="192">
        <f t="shared" si="151"/>
        <v>2031</v>
      </c>
      <c r="K63" s="192">
        <f t="shared" si="151"/>
        <v>2032</v>
      </c>
      <c r="L63" s="192">
        <f t="shared" si="151"/>
        <v>2033</v>
      </c>
    </row>
    <row r="64" spans="1:12" ht="15.6" thickTop="1" thickBot="1">
      <c r="A64" s="193" t="s">
        <v>111</v>
      </c>
      <c r="B64" s="194">
        <v>0</v>
      </c>
      <c r="C64" s="194">
        <f>SUMIF(FEED!$D:$D,$F62,FEED!F:F)+B64</f>
        <v>0</v>
      </c>
      <c r="D64" s="194">
        <f>SUMIF(FEED!$D:$D,$F62,FEED!G:G)+C64</f>
        <v>5</v>
      </c>
      <c r="E64" s="194">
        <f>SUMIF(FEED!$D:$D,$F62,FEED!H:H)+D64</f>
        <v>5</v>
      </c>
      <c r="F64" s="194">
        <f>SUMIF(FEED!$D:$D,$F62,FEED!I:I)+E64</f>
        <v>5</v>
      </c>
      <c r="G64" s="194">
        <f>SUMIF(FEED!$D:$D,$F62,FEED!J:J)+F64</f>
        <v>10</v>
      </c>
      <c r="H64" s="194">
        <f>SUMIF(FEED!$D:$D,$F62,FEED!K:K)+G64</f>
        <v>15</v>
      </c>
      <c r="I64" s="194">
        <f>SUMIF(FEED!$D:$D,$F62,FEED!L:L)+H64</f>
        <v>20</v>
      </c>
      <c r="J64" s="194">
        <f>SUMIF(FEED!$D:$D,$F62,FEED!M:M)+I64</f>
        <v>20</v>
      </c>
      <c r="K64" s="194">
        <f>SUMIF(FEED!$D:$D,$F62,FEED!N:N)+J64</f>
        <v>20</v>
      </c>
      <c r="L64" s="194">
        <f>SUMIF(FEED!$D:$D,$F62,FEED!O:O)+K64</f>
        <v>20</v>
      </c>
    </row>
    <row r="65" spans="1:12" ht="15" thickBot="1">
      <c r="A65" s="195" t="s">
        <v>107</v>
      </c>
      <c r="B65" s="196">
        <f>B64</f>
        <v>0</v>
      </c>
      <c r="C65" s="196">
        <f ca="1">IF($I62="N",C64,IF($G62="1. In Flight",1,$G$4)*MIN(MAX($C64:$L64)*_xlfn.XLOOKUP($G62,$B$4:$B$8,$F$4:$F$8),MAX(IF(IFERROR(OFFSET(C64,0,_xlfn.XLOOKUP($G62,$B$4:$B$8,$C$4:$C$8)),0)=MAX($C64:$L64),_xlfn.MINIFS($C64:$L64,$C64:$L64,"&gt;0")*_xlfn.XLOOKUP($G62,$B$4:$B$8,$D$4:$D$8),IFERROR(OFFSET(C64,0,_xlfn.XLOOKUP($G62,$B$4:$B$8,$C$4:$C$8))*_xlfn.XLOOKUP($G62,$B$4:$B$8,$D$4:$D$8),0)),IFERROR(OFFSET(C64,0,_xlfn.XLOOKUP($G62,$B$4:$B$8,$E$4:$E$8))*_xlfn.XLOOKUP($G62,$B$4:$B$8,$F$4:$F$8),0),A65)))</f>
        <v>0</v>
      </c>
      <c r="D65" s="196">
        <f t="shared" ref="D65" ca="1" si="152">IF($I62="N",D64,IF($G62="1. In Flight",1,$G$4)*MIN(MAX($C64:$L64)*_xlfn.XLOOKUP($G62,$B$4:$B$8,$F$4:$F$8),MAX(IF(IFERROR(OFFSET(D64,0,_xlfn.XLOOKUP($G62,$B$4:$B$8,$C$4:$C$8)),0)=MAX($C64:$L64),_xlfn.MINIFS($C64:$L64,$C64:$L64,"&gt;0")*_xlfn.XLOOKUP($G62,$B$4:$B$8,$D$4:$D$8),IFERROR(OFFSET(D64,0,_xlfn.XLOOKUP($G62,$B$4:$B$8,$C$4:$C$8))*_xlfn.XLOOKUP($G62,$B$4:$B$8,$D$4:$D$8),0)),IFERROR(OFFSET(D64,0,_xlfn.XLOOKUP($G62,$B$4:$B$8,$E$4:$E$8))*_xlfn.XLOOKUP($G62,$B$4:$B$8,$F$4:$F$8),0),B65)))</f>
        <v>0</v>
      </c>
      <c r="E65" s="196">
        <f t="shared" ref="E65" ca="1" si="153">IF($I62="N",E64,IF($G62="1. In Flight",1,$G$4)*MIN(MAX($C64:$L64)*_xlfn.XLOOKUP($G62,$B$4:$B$8,$F$4:$F$8),MAX(IF(IFERROR(OFFSET(E64,0,_xlfn.XLOOKUP($G62,$B$4:$B$8,$C$4:$C$8)),0)=MAX($C64:$L64),_xlfn.MINIFS($C64:$L64,$C64:$L64,"&gt;0")*_xlfn.XLOOKUP($G62,$B$4:$B$8,$D$4:$D$8),IFERROR(OFFSET(E64,0,_xlfn.XLOOKUP($G62,$B$4:$B$8,$C$4:$C$8))*_xlfn.XLOOKUP($G62,$B$4:$B$8,$D$4:$D$8),0)),IFERROR(OFFSET(E64,0,_xlfn.XLOOKUP($G62,$B$4:$B$8,$E$4:$E$8))*_xlfn.XLOOKUP($G62,$B$4:$B$8,$F$4:$F$8),0),C65)))</f>
        <v>0</v>
      </c>
      <c r="F65" s="196">
        <f t="shared" ref="F65" ca="1" si="154">IF($I62="N",F64,IF($G62="1. In Flight",1,$G$4)*MIN(MAX($C64:$L64)*_xlfn.XLOOKUP($G62,$B$4:$B$8,$F$4:$F$8),MAX(IF(IFERROR(OFFSET(F64,0,_xlfn.XLOOKUP($G62,$B$4:$B$8,$C$4:$C$8)),0)=MAX($C64:$L64),_xlfn.MINIFS($C64:$L64,$C64:$L64,"&gt;0")*_xlfn.XLOOKUP($G62,$B$4:$B$8,$D$4:$D$8),IFERROR(OFFSET(F64,0,_xlfn.XLOOKUP($G62,$B$4:$B$8,$C$4:$C$8))*_xlfn.XLOOKUP($G62,$B$4:$B$8,$D$4:$D$8),0)),IFERROR(OFFSET(F64,0,_xlfn.XLOOKUP($G62,$B$4:$B$8,$E$4:$E$8))*_xlfn.XLOOKUP($G62,$B$4:$B$8,$F$4:$F$8),0),D65)))</f>
        <v>0</v>
      </c>
      <c r="G65" s="196">
        <f t="shared" ref="G65" ca="1" si="155">IF($I62="N",G64,IF($G62="1. In Flight",1,$G$4)*MIN(MAX($C64:$L64)*_xlfn.XLOOKUP($G62,$B$4:$B$8,$F$4:$F$8),MAX(IF(IFERROR(OFFSET(G64,0,_xlfn.XLOOKUP($G62,$B$4:$B$8,$C$4:$C$8)),0)=MAX($C64:$L64),_xlfn.MINIFS($C64:$L64,$C64:$L64,"&gt;0")*_xlfn.XLOOKUP($G62,$B$4:$B$8,$D$4:$D$8),IFERROR(OFFSET(G64,0,_xlfn.XLOOKUP($G62,$B$4:$B$8,$C$4:$C$8))*_xlfn.XLOOKUP($G62,$B$4:$B$8,$D$4:$D$8),0)),IFERROR(OFFSET(G64,0,_xlfn.XLOOKUP($G62,$B$4:$B$8,$E$4:$E$8))*_xlfn.XLOOKUP($G62,$B$4:$B$8,$F$4:$F$8),0),E65)))</f>
        <v>1.75</v>
      </c>
      <c r="H65" s="196">
        <f t="shared" ref="H65" ca="1" si="156">IF($I62="N",H64,IF($G62="1. In Flight",1,$G$4)*MIN(MAX($C64:$L64)*_xlfn.XLOOKUP($G62,$B$4:$B$8,$F$4:$F$8),MAX(IF(IFERROR(OFFSET(H64,0,_xlfn.XLOOKUP($G62,$B$4:$B$8,$C$4:$C$8)),0)=MAX($C64:$L64),_xlfn.MINIFS($C64:$L64,$C64:$L64,"&gt;0")*_xlfn.XLOOKUP($G62,$B$4:$B$8,$D$4:$D$8),IFERROR(OFFSET(H64,0,_xlfn.XLOOKUP($G62,$B$4:$B$8,$C$4:$C$8))*_xlfn.XLOOKUP($G62,$B$4:$B$8,$D$4:$D$8),0)),IFERROR(OFFSET(H64,0,_xlfn.XLOOKUP($G62,$B$4:$B$8,$E$4:$E$8))*_xlfn.XLOOKUP($G62,$B$4:$B$8,$F$4:$F$8),0),F65)))</f>
        <v>1.75</v>
      </c>
      <c r="I65" s="196">
        <f t="shared" ref="I65" ca="1" si="157">IF($I62="N",I64,IF($G62="1. In Flight",1,$G$4)*MIN(MAX($C64:$L64)*_xlfn.XLOOKUP($G62,$B$4:$B$8,$F$4:$F$8),MAX(IF(IFERROR(OFFSET(I64,0,_xlfn.XLOOKUP($G62,$B$4:$B$8,$C$4:$C$8)),0)=MAX($C64:$L64),_xlfn.MINIFS($C64:$L64,$C64:$L64,"&gt;0")*_xlfn.XLOOKUP($G62,$B$4:$B$8,$D$4:$D$8),IFERROR(OFFSET(I64,0,_xlfn.XLOOKUP($G62,$B$4:$B$8,$C$4:$C$8))*_xlfn.XLOOKUP($G62,$B$4:$B$8,$D$4:$D$8),0)),IFERROR(OFFSET(I64,0,_xlfn.XLOOKUP($G62,$B$4:$B$8,$E$4:$E$8))*_xlfn.XLOOKUP($G62,$B$4:$B$8,$F$4:$F$8),0),G65)))</f>
        <v>1.75</v>
      </c>
      <c r="J65" s="196">
        <f t="shared" ref="J65" ca="1" si="158">IF($I62="N",J64,IF($G62="1. In Flight",1,$G$4)*MIN(MAX($C64:$L64)*_xlfn.XLOOKUP($G62,$B$4:$B$8,$F$4:$F$8),MAX(IF(IFERROR(OFFSET(J64,0,_xlfn.XLOOKUP($G62,$B$4:$B$8,$C$4:$C$8)),0)=MAX($C64:$L64),_xlfn.MINIFS($C64:$L64,$C64:$L64,"&gt;0")*_xlfn.XLOOKUP($G62,$B$4:$B$8,$D$4:$D$8),IFERROR(OFFSET(J64,0,_xlfn.XLOOKUP($G62,$B$4:$B$8,$C$4:$C$8))*_xlfn.XLOOKUP($G62,$B$4:$B$8,$D$4:$D$8),0)),IFERROR(OFFSET(J64,0,_xlfn.XLOOKUP($G62,$B$4:$B$8,$E$4:$E$8))*_xlfn.XLOOKUP($G62,$B$4:$B$8,$F$4:$F$8),0),H65)))</f>
        <v>3.5</v>
      </c>
      <c r="K65" s="196">
        <f t="shared" ref="K65" ca="1" si="159">IF($I62="N",K64,IF($G62="1. In Flight",1,$G$4)*MIN(MAX($C64:$L64)*_xlfn.XLOOKUP($G62,$B$4:$B$8,$F$4:$F$8),MAX(IF(IFERROR(OFFSET(K64,0,_xlfn.XLOOKUP($G62,$B$4:$B$8,$C$4:$C$8)),0)=MAX($C64:$L64),_xlfn.MINIFS($C64:$L64,$C64:$L64,"&gt;0")*_xlfn.XLOOKUP($G62,$B$4:$B$8,$D$4:$D$8),IFERROR(OFFSET(K64,0,_xlfn.XLOOKUP($G62,$B$4:$B$8,$C$4:$C$8))*_xlfn.XLOOKUP($G62,$B$4:$B$8,$D$4:$D$8),0)),IFERROR(OFFSET(K64,0,_xlfn.XLOOKUP($G62,$B$4:$B$8,$E$4:$E$8))*_xlfn.XLOOKUP($G62,$B$4:$B$8,$F$4:$F$8),0),I65)))</f>
        <v>4.1999999999999993</v>
      </c>
      <c r="L65" s="196">
        <f t="shared" ref="L65" ca="1" si="160">IF($I62="N",L64,IF($G62="1. In Flight",1,$G$4)*MIN(MAX($C64:$L64)*_xlfn.XLOOKUP($G62,$B$4:$B$8,$F$4:$F$8),MAX(IF(IFERROR(OFFSET(L64,0,_xlfn.XLOOKUP($G62,$B$4:$B$8,$C$4:$C$8)),0)=MAX($C64:$L64),_xlfn.MINIFS($C64:$L64,$C64:$L64,"&gt;0")*_xlfn.XLOOKUP($G62,$B$4:$B$8,$D$4:$D$8),IFERROR(OFFSET(L64,0,_xlfn.XLOOKUP($G62,$B$4:$B$8,$C$4:$C$8))*_xlfn.XLOOKUP($G62,$B$4:$B$8,$D$4:$D$8),0)),IFERROR(OFFSET(L64,0,_xlfn.XLOOKUP($G62,$B$4:$B$8,$E$4:$E$8))*_xlfn.XLOOKUP($G62,$B$4:$B$8,$F$4:$F$8),0),J65)))</f>
        <v>2.4499999999999997</v>
      </c>
    </row>
    <row r="66" spans="1:12" ht="15" thickBot="1">
      <c r="A66" s="195" t="s">
        <v>108</v>
      </c>
      <c r="B66" s="196">
        <f>B64</f>
        <v>0</v>
      </c>
      <c r="C66" s="196">
        <f ca="1">IF($I62="N",C64,IF($G62="1. In Flight",1,$G$9)*MIN(MAX($C64:$L64)*_xlfn.XLOOKUP($G62,$B$9:$B$13,$F$9:$F$13),MAX(IF(IFERROR(OFFSET(C64,0,_xlfn.XLOOKUP($G62,$B$9:$B$13,$C$9:$C$13)),0)=MAX($C64:$L64),_xlfn.MINIFS($C64:$L64,$C64:$L64,"&gt;0")*_xlfn.XLOOKUP($G62,$B$9:$B$13,$D$9:$D$13),IFERROR(OFFSET(C64,0,_xlfn.XLOOKUP($G62,$B$9:$B$13,$C$9:$C$13))*_xlfn.XLOOKUP($G62,$B$9:$B$13,$D$9:$D$13),0)),IFERROR(OFFSET(C64,0,_xlfn.XLOOKUP($G62,$B$9:$B$13,$E$9:$E$13))*_xlfn.XLOOKUP($G62,$B$9:$B$13,$F$9:$F$13),0),A66)))</f>
        <v>0</v>
      </c>
      <c r="D66" s="196">
        <f t="shared" ref="D66" ca="1" si="161">IF($I62="N",D64,IF($G62="1. In Flight",1,$G$9)*MIN(MAX($C64:$L64)*_xlfn.XLOOKUP($G62,$B$9:$B$13,$F$9:$F$13),MAX(IF(IFERROR(OFFSET(D64,0,_xlfn.XLOOKUP($G62,$B$9:$B$13,$C$9:$C$13)),0)=MAX($C64:$L64),_xlfn.MINIFS($C64:$L64,$C64:$L64,"&gt;0")*_xlfn.XLOOKUP($G62,$B$9:$B$13,$D$9:$D$13),IFERROR(OFFSET(D64,0,_xlfn.XLOOKUP($G62,$B$9:$B$13,$C$9:$C$13))*_xlfn.XLOOKUP($G62,$B$9:$B$13,$D$9:$D$13),0)),IFERROR(OFFSET(D64,0,_xlfn.XLOOKUP($G62,$B$9:$B$13,$E$9:$E$13))*_xlfn.XLOOKUP($G62,$B$9:$B$13,$F$9:$F$13),0),B66)))</f>
        <v>0</v>
      </c>
      <c r="E66" s="196">
        <f t="shared" ref="E66" ca="1" si="162">IF($I62="N",E64,IF($G62="1. In Flight",1,$G$9)*MIN(MAX($C64:$L64)*_xlfn.XLOOKUP($G62,$B$9:$B$13,$F$9:$F$13),MAX(IF(IFERROR(OFFSET(E64,0,_xlfn.XLOOKUP($G62,$B$9:$B$13,$C$9:$C$13)),0)=MAX($C64:$L64),_xlfn.MINIFS($C64:$L64,$C64:$L64,"&gt;0")*_xlfn.XLOOKUP($G62,$B$9:$B$13,$D$9:$D$13),IFERROR(OFFSET(E64,0,_xlfn.XLOOKUP($G62,$B$9:$B$13,$C$9:$C$13))*_xlfn.XLOOKUP($G62,$B$9:$B$13,$D$9:$D$13),0)),IFERROR(OFFSET(E64,0,_xlfn.XLOOKUP($G62,$B$9:$B$13,$E$9:$E$13))*_xlfn.XLOOKUP($G62,$B$9:$B$13,$F$9:$F$13),0),C66)))</f>
        <v>0</v>
      </c>
      <c r="F66" s="196">
        <f t="shared" ref="F66" ca="1" si="163">IF($I62="N",F64,IF($G62="1. In Flight",1,$G$9)*MIN(MAX($C64:$L64)*_xlfn.XLOOKUP($G62,$B$9:$B$13,$F$9:$F$13),MAX(IF(IFERROR(OFFSET(F64,0,_xlfn.XLOOKUP($G62,$B$9:$B$13,$C$9:$C$13)),0)=MAX($C64:$L64),_xlfn.MINIFS($C64:$L64,$C64:$L64,"&gt;0")*_xlfn.XLOOKUP($G62,$B$9:$B$13,$D$9:$D$13),IFERROR(OFFSET(F64,0,_xlfn.XLOOKUP($G62,$B$9:$B$13,$C$9:$C$13))*_xlfn.XLOOKUP($G62,$B$9:$B$13,$D$9:$D$13),0)),IFERROR(OFFSET(F64,0,_xlfn.XLOOKUP($G62,$B$9:$B$13,$E$9:$E$13))*_xlfn.XLOOKUP($G62,$B$9:$B$13,$F$9:$F$13),0),D66)))</f>
        <v>0</v>
      </c>
      <c r="G66" s="196">
        <f t="shared" ref="G66" ca="1" si="164">IF($I62="N",G64,IF($G62="1. In Flight",1,$G$9)*MIN(MAX($C64:$L64)*_xlfn.XLOOKUP($G62,$B$9:$B$13,$F$9:$F$13),MAX(IF(IFERROR(OFFSET(G64,0,_xlfn.XLOOKUP($G62,$B$9:$B$13,$C$9:$C$13)),0)=MAX($C64:$L64),_xlfn.MINIFS($C64:$L64,$C64:$L64,"&gt;0")*_xlfn.XLOOKUP($G62,$B$9:$B$13,$D$9:$D$13),IFERROR(OFFSET(G64,0,_xlfn.XLOOKUP($G62,$B$9:$B$13,$C$9:$C$13))*_xlfn.XLOOKUP($G62,$B$9:$B$13,$D$9:$D$13),0)),IFERROR(OFFSET(G64,0,_xlfn.XLOOKUP($G62,$B$9:$B$13,$E$9:$E$13))*_xlfn.XLOOKUP($G62,$B$9:$B$13,$F$9:$F$13),0),E66)))</f>
        <v>0</v>
      </c>
      <c r="H66" s="196">
        <f t="shared" ref="H66" ca="1" si="165">IF($I62="N",H64,IF($G62="1. In Flight",1,$G$9)*MIN(MAX($C64:$L64)*_xlfn.XLOOKUP($G62,$B$9:$B$13,$F$9:$F$13),MAX(IF(IFERROR(OFFSET(H64,0,_xlfn.XLOOKUP($G62,$B$9:$B$13,$C$9:$C$13)),0)=MAX($C64:$L64),_xlfn.MINIFS($C64:$L64,$C64:$L64,"&gt;0")*_xlfn.XLOOKUP($G62,$B$9:$B$13,$D$9:$D$13),IFERROR(OFFSET(H64,0,_xlfn.XLOOKUP($G62,$B$9:$B$13,$C$9:$C$13))*_xlfn.XLOOKUP($G62,$B$9:$B$13,$D$9:$D$13),0)),IFERROR(OFFSET(H64,0,_xlfn.XLOOKUP($G62,$B$9:$B$13,$E$9:$E$13))*_xlfn.XLOOKUP($G62,$B$9:$B$13,$F$9:$F$13),0),F66)))</f>
        <v>0</v>
      </c>
      <c r="I66" s="196">
        <f t="shared" ref="I66" ca="1" si="166">IF($I62="N",I64,IF($G62="1. In Flight",1,$G$9)*MIN(MAX($C64:$L64)*_xlfn.XLOOKUP($G62,$B$9:$B$13,$F$9:$F$13),MAX(IF(IFERROR(OFFSET(I64,0,_xlfn.XLOOKUP($G62,$B$9:$B$13,$C$9:$C$13)),0)=MAX($C64:$L64),_xlfn.MINIFS($C64:$L64,$C64:$L64,"&gt;0")*_xlfn.XLOOKUP($G62,$B$9:$B$13,$D$9:$D$13),IFERROR(OFFSET(I64,0,_xlfn.XLOOKUP($G62,$B$9:$B$13,$C$9:$C$13))*_xlfn.XLOOKUP($G62,$B$9:$B$13,$D$9:$D$13),0)),IFERROR(OFFSET(I64,0,_xlfn.XLOOKUP($G62,$B$9:$B$13,$E$9:$E$13))*_xlfn.XLOOKUP($G62,$B$9:$B$13,$F$9:$F$13),0),G66)))</f>
        <v>0.5</v>
      </c>
      <c r="J66" s="196">
        <f t="shared" ref="J66" ca="1" si="167">IF($I62="N",J64,IF($G62="1. In Flight",1,$G$9)*MIN(MAX($C64:$L64)*_xlfn.XLOOKUP($G62,$B$9:$B$13,$F$9:$F$13),MAX(IF(IFERROR(OFFSET(J64,0,_xlfn.XLOOKUP($G62,$B$9:$B$13,$C$9:$C$13)),0)=MAX($C64:$L64),_xlfn.MINIFS($C64:$L64,$C64:$L64,"&gt;0")*_xlfn.XLOOKUP($G62,$B$9:$B$13,$D$9:$D$13),IFERROR(OFFSET(J64,0,_xlfn.XLOOKUP($G62,$B$9:$B$13,$C$9:$C$13))*_xlfn.XLOOKUP($G62,$B$9:$B$13,$D$9:$D$13),0)),IFERROR(OFFSET(J64,0,_xlfn.XLOOKUP($G62,$B$9:$B$13,$E$9:$E$13))*_xlfn.XLOOKUP($G62,$B$9:$B$13,$F$9:$F$13),0),H66)))</f>
        <v>0.5</v>
      </c>
      <c r="K66" s="196">
        <f t="shared" ref="K66" ca="1" si="168">IF($I62="N",K64,IF($G62="1. In Flight",1,$G$9)*MIN(MAX($C64:$L64)*_xlfn.XLOOKUP($G62,$B$9:$B$13,$F$9:$F$13),MAX(IF(IFERROR(OFFSET(K64,0,_xlfn.XLOOKUP($G62,$B$9:$B$13,$C$9:$C$13)),0)=MAX($C64:$L64),_xlfn.MINIFS($C64:$L64,$C64:$L64,"&gt;0")*_xlfn.XLOOKUP($G62,$B$9:$B$13,$D$9:$D$13),IFERROR(OFFSET(K64,0,_xlfn.XLOOKUP($G62,$B$9:$B$13,$C$9:$C$13))*_xlfn.XLOOKUP($G62,$B$9:$B$13,$D$9:$D$13),0)),IFERROR(OFFSET(K64,0,_xlfn.XLOOKUP($G62,$B$9:$B$13,$E$9:$E$13))*_xlfn.XLOOKUP($G62,$B$9:$B$13,$F$9:$F$13),0),I66)))</f>
        <v>0.5</v>
      </c>
      <c r="L66" s="196">
        <f t="shared" ref="L66" ca="1" si="169">IF($I62="N",L64,IF($G62="1. In Flight",1,$G$9)*MIN(MAX($C64:$L64)*_xlfn.XLOOKUP($G62,$B$9:$B$13,$F$9:$F$13),MAX(IF(IFERROR(OFFSET(L64,0,_xlfn.XLOOKUP($G62,$B$9:$B$13,$C$9:$C$13)),0)=MAX($C64:$L64),_xlfn.MINIFS($C64:$L64,$C64:$L64,"&gt;0")*_xlfn.XLOOKUP($G62,$B$9:$B$13,$D$9:$D$13),IFERROR(OFFSET(L64,0,_xlfn.XLOOKUP($G62,$B$9:$B$13,$C$9:$C$13))*_xlfn.XLOOKUP($G62,$B$9:$B$13,$D$9:$D$13),0)),IFERROR(OFFSET(L64,0,_xlfn.XLOOKUP($G62,$B$9:$B$13,$E$9:$E$13))*_xlfn.XLOOKUP($G62,$B$9:$B$13,$F$9:$F$13),0),J66)))</f>
        <v>1</v>
      </c>
    </row>
    <row r="67" spans="1:12" ht="15" thickBot="1">
      <c r="A67" s="197" t="s">
        <v>109</v>
      </c>
      <c r="B67" s="198">
        <f>B64</f>
        <v>0</v>
      </c>
      <c r="C67" s="198">
        <f ca="1">IF($I62="N",C64,IF($G62="1. In Flight",1,$G$14)*MIN(MAX($C64:$L64)*_xlfn.XLOOKUP($G62,$B$14:$B$18,$F$14:$F$18),MAX(IF(IFERROR(OFFSET(C64,0,_xlfn.XLOOKUP($G62,$B$14:$B$18,$C$14:$C$18)),0)=MAX($C64:$L64),_xlfn.MINIFS($C64:$L64,$C64:$L64,"&gt;0")*_xlfn.XLOOKUP($G62,$B$14:$B$18,$D$14:$D$18),IFERROR(OFFSET(C64,0,_xlfn.XLOOKUP($G62,$B$14:$B$18,$C$14:$C$18))*_xlfn.XLOOKUP($G62,$B$14:$B$18,$D$14:$D$18),0)),IFERROR(OFFSET(C64,0,_xlfn.XLOOKUP($G62,$B$14:$B$18,$E$14:$E$18))*_xlfn.XLOOKUP($G62,$B$14:$B$18,$F$14:$F$18),0),A67)))</f>
        <v>0</v>
      </c>
      <c r="D67" s="198">
        <f t="shared" ref="D67" ca="1" si="170">IF($I62="N",D64,IF($G62="1. In Flight",1,$G$14)*MIN(MAX($C64:$L64)*_xlfn.XLOOKUP($G62,$B$14:$B$18,$F$14:$F$18),MAX(IF(IFERROR(OFFSET(D64,0,_xlfn.XLOOKUP($G62,$B$14:$B$18,$C$14:$C$18)),0)=MAX($C64:$L64),_xlfn.MINIFS($C64:$L64,$C64:$L64,"&gt;0")*_xlfn.XLOOKUP($G62,$B$14:$B$18,$D$14:$D$18),IFERROR(OFFSET(D64,0,_xlfn.XLOOKUP($G62,$B$14:$B$18,$C$14:$C$18))*_xlfn.XLOOKUP($G62,$B$14:$B$18,$D$14:$D$18),0)),IFERROR(OFFSET(D64,0,_xlfn.XLOOKUP($G62,$B$14:$B$18,$E$14:$E$18))*_xlfn.XLOOKUP($G62,$B$14:$B$18,$F$14:$F$18),0),B67)))</f>
        <v>0</v>
      </c>
      <c r="E67" s="198">
        <f t="shared" ref="E67" ca="1" si="171">IF($I62="N",E64,IF($G62="1. In Flight",1,$G$14)*MIN(MAX($C64:$L64)*_xlfn.XLOOKUP($G62,$B$14:$B$18,$F$14:$F$18),MAX(IF(IFERROR(OFFSET(E64,0,_xlfn.XLOOKUP($G62,$B$14:$B$18,$C$14:$C$18)),0)=MAX($C64:$L64),_xlfn.MINIFS($C64:$L64,$C64:$L64,"&gt;0")*_xlfn.XLOOKUP($G62,$B$14:$B$18,$D$14:$D$18),IFERROR(OFFSET(E64,0,_xlfn.XLOOKUP($G62,$B$14:$B$18,$C$14:$C$18))*_xlfn.XLOOKUP($G62,$B$14:$B$18,$D$14:$D$18),0)),IFERROR(OFFSET(E64,0,_xlfn.XLOOKUP($G62,$B$14:$B$18,$E$14:$E$18))*_xlfn.XLOOKUP($G62,$B$14:$B$18,$F$14:$F$18),0),C67)))</f>
        <v>0</v>
      </c>
      <c r="F67" s="198">
        <f t="shared" ref="F67" ca="1" si="172">IF($I62="N",F64,IF($G62="1. In Flight",1,$G$14)*MIN(MAX($C64:$L64)*_xlfn.XLOOKUP($G62,$B$14:$B$18,$F$14:$F$18),MAX(IF(IFERROR(OFFSET(F64,0,_xlfn.XLOOKUP($G62,$B$14:$B$18,$C$14:$C$18)),0)=MAX($C64:$L64),_xlfn.MINIFS($C64:$L64,$C64:$L64,"&gt;0")*_xlfn.XLOOKUP($G62,$B$14:$B$18,$D$14:$D$18),IFERROR(OFFSET(F64,0,_xlfn.XLOOKUP($G62,$B$14:$B$18,$C$14:$C$18))*_xlfn.XLOOKUP($G62,$B$14:$B$18,$D$14:$D$18),0)),IFERROR(OFFSET(F64,0,_xlfn.XLOOKUP($G62,$B$14:$B$18,$E$14:$E$18))*_xlfn.XLOOKUP($G62,$B$14:$B$18,$F$14:$F$18),0),D67)))</f>
        <v>2.7</v>
      </c>
      <c r="G67" s="198">
        <f t="shared" ref="G67" ca="1" si="173">IF($I62="N",G64,IF($G62="1. In Flight",1,$G$14)*MIN(MAX($C64:$L64)*_xlfn.XLOOKUP($G62,$B$14:$B$18,$F$14:$F$18),MAX(IF(IFERROR(OFFSET(G64,0,_xlfn.XLOOKUP($G62,$B$14:$B$18,$C$14:$C$18)),0)=MAX($C64:$L64),_xlfn.MINIFS($C64:$L64,$C64:$L64,"&gt;0")*_xlfn.XLOOKUP($G62,$B$14:$B$18,$D$14:$D$18),IFERROR(OFFSET(G64,0,_xlfn.XLOOKUP($G62,$B$14:$B$18,$C$14:$C$18))*_xlfn.XLOOKUP($G62,$B$14:$B$18,$D$14:$D$18),0)),IFERROR(OFFSET(G64,0,_xlfn.XLOOKUP($G62,$B$14:$B$18,$E$14:$E$18))*_xlfn.XLOOKUP($G62,$B$14:$B$18,$F$14:$F$18),0),E67)))</f>
        <v>2.7</v>
      </c>
      <c r="H67" s="198">
        <f t="shared" ref="H67" ca="1" si="174">IF($I62="N",H64,IF($G62="1. In Flight",1,$G$14)*MIN(MAX($C64:$L64)*_xlfn.XLOOKUP($G62,$B$14:$B$18,$F$14:$F$18),MAX(IF(IFERROR(OFFSET(H64,0,_xlfn.XLOOKUP($G62,$B$14:$B$18,$C$14:$C$18)),0)=MAX($C64:$L64),_xlfn.MINIFS($C64:$L64,$C64:$L64,"&gt;0")*_xlfn.XLOOKUP($G62,$B$14:$B$18,$D$14:$D$18),IFERROR(OFFSET(H64,0,_xlfn.XLOOKUP($G62,$B$14:$B$18,$C$14:$C$18))*_xlfn.XLOOKUP($G62,$B$14:$B$18,$D$14:$D$18),0)),IFERROR(OFFSET(H64,0,_xlfn.XLOOKUP($G62,$B$14:$B$18,$E$14:$E$18))*_xlfn.XLOOKUP($G62,$B$14:$B$18,$F$14:$F$18),0),F67)))</f>
        <v>2.7</v>
      </c>
      <c r="I67" s="198">
        <f t="shared" ref="I67" ca="1" si="175">IF($I62="N",I64,IF($G62="1. In Flight",1,$G$14)*MIN(MAX($C64:$L64)*_xlfn.XLOOKUP($G62,$B$14:$B$18,$F$14:$F$18),MAX(IF(IFERROR(OFFSET(I64,0,_xlfn.XLOOKUP($G62,$B$14:$B$18,$C$14:$C$18)),0)=MAX($C64:$L64),_xlfn.MINIFS($C64:$L64,$C64:$L64,"&gt;0")*_xlfn.XLOOKUP($G62,$B$14:$B$18,$D$14:$D$18),IFERROR(OFFSET(I64,0,_xlfn.XLOOKUP($G62,$B$14:$B$18,$C$14:$C$18))*_xlfn.XLOOKUP($G62,$B$14:$B$18,$D$14:$D$18),0)),IFERROR(OFFSET(I64,0,_xlfn.XLOOKUP($G62,$B$14:$B$18,$E$14:$E$18))*_xlfn.XLOOKUP($G62,$B$14:$B$18,$F$14:$F$18),0),G67)))</f>
        <v>5.4</v>
      </c>
      <c r="J67" s="198">
        <f t="shared" ref="J67" ca="1" si="176">IF($I62="N",J64,IF($G62="1. In Flight",1,$G$14)*MIN(MAX($C64:$L64)*_xlfn.XLOOKUP($G62,$B$14:$B$18,$F$14:$F$18),MAX(IF(IFERROR(OFFSET(J64,0,_xlfn.XLOOKUP($G62,$B$14:$B$18,$C$14:$C$18)),0)=MAX($C64:$L64),_xlfn.MINIFS($C64:$L64,$C64:$L64,"&gt;0")*_xlfn.XLOOKUP($G62,$B$14:$B$18,$D$14:$D$18),IFERROR(OFFSET(J64,0,_xlfn.XLOOKUP($G62,$B$14:$B$18,$C$14:$C$18))*_xlfn.XLOOKUP($G62,$B$14:$B$18,$D$14:$D$18),0)),IFERROR(OFFSET(J64,0,_xlfn.XLOOKUP($G62,$B$14:$B$18,$E$14:$E$18))*_xlfn.XLOOKUP($G62,$B$14:$B$18,$F$14:$F$18),0),H67)))</f>
        <v>8.1</v>
      </c>
      <c r="K67" s="198">
        <f t="shared" ref="K67" ca="1" si="177">IF($I62="N",K64,IF($G62="1. In Flight",1,$G$14)*MIN(MAX($C64:$L64)*_xlfn.XLOOKUP($G62,$B$14:$B$18,$F$14:$F$18),MAX(IF(IFERROR(OFFSET(K64,0,_xlfn.XLOOKUP($G62,$B$14:$B$18,$C$14:$C$18)),0)=MAX($C64:$L64),_xlfn.MINIFS($C64:$L64,$C64:$L64,"&gt;0")*_xlfn.XLOOKUP($G62,$B$14:$B$18,$D$14:$D$18),IFERROR(OFFSET(K64,0,_xlfn.XLOOKUP($G62,$B$14:$B$18,$C$14:$C$18))*_xlfn.XLOOKUP($G62,$B$14:$B$18,$D$14:$D$18),0)),IFERROR(OFFSET(K64,0,_xlfn.XLOOKUP($G62,$B$14:$B$18,$E$14:$E$18))*_xlfn.XLOOKUP($G62,$B$14:$B$18,$F$14:$F$18),0),I67)))</f>
        <v>4.8600000000000003</v>
      </c>
      <c r="L67" s="198">
        <f t="shared" ref="L67" ca="1" si="178">IF($I62="N",L64,IF($G62="1. In Flight",1,$G$14)*MIN(MAX($C64:$L64)*_xlfn.XLOOKUP($G62,$B$14:$B$18,$F$14:$F$18),MAX(IF(IFERROR(OFFSET(L64,0,_xlfn.XLOOKUP($G62,$B$14:$B$18,$C$14:$C$18)),0)=MAX($C64:$L64),_xlfn.MINIFS($C64:$L64,$C64:$L64,"&gt;0")*_xlfn.XLOOKUP($G62,$B$14:$B$18,$D$14:$D$18),IFERROR(OFFSET(L64,0,_xlfn.XLOOKUP($G62,$B$14:$B$18,$C$14:$C$18))*_xlfn.XLOOKUP($G62,$B$14:$B$18,$D$14:$D$18),0)),IFERROR(OFFSET(L64,0,_xlfn.XLOOKUP($G62,$B$14:$B$18,$E$14:$E$18))*_xlfn.XLOOKUP($G62,$B$14:$B$18,$F$14:$F$18),0),J67)))</f>
        <v>7.29</v>
      </c>
    </row>
    <row r="68" spans="1:12" ht="15" thickTop="1"/>
    <row r="69" spans="1:12" ht="15" thickBot="1">
      <c r="A69" s="231">
        <f>_xlfn.XLOOKUP(F69,FEED!D:D,FEED!E:E,FALSE)</f>
        <v>0</v>
      </c>
      <c r="B69" s="232"/>
      <c r="C69" s="188" t="s">
        <v>110</v>
      </c>
      <c r="D69" s="189"/>
      <c r="E69" s="189"/>
      <c r="F69" s="189" t="s">
        <v>40</v>
      </c>
      <c r="G69" s="189" t="str">
        <f>IFERROR(_xlfn.XLOOKUP(F69,FEED!$D:$D,FEED!$S:$S),$B$8)</f>
        <v>4. Low</v>
      </c>
      <c r="H69" s="189" t="str">
        <f>IFERROR(_xlfn.XLOOKUP(F69,FEED!$D:$D,FEED!$Y:$Y),"Major Load")</f>
        <v>Major Load</v>
      </c>
      <c r="I69" s="189" t="str">
        <f>IFERROR(_xlfn.XLOOKUP(F69,FEED!$D:$D,FEED!$C:$C),"N")</f>
        <v>Y</v>
      </c>
      <c r="J69" s="190"/>
      <c r="K69" s="190"/>
      <c r="L69" s="190"/>
    </row>
    <row r="70" spans="1:12" ht="15" thickBot="1">
      <c r="A70" s="191" t="str">
        <f t="shared" ref="A70" si="179">A77</f>
        <v>Uptake Scenario</v>
      </c>
      <c r="B70" s="192">
        <f>B63</f>
        <v>2023</v>
      </c>
      <c r="C70" s="192">
        <f t="shared" ref="C70:L70" si="180">C63</f>
        <v>2024</v>
      </c>
      <c r="D70" s="192">
        <f t="shared" si="180"/>
        <v>2025</v>
      </c>
      <c r="E70" s="192">
        <f t="shared" si="180"/>
        <v>2026</v>
      </c>
      <c r="F70" s="192">
        <f t="shared" si="180"/>
        <v>2027</v>
      </c>
      <c r="G70" s="192">
        <f t="shared" si="180"/>
        <v>2028</v>
      </c>
      <c r="H70" s="192">
        <f t="shared" si="180"/>
        <v>2029</v>
      </c>
      <c r="I70" s="192">
        <f t="shared" si="180"/>
        <v>2030</v>
      </c>
      <c r="J70" s="192">
        <f t="shared" si="180"/>
        <v>2031</v>
      </c>
      <c r="K70" s="192">
        <f t="shared" si="180"/>
        <v>2032</v>
      </c>
      <c r="L70" s="192">
        <f t="shared" si="180"/>
        <v>2033</v>
      </c>
    </row>
    <row r="71" spans="1:12" ht="15.6" thickTop="1" thickBot="1">
      <c r="A71" s="193" t="s">
        <v>111</v>
      </c>
      <c r="B71" s="194">
        <v>0</v>
      </c>
      <c r="C71" s="194">
        <f>SUMIF(FEED!$D:$D,$F69,FEED!F:F)+B71</f>
        <v>0</v>
      </c>
      <c r="D71" s="194">
        <f>SUMIF(FEED!$D:$D,$F69,FEED!G:G)+C71</f>
        <v>10</v>
      </c>
      <c r="E71" s="194">
        <f>SUMIF(FEED!$D:$D,$F69,FEED!H:H)+D71</f>
        <v>10</v>
      </c>
      <c r="F71" s="194">
        <f>SUMIF(FEED!$D:$D,$F69,FEED!I:I)+E71</f>
        <v>10</v>
      </c>
      <c r="G71" s="194">
        <f>SUMIF(FEED!$D:$D,$F69,FEED!J:J)+F71</f>
        <v>10</v>
      </c>
      <c r="H71" s="194">
        <f>SUMIF(FEED!$D:$D,$F69,FEED!K:K)+G71</f>
        <v>10</v>
      </c>
      <c r="I71" s="194">
        <f>SUMIF(FEED!$D:$D,$F69,FEED!L:L)+H71</f>
        <v>10</v>
      </c>
      <c r="J71" s="194">
        <f>SUMIF(FEED!$D:$D,$F69,FEED!M:M)+I71</f>
        <v>10</v>
      </c>
      <c r="K71" s="194">
        <f>SUMIF(FEED!$D:$D,$F69,FEED!N:N)+J71</f>
        <v>10</v>
      </c>
      <c r="L71" s="194">
        <f>SUMIF(FEED!$D:$D,$F69,FEED!O:O)+K71</f>
        <v>10</v>
      </c>
    </row>
    <row r="72" spans="1:12" ht="15" thickBot="1">
      <c r="A72" s="195" t="s">
        <v>107</v>
      </c>
      <c r="B72" s="196">
        <f>B71</f>
        <v>0</v>
      </c>
      <c r="C72" s="196">
        <f ca="1">IF($I69="N",C71,IF($G69="1. In Flight",1,$G$4)*MIN(MAX($C71:$L71)*_xlfn.XLOOKUP($G69,$B$4:$B$8,$F$4:$F$8),MAX(IF(IFERROR(OFFSET(C71,0,_xlfn.XLOOKUP($G69,$B$4:$B$8,$C$4:$C$8)),0)=MAX($C71:$L71),_xlfn.MINIFS($C71:$L71,$C71:$L71,"&gt;0")*_xlfn.XLOOKUP($G69,$B$4:$B$8,$D$4:$D$8),IFERROR(OFFSET(C71,0,_xlfn.XLOOKUP($G69,$B$4:$B$8,$C$4:$C$8))*_xlfn.XLOOKUP($G69,$B$4:$B$8,$D$4:$D$8),0)),IFERROR(OFFSET(C71,0,_xlfn.XLOOKUP($G69,$B$4:$B$8,$E$4:$E$8))*_xlfn.XLOOKUP($G69,$B$4:$B$8,$F$4:$F$8),0),A72)))</f>
        <v>0</v>
      </c>
      <c r="D72" s="196">
        <f t="shared" ref="D72" ca="1" si="181">IF($I69="N",D71,IF($G69="1. In Flight",1,$G$4)*MIN(MAX($C71:$L71)*_xlfn.XLOOKUP($G69,$B$4:$B$8,$F$4:$F$8),MAX(IF(IFERROR(OFFSET(D71,0,_xlfn.XLOOKUP($G69,$B$4:$B$8,$C$4:$C$8)),0)=MAX($C71:$L71),_xlfn.MINIFS($C71:$L71,$C71:$L71,"&gt;0")*_xlfn.XLOOKUP($G69,$B$4:$B$8,$D$4:$D$8),IFERROR(OFFSET(D71,0,_xlfn.XLOOKUP($G69,$B$4:$B$8,$C$4:$C$8))*_xlfn.XLOOKUP($G69,$B$4:$B$8,$D$4:$D$8),0)),IFERROR(OFFSET(D71,0,_xlfn.XLOOKUP($G69,$B$4:$B$8,$E$4:$E$8))*_xlfn.XLOOKUP($G69,$B$4:$B$8,$F$4:$F$8),0),B72)))</f>
        <v>0</v>
      </c>
      <c r="E72" s="196">
        <f t="shared" ref="E72" ca="1" si="182">IF($I69="N",E71,IF($G69="1. In Flight",1,$G$4)*MIN(MAX($C71:$L71)*_xlfn.XLOOKUP($G69,$B$4:$B$8,$F$4:$F$8),MAX(IF(IFERROR(OFFSET(E71,0,_xlfn.XLOOKUP($G69,$B$4:$B$8,$C$4:$C$8)),0)=MAX($C71:$L71),_xlfn.MINIFS($C71:$L71,$C71:$L71,"&gt;0")*_xlfn.XLOOKUP($G69,$B$4:$B$8,$D$4:$D$8),IFERROR(OFFSET(E71,0,_xlfn.XLOOKUP($G69,$B$4:$B$8,$C$4:$C$8))*_xlfn.XLOOKUP($G69,$B$4:$B$8,$D$4:$D$8),0)),IFERROR(OFFSET(E71,0,_xlfn.XLOOKUP($G69,$B$4:$B$8,$E$4:$E$8))*_xlfn.XLOOKUP($G69,$B$4:$B$8,$F$4:$F$8),0),C72)))</f>
        <v>0</v>
      </c>
      <c r="F72" s="196">
        <f t="shared" ref="F72" ca="1" si="183">IF($I69="N",F71,IF($G69="1. In Flight",1,$G$4)*MIN(MAX($C71:$L71)*_xlfn.XLOOKUP($G69,$B$4:$B$8,$F$4:$F$8),MAX(IF(IFERROR(OFFSET(F71,0,_xlfn.XLOOKUP($G69,$B$4:$B$8,$C$4:$C$8)),0)=MAX($C71:$L71),_xlfn.MINIFS($C71:$L71,$C71:$L71,"&gt;0")*_xlfn.XLOOKUP($G69,$B$4:$B$8,$D$4:$D$8),IFERROR(OFFSET(F71,0,_xlfn.XLOOKUP($G69,$B$4:$B$8,$C$4:$C$8))*_xlfn.XLOOKUP($G69,$B$4:$B$8,$D$4:$D$8),0)),IFERROR(OFFSET(F71,0,_xlfn.XLOOKUP($G69,$B$4:$B$8,$E$4:$E$8))*_xlfn.XLOOKUP($G69,$B$4:$B$8,$F$4:$F$8),0),D72)))</f>
        <v>0</v>
      </c>
      <c r="G72" s="196">
        <f t="shared" ref="G72" ca="1" si="184">IF($I69="N",G71,IF($G69="1. In Flight",1,$G$4)*MIN(MAX($C71:$L71)*_xlfn.XLOOKUP($G69,$B$4:$B$8,$F$4:$F$8),MAX(IF(IFERROR(OFFSET(G71,0,_xlfn.XLOOKUP($G69,$B$4:$B$8,$C$4:$C$8)),0)=MAX($C71:$L71),_xlfn.MINIFS($C71:$L71,$C71:$L71,"&gt;0")*_xlfn.XLOOKUP($G69,$B$4:$B$8,$D$4:$D$8),IFERROR(OFFSET(G71,0,_xlfn.XLOOKUP($G69,$B$4:$B$8,$C$4:$C$8))*_xlfn.XLOOKUP($G69,$B$4:$B$8,$D$4:$D$8),0)),IFERROR(OFFSET(G71,0,_xlfn.XLOOKUP($G69,$B$4:$B$8,$E$4:$E$8))*_xlfn.XLOOKUP($G69,$B$4:$B$8,$F$4:$F$8),0),E72)))</f>
        <v>0</v>
      </c>
      <c r="H72" s="196">
        <f t="shared" ref="H72" ca="1" si="185">IF($I69="N",H71,IF($G69="1. In Flight",1,$G$4)*MIN(MAX($C71:$L71)*_xlfn.XLOOKUP($G69,$B$4:$B$8,$F$4:$F$8),MAX(IF(IFERROR(OFFSET(H71,0,_xlfn.XLOOKUP($G69,$B$4:$B$8,$C$4:$C$8)),0)=MAX($C71:$L71),_xlfn.MINIFS($C71:$L71,$C71:$L71,"&gt;0")*_xlfn.XLOOKUP($G69,$B$4:$B$8,$D$4:$D$8),IFERROR(OFFSET(H71,0,_xlfn.XLOOKUP($G69,$B$4:$B$8,$C$4:$C$8))*_xlfn.XLOOKUP($G69,$B$4:$B$8,$D$4:$D$8),0)),IFERROR(OFFSET(H71,0,_xlfn.XLOOKUP($G69,$B$4:$B$8,$E$4:$E$8))*_xlfn.XLOOKUP($G69,$B$4:$B$8,$F$4:$F$8),0),F72)))</f>
        <v>0</v>
      </c>
      <c r="I72" s="196">
        <f t="shared" ref="I72" ca="1" si="186">IF($I69="N",I71,IF($G69="1. In Flight",1,$G$4)*MIN(MAX($C71:$L71)*_xlfn.XLOOKUP($G69,$B$4:$B$8,$F$4:$F$8),MAX(IF(IFERROR(OFFSET(I71,0,_xlfn.XLOOKUP($G69,$B$4:$B$8,$C$4:$C$8)),0)=MAX($C71:$L71),_xlfn.MINIFS($C71:$L71,$C71:$L71,"&gt;0")*_xlfn.XLOOKUP($G69,$B$4:$B$8,$D$4:$D$8),IFERROR(OFFSET(I71,0,_xlfn.XLOOKUP($G69,$B$4:$B$8,$C$4:$C$8))*_xlfn.XLOOKUP($G69,$B$4:$B$8,$D$4:$D$8),0)),IFERROR(OFFSET(I71,0,_xlfn.XLOOKUP($G69,$B$4:$B$8,$E$4:$E$8))*_xlfn.XLOOKUP($G69,$B$4:$B$8,$F$4:$F$8),0),G72)))</f>
        <v>0.7</v>
      </c>
      <c r="J72" s="196">
        <f t="shared" ref="J72" ca="1" si="187">IF($I69="N",J71,IF($G69="1. In Flight",1,$G$4)*MIN(MAX($C71:$L71)*_xlfn.XLOOKUP($G69,$B$4:$B$8,$F$4:$F$8),MAX(IF(IFERROR(OFFSET(J71,0,_xlfn.XLOOKUP($G69,$B$4:$B$8,$C$4:$C$8)),0)=MAX($C71:$L71),_xlfn.MINIFS($C71:$L71,$C71:$L71,"&gt;0")*_xlfn.XLOOKUP($G69,$B$4:$B$8,$D$4:$D$8),IFERROR(OFFSET(J71,0,_xlfn.XLOOKUP($G69,$B$4:$B$8,$C$4:$C$8))*_xlfn.XLOOKUP($G69,$B$4:$B$8,$D$4:$D$8),0)),IFERROR(OFFSET(J71,0,_xlfn.XLOOKUP($G69,$B$4:$B$8,$E$4:$E$8))*_xlfn.XLOOKUP($G69,$B$4:$B$8,$F$4:$F$8),0),H72)))</f>
        <v>0.7</v>
      </c>
      <c r="K72" s="196">
        <f t="shared" ref="K72" ca="1" si="188">IF($I69="N",K71,IF($G69="1. In Flight",1,$G$4)*MIN(MAX($C71:$L71)*_xlfn.XLOOKUP($G69,$B$4:$B$8,$F$4:$F$8),MAX(IF(IFERROR(OFFSET(K71,0,_xlfn.XLOOKUP($G69,$B$4:$B$8,$C$4:$C$8)),0)=MAX($C71:$L71),_xlfn.MINIFS($C71:$L71,$C71:$L71,"&gt;0")*_xlfn.XLOOKUP($G69,$B$4:$B$8,$D$4:$D$8),IFERROR(OFFSET(K71,0,_xlfn.XLOOKUP($G69,$B$4:$B$8,$C$4:$C$8))*_xlfn.XLOOKUP($G69,$B$4:$B$8,$D$4:$D$8),0)),IFERROR(OFFSET(K71,0,_xlfn.XLOOKUP($G69,$B$4:$B$8,$E$4:$E$8))*_xlfn.XLOOKUP($G69,$B$4:$B$8,$F$4:$F$8),0),I72)))</f>
        <v>0.7</v>
      </c>
      <c r="L72" s="196">
        <f t="shared" ref="L72" ca="1" si="189">IF($I69="N",L71,IF($G69="1. In Flight",1,$G$4)*MIN(MAX($C71:$L71)*_xlfn.XLOOKUP($G69,$B$4:$B$8,$F$4:$F$8),MAX(IF(IFERROR(OFFSET(L71,0,_xlfn.XLOOKUP($G69,$B$4:$B$8,$C$4:$C$8)),0)=MAX($C71:$L71),_xlfn.MINIFS($C71:$L71,$C71:$L71,"&gt;0")*_xlfn.XLOOKUP($G69,$B$4:$B$8,$D$4:$D$8),IFERROR(OFFSET(L71,0,_xlfn.XLOOKUP($G69,$B$4:$B$8,$C$4:$C$8))*_xlfn.XLOOKUP($G69,$B$4:$B$8,$D$4:$D$8),0)),IFERROR(OFFSET(L71,0,_xlfn.XLOOKUP($G69,$B$4:$B$8,$E$4:$E$8))*_xlfn.XLOOKUP($G69,$B$4:$B$8,$F$4:$F$8),0),J72)))</f>
        <v>0.7</v>
      </c>
    </row>
    <row r="73" spans="1:12" ht="15" thickBot="1">
      <c r="A73" s="195" t="s">
        <v>108</v>
      </c>
      <c r="B73" s="196">
        <f>B71</f>
        <v>0</v>
      </c>
      <c r="C73" s="196">
        <f ca="1">IF($I69="N",C71,IF($G69="1. In Flight",1,$G$9)*MIN(MAX($C71:$L71)*_xlfn.XLOOKUP($G69,$B$9:$B$13,$F$9:$F$13),MAX(IF(IFERROR(OFFSET(C71,0,_xlfn.XLOOKUP($G69,$B$9:$B$13,$C$9:$C$13)),0)=MAX($C71:$L71),_xlfn.MINIFS($C71:$L71,$C71:$L71,"&gt;0")*_xlfn.XLOOKUP($G69,$B$9:$B$13,$D$9:$D$13),IFERROR(OFFSET(C71,0,_xlfn.XLOOKUP($G69,$B$9:$B$13,$C$9:$C$13))*_xlfn.XLOOKUP($G69,$B$9:$B$13,$D$9:$D$13),0)),IFERROR(OFFSET(C71,0,_xlfn.XLOOKUP($G69,$B$9:$B$13,$E$9:$E$13))*_xlfn.XLOOKUP($G69,$B$9:$B$13,$F$9:$F$13),0),A73)))</f>
        <v>0</v>
      </c>
      <c r="D73" s="196">
        <f t="shared" ref="D73" ca="1" si="190">IF($I69="N",D71,IF($G69="1. In Flight",1,$G$9)*MIN(MAX($C71:$L71)*_xlfn.XLOOKUP($G69,$B$9:$B$13,$F$9:$F$13),MAX(IF(IFERROR(OFFSET(D71,0,_xlfn.XLOOKUP($G69,$B$9:$B$13,$C$9:$C$13)),0)=MAX($C71:$L71),_xlfn.MINIFS($C71:$L71,$C71:$L71,"&gt;0")*_xlfn.XLOOKUP($G69,$B$9:$B$13,$D$9:$D$13),IFERROR(OFFSET(D71,0,_xlfn.XLOOKUP($G69,$B$9:$B$13,$C$9:$C$13))*_xlfn.XLOOKUP($G69,$B$9:$B$13,$D$9:$D$13),0)),IFERROR(OFFSET(D71,0,_xlfn.XLOOKUP($G69,$B$9:$B$13,$E$9:$E$13))*_xlfn.XLOOKUP($G69,$B$9:$B$13,$F$9:$F$13),0),B73)))</f>
        <v>0</v>
      </c>
      <c r="E73" s="196">
        <f t="shared" ref="E73" ca="1" si="191">IF($I69="N",E71,IF($G69="1. In Flight",1,$G$9)*MIN(MAX($C71:$L71)*_xlfn.XLOOKUP($G69,$B$9:$B$13,$F$9:$F$13),MAX(IF(IFERROR(OFFSET(E71,0,_xlfn.XLOOKUP($G69,$B$9:$B$13,$C$9:$C$13)),0)=MAX($C71:$L71),_xlfn.MINIFS($C71:$L71,$C71:$L71,"&gt;0")*_xlfn.XLOOKUP($G69,$B$9:$B$13,$D$9:$D$13),IFERROR(OFFSET(E71,0,_xlfn.XLOOKUP($G69,$B$9:$B$13,$C$9:$C$13))*_xlfn.XLOOKUP($G69,$B$9:$B$13,$D$9:$D$13),0)),IFERROR(OFFSET(E71,0,_xlfn.XLOOKUP($G69,$B$9:$B$13,$E$9:$E$13))*_xlfn.XLOOKUP($G69,$B$9:$B$13,$F$9:$F$13),0),C73)))</f>
        <v>0</v>
      </c>
      <c r="F73" s="196">
        <f t="shared" ref="F73" ca="1" si="192">IF($I69="N",F71,IF($G69="1. In Flight",1,$G$9)*MIN(MAX($C71:$L71)*_xlfn.XLOOKUP($G69,$B$9:$B$13,$F$9:$F$13),MAX(IF(IFERROR(OFFSET(F71,0,_xlfn.XLOOKUP($G69,$B$9:$B$13,$C$9:$C$13)),0)=MAX($C71:$L71),_xlfn.MINIFS($C71:$L71,$C71:$L71,"&gt;0")*_xlfn.XLOOKUP($G69,$B$9:$B$13,$D$9:$D$13),IFERROR(OFFSET(F71,0,_xlfn.XLOOKUP($G69,$B$9:$B$13,$C$9:$C$13))*_xlfn.XLOOKUP($G69,$B$9:$B$13,$D$9:$D$13),0)),IFERROR(OFFSET(F71,0,_xlfn.XLOOKUP($G69,$B$9:$B$13,$E$9:$E$13))*_xlfn.XLOOKUP($G69,$B$9:$B$13,$F$9:$F$13),0),D73)))</f>
        <v>0</v>
      </c>
      <c r="G73" s="196">
        <f t="shared" ref="G73" ca="1" si="193">IF($I69="N",G71,IF($G69="1. In Flight",1,$G$9)*MIN(MAX($C71:$L71)*_xlfn.XLOOKUP($G69,$B$9:$B$13,$F$9:$F$13),MAX(IF(IFERROR(OFFSET(G71,0,_xlfn.XLOOKUP($G69,$B$9:$B$13,$C$9:$C$13)),0)=MAX($C71:$L71),_xlfn.MINIFS($C71:$L71,$C71:$L71,"&gt;0")*_xlfn.XLOOKUP($G69,$B$9:$B$13,$D$9:$D$13),IFERROR(OFFSET(G71,0,_xlfn.XLOOKUP($G69,$B$9:$B$13,$C$9:$C$13))*_xlfn.XLOOKUP($G69,$B$9:$B$13,$D$9:$D$13),0)),IFERROR(OFFSET(G71,0,_xlfn.XLOOKUP($G69,$B$9:$B$13,$E$9:$E$13))*_xlfn.XLOOKUP($G69,$B$9:$B$13,$F$9:$F$13),0),E73)))</f>
        <v>0</v>
      </c>
      <c r="H73" s="196">
        <f t="shared" ref="H73" ca="1" si="194">IF($I69="N",H71,IF($G69="1. In Flight",1,$G$9)*MIN(MAX($C71:$L71)*_xlfn.XLOOKUP($G69,$B$9:$B$13,$F$9:$F$13),MAX(IF(IFERROR(OFFSET(H71,0,_xlfn.XLOOKUP($G69,$B$9:$B$13,$C$9:$C$13)),0)=MAX($C71:$L71),_xlfn.MINIFS($C71:$L71,$C71:$L71,"&gt;0")*_xlfn.XLOOKUP($G69,$B$9:$B$13,$D$9:$D$13),IFERROR(OFFSET(H71,0,_xlfn.XLOOKUP($G69,$B$9:$B$13,$C$9:$C$13))*_xlfn.XLOOKUP($G69,$B$9:$B$13,$D$9:$D$13),0)),IFERROR(OFFSET(H71,0,_xlfn.XLOOKUP($G69,$B$9:$B$13,$E$9:$E$13))*_xlfn.XLOOKUP($G69,$B$9:$B$13,$F$9:$F$13),0),F73)))</f>
        <v>0</v>
      </c>
      <c r="I73" s="196">
        <f t="shared" ref="I73" ca="1" si="195">IF($I69="N",I71,IF($G69="1. In Flight",1,$G$9)*MIN(MAX($C71:$L71)*_xlfn.XLOOKUP($G69,$B$9:$B$13,$F$9:$F$13),MAX(IF(IFERROR(OFFSET(I71,0,_xlfn.XLOOKUP($G69,$B$9:$B$13,$C$9:$C$13)),0)=MAX($C71:$L71),_xlfn.MINIFS($C71:$L71,$C71:$L71,"&gt;0")*_xlfn.XLOOKUP($G69,$B$9:$B$13,$D$9:$D$13),IFERROR(OFFSET(I71,0,_xlfn.XLOOKUP($G69,$B$9:$B$13,$C$9:$C$13))*_xlfn.XLOOKUP($G69,$B$9:$B$13,$D$9:$D$13),0)),IFERROR(OFFSET(I71,0,_xlfn.XLOOKUP($G69,$B$9:$B$13,$E$9:$E$13))*_xlfn.XLOOKUP($G69,$B$9:$B$13,$F$9:$F$13),0),G73)))</f>
        <v>0</v>
      </c>
      <c r="J73" s="196">
        <f t="shared" ref="J73" ca="1" si="196">IF($I69="N",J71,IF($G69="1. In Flight",1,$G$9)*MIN(MAX($C71:$L71)*_xlfn.XLOOKUP($G69,$B$9:$B$13,$F$9:$F$13),MAX(IF(IFERROR(OFFSET(J71,0,_xlfn.XLOOKUP($G69,$B$9:$B$13,$C$9:$C$13)),0)=MAX($C71:$L71),_xlfn.MINIFS($C71:$L71,$C71:$L71,"&gt;0")*_xlfn.XLOOKUP($G69,$B$9:$B$13,$D$9:$D$13),IFERROR(OFFSET(J71,0,_xlfn.XLOOKUP($G69,$B$9:$B$13,$C$9:$C$13))*_xlfn.XLOOKUP($G69,$B$9:$B$13,$D$9:$D$13),0)),IFERROR(OFFSET(J71,0,_xlfn.XLOOKUP($G69,$B$9:$B$13,$E$9:$E$13))*_xlfn.XLOOKUP($G69,$B$9:$B$13,$F$9:$F$13),0),H73)))</f>
        <v>0</v>
      </c>
      <c r="K73" s="196">
        <f t="shared" ref="K73" ca="1" si="197">IF($I69="N",K71,IF($G69="1. In Flight",1,$G$9)*MIN(MAX($C71:$L71)*_xlfn.XLOOKUP($G69,$B$9:$B$13,$F$9:$F$13),MAX(IF(IFERROR(OFFSET(K71,0,_xlfn.XLOOKUP($G69,$B$9:$B$13,$C$9:$C$13)),0)=MAX($C71:$L71),_xlfn.MINIFS($C71:$L71,$C71:$L71,"&gt;0")*_xlfn.XLOOKUP($G69,$B$9:$B$13,$D$9:$D$13),IFERROR(OFFSET(K71,0,_xlfn.XLOOKUP($G69,$B$9:$B$13,$C$9:$C$13))*_xlfn.XLOOKUP($G69,$B$9:$B$13,$D$9:$D$13),0)),IFERROR(OFFSET(K71,0,_xlfn.XLOOKUP($G69,$B$9:$B$13,$E$9:$E$13))*_xlfn.XLOOKUP($G69,$B$9:$B$13,$F$9:$F$13),0),I73)))</f>
        <v>0</v>
      </c>
      <c r="L73" s="196">
        <f t="shared" ref="L73" ca="1" si="198">IF($I69="N",L71,IF($G69="1. In Flight",1,$G$9)*MIN(MAX($C71:$L71)*_xlfn.XLOOKUP($G69,$B$9:$B$13,$F$9:$F$13),MAX(IF(IFERROR(OFFSET(L71,0,_xlfn.XLOOKUP($G69,$B$9:$B$13,$C$9:$C$13)),0)=MAX($C71:$L71),_xlfn.MINIFS($C71:$L71,$C71:$L71,"&gt;0")*_xlfn.XLOOKUP($G69,$B$9:$B$13,$D$9:$D$13),IFERROR(OFFSET(L71,0,_xlfn.XLOOKUP($G69,$B$9:$B$13,$C$9:$C$13))*_xlfn.XLOOKUP($G69,$B$9:$B$13,$D$9:$D$13),0)),IFERROR(OFFSET(L71,0,_xlfn.XLOOKUP($G69,$B$9:$B$13,$E$9:$E$13))*_xlfn.XLOOKUP($G69,$B$9:$B$13,$F$9:$F$13),0),J73)))</f>
        <v>0</v>
      </c>
    </row>
    <row r="74" spans="1:12" ht="15" thickBot="1">
      <c r="A74" s="197" t="s">
        <v>109</v>
      </c>
      <c r="B74" s="198">
        <f>B71</f>
        <v>0</v>
      </c>
      <c r="C74" s="198">
        <f ca="1">IF($I69="N",C71,IF($G69="1. In Flight",1,$G$14)*MIN(MAX($C71:$L71)*_xlfn.XLOOKUP($G69,$B$14:$B$18,$F$14:$F$18),MAX(IF(IFERROR(OFFSET(C71,0,_xlfn.XLOOKUP($G69,$B$14:$B$18,$C$14:$C$18)),0)=MAX($C71:$L71),_xlfn.MINIFS($C71:$L71,$C71:$L71,"&gt;0")*_xlfn.XLOOKUP($G69,$B$14:$B$18,$D$14:$D$18),IFERROR(OFFSET(C71,0,_xlfn.XLOOKUP($G69,$B$14:$B$18,$C$14:$C$18))*_xlfn.XLOOKUP($G69,$B$14:$B$18,$D$14:$D$18),0)),IFERROR(OFFSET(C71,0,_xlfn.XLOOKUP($G69,$B$14:$B$18,$E$14:$E$18))*_xlfn.XLOOKUP($G69,$B$14:$B$18,$F$14:$F$18),0),A74)))</f>
        <v>0</v>
      </c>
      <c r="D74" s="198">
        <f t="shared" ref="D74" ca="1" si="199">IF($I69="N",D71,IF($G69="1. In Flight",1,$G$14)*MIN(MAX($C71:$L71)*_xlfn.XLOOKUP($G69,$B$14:$B$18,$F$14:$F$18),MAX(IF(IFERROR(OFFSET(D71,0,_xlfn.XLOOKUP($G69,$B$14:$B$18,$C$14:$C$18)),0)=MAX($C71:$L71),_xlfn.MINIFS($C71:$L71,$C71:$L71,"&gt;0")*_xlfn.XLOOKUP($G69,$B$14:$B$18,$D$14:$D$18),IFERROR(OFFSET(D71,0,_xlfn.XLOOKUP($G69,$B$14:$B$18,$C$14:$C$18))*_xlfn.XLOOKUP($G69,$B$14:$B$18,$D$14:$D$18),0)),IFERROR(OFFSET(D71,0,_xlfn.XLOOKUP($G69,$B$14:$B$18,$E$14:$E$18))*_xlfn.XLOOKUP($G69,$B$14:$B$18,$F$14:$F$18),0),B74)))</f>
        <v>0</v>
      </c>
      <c r="E74" s="198">
        <f t="shared" ref="E74" ca="1" si="200">IF($I69="N",E71,IF($G69="1. In Flight",1,$G$14)*MIN(MAX($C71:$L71)*_xlfn.XLOOKUP($G69,$B$14:$B$18,$F$14:$F$18),MAX(IF(IFERROR(OFFSET(E71,0,_xlfn.XLOOKUP($G69,$B$14:$B$18,$C$14:$C$18)),0)=MAX($C71:$L71),_xlfn.MINIFS($C71:$L71,$C71:$L71,"&gt;0")*_xlfn.XLOOKUP($G69,$B$14:$B$18,$D$14:$D$18),IFERROR(OFFSET(E71,0,_xlfn.XLOOKUP($G69,$B$14:$B$18,$C$14:$C$18))*_xlfn.XLOOKUP($G69,$B$14:$B$18,$D$14:$D$18),0)),IFERROR(OFFSET(E71,0,_xlfn.XLOOKUP($G69,$B$14:$B$18,$E$14:$E$18))*_xlfn.XLOOKUP($G69,$B$14:$B$18,$F$14:$F$18),0),C74)))</f>
        <v>0</v>
      </c>
      <c r="F74" s="198">
        <f t="shared" ref="F74" ca="1" si="201">IF($I69="N",F71,IF($G69="1. In Flight",1,$G$14)*MIN(MAX($C71:$L71)*_xlfn.XLOOKUP($G69,$B$14:$B$18,$F$14:$F$18),MAX(IF(IFERROR(OFFSET(F71,0,_xlfn.XLOOKUP($G69,$B$14:$B$18,$C$14:$C$18)),0)=MAX($C71:$L71),_xlfn.MINIFS($C71:$L71,$C71:$L71,"&gt;0")*_xlfn.XLOOKUP($G69,$B$14:$B$18,$D$14:$D$18),IFERROR(OFFSET(F71,0,_xlfn.XLOOKUP($G69,$B$14:$B$18,$C$14:$C$18))*_xlfn.XLOOKUP($G69,$B$14:$B$18,$D$14:$D$18),0)),IFERROR(OFFSET(F71,0,_xlfn.XLOOKUP($G69,$B$14:$B$18,$E$14:$E$18))*_xlfn.XLOOKUP($G69,$B$14:$B$18,$F$14:$F$18),0),D74)))</f>
        <v>0</v>
      </c>
      <c r="G74" s="198">
        <f t="shared" ref="G74" ca="1" si="202">IF($I69="N",G71,IF($G69="1. In Flight",1,$G$14)*MIN(MAX($C71:$L71)*_xlfn.XLOOKUP($G69,$B$14:$B$18,$F$14:$F$18),MAX(IF(IFERROR(OFFSET(G71,0,_xlfn.XLOOKUP($G69,$B$14:$B$18,$C$14:$C$18)),0)=MAX($C71:$L71),_xlfn.MINIFS($C71:$L71,$C71:$L71,"&gt;0")*_xlfn.XLOOKUP($G69,$B$14:$B$18,$D$14:$D$18),IFERROR(OFFSET(G71,0,_xlfn.XLOOKUP($G69,$B$14:$B$18,$C$14:$C$18))*_xlfn.XLOOKUP($G69,$B$14:$B$18,$D$14:$D$18),0)),IFERROR(OFFSET(G71,0,_xlfn.XLOOKUP($G69,$B$14:$B$18,$E$14:$E$18))*_xlfn.XLOOKUP($G69,$B$14:$B$18,$F$14:$F$18),0),E74)))</f>
        <v>3.6</v>
      </c>
      <c r="H74" s="198">
        <f t="shared" ref="H74" ca="1" si="203">IF($I69="N",H71,IF($G69="1. In Flight",1,$G$14)*MIN(MAX($C71:$L71)*_xlfn.XLOOKUP($G69,$B$14:$B$18,$F$14:$F$18),MAX(IF(IFERROR(OFFSET(H71,0,_xlfn.XLOOKUP($G69,$B$14:$B$18,$C$14:$C$18)),0)=MAX($C71:$L71),_xlfn.MINIFS($C71:$L71,$C71:$L71,"&gt;0")*_xlfn.XLOOKUP($G69,$B$14:$B$18,$D$14:$D$18),IFERROR(OFFSET(H71,0,_xlfn.XLOOKUP($G69,$B$14:$B$18,$C$14:$C$18))*_xlfn.XLOOKUP($G69,$B$14:$B$18,$D$14:$D$18),0)),IFERROR(OFFSET(H71,0,_xlfn.XLOOKUP($G69,$B$14:$B$18,$E$14:$E$18))*_xlfn.XLOOKUP($G69,$B$14:$B$18,$F$14:$F$18),0),F74)))</f>
        <v>3.6</v>
      </c>
      <c r="I74" s="198">
        <f t="shared" ref="I74" ca="1" si="204">IF($I69="N",I71,IF($G69="1. In Flight",1,$G$14)*MIN(MAX($C71:$L71)*_xlfn.XLOOKUP($G69,$B$14:$B$18,$F$14:$F$18),MAX(IF(IFERROR(OFFSET(I71,0,_xlfn.XLOOKUP($G69,$B$14:$B$18,$C$14:$C$18)),0)=MAX($C71:$L71),_xlfn.MINIFS($C71:$L71,$C71:$L71,"&gt;0")*_xlfn.XLOOKUP($G69,$B$14:$B$18,$D$14:$D$18),IFERROR(OFFSET(I71,0,_xlfn.XLOOKUP($G69,$B$14:$B$18,$C$14:$C$18))*_xlfn.XLOOKUP($G69,$B$14:$B$18,$D$14:$D$18),0)),IFERROR(OFFSET(I71,0,_xlfn.XLOOKUP($G69,$B$14:$B$18,$E$14:$E$18))*_xlfn.XLOOKUP($G69,$B$14:$B$18,$F$14:$F$18),0),G74)))</f>
        <v>3.6</v>
      </c>
      <c r="J74" s="198">
        <f t="shared" ref="J74" ca="1" si="205">IF($I69="N",J71,IF($G69="1. In Flight",1,$G$14)*MIN(MAX($C71:$L71)*_xlfn.XLOOKUP($G69,$B$14:$B$18,$F$14:$F$18),MAX(IF(IFERROR(OFFSET(J71,0,_xlfn.XLOOKUP($G69,$B$14:$B$18,$C$14:$C$18)),0)=MAX($C71:$L71),_xlfn.MINIFS($C71:$L71,$C71:$L71,"&gt;0")*_xlfn.XLOOKUP($G69,$B$14:$B$18,$D$14:$D$18),IFERROR(OFFSET(J71,0,_xlfn.XLOOKUP($G69,$B$14:$B$18,$C$14:$C$18))*_xlfn.XLOOKUP($G69,$B$14:$B$18,$D$14:$D$18),0)),IFERROR(OFFSET(J71,0,_xlfn.XLOOKUP($G69,$B$14:$B$18,$E$14:$E$18))*_xlfn.XLOOKUP($G69,$B$14:$B$18,$F$14:$F$18),0),H74)))</f>
        <v>3.6</v>
      </c>
      <c r="K74" s="198">
        <f t="shared" ref="K74" ca="1" si="206">IF($I69="N",K71,IF($G69="1. In Flight",1,$G$14)*MIN(MAX($C71:$L71)*_xlfn.XLOOKUP($G69,$B$14:$B$18,$F$14:$F$18),MAX(IF(IFERROR(OFFSET(K71,0,_xlfn.XLOOKUP($G69,$B$14:$B$18,$C$14:$C$18)),0)=MAX($C71:$L71),_xlfn.MINIFS($C71:$L71,$C71:$L71,"&gt;0")*_xlfn.XLOOKUP($G69,$B$14:$B$18,$D$14:$D$18),IFERROR(OFFSET(K71,0,_xlfn.XLOOKUP($G69,$B$14:$B$18,$C$14:$C$18))*_xlfn.XLOOKUP($G69,$B$14:$B$18,$D$14:$D$18),0)),IFERROR(OFFSET(K71,0,_xlfn.XLOOKUP($G69,$B$14:$B$18,$E$14:$E$18))*_xlfn.XLOOKUP($G69,$B$14:$B$18,$F$14:$F$18),0),I74)))</f>
        <v>3.6</v>
      </c>
      <c r="L74" s="198">
        <f t="shared" ref="L74" ca="1" si="207">IF($I69="N",L71,IF($G69="1. In Flight",1,$G$14)*MIN(MAX($C71:$L71)*_xlfn.XLOOKUP($G69,$B$14:$B$18,$F$14:$F$18),MAX(IF(IFERROR(OFFSET(L71,0,_xlfn.XLOOKUP($G69,$B$14:$B$18,$C$14:$C$18)),0)=MAX($C71:$L71),_xlfn.MINIFS($C71:$L71,$C71:$L71,"&gt;0")*_xlfn.XLOOKUP($G69,$B$14:$B$18,$D$14:$D$18),IFERROR(OFFSET(L71,0,_xlfn.XLOOKUP($G69,$B$14:$B$18,$C$14:$C$18))*_xlfn.XLOOKUP($G69,$B$14:$B$18,$D$14:$D$18),0)),IFERROR(OFFSET(L71,0,_xlfn.XLOOKUP($G69,$B$14:$B$18,$E$14:$E$18))*_xlfn.XLOOKUP($G69,$B$14:$B$18,$F$14:$F$18),0),J74)))</f>
        <v>3.6</v>
      </c>
    </row>
    <row r="75" spans="1:12" ht="15" thickTop="1"/>
    <row r="76" spans="1:12" ht="15" thickBot="1">
      <c r="A76" s="231">
        <f>_xlfn.XLOOKUP(F76,FEED!D:D,FEED!E:E,FALSE)</f>
        <v>0</v>
      </c>
      <c r="B76" s="232"/>
      <c r="C76" s="188"/>
      <c r="D76" s="189" t="s">
        <v>119</v>
      </c>
      <c r="E76" s="189" t="s">
        <v>120</v>
      </c>
      <c r="F76" s="189" t="s">
        <v>76</v>
      </c>
      <c r="G76" s="189" t="str">
        <f>IFERROR(_xlfn.XLOOKUP(F76,FEED!$D:$D,FEED!$S:$S),$B$8)</f>
        <v>4. Low</v>
      </c>
      <c r="H76" s="189" t="str">
        <f>IFERROR(_xlfn.XLOOKUP(F76,FEED!$D:$D,FEED!$Y:$Y),"Major Load")</f>
        <v>Data Centre</v>
      </c>
      <c r="I76" s="189" t="str">
        <f>IFERROR(_xlfn.XLOOKUP(F76,FEED!$D:$D,FEED!$C:$C),"N")</f>
        <v>Y</v>
      </c>
      <c r="J76" s="190"/>
      <c r="K76" s="190"/>
      <c r="L76" s="190"/>
    </row>
    <row r="77" spans="1:12" ht="15" thickBot="1">
      <c r="A77" s="191" t="str">
        <f>A63</f>
        <v>Uptake Scenario</v>
      </c>
      <c r="B77" s="192">
        <f>B70</f>
        <v>2023</v>
      </c>
      <c r="C77" s="192">
        <f t="shared" ref="C77:L77" si="208">C70</f>
        <v>2024</v>
      </c>
      <c r="D77" s="192">
        <f t="shared" si="208"/>
        <v>2025</v>
      </c>
      <c r="E77" s="192">
        <f t="shared" si="208"/>
        <v>2026</v>
      </c>
      <c r="F77" s="192">
        <f t="shared" si="208"/>
        <v>2027</v>
      </c>
      <c r="G77" s="192">
        <f t="shared" si="208"/>
        <v>2028</v>
      </c>
      <c r="H77" s="192">
        <f t="shared" si="208"/>
        <v>2029</v>
      </c>
      <c r="I77" s="192">
        <f t="shared" si="208"/>
        <v>2030</v>
      </c>
      <c r="J77" s="192">
        <f t="shared" si="208"/>
        <v>2031</v>
      </c>
      <c r="K77" s="192">
        <f t="shared" si="208"/>
        <v>2032</v>
      </c>
      <c r="L77" s="192">
        <f t="shared" si="208"/>
        <v>2033</v>
      </c>
    </row>
    <row r="78" spans="1:12" ht="15.6" thickTop="1" thickBot="1">
      <c r="A78" s="193" t="s">
        <v>111</v>
      </c>
      <c r="B78" s="194">
        <v>0</v>
      </c>
      <c r="C78" s="194">
        <f>SUMIF(FEED!$D:$D,$F76,FEED!F:F)+B78</f>
        <v>0</v>
      </c>
      <c r="D78" s="194">
        <f>SUMIF(FEED!$D:$D,$F76,FEED!G:G)+C78</f>
        <v>0</v>
      </c>
      <c r="E78" s="194">
        <f>SUMIF(FEED!$D:$D,$F76,FEED!H:H)+D78</f>
        <v>0</v>
      </c>
      <c r="F78" s="194">
        <f>SUMIF(FEED!$D:$D,$F76,FEED!I:I)+E78</f>
        <v>13.689184444010159</v>
      </c>
      <c r="G78" s="194">
        <f>SUMIF(FEED!$D:$D,$F76,FEED!J:J)+F78</f>
        <v>19.505198729724448</v>
      </c>
      <c r="H78" s="194">
        <f>SUMIF(FEED!$D:$D,$F76,FEED!K:K)+G78</f>
        <v>23.824170158295878</v>
      </c>
      <c r="I78" s="194">
        <f>SUMIF(FEED!$D:$D,$F76,FEED!L:L)+H78</f>
        <v>36.719130158295876</v>
      </c>
      <c r="J78" s="194">
        <f>SUMIF(FEED!$D:$D,$F76,FEED!M:M)+I78</f>
        <v>45.149815872581584</v>
      </c>
      <c r="K78" s="194">
        <f>SUMIF(FEED!$D:$D,$F76,FEED!N:N)+J78</f>
        <v>54.265038092632395</v>
      </c>
      <c r="L78" s="194">
        <f>SUMIF(FEED!$D:$D,$F76,FEED!O:O)+K78</f>
        <v>64.458597889388315</v>
      </c>
    </row>
    <row r="79" spans="1:12" ht="15" thickBot="1">
      <c r="A79" s="195" t="s">
        <v>107</v>
      </c>
      <c r="B79" s="196">
        <f>B78</f>
        <v>0</v>
      </c>
      <c r="C79" s="196">
        <f ca="1">IF($I76="N",C78,IF($G76="1. In Flight",1,$G$4)*MIN(MAX($C78:$L78)*_xlfn.XLOOKUP($G76,$B$4:$B$8,$F$4:$F$8),MAX(IF(IFERROR(OFFSET(C78,0,_xlfn.XLOOKUP($G76,$B$4:$B$8,$C$4:$C$8)),0)=MAX($C78:$L78),_xlfn.MINIFS($C78:$L78,$C78:$L78,"&gt;0")*_xlfn.XLOOKUP($G76,$B$4:$B$8,$D$4:$D$8),IFERROR(OFFSET(C78,0,_xlfn.XLOOKUP($G76,$B$4:$B$8,$C$4:$C$8))*_xlfn.XLOOKUP($G76,$B$4:$B$8,$D$4:$D$8),0)),IFERROR(OFFSET(C78,0,_xlfn.XLOOKUP($G76,$B$4:$B$8,$E$4:$E$8))*_xlfn.XLOOKUP($G76,$B$4:$B$8,$F$4:$F$8),0),A79)))</f>
        <v>0</v>
      </c>
      <c r="D79" s="196">
        <f t="shared" ref="D79" ca="1" si="209">IF($I76="N",D78,IF($G76="1. In Flight",1,$G$4)*MIN(MAX($C78:$L78)*_xlfn.XLOOKUP($G76,$B$4:$B$8,$F$4:$F$8),MAX(IF(IFERROR(OFFSET(D78,0,_xlfn.XLOOKUP($G76,$B$4:$B$8,$C$4:$C$8)),0)=MAX($C78:$L78),_xlfn.MINIFS($C78:$L78,$C78:$L78,"&gt;0")*_xlfn.XLOOKUP($G76,$B$4:$B$8,$D$4:$D$8),IFERROR(OFFSET(D78,0,_xlfn.XLOOKUP($G76,$B$4:$B$8,$C$4:$C$8))*_xlfn.XLOOKUP($G76,$B$4:$B$8,$D$4:$D$8),0)),IFERROR(OFFSET(D78,0,_xlfn.XLOOKUP($G76,$B$4:$B$8,$E$4:$E$8))*_xlfn.XLOOKUP($G76,$B$4:$B$8,$F$4:$F$8),0),B79)))</f>
        <v>0</v>
      </c>
      <c r="E79" s="196">
        <f t="shared" ref="E79" ca="1" si="210">IF($I76="N",E78,IF($G76="1. In Flight",1,$G$4)*MIN(MAX($C78:$L78)*_xlfn.XLOOKUP($G76,$B$4:$B$8,$F$4:$F$8),MAX(IF(IFERROR(OFFSET(E78,0,_xlfn.XLOOKUP($G76,$B$4:$B$8,$C$4:$C$8)),0)=MAX($C78:$L78),_xlfn.MINIFS($C78:$L78,$C78:$L78,"&gt;0")*_xlfn.XLOOKUP($G76,$B$4:$B$8,$D$4:$D$8),IFERROR(OFFSET(E78,0,_xlfn.XLOOKUP($G76,$B$4:$B$8,$C$4:$C$8))*_xlfn.XLOOKUP($G76,$B$4:$B$8,$D$4:$D$8),0)),IFERROR(OFFSET(E78,0,_xlfn.XLOOKUP($G76,$B$4:$B$8,$E$4:$E$8))*_xlfn.XLOOKUP($G76,$B$4:$B$8,$F$4:$F$8),0),C79)))</f>
        <v>0</v>
      </c>
      <c r="F79" s="196">
        <f t="shared" ref="F79" ca="1" si="211">IF($I76="N",F78,IF($G76="1. In Flight",1,$G$4)*MIN(MAX($C78:$L78)*_xlfn.XLOOKUP($G76,$B$4:$B$8,$F$4:$F$8),MAX(IF(IFERROR(OFFSET(F78,0,_xlfn.XLOOKUP($G76,$B$4:$B$8,$C$4:$C$8)),0)=MAX($C78:$L78),_xlfn.MINIFS($C78:$L78,$C78:$L78,"&gt;0")*_xlfn.XLOOKUP($G76,$B$4:$B$8,$D$4:$D$8),IFERROR(OFFSET(F78,0,_xlfn.XLOOKUP($G76,$B$4:$B$8,$C$4:$C$8))*_xlfn.XLOOKUP($G76,$B$4:$B$8,$D$4:$D$8),0)),IFERROR(OFFSET(F78,0,_xlfn.XLOOKUP($G76,$B$4:$B$8,$E$4:$E$8))*_xlfn.XLOOKUP($G76,$B$4:$B$8,$F$4:$F$8),0),D79)))</f>
        <v>0</v>
      </c>
      <c r="G79" s="196">
        <f t="shared" ref="G79" ca="1" si="212">IF($I76="N",G78,IF($G76="1. In Flight",1,$G$4)*MIN(MAX($C78:$L78)*_xlfn.XLOOKUP($G76,$B$4:$B$8,$F$4:$F$8),MAX(IF(IFERROR(OFFSET(G78,0,_xlfn.XLOOKUP($G76,$B$4:$B$8,$C$4:$C$8)),0)=MAX($C78:$L78),_xlfn.MINIFS($C78:$L78,$C78:$L78,"&gt;0")*_xlfn.XLOOKUP($G76,$B$4:$B$8,$D$4:$D$8),IFERROR(OFFSET(G78,0,_xlfn.XLOOKUP($G76,$B$4:$B$8,$C$4:$C$8))*_xlfn.XLOOKUP($G76,$B$4:$B$8,$D$4:$D$8),0)),IFERROR(OFFSET(G78,0,_xlfn.XLOOKUP($G76,$B$4:$B$8,$E$4:$E$8))*_xlfn.XLOOKUP($G76,$B$4:$B$8,$F$4:$F$8),0),E79)))</f>
        <v>0</v>
      </c>
      <c r="H79" s="196">
        <f t="shared" ref="H79" ca="1" si="213">IF($I76="N",H78,IF($G76="1. In Flight",1,$G$4)*MIN(MAX($C78:$L78)*_xlfn.XLOOKUP($G76,$B$4:$B$8,$F$4:$F$8),MAX(IF(IFERROR(OFFSET(H78,0,_xlfn.XLOOKUP($G76,$B$4:$B$8,$C$4:$C$8)),0)=MAX($C78:$L78),_xlfn.MINIFS($C78:$L78,$C78:$L78,"&gt;0")*_xlfn.XLOOKUP($G76,$B$4:$B$8,$D$4:$D$8),IFERROR(OFFSET(H78,0,_xlfn.XLOOKUP($G76,$B$4:$B$8,$C$4:$C$8))*_xlfn.XLOOKUP($G76,$B$4:$B$8,$D$4:$D$8),0)),IFERROR(OFFSET(H78,0,_xlfn.XLOOKUP($G76,$B$4:$B$8,$E$4:$E$8))*_xlfn.XLOOKUP($G76,$B$4:$B$8,$F$4:$F$8),0),F79)))</f>
        <v>0</v>
      </c>
      <c r="I79" s="196">
        <f t="shared" ref="I79" ca="1" si="214">IF($I76="N",I78,IF($G76="1. In Flight",1,$G$4)*MIN(MAX($C78:$L78)*_xlfn.XLOOKUP($G76,$B$4:$B$8,$F$4:$F$8),MAX(IF(IFERROR(OFFSET(I78,0,_xlfn.XLOOKUP($G76,$B$4:$B$8,$C$4:$C$8)),0)=MAX($C78:$L78),_xlfn.MINIFS($C78:$L78,$C78:$L78,"&gt;0")*_xlfn.XLOOKUP($G76,$B$4:$B$8,$D$4:$D$8),IFERROR(OFFSET(I78,0,_xlfn.XLOOKUP($G76,$B$4:$B$8,$C$4:$C$8))*_xlfn.XLOOKUP($G76,$B$4:$B$8,$D$4:$D$8),0)),IFERROR(OFFSET(I78,0,_xlfn.XLOOKUP($G76,$B$4:$B$8,$E$4:$E$8))*_xlfn.XLOOKUP($G76,$B$4:$B$8,$F$4:$F$8),0),G79)))</f>
        <v>0</v>
      </c>
      <c r="J79" s="196">
        <f t="shared" ref="J79" ca="1" si="215">IF($I76="N",J78,IF($G76="1. In Flight",1,$G$4)*MIN(MAX($C78:$L78)*_xlfn.XLOOKUP($G76,$B$4:$B$8,$F$4:$F$8),MAX(IF(IFERROR(OFFSET(J78,0,_xlfn.XLOOKUP($G76,$B$4:$B$8,$C$4:$C$8)),0)=MAX($C78:$L78),_xlfn.MINIFS($C78:$L78,$C78:$L78,"&gt;0")*_xlfn.XLOOKUP($G76,$B$4:$B$8,$D$4:$D$8),IFERROR(OFFSET(J78,0,_xlfn.XLOOKUP($G76,$B$4:$B$8,$C$4:$C$8))*_xlfn.XLOOKUP($G76,$B$4:$B$8,$D$4:$D$8),0)),IFERROR(OFFSET(J78,0,_xlfn.XLOOKUP($G76,$B$4:$B$8,$E$4:$E$8))*_xlfn.XLOOKUP($G76,$B$4:$B$8,$F$4:$F$8),0),H79)))</f>
        <v>0</v>
      </c>
      <c r="K79" s="196">
        <f t="shared" ref="K79" ca="1" si="216">IF($I76="N",K78,IF($G76="1. In Flight",1,$G$4)*MIN(MAX($C78:$L78)*_xlfn.XLOOKUP($G76,$B$4:$B$8,$F$4:$F$8),MAX(IF(IFERROR(OFFSET(K78,0,_xlfn.XLOOKUP($G76,$B$4:$B$8,$C$4:$C$8)),0)=MAX($C78:$L78),_xlfn.MINIFS($C78:$L78,$C78:$L78,"&gt;0")*_xlfn.XLOOKUP($G76,$B$4:$B$8,$D$4:$D$8),IFERROR(OFFSET(K78,0,_xlfn.XLOOKUP($G76,$B$4:$B$8,$C$4:$C$8))*_xlfn.XLOOKUP($G76,$B$4:$B$8,$D$4:$D$8),0)),IFERROR(OFFSET(K78,0,_xlfn.XLOOKUP($G76,$B$4:$B$8,$E$4:$E$8))*_xlfn.XLOOKUP($G76,$B$4:$B$8,$F$4:$F$8),0),I79)))</f>
        <v>2.8747287332421334</v>
      </c>
      <c r="L79" s="196">
        <f t="shared" ref="L79" ca="1" si="217">IF($I76="N",L78,IF($G76="1. In Flight",1,$G$4)*MIN(MAX($C78:$L78)*_xlfn.XLOOKUP($G76,$B$4:$B$8,$F$4:$F$8),MAX(IF(IFERROR(OFFSET(L78,0,_xlfn.XLOOKUP($G76,$B$4:$B$8,$C$4:$C$8)),0)=MAX($C78:$L78),_xlfn.MINIFS($C78:$L78,$C78:$L78,"&gt;0")*_xlfn.XLOOKUP($G76,$B$4:$B$8,$D$4:$D$8),IFERROR(OFFSET(L78,0,_xlfn.XLOOKUP($G76,$B$4:$B$8,$C$4:$C$8))*_xlfn.XLOOKUP($G76,$B$4:$B$8,$D$4:$D$8),0)),IFERROR(OFFSET(L78,0,_xlfn.XLOOKUP($G76,$B$4:$B$8,$E$4:$E$8))*_xlfn.XLOOKUP($G76,$B$4:$B$8,$F$4:$F$8),0),J79)))</f>
        <v>4.096091733242134</v>
      </c>
    </row>
    <row r="80" spans="1:12" ht="15" thickBot="1">
      <c r="A80" s="195" t="s">
        <v>108</v>
      </c>
      <c r="B80" s="196">
        <f>B78</f>
        <v>0</v>
      </c>
      <c r="C80" s="196">
        <f ca="1">IF($I76="N",C78,IF($G76="1. In Flight",1,$G$9)*MIN(MAX($C78:$L78)*_xlfn.XLOOKUP($G76,$B$9:$B$13,$F$9:$F$13),MAX(IF(IFERROR(OFFSET(C78,0,_xlfn.XLOOKUP($G76,$B$9:$B$13,$C$9:$C$13)),0)=MAX($C78:$L78),_xlfn.MINIFS($C78:$L78,$C78:$L78,"&gt;0")*_xlfn.XLOOKUP($G76,$B$9:$B$13,$D$9:$D$13),IFERROR(OFFSET(C78,0,_xlfn.XLOOKUP($G76,$B$9:$B$13,$C$9:$C$13))*_xlfn.XLOOKUP($G76,$B$9:$B$13,$D$9:$D$13),0)),IFERROR(OFFSET(C78,0,_xlfn.XLOOKUP($G76,$B$9:$B$13,$E$9:$E$13))*_xlfn.XLOOKUP($G76,$B$9:$B$13,$F$9:$F$13),0),A80)))</f>
        <v>0</v>
      </c>
      <c r="D80" s="196">
        <f t="shared" ref="D80" ca="1" si="218">IF($I76="N",D78,IF($G76="1. In Flight",1,$G$9)*MIN(MAX($C78:$L78)*_xlfn.XLOOKUP($G76,$B$9:$B$13,$F$9:$F$13),MAX(IF(IFERROR(OFFSET(D78,0,_xlfn.XLOOKUP($G76,$B$9:$B$13,$C$9:$C$13)),0)=MAX($C78:$L78),_xlfn.MINIFS($C78:$L78,$C78:$L78,"&gt;0")*_xlfn.XLOOKUP($G76,$B$9:$B$13,$D$9:$D$13),IFERROR(OFFSET(D78,0,_xlfn.XLOOKUP($G76,$B$9:$B$13,$C$9:$C$13))*_xlfn.XLOOKUP($G76,$B$9:$B$13,$D$9:$D$13),0)),IFERROR(OFFSET(D78,0,_xlfn.XLOOKUP($G76,$B$9:$B$13,$E$9:$E$13))*_xlfn.XLOOKUP($G76,$B$9:$B$13,$F$9:$F$13),0),B80)))</f>
        <v>0</v>
      </c>
      <c r="E80" s="196">
        <f t="shared" ref="E80" ca="1" si="219">IF($I76="N",E78,IF($G76="1. In Flight",1,$G$9)*MIN(MAX($C78:$L78)*_xlfn.XLOOKUP($G76,$B$9:$B$13,$F$9:$F$13),MAX(IF(IFERROR(OFFSET(E78,0,_xlfn.XLOOKUP($G76,$B$9:$B$13,$C$9:$C$13)),0)=MAX($C78:$L78),_xlfn.MINIFS($C78:$L78,$C78:$L78,"&gt;0")*_xlfn.XLOOKUP($G76,$B$9:$B$13,$D$9:$D$13),IFERROR(OFFSET(E78,0,_xlfn.XLOOKUP($G76,$B$9:$B$13,$C$9:$C$13))*_xlfn.XLOOKUP($G76,$B$9:$B$13,$D$9:$D$13),0)),IFERROR(OFFSET(E78,0,_xlfn.XLOOKUP($G76,$B$9:$B$13,$E$9:$E$13))*_xlfn.XLOOKUP($G76,$B$9:$B$13,$F$9:$F$13),0),C80)))</f>
        <v>0</v>
      </c>
      <c r="F80" s="196">
        <f t="shared" ref="F80" ca="1" si="220">IF($I76="N",F78,IF($G76="1. In Flight",1,$G$9)*MIN(MAX($C78:$L78)*_xlfn.XLOOKUP($G76,$B$9:$B$13,$F$9:$F$13),MAX(IF(IFERROR(OFFSET(F78,0,_xlfn.XLOOKUP($G76,$B$9:$B$13,$C$9:$C$13)),0)=MAX($C78:$L78),_xlfn.MINIFS($C78:$L78,$C78:$L78,"&gt;0")*_xlfn.XLOOKUP($G76,$B$9:$B$13,$D$9:$D$13),IFERROR(OFFSET(F78,0,_xlfn.XLOOKUP($G76,$B$9:$B$13,$C$9:$C$13))*_xlfn.XLOOKUP($G76,$B$9:$B$13,$D$9:$D$13),0)),IFERROR(OFFSET(F78,0,_xlfn.XLOOKUP($G76,$B$9:$B$13,$E$9:$E$13))*_xlfn.XLOOKUP($G76,$B$9:$B$13,$F$9:$F$13),0),D80)))</f>
        <v>0</v>
      </c>
      <c r="G80" s="196">
        <f t="shared" ref="G80" ca="1" si="221">IF($I76="N",G78,IF($G76="1. In Flight",1,$G$9)*MIN(MAX($C78:$L78)*_xlfn.XLOOKUP($G76,$B$9:$B$13,$F$9:$F$13),MAX(IF(IFERROR(OFFSET(G78,0,_xlfn.XLOOKUP($G76,$B$9:$B$13,$C$9:$C$13)),0)=MAX($C78:$L78),_xlfn.MINIFS($C78:$L78,$C78:$L78,"&gt;0")*_xlfn.XLOOKUP($G76,$B$9:$B$13,$D$9:$D$13),IFERROR(OFFSET(G78,0,_xlfn.XLOOKUP($G76,$B$9:$B$13,$C$9:$C$13))*_xlfn.XLOOKUP($G76,$B$9:$B$13,$D$9:$D$13),0)),IFERROR(OFFSET(G78,0,_xlfn.XLOOKUP($G76,$B$9:$B$13,$E$9:$E$13))*_xlfn.XLOOKUP($G76,$B$9:$B$13,$F$9:$F$13),0),E80)))</f>
        <v>0</v>
      </c>
      <c r="H80" s="196">
        <f t="shared" ref="H80" ca="1" si="222">IF($I76="N",H78,IF($G76="1. In Flight",1,$G$9)*MIN(MAX($C78:$L78)*_xlfn.XLOOKUP($G76,$B$9:$B$13,$F$9:$F$13),MAX(IF(IFERROR(OFFSET(H78,0,_xlfn.XLOOKUP($G76,$B$9:$B$13,$C$9:$C$13)),0)=MAX($C78:$L78),_xlfn.MINIFS($C78:$L78,$C78:$L78,"&gt;0")*_xlfn.XLOOKUP($G76,$B$9:$B$13,$D$9:$D$13),IFERROR(OFFSET(H78,0,_xlfn.XLOOKUP($G76,$B$9:$B$13,$C$9:$C$13))*_xlfn.XLOOKUP($G76,$B$9:$B$13,$D$9:$D$13),0)),IFERROR(OFFSET(H78,0,_xlfn.XLOOKUP($G76,$B$9:$B$13,$E$9:$E$13))*_xlfn.XLOOKUP($G76,$B$9:$B$13,$F$9:$F$13),0),F80)))</f>
        <v>0</v>
      </c>
      <c r="I80" s="196">
        <f t="shared" ref="I80" ca="1" si="223">IF($I76="N",I78,IF($G76="1. In Flight",1,$G$9)*MIN(MAX($C78:$L78)*_xlfn.XLOOKUP($G76,$B$9:$B$13,$F$9:$F$13),MAX(IF(IFERROR(OFFSET(I78,0,_xlfn.XLOOKUP($G76,$B$9:$B$13,$C$9:$C$13)),0)=MAX($C78:$L78),_xlfn.MINIFS($C78:$L78,$C78:$L78,"&gt;0")*_xlfn.XLOOKUP($G76,$B$9:$B$13,$D$9:$D$13),IFERROR(OFFSET(I78,0,_xlfn.XLOOKUP($G76,$B$9:$B$13,$C$9:$C$13))*_xlfn.XLOOKUP($G76,$B$9:$B$13,$D$9:$D$13),0)),IFERROR(OFFSET(I78,0,_xlfn.XLOOKUP($G76,$B$9:$B$13,$E$9:$E$13))*_xlfn.XLOOKUP($G76,$B$9:$B$13,$F$9:$F$13),0),G80)))</f>
        <v>0</v>
      </c>
      <c r="J80" s="196">
        <f t="shared" ref="J80" ca="1" si="224">IF($I76="N",J78,IF($G76="1. In Flight",1,$G$9)*MIN(MAX($C78:$L78)*_xlfn.XLOOKUP($G76,$B$9:$B$13,$F$9:$F$13),MAX(IF(IFERROR(OFFSET(J78,0,_xlfn.XLOOKUP($G76,$B$9:$B$13,$C$9:$C$13)),0)=MAX($C78:$L78),_xlfn.MINIFS($C78:$L78,$C78:$L78,"&gt;0")*_xlfn.XLOOKUP($G76,$B$9:$B$13,$D$9:$D$13),IFERROR(OFFSET(J78,0,_xlfn.XLOOKUP($G76,$B$9:$B$13,$C$9:$C$13))*_xlfn.XLOOKUP($G76,$B$9:$B$13,$D$9:$D$13),0)),IFERROR(OFFSET(J78,0,_xlfn.XLOOKUP($G76,$B$9:$B$13,$E$9:$E$13))*_xlfn.XLOOKUP($G76,$B$9:$B$13,$F$9:$F$13),0),H80)))</f>
        <v>0</v>
      </c>
      <c r="K80" s="196">
        <f t="shared" ref="K80" ca="1" si="225">IF($I76="N",K78,IF($G76="1. In Flight",1,$G$9)*MIN(MAX($C78:$L78)*_xlfn.XLOOKUP($G76,$B$9:$B$13,$F$9:$F$13),MAX(IF(IFERROR(OFFSET(K78,0,_xlfn.XLOOKUP($G76,$B$9:$B$13,$C$9:$C$13)),0)=MAX($C78:$L78),_xlfn.MINIFS($C78:$L78,$C78:$L78,"&gt;0")*_xlfn.XLOOKUP($G76,$B$9:$B$13,$D$9:$D$13),IFERROR(OFFSET(K78,0,_xlfn.XLOOKUP($G76,$B$9:$B$13,$C$9:$C$13))*_xlfn.XLOOKUP($G76,$B$9:$B$13,$D$9:$D$13),0)),IFERROR(OFFSET(K78,0,_xlfn.XLOOKUP($G76,$B$9:$B$13,$E$9:$E$13))*_xlfn.XLOOKUP($G76,$B$9:$B$13,$F$9:$F$13),0),I80)))</f>
        <v>0</v>
      </c>
      <c r="L80" s="196">
        <f t="shared" ref="L80" ca="1" si="226">IF($I76="N",L78,IF($G76="1. In Flight",1,$G$9)*MIN(MAX($C78:$L78)*_xlfn.XLOOKUP($G76,$B$9:$B$13,$F$9:$F$13),MAX(IF(IFERROR(OFFSET(L78,0,_xlfn.XLOOKUP($G76,$B$9:$B$13,$C$9:$C$13)),0)=MAX($C78:$L78),_xlfn.MINIFS($C78:$L78,$C78:$L78,"&gt;0")*_xlfn.XLOOKUP($G76,$B$9:$B$13,$D$9:$D$13),IFERROR(OFFSET(L78,0,_xlfn.XLOOKUP($G76,$B$9:$B$13,$C$9:$C$13))*_xlfn.XLOOKUP($G76,$B$9:$B$13,$D$9:$D$13),0)),IFERROR(OFFSET(L78,0,_xlfn.XLOOKUP($G76,$B$9:$B$13,$E$9:$E$13))*_xlfn.XLOOKUP($G76,$B$9:$B$13,$F$9:$F$13),0),J80)))</f>
        <v>0</v>
      </c>
    </row>
    <row r="81" spans="1:14" ht="15" thickBot="1">
      <c r="A81" s="197" t="s">
        <v>109</v>
      </c>
      <c r="B81" s="198">
        <f>B78</f>
        <v>0</v>
      </c>
      <c r="C81" s="198">
        <f ca="1">IF($I76="N",C78,IF($G76="1. In Flight",1,$G$14)*MIN(MAX($C78:$L78)*_xlfn.XLOOKUP($G76,$B$14:$B$18,$F$14:$F$18),MAX(IF(IFERROR(OFFSET(C78,0,_xlfn.XLOOKUP($G76,$B$14:$B$18,$C$14:$C$18)),0)=MAX($C78:$L78),_xlfn.MINIFS($C78:$L78,$C78:$L78,"&gt;0")*_xlfn.XLOOKUP($G76,$B$14:$B$18,$D$14:$D$18),IFERROR(OFFSET(C78,0,_xlfn.XLOOKUP($G76,$B$14:$B$18,$C$14:$C$18))*_xlfn.XLOOKUP($G76,$B$14:$B$18,$D$14:$D$18),0)),IFERROR(OFFSET(C78,0,_xlfn.XLOOKUP($G76,$B$14:$B$18,$E$14:$E$18))*_xlfn.XLOOKUP($G76,$B$14:$B$18,$F$14:$F$18),0),A81)))</f>
        <v>0</v>
      </c>
      <c r="D81" s="198">
        <f t="shared" ref="D81" ca="1" si="227">IF($I76="N",D78,IF($G76="1. In Flight",1,$G$14)*MIN(MAX($C78:$L78)*_xlfn.XLOOKUP($G76,$B$14:$B$18,$F$14:$F$18),MAX(IF(IFERROR(OFFSET(D78,0,_xlfn.XLOOKUP($G76,$B$14:$B$18,$C$14:$C$18)),0)=MAX($C78:$L78),_xlfn.MINIFS($C78:$L78,$C78:$L78,"&gt;0")*_xlfn.XLOOKUP($G76,$B$14:$B$18,$D$14:$D$18),IFERROR(OFFSET(D78,0,_xlfn.XLOOKUP($G76,$B$14:$B$18,$C$14:$C$18))*_xlfn.XLOOKUP($G76,$B$14:$B$18,$D$14:$D$18),0)),IFERROR(OFFSET(D78,0,_xlfn.XLOOKUP($G76,$B$14:$B$18,$E$14:$E$18))*_xlfn.XLOOKUP($G76,$B$14:$B$18,$F$14:$F$18),0),B81)))</f>
        <v>0</v>
      </c>
      <c r="E81" s="198">
        <f t="shared" ref="E81" ca="1" si="228">IF($I76="N",E78,IF($G76="1. In Flight",1,$G$14)*MIN(MAX($C78:$L78)*_xlfn.XLOOKUP($G76,$B$14:$B$18,$F$14:$F$18),MAX(IF(IFERROR(OFFSET(E78,0,_xlfn.XLOOKUP($G76,$B$14:$B$18,$C$14:$C$18)),0)=MAX($C78:$L78),_xlfn.MINIFS($C78:$L78,$C78:$L78,"&gt;0")*_xlfn.XLOOKUP($G76,$B$14:$B$18,$D$14:$D$18),IFERROR(OFFSET(E78,0,_xlfn.XLOOKUP($G76,$B$14:$B$18,$C$14:$C$18))*_xlfn.XLOOKUP($G76,$B$14:$B$18,$D$14:$D$18),0)),IFERROR(OFFSET(E78,0,_xlfn.XLOOKUP($G76,$B$14:$B$18,$E$14:$E$18))*_xlfn.XLOOKUP($G76,$B$14:$B$18,$F$14:$F$18),0),C81)))</f>
        <v>0</v>
      </c>
      <c r="F81" s="198">
        <f t="shared" ref="F81" ca="1" si="229">IF($I76="N",F78,IF($G76="1. In Flight",1,$G$14)*MIN(MAX($C78:$L78)*_xlfn.XLOOKUP($G76,$B$14:$B$18,$F$14:$F$18),MAX(IF(IFERROR(OFFSET(F78,0,_xlfn.XLOOKUP($G76,$B$14:$B$18,$C$14:$C$18)),0)=MAX($C78:$L78),_xlfn.MINIFS($C78:$L78,$C78:$L78,"&gt;0")*_xlfn.XLOOKUP($G76,$B$14:$B$18,$D$14:$D$18),IFERROR(OFFSET(F78,0,_xlfn.XLOOKUP($G76,$B$14:$B$18,$C$14:$C$18))*_xlfn.XLOOKUP($G76,$B$14:$B$18,$D$14:$D$18),0)),IFERROR(OFFSET(F78,0,_xlfn.XLOOKUP($G76,$B$14:$B$18,$E$14:$E$18))*_xlfn.XLOOKUP($G76,$B$14:$B$18,$F$14:$F$18),0),D81)))</f>
        <v>0</v>
      </c>
      <c r="G81" s="198">
        <f t="shared" ref="G81" ca="1" si="230">IF($I76="N",G78,IF($G76="1. In Flight",1,$G$14)*MIN(MAX($C78:$L78)*_xlfn.XLOOKUP($G76,$B$14:$B$18,$F$14:$F$18),MAX(IF(IFERROR(OFFSET(G78,0,_xlfn.XLOOKUP($G76,$B$14:$B$18,$C$14:$C$18)),0)=MAX($C78:$L78),_xlfn.MINIFS($C78:$L78,$C78:$L78,"&gt;0")*_xlfn.XLOOKUP($G76,$B$14:$B$18,$D$14:$D$18),IFERROR(OFFSET(G78,0,_xlfn.XLOOKUP($G76,$B$14:$B$18,$C$14:$C$18))*_xlfn.XLOOKUP($G76,$B$14:$B$18,$D$14:$D$18),0)),IFERROR(OFFSET(G78,0,_xlfn.XLOOKUP($G76,$B$14:$B$18,$E$14:$E$18))*_xlfn.XLOOKUP($G76,$B$14:$B$18,$F$14:$F$18),0),E81)))</f>
        <v>0</v>
      </c>
      <c r="H81" s="198">
        <f t="shared" ref="H81" ca="1" si="231">IF($I76="N",H78,IF($G76="1. In Flight",1,$G$14)*MIN(MAX($C78:$L78)*_xlfn.XLOOKUP($G76,$B$14:$B$18,$F$14:$F$18),MAX(IF(IFERROR(OFFSET(H78,0,_xlfn.XLOOKUP($G76,$B$14:$B$18,$C$14:$C$18)),0)=MAX($C78:$L78),_xlfn.MINIFS($C78:$L78,$C78:$L78,"&gt;0")*_xlfn.XLOOKUP($G76,$B$14:$B$18,$D$14:$D$18),IFERROR(OFFSET(H78,0,_xlfn.XLOOKUP($G76,$B$14:$B$18,$C$14:$C$18))*_xlfn.XLOOKUP($G76,$B$14:$B$18,$D$14:$D$18),0)),IFERROR(OFFSET(H78,0,_xlfn.XLOOKUP($G76,$B$14:$B$18,$E$14:$E$18))*_xlfn.XLOOKUP($G76,$B$14:$B$18,$F$14:$F$18),0),F81)))</f>
        <v>0</v>
      </c>
      <c r="I81" s="198">
        <f t="shared" ref="I81" ca="1" si="232">IF($I76="N",I78,IF($G76="1. In Flight",1,$G$14)*MIN(MAX($C78:$L78)*_xlfn.XLOOKUP($G76,$B$14:$B$18,$F$14:$F$18),MAX(IF(IFERROR(OFFSET(I78,0,_xlfn.XLOOKUP($G76,$B$14:$B$18,$C$14:$C$18)),0)=MAX($C78:$L78),_xlfn.MINIFS($C78:$L78,$C78:$L78,"&gt;0")*_xlfn.XLOOKUP($G76,$B$14:$B$18,$D$14:$D$18),IFERROR(OFFSET(I78,0,_xlfn.XLOOKUP($G76,$B$14:$B$18,$C$14:$C$18))*_xlfn.XLOOKUP($G76,$B$14:$B$18,$D$14:$D$18),0)),IFERROR(OFFSET(I78,0,_xlfn.XLOOKUP($G76,$B$14:$B$18,$E$14:$E$18))*_xlfn.XLOOKUP($G76,$B$14:$B$18,$F$14:$F$18),0),G81)))</f>
        <v>4.9281063998436583</v>
      </c>
      <c r="J81" s="198">
        <f t="shared" ref="J81" ca="1" si="233">IF($I76="N",J78,IF($G76="1. In Flight",1,$G$14)*MIN(MAX($C78:$L78)*_xlfn.XLOOKUP($G76,$B$14:$B$18,$F$14:$F$18),MAX(IF(IFERROR(OFFSET(J78,0,_xlfn.XLOOKUP($G76,$B$14:$B$18,$C$14:$C$18)),0)=MAX($C78:$L78),_xlfn.MINIFS($C78:$L78,$C78:$L78,"&gt;0")*_xlfn.XLOOKUP($G76,$B$14:$B$18,$D$14:$D$18),IFERROR(OFFSET(J78,0,_xlfn.XLOOKUP($G76,$B$14:$B$18,$C$14:$C$18))*_xlfn.XLOOKUP($G76,$B$14:$B$18,$D$14:$D$18),0)),IFERROR(OFFSET(J78,0,_xlfn.XLOOKUP($G76,$B$14:$B$18,$E$14:$E$18))*_xlfn.XLOOKUP($G76,$B$14:$B$18,$F$14:$F$18),0),H81)))</f>
        <v>7.0218715427008016</v>
      </c>
      <c r="K81" s="198">
        <f t="shared" ref="K81" ca="1" si="234">IF($I76="N",K78,IF($G76="1. In Flight",1,$G$14)*MIN(MAX($C78:$L78)*_xlfn.XLOOKUP($G76,$B$14:$B$18,$F$14:$F$18),MAX(IF(IFERROR(OFFSET(K78,0,_xlfn.XLOOKUP($G76,$B$14:$B$18,$C$14:$C$18)),0)=MAX($C78:$L78),_xlfn.MINIFS($C78:$L78,$C78:$L78,"&gt;0")*_xlfn.XLOOKUP($G76,$B$14:$B$18,$D$14:$D$18),IFERROR(OFFSET(K78,0,_xlfn.XLOOKUP($G76,$B$14:$B$18,$C$14:$C$18))*_xlfn.XLOOKUP($G76,$B$14:$B$18,$D$14:$D$18),0)),IFERROR(OFFSET(K78,0,_xlfn.XLOOKUP($G76,$B$14:$B$18,$E$14:$E$18))*_xlfn.XLOOKUP($G76,$B$14:$B$18,$F$14:$F$18),0),I81)))</f>
        <v>8.5767012569865173</v>
      </c>
      <c r="L81" s="198">
        <f t="shared" ref="L81" ca="1" si="235">IF($I76="N",L78,IF($G76="1. In Flight",1,$G$14)*MIN(MAX($C78:$L78)*_xlfn.XLOOKUP($G76,$B$14:$B$18,$F$14:$F$18),MAX(IF(IFERROR(OFFSET(L78,0,_xlfn.XLOOKUP($G76,$B$14:$B$18,$C$14:$C$18)),0)=MAX($C78:$L78),_xlfn.MINIFS($C78:$L78,$C78:$L78,"&gt;0")*_xlfn.XLOOKUP($G76,$B$14:$B$18,$D$14:$D$18),IFERROR(OFFSET(L78,0,_xlfn.XLOOKUP($G76,$B$14:$B$18,$C$14:$C$18))*_xlfn.XLOOKUP($G76,$B$14:$B$18,$D$14:$D$18),0)),IFERROR(OFFSET(L78,0,_xlfn.XLOOKUP($G76,$B$14:$B$18,$E$14:$E$18))*_xlfn.XLOOKUP($G76,$B$14:$B$18,$F$14:$F$18),0),J81)))</f>
        <v>13.218886856986517</v>
      </c>
    </row>
    <row r="82" spans="1:14" ht="15" thickTop="1"/>
    <row r="83" spans="1:14" ht="15" thickBot="1">
      <c r="A83" s="231">
        <f>_xlfn.XLOOKUP(F83,FEED!D:D,FEED!E:E,FALSE)</f>
        <v>0</v>
      </c>
      <c r="B83" s="232"/>
      <c r="C83" s="189" t="s">
        <v>121</v>
      </c>
      <c r="D83" s="189" t="s">
        <v>122</v>
      </c>
      <c r="E83" s="189" t="s">
        <v>123</v>
      </c>
      <c r="F83" s="189" t="s">
        <v>43</v>
      </c>
      <c r="G83" s="189" t="str">
        <f>IFERROR(_xlfn.XLOOKUP(F83,FEED!$D:$D,FEED!$S:$S),$B$8)</f>
        <v>2. High</v>
      </c>
      <c r="H83" s="189" t="str">
        <f>IFERROR(_xlfn.XLOOKUP(F83,FEED!$D:$D,FEED!$Y:$Y),"Major Load")</f>
        <v>Major Load</v>
      </c>
      <c r="I83" s="189" t="str">
        <f>IFERROR(_xlfn.XLOOKUP(F83,FEED!$D:$D,FEED!$C:$C),"N")</f>
        <v>Y</v>
      </c>
      <c r="J83" s="190"/>
      <c r="K83" s="190"/>
      <c r="L83" s="190"/>
    </row>
    <row r="84" spans="1:14" ht="15" thickBot="1">
      <c r="A84" s="191" t="str">
        <f t="shared" ref="A84" si="236">A56</f>
        <v>Uptake Scenario</v>
      </c>
      <c r="B84" s="192">
        <f>B77</f>
        <v>2023</v>
      </c>
      <c r="C84" s="192">
        <f t="shared" ref="C84:L84" si="237">C77</f>
        <v>2024</v>
      </c>
      <c r="D84" s="192">
        <f t="shared" si="237"/>
        <v>2025</v>
      </c>
      <c r="E84" s="192">
        <f t="shared" si="237"/>
        <v>2026</v>
      </c>
      <c r="F84" s="192">
        <f t="shared" si="237"/>
        <v>2027</v>
      </c>
      <c r="G84" s="192">
        <f t="shared" si="237"/>
        <v>2028</v>
      </c>
      <c r="H84" s="192">
        <f t="shared" si="237"/>
        <v>2029</v>
      </c>
      <c r="I84" s="192">
        <f t="shared" si="237"/>
        <v>2030</v>
      </c>
      <c r="J84" s="192">
        <f t="shared" si="237"/>
        <v>2031</v>
      </c>
      <c r="K84" s="192">
        <f t="shared" si="237"/>
        <v>2032</v>
      </c>
      <c r="L84" s="192">
        <f t="shared" si="237"/>
        <v>2033</v>
      </c>
    </row>
    <row r="85" spans="1:14" ht="15.6" thickTop="1" thickBot="1">
      <c r="A85" s="193" t="s">
        <v>111</v>
      </c>
      <c r="B85" s="194">
        <v>-25</v>
      </c>
      <c r="C85" s="194">
        <f>SUMIF(FEED!$D:$D,$F83,FEED!F:F)+B85</f>
        <v>0</v>
      </c>
      <c r="D85" s="194">
        <f>SUMIF(FEED!$D:$D,$F83,FEED!G:G)+C85</f>
        <v>9.3601261155625028</v>
      </c>
      <c r="E85" s="194">
        <f>SUMIF(FEED!$D:$D,$F83,FEED!H:H)+D85</f>
        <v>13.336888020324409</v>
      </c>
      <c r="F85" s="194">
        <f>SUMIF(FEED!$D:$D,$F83,FEED!I:I)+E85</f>
        <v>16.290030877467267</v>
      </c>
      <c r="G85" s="194">
        <f>SUMIF(FEED!$D:$D,$F83,FEED!J:J)+F85</f>
        <v>25.107097544133932</v>
      </c>
      <c r="H85" s="194">
        <f>SUMIF(FEED!$D:$D,$F83,FEED!K:K)+G85</f>
        <v>30.871668972705358</v>
      </c>
      <c r="I85" s="194">
        <f>SUMIF(FEED!$D:$D,$F83,FEED!L:L)+H85</f>
        <v>37.104299550517879</v>
      </c>
      <c r="J85" s="194">
        <f>SUMIF(FEED!$D:$D,$F83,FEED!M:M)+I85</f>
        <v>44.074254967103123</v>
      </c>
      <c r="K85" s="194">
        <f>SUMIF(FEED!$D:$D,$F83,FEED!N:N)+J85</f>
        <v>47.754199726402199</v>
      </c>
      <c r="L85" s="194">
        <f>SUMIF(FEED!$D:$D,$F83,FEED!O:O)+K85</f>
        <v>52.612713178294584</v>
      </c>
    </row>
    <row r="86" spans="1:14" ht="15" thickBot="1">
      <c r="A86" s="195" t="s">
        <v>107</v>
      </c>
      <c r="B86" s="196">
        <f>B85</f>
        <v>-25</v>
      </c>
      <c r="C86" s="196">
        <f ca="1">IF($I83="N",C85,IF($G83="1. In Flight",1,$G$4)*MIN(MAX($C85:$L85)*_xlfn.XLOOKUP($G83,$B$4:$B$8,$F$4:$F$8),MAX(IF(IFERROR(OFFSET(C85,0,_xlfn.XLOOKUP($G83,$B$4:$B$8,$C$4:$C$8)),0)=MAX($C85:$L85),_xlfn.MINIFS($C85:$L85,$C85:$L85,"&gt;0")*_xlfn.XLOOKUP($G83,$B$4:$B$8,$D$4:$D$8),IFERROR(OFFSET(C85,0,_xlfn.XLOOKUP($G83,$B$4:$B$8,$C$4:$C$8))*_xlfn.XLOOKUP($G83,$B$4:$B$8,$D$4:$D$8),0)),IFERROR(OFFSET(C85,0,_xlfn.XLOOKUP($G83,$B$4:$B$8,$E$4:$E$8))*_xlfn.XLOOKUP($G83,$B$4:$B$8,$F$4:$F$8),0),A86)))</f>
        <v>0</v>
      </c>
      <c r="D86" s="196">
        <f t="shared" ref="D86" ca="1" si="238">IF($I83="N",D85,IF($G83="1. In Flight",1,$G$4)*MIN(MAX($C85:$L85)*_xlfn.XLOOKUP($G83,$B$4:$B$8,$F$4:$F$8),MAX(IF(IFERROR(OFFSET(D85,0,_xlfn.XLOOKUP($G83,$B$4:$B$8,$C$4:$C$8)),0)=MAX($C85:$L85),_xlfn.MINIFS($C85:$L85,$C85:$L85,"&gt;0")*_xlfn.XLOOKUP($G83,$B$4:$B$8,$D$4:$D$8),IFERROR(OFFSET(D85,0,_xlfn.XLOOKUP($G83,$B$4:$B$8,$C$4:$C$8))*_xlfn.XLOOKUP($G83,$B$4:$B$8,$D$4:$D$8),0)),IFERROR(OFFSET(D85,0,_xlfn.XLOOKUP($G83,$B$4:$B$8,$E$4:$E$8))*_xlfn.XLOOKUP($G83,$B$4:$B$8,$F$4:$F$8),0),B86)))</f>
        <v>0</v>
      </c>
      <c r="E86" s="196">
        <f t="shared" ref="E86" ca="1" si="239">IF($I83="N",E85,IF($G83="1. In Flight",1,$G$4)*MIN(MAX($C85:$L85)*_xlfn.XLOOKUP($G83,$B$4:$B$8,$F$4:$F$8),MAX(IF(IFERROR(OFFSET(E85,0,_xlfn.XLOOKUP($G83,$B$4:$B$8,$C$4:$C$8)),0)=MAX($C85:$L85),_xlfn.MINIFS($C85:$L85,$C85:$L85,"&gt;0")*_xlfn.XLOOKUP($G83,$B$4:$B$8,$D$4:$D$8),IFERROR(OFFSET(E85,0,_xlfn.XLOOKUP($G83,$B$4:$B$8,$C$4:$C$8))*_xlfn.XLOOKUP($G83,$B$4:$B$8,$D$4:$D$8),0)),IFERROR(OFFSET(E85,0,_xlfn.XLOOKUP($G83,$B$4:$B$8,$E$4:$E$8))*_xlfn.XLOOKUP($G83,$B$4:$B$8,$F$4:$F$8),0),C86)))</f>
        <v>0</v>
      </c>
      <c r="F86" s="196">
        <f t="shared" ref="F86" ca="1" si="240">IF($I83="N",F85,IF($G83="1. In Flight",1,$G$4)*MIN(MAX($C85:$L85)*_xlfn.XLOOKUP($G83,$B$4:$B$8,$F$4:$F$8),MAX(IF(IFERROR(OFFSET(F85,0,_xlfn.XLOOKUP($G83,$B$4:$B$8,$C$4:$C$8)),0)=MAX($C85:$L85),_xlfn.MINIFS($C85:$L85,$C85:$L85,"&gt;0")*_xlfn.XLOOKUP($G83,$B$4:$B$8,$D$4:$D$8),IFERROR(OFFSET(F85,0,_xlfn.XLOOKUP($G83,$B$4:$B$8,$C$4:$C$8))*_xlfn.XLOOKUP($G83,$B$4:$B$8,$D$4:$D$8),0)),IFERROR(OFFSET(F85,0,_xlfn.XLOOKUP($G83,$B$4:$B$8,$E$4:$E$8))*_xlfn.XLOOKUP($G83,$B$4:$B$8,$F$4:$F$8),0),D86)))</f>
        <v>4.5864617966256258</v>
      </c>
      <c r="G86" s="196">
        <f t="shared" ref="G86" ca="1" si="241">IF($I83="N",G85,IF($G83="1. In Flight",1,$G$4)*MIN(MAX($C85:$L85)*_xlfn.XLOOKUP($G83,$B$4:$B$8,$F$4:$F$8),MAX(IF(IFERROR(OFFSET(G85,0,_xlfn.XLOOKUP($G83,$B$4:$B$8,$C$4:$C$8)),0)=MAX($C85:$L85),_xlfn.MINIFS($C85:$L85,$C85:$L85,"&gt;0")*_xlfn.XLOOKUP($G83,$B$4:$B$8,$D$4:$D$8),IFERROR(OFFSET(G85,0,_xlfn.XLOOKUP($G83,$B$4:$B$8,$C$4:$C$8))*_xlfn.XLOOKUP($G83,$B$4:$B$8,$D$4:$D$8),0)),IFERROR(OFFSET(G85,0,_xlfn.XLOOKUP($G83,$B$4:$B$8,$E$4:$E$8))*_xlfn.XLOOKUP($G83,$B$4:$B$8,$F$4:$F$8),0),E86)))</f>
        <v>6.53507512995896</v>
      </c>
      <c r="H86" s="196">
        <f t="shared" ref="H86" ca="1" si="242">IF($I83="N",H85,IF($G83="1. In Flight",1,$G$4)*MIN(MAX($C85:$L85)*_xlfn.XLOOKUP($G83,$B$4:$B$8,$F$4:$F$8),MAX(IF(IFERROR(OFFSET(H85,0,_xlfn.XLOOKUP($G83,$B$4:$B$8,$C$4:$C$8)),0)=MAX($C85:$L85),_xlfn.MINIFS($C85:$L85,$C85:$L85,"&gt;0")*_xlfn.XLOOKUP($G83,$B$4:$B$8,$D$4:$D$8),IFERROR(OFFSET(H85,0,_xlfn.XLOOKUP($G83,$B$4:$B$8,$C$4:$C$8))*_xlfn.XLOOKUP($G83,$B$4:$B$8,$D$4:$D$8),0)),IFERROR(OFFSET(H85,0,_xlfn.XLOOKUP($G83,$B$4:$B$8,$E$4:$E$8))*_xlfn.XLOOKUP($G83,$B$4:$B$8,$F$4:$F$8),0),F86)))</f>
        <v>7.9821151299589594</v>
      </c>
      <c r="I86" s="196">
        <f t="shared" ref="I86" ca="1" si="243">IF($I83="N",I85,IF($G83="1. In Flight",1,$G$4)*MIN(MAX($C85:$L85)*_xlfn.XLOOKUP($G83,$B$4:$B$8,$F$4:$F$8),MAX(IF(IFERROR(OFFSET(I85,0,_xlfn.XLOOKUP($G83,$B$4:$B$8,$C$4:$C$8)),0)=MAX($C85:$L85),_xlfn.MINIFS($C85:$L85,$C85:$L85,"&gt;0")*_xlfn.XLOOKUP($G83,$B$4:$B$8,$D$4:$D$8),IFERROR(OFFSET(I85,0,_xlfn.XLOOKUP($G83,$B$4:$B$8,$C$4:$C$8))*_xlfn.XLOOKUP($G83,$B$4:$B$8,$D$4:$D$8),0)),IFERROR(OFFSET(I85,0,_xlfn.XLOOKUP($G83,$B$4:$B$8,$E$4:$E$8))*_xlfn.XLOOKUP($G83,$B$4:$B$8,$F$4:$F$8),0),G86)))</f>
        <v>12.302477796625626</v>
      </c>
      <c r="J86" s="196">
        <f t="shared" ref="J86" ca="1" si="244">IF($I83="N",J85,IF($G83="1. In Flight",1,$G$4)*MIN(MAX($C85:$L85)*_xlfn.XLOOKUP($G83,$B$4:$B$8,$F$4:$F$8),MAX(IF(IFERROR(OFFSET(J85,0,_xlfn.XLOOKUP($G83,$B$4:$B$8,$C$4:$C$8)),0)=MAX($C85:$L85),_xlfn.MINIFS($C85:$L85,$C85:$L85,"&gt;0")*_xlfn.XLOOKUP($G83,$B$4:$B$8,$D$4:$D$8),IFERROR(OFFSET(J85,0,_xlfn.XLOOKUP($G83,$B$4:$B$8,$C$4:$C$8))*_xlfn.XLOOKUP($G83,$B$4:$B$8,$D$4:$D$8),0)),IFERROR(OFFSET(J85,0,_xlfn.XLOOKUP($G83,$B$4:$B$8,$E$4:$E$8))*_xlfn.XLOOKUP($G83,$B$4:$B$8,$F$4:$F$8),0),H86)))</f>
        <v>15.127117796625623</v>
      </c>
      <c r="K86" s="196">
        <f t="shared" ref="K86" ca="1" si="245">IF($I83="N",K85,IF($G83="1. In Flight",1,$G$4)*MIN(MAX($C85:$L85)*_xlfn.XLOOKUP($G83,$B$4:$B$8,$F$4:$F$8),MAX(IF(IFERROR(OFFSET(K85,0,_xlfn.XLOOKUP($G83,$B$4:$B$8,$C$4:$C$8)),0)=MAX($C85:$L85),_xlfn.MINIFS($C85:$L85,$C85:$L85,"&gt;0")*_xlfn.XLOOKUP($G83,$B$4:$B$8,$D$4:$D$8),IFERROR(OFFSET(K85,0,_xlfn.XLOOKUP($G83,$B$4:$B$8,$C$4:$C$8))*_xlfn.XLOOKUP($G83,$B$4:$B$8,$D$4:$D$8),0)),IFERROR(OFFSET(K85,0,_xlfn.XLOOKUP($G83,$B$4:$B$8,$E$4:$E$8))*_xlfn.XLOOKUP($G83,$B$4:$B$8,$F$4:$F$8),0),I86)))</f>
        <v>18.181106779753758</v>
      </c>
      <c r="L86" s="196">
        <f t="shared" ref="L86" ca="1" si="246">IF($I83="N",L85,IF($G83="1. In Flight",1,$G$4)*MIN(MAX($C85:$L85)*_xlfn.XLOOKUP($G83,$B$4:$B$8,$F$4:$F$8),MAX(IF(IFERROR(OFFSET(L85,0,_xlfn.XLOOKUP($G83,$B$4:$B$8,$C$4:$C$8)),0)=MAX($C85:$L85),_xlfn.MINIFS($C85:$L85,$C85:$L85,"&gt;0")*_xlfn.XLOOKUP($G83,$B$4:$B$8,$D$4:$D$8),IFERROR(OFFSET(L85,0,_xlfn.XLOOKUP($G83,$B$4:$B$8,$C$4:$C$8))*_xlfn.XLOOKUP($G83,$B$4:$B$8,$D$4:$D$8),0)),IFERROR(OFFSET(L85,0,_xlfn.XLOOKUP($G83,$B$4:$B$8,$E$4:$E$8))*_xlfn.XLOOKUP($G83,$B$4:$B$8,$F$4:$F$8),0),J86)))</f>
        <v>18.414449612403104</v>
      </c>
    </row>
    <row r="87" spans="1:14" ht="15" thickBot="1">
      <c r="A87" s="195" t="s">
        <v>108</v>
      </c>
      <c r="B87" s="196">
        <f>B85</f>
        <v>-25</v>
      </c>
      <c r="C87" s="196">
        <f ca="1">IF($I83="N",C85,IF($G83="1. In Flight",1,$G$9)*MIN(MAX($C85:$L85)*_xlfn.XLOOKUP($G83,$B$9:$B$13,$F$9:$F$13),MAX(IF(IFERROR(OFFSET(C85,0,_xlfn.XLOOKUP($G83,$B$9:$B$13,$C$9:$C$13)),0)=MAX($C85:$L85),_xlfn.MINIFS($C85:$L85,$C85:$L85,"&gt;0")*_xlfn.XLOOKUP($G83,$B$9:$B$13,$D$9:$D$13),IFERROR(OFFSET(C85,0,_xlfn.XLOOKUP($G83,$B$9:$B$13,$C$9:$C$13))*_xlfn.XLOOKUP($G83,$B$9:$B$13,$D$9:$D$13),0)),IFERROR(OFFSET(C85,0,_xlfn.XLOOKUP($G83,$B$9:$B$13,$E$9:$E$13))*_xlfn.XLOOKUP($G83,$B$9:$B$13,$F$9:$F$13),0),A87)))</f>
        <v>0</v>
      </c>
      <c r="D87" s="196">
        <f t="shared" ref="D87" ca="1" si="247">IF($I83="N",D85,IF($G83="1. In Flight",1,$G$9)*MIN(MAX($C85:$L85)*_xlfn.XLOOKUP($G83,$B$9:$B$13,$F$9:$F$13),MAX(IF(IFERROR(OFFSET(D85,0,_xlfn.XLOOKUP($G83,$B$9:$B$13,$C$9:$C$13)),0)=MAX($C85:$L85),_xlfn.MINIFS($C85:$L85,$C85:$L85,"&gt;0")*_xlfn.XLOOKUP($G83,$B$9:$B$13,$D$9:$D$13),IFERROR(OFFSET(D85,0,_xlfn.XLOOKUP($G83,$B$9:$B$13,$C$9:$C$13))*_xlfn.XLOOKUP($G83,$B$9:$B$13,$D$9:$D$13),0)),IFERROR(OFFSET(D85,0,_xlfn.XLOOKUP($G83,$B$9:$B$13,$E$9:$E$13))*_xlfn.XLOOKUP($G83,$B$9:$B$13,$F$9:$F$13),0),B87)))</f>
        <v>0</v>
      </c>
      <c r="E87" s="196">
        <f t="shared" ref="E87" ca="1" si="248">IF($I83="N",E85,IF($G83="1. In Flight",1,$G$9)*MIN(MAX($C85:$L85)*_xlfn.XLOOKUP($G83,$B$9:$B$13,$F$9:$F$13),MAX(IF(IFERROR(OFFSET(E85,0,_xlfn.XLOOKUP($G83,$B$9:$B$13,$C$9:$C$13)),0)=MAX($C85:$L85),_xlfn.MINIFS($C85:$L85,$C85:$L85,"&gt;0")*_xlfn.XLOOKUP($G83,$B$9:$B$13,$D$9:$D$13),IFERROR(OFFSET(E85,0,_xlfn.XLOOKUP($G83,$B$9:$B$13,$C$9:$C$13))*_xlfn.XLOOKUP($G83,$B$9:$B$13,$D$9:$D$13),0)),IFERROR(OFFSET(E85,0,_xlfn.XLOOKUP($G83,$B$9:$B$13,$E$9:$E$13))*_xlfn.XLOOKUP($G83,$B$9:$B$13,$F$9:$F$13),0),C87)))</f>
        <v>0</v>
      </c>
      <c r="F87" s="196">
        <f t="shared" ref="F87" ca="1" si="249">IF($I83="N",F85,IF($G83="1. In Flight",1,$G$9)*MIN(MAX($C85:$L85)*_xlfn.XLOOKUP($G83,$B$9:$B$13,$F$9:$F$13),MAX(IF(IFERROR(OFFSET(F85,0,_xlfn.XLOOKUP($G83,$B$9:$B$13,$C$9:$C$13)),0)=MAX($C85:$L85),_xlfn.MINIFS($C85:$L85,$C85:$L85,"&gt;0")*_xlfn.XLOOKUP($G83,$B$9:$B$13,$D$9:$D$13),IFERROR(OFFSET(F85,0,_xlfn.XLOOKUP($G83,$B$9:$B$13,$C$9:$C$13))*_xlfn.XLOOKUP($G83,$B$9:$B$13,$D$9:$D$13),0)),IFERROR(OFFSET(F85,0,_xlfn.XLOOKUP($G83,$B$9:$B$13,$E$9:$E$13))*_xlfn.XLOOKUP($G83,$B$9:$B$13,$F$9:$F$13),0),D87)))</f>
        <v>0</v>
      </c>
      <c r="G87" s="196">
        <f t="shared" ref="G87" ca="1" si="250">IF($I83="N",G85,IF($G83="1. In Flight",1,$G$9)*MIN(MAX($C85:$L85)*_xlfn.XLOOKUP($G83,$B$9:$B$13,$F$9:$F$13),MAX(IF(IFERROR(OFFSET(G85,0,_xlfn.XLOOKUP($G83,$B$9:$B$13,$C$9:$C$13)),0)=MAX($C85:$L85),_xlfn.MINIFS($C85:$L85,$C85:$L85,"&gt;0")*_xlfn.XLOOKUP($G83,$B$9:$B$13,$D$9:$D$13),IFERROR(OFFSET(G85,0,_xlfn.XLOOKUP($G83,$B$9:$B$13,$C$9:$C$13))*_xlfn.XLOOKUP($G83,$B$9:$B$13,$D$9:$D$13),0)),IFERROR(OFFSET(G85,0,_xlfn.XLOOKUP($G83,$B$9:$B$13,$E$9:$E$13))*_xlfn.XLOOKUP($G83,$B$9:$B$13,$F$9:$F$13),0),E87)))</f>
        <v>1.8720252231125007</v>
      </c>
      <c r="H87" s="196">
        <f t="shared" ref="H87" ca="1" si="251">IF($I83="N",H85,IF($G83="1. In Flight",1,$G$9)*MIN(MAX($C85:$L85)*_xlfn.XLOOKUP($G83,$B$9:$B$13,$F$9:$F$13),MAX(IF(IFERROR(OFFSET(H85,0,_xlfn.XLOOKUP($G83,$B$9:$B$13,$C$9:$C$13)),0)=MAX($C85:$L85),_xlfn.MINIFS($C85:$L85,$C85:$L85,"&gt;0")*_xlfn.XLOOKUP($G83,$B$9:$B$13,$D$9:$D$13),IFERROR(OFFSET(H85,0,_xlfn.XLOOKUP($G83,$B$9:$B$13,$C$9:$C$13))*_xlfn.XLOOKUP($G83,$B$9:$B$13,$D$9:$D$13),0)),IFERROR(OFFSET(H85,0,_xlfn.XLOOKUP($G83,$B$9:$B$13,$E$9:$E$13))*_xlfn.XLOOKUP($G83,$B$9:$B$13,$F$9:$F$13),0),F87)))</f>
        <v>2.6673776040648818</v>
      </c>
      <c r="I87" s="196">
        <f t="shared" ref="I87" ca="1" si="252">IF($I83="N",I85,IF($G83="1. In Flight",1,$G$9)*MIN(MAX($C85:$L85)*_xlfn.XLOOKUP($G83,$B$9:$B$13,$F$9:$F$13),MAX(IF(IFERROR(OFFSET(I85,0,_xlfn.XLOOKUP($G83,$B$9:$B$13,$C$9:$C$13)),0)=MAX($C85:$L85),_xlfn.MINIFS($C85:$L85,$C85:$L85,"&gt;0")*_xlfn.XLOOKUP($G83,$B$9:$B$13,$D$9:$D$13),IFERROR(OFFSET(I85,0,_xlfn.XLOOKUP($G83,$B$9:$B$13,$C$9:$C$13))*_xlfn.XLOOKUP($G83,$B$9:$B$13,$D$9:$D$13),0)),IFERROR(OFFSET(I85,0,_xlfn.XLOOKUP($G83,$B$9:$B$13,$E$9:$E$13))*_xlfn.XLOOKUP($G83,$B$9:$B$13,$F$9:$F$13),0),G87)))</f>
        <v>3.2580061754934535</v>
      </c>
      <c r="J87" s="196">
        <f t="shared" ref="J87" ca="1" si="253">IF($I83="N",J85,IF($G83="1. In Flight",1,$G$9)*MIN(MAX($C85:$L85)*_xlfn.XLOOKUP($G83,$B$9:$B$13,$F$9:$F$13),MAX(IF(IFERROR(OFFSET(J85,0,_xlfn.XLOOKUP($G83,$B$9:$B$13,$C$9:$C$13)),0)=MAX($C85:$L85),_xlfn.MINIFS($C85:$L85,$C85:$L85,"&gt;0")*_xlfn.XLOOKUP($G83,$B$9:$B$13,$D$9:$D$13),IFERROR(OFFSET(J85,0,_xlfn.XLOOKUP($G83,$B$9:$B$13,$C$9:$C$13))*_xlfn.XLOOKUP($G83,$B$9:$B$13,$D$9:$D$13),0)),IFERROR(OFFSET(J85,0,_xlfn.XLOOKUP($G83,$B$9:$B$13,$E$9:$E$13))*_xlfn.XLOOKUP($G83,$B$9:$B$13,$F$9:$F$13),0),H87)))</f>
        <v>5.0214195088267868</v>
      </c>
      <c r="K87" s="196">
        <f t="shared" ref="K87" ca="1" si="254">IF($I83="N",K85,IF($G83="1. In Flight",1,$G$9)*MIN(MAX($C85:$L85)*_xlfn.XLOOKUP($G83,$B$9:$B$13,$F$9:$F$13),MAX(IF(IFERROR(OFFSET(K85,0,_xlfn.XLOOKUP($G83,$B$9:$B$13,$C$9:$C$13)),0)=MAX($C85:$L85),_xlfn.MINIFS($C85:$L85,$C85:$L85,"&gt;0")*_xlfn.XLOOKUP($G83,$B$9:$B$13,$D$9:$D$13),IFERROR(OFFSET(K85,0,_xlfn.XLOOKUP($G83,$B$9:$B$13,$C$9:$C$13))*_xlfn.XLOOKUP($G83,$B$9:$B$13,$D$9:$D$13),0)),IFERROR(OFFSET(K85,0,_xlfn.XLOOKUP($G83,$B$9:$B$13,$E$9:$E$13))*_xlfn.XLOOKUP($G83,$B$9:$B$13,$F$9:$F$13),0),I87)))</f>
        <v>6.1743337945410719</v>
      </c>
      <c r="L87" s="196">
        <f t="shared" ref="L87" ca="1" si="255">IF($I83="N",L85,IF($G83="1. In Flight",1,$G$9)*MIN(MAX($C85:$L85)*_xlfn.XLOOKUP($G83,$B$9:$B$13,$F$9:$F$13),MAX(IF(IFERROR(OFFSET(L85,0,_xlfn.XLOOKUP($G83,$B$9:$B$13,$C$9:$C$13)),0)=MAX($C85:$L85),_xlfn.MINIFS($C85:$L85,$C85:$L85,"&gt;0")*_xlfn.XLOOKUP($G83,$B$9:$B$13,$D$9:$D$13),IFERROR(OFFSET(L85,0,_xlfn.XLOOKUP($G83,$B$9:$B$13,$C$9:$C$13))*_xlfn.XLOOKUP($G83,$B$9:$B$13,$D$9:$D$13),0)),IFERROR(OFFSET(L85,0,_xlfn.XLOOKUP($G83,$B$9:$B$13,$E$9:$E$13))*_xlfn.XLOOKUP($G83,$B$9:$B$13,$F$9:$F$13),0),J87)))</f>
        <v>7.4208599101035766</v>
      </c>
    </row>
    <row r="88" spans="1:14" ht="15" thickBot="1">
      <c r="A88" s="197" t="s">
        <v>109</v>
      </c>
      <c r="B88" s="198">
        <f>B85</f>
        <v>-25</v>
      </c>
      <c r="C88" s="198">
        <f ca="1">IF($I83="N",C85,IF($G83="1. In Flight",1,$G$14)*MIN(MAX($C85:$L85)*_xlfn.XLOOKUP($G83,$B$14:$B$18,$F$14:$F$18),MAX(IF(IFERROR(OFFSET(C85,0,_xlfn.XLOOKUP($G83,$B$14:$B$18,$C$14:$C$18)),0)=MAX($C85:$L85),_xlfn.MINIFS($C85:$L85,$C85:$L85,"&gt;0")*_xlfn.XLOOKUP($G83,$B$14:$B$18,$D$14:$D$18),IFERROR(OFFSET(C85,0,_xlfn.XLOOKUP($G83,$B$14:$B$18,$C$14:$C$18))*_xlfn.XLOOKUP($G83,$B$14:$B$18,$D$14:$D$18),0)),IFERROR(OFFSET(C85,0,_xlfn.XLOOKUP($G83,$B$14:$B$18,$E$14:$E$18))*_xlfn.XLOOKUP($G83,$B$14:$B$18,$F$14:$F$18),0),A88)))</f>
        <v>0</v>
      </c>
      <c r="D88" s="198">
        <f t="shared" ref="D88" ca="1" si="256">IF($I83="N",D85,IF($G83="1. In Flight",1,$G$14)*MIN(MAX($C85:$L85)*_xlfn.XLOOKUP($G83,$B$14:$B$18,$F$14:$F$18),MAX(IF(IFERROR(OFFSET(D85,0,_xlfn.XLOOKUP($G83,$B$14:$B$18,$C$14:$C$18)),0)=MAX($C85:$L85),_xlfn.MINIFS($C85:$L85,$C85:$L85,"&gt;0")*_xlfn.XLOOKUP($G83,$B$14:$B$18,$D$14:$D$18),IFERROR(OFFSET(D85,0,_xlfn.XLOOKUP($G83,$B$14:$B$18,$C$14:$C$18))*_xlfn.XLOOKUP($G83,$B$14:$B$18,$D$14:$D$18),0)),IFERROR(OFFSET(D85,0,_xlfn.XLOOKUP($G83,$B$14:$B$18,$E$14:$E$18))*_xlfn.XLOOKUP($G83,$B$14:$B$18,$F$14:$F$18),0),B88)))</f>
        <v>0</v>
      </c>
      <c r="E88" s="198">
        <f t="shared" ref="E88" ca="1" si="257">IF($I83="N",E85,IF($G83="1. In Flight",1,$G$14)*MIN(MAX($C85:$L85)*_xlfn.XLOOKUP($G83,$B$14:$B$18,$F$14:$F$18),MAX(IF(IFERROR(OFFSET(E85,0,_xlfn.XLOOKUP($G83,$B$14:$B$18,$C$14:$C$18)),0)=MAX($C85:$L85),_xlfn.MINIFS($C85:$L85,$C85:$L85,"&gt;0")*_xlfn.XLOOKUP($G83,$B$14:$B$18,$D$14:$D$18),IFERROR(OFFSET(E85,0,_xlfn.XLOOKUP($G83,$B$14:$B$18,$C$14:$C$18))*_xlfn.XLOOKUP($G83,$B$14:$B$18,$D$14:$D$18),0)),IFERROR(OFFSET(E85,0,_xlfn.XLOOKUP($G83,$B$14:$B$18,$E$14:$E$18))*_xlfn.XLOOKUP($G83,$B$14:$B$18,$F$14:$F$18),0),C88)))</f>
        <v>6.7392908032050025</v>
      </c>
      <c r="F88" s="198">
        <f t="shared" ref="F88" ca="1" si="258">IF($I83="N",F85,IF($G83="1. In Flight",1,$G$14)*MIN(MAX($C85:$L85)*_xlfn.XLOOKUP($G83,$B$14:$B$18,$F$14:$F$18),MAX(IF(IFERROR(OFFSET(F85,0,_xlfn.XLOOKUP($G83,$B$14:$B$18,$C$14:$C$18)),0)=MAX($C85:$L85),_xlfn.MINIFS($C85:$L85,$C85:$L85,"&gt;0")*_xlfn.XLOOKUP($G83,$B$14:$B$18,$D$14:$D$18),IFERROR(OFFSET(F85,0,_xlfn.XLOOKUP($G83,$B$14:$B$18,$C$14:$C$18))*_xlfn.XLOOKUP($G83,$B$14:$B$18,$D$14:$D$18),0)),IFERROR(OFFSET(F85,0,_xlfn.XLOOKUP($G83,$B$14:$B$18,$E$14:$E$18))*_xlfn.XLOOKUP($G83,$B$14:$B$18,$F$14:$F$18),0),D88)))</f>
        <v>9.6025593746335751</v>
      </c>
      <c r="G88" s="198">
        <f t="shared" ref="G88" ca="1" si="259">IF($I83="N",G85,IF($G83="1. In Flight",1,$G$14)*MIN(MAX($C85:$L85)*_xlfn.XLOOKUP($G83,$B$14:$B$18,$F$14:$F$18),MAX(IF(IFERROR(OFFSET(G85,0,_xlfn.XLOOKUP($G83,$B$14:$B$18,$C$14:$C$18)),0)=MAX($C85:$L85),_xlfn.MINIFS($C85:$L85,$C85:$L85,"&gt;0")*_xlfn.XLOOKUP($G83,$B$14:$B$18,$D$14:$D$18),IFERROR(OFFSET(G85,0,_xlfn.XLOOKUP($G83,$B$14:$B$18,$C$14:$C$18))*_xlfn.XLOOKUP($G83,$B$14:$B$18,$D$14:$D$18),0)),IFERROR(OFFSET(G85,0,_xlfn.XLOOKUP($G83,$B$14:$B$18,$E$14:$E$18))*_xlfn.XLOOKUP($G83,$B$14:$B$18,$F$14:$F$18),0),E88)))</f>
        <v>11.728822231776434</v>
      </c>
      <c r="H88" s="198">
        <f t="shared" ref="H88" ca="1" si="260">IF($I83="N",H85,IF($G83="1. In Flight",1,$G$14)*MIN(MAX($C85:$L85)*_xlfn.XLOOKUP($G83,$B$14:$B$18,$F$14:$F$18),MAX(IF(IFERROR(OFFSET(H85,0,_xlfn.XLOOKUP($G83,$B$14:$B$18,$C$14:$C$18)),0)=MAX($C85:$L85),_xlfn.MINIFS($C85:$L85,$C85:$L85,"&gt;0")*_xlfn.XLOOKUP($G83,$B$14:$B$18,$D$14:$D$18),IFERROR(OFFSET(H85,0,_xlfn.XLOOKUP($G83,$B$14:$B$18,$C$14:$C$18))*_xlfn.XLOOKUP($G83,$B$14:$B$18,$D$14:$D$18),0)),IFERROR(OFFSET(H85,0,_xlfn.XLOOKUP($G83,$B$14:$B$18,$E$14:$E$18))*_xlfn.XLOOKUP($G83,$B$14:$B$18,$F$14:$F$18),0),F88)))</f>
        <v>18.077110231776434</v>
      </c>
      <c r="I88" s="198">
        <f t="shared" ref="I88" ca="1" si="261">IF($I83="N",I85,IF($G83="1. In Flight",1,$G$14)*MIN(MAX($C85:$L85)*_xlfn.XLOOKUP($G83,$B$14:$B$18,$F$14:$F$18),MAX(IF(IFERROR(OFFSET(I85,0,_xlfn.XLOOKUP($G83,$B$14:$B$18,$C$14:$C$18)),0)=MAX($C85:$L85),_xlfn.MINIFS($C85:$L85,$C85:$L85,"&gt;0")*_xlfn.XLOOKUP($G83,$B$14:$B$18,$D$14:$D$18),IFERROR(OFFSET(I85,0,_xlfn.XLOOKUP($G83,$B$14:$B$18,$C$14:$C$18))*_xlfn.XLOOKUP($G83,$B$14:$B$18,$D$14:$D$18),0)),IFERROR(OFFSET(I85,0,_xlfn.XLOOKUP($G83,$B$14:$B$18,$E$14:$E$18))*_xlfn.XLOOKUP($G83,$B$14:$B$18,$F$14:$F$18),0),G88)))</f>
        <v>22.227601660347858</v>
      </c>
      <c r="J88" s="198">
        <f t="shared" ref="J88" ca="1" si="262">IF($I83="N",J85,IF($G83="1. In Flight",1,$G$14)*MIN(MAX($C85:$L85)*_xlfn.XLOOKUP($G83,$B$14:$B$18,$F$14:$F$18),MAX(IF(IFERROR(OFFSET(J85,0,_xlfn.XLOOKUP($G83,$B$14:$B$18,$C$14:$C$18)),0)=MAX($C85:$L85),_xlfn.MINIFS($C85:$L85,$C85:$L85,"&gt;0")*_xlfn.XLOOKUP($G83,$B$14:$B$18,$D$14:$D$18),IFERROR(OFFSET(J85,0,_xlfn.XLOOKUP($G83,$B$14:$B$18,$C$14:$C$18))*_xlfn.XLOOKUP($G83,$B$14:$B$18,$D$14:$D$18),0)),IFERROR(OFFSET(J85,0,_xlfn.XLOOKUP($G83,$B$14:$B$18,$E$14:$E$18))*_xlfn.XLOOKUP($G83,$B$14:$B$18,$F$14:$F$18),0),H88)))</f>
        <v>26.715095676372876</v>
      </c>
      <c r="K88" s="198">
        <f t="shared" ref="K88" ca="1" si="263">IF($I83="N",K85,IF($G83="1. In Flight",1,$G$14)*MIN(MAX($C85:$L85)*_xlfn.XLOOKUP($G83,$B$14:$B$18,$F$14:$F$18),MAX(IF(IFERROR(OFFSET(K85,0,_xlfn.XLOOKUP($G83,$B$14:$B$18,$C$14:$C$18)),0)=MAX($C85:$L85),_xlfn.MINIFS($C85:$L85,$C85:$L85,"&gt;0")*_xlfn.XLOOKUP($G83,$B$14:$B$18,$D$14:$D$18),IFERROR(OFFSET(K85,0,_xlfn.XLOOKUP($G83,$B$14:$B$18,$C$14:$C$18))*_xlfn.XLOOKUP($G83,$B$14:$B$18,$D$14:$D$18),0)),IFERROR(OFFSET(K85,0,_xlfn.XLOOKUP($G83,$B$14:$B$18,$E$14:$E$18))*_xlfn.XLOOKUP($G83,$B$14:$B$18,$F$14:$F$18),0),I88)))</f>
        <v>31.733463576314254</v>
      </c>
      <c r="L88" s="198">
        <f t="shared" ref="L88" ca="1" si="264">IF($I83="N",L85,IF($G83="1. In Flight",1,$G$14)*MIN(MAX($C85:$L85)*_xlfn.XLOOKUP($G83,$B$14:$B$18,$F$14:$F$18),MAX(IF(IFERROR(OFFSET(L85,0,_xlfn.XLOOKUP($G83,$B$14:$B$18,$C$14:$C$18)),0)=MAX($C85:$L85),_xlfn.MINIFS($C85:$L85,$C85:$L85,"&gt;0")*_xlfn.XLOOKUP($G83,$B$14:$B$18,$D$14:$D$18),IFERROR(OFFSET(L85,0,_xlfn.XLOOKUP($G83,$B$14:$B$18,$C$14:$C$18))*_xlfn.XLOOKUP($G83,$B$14:$B$18,$D$14:$D$18),0)),IFERROR(OFFSET(L85,0,_xlfn.XLOOKUP($G83,$B$14:$B$18,$E$14:$E$18))*_xlfn.XLOOKUP($G83,$B$14:$B$18,$F$14:$F$18),0),J88)))</f>
        <v>34.383023803009586</v>
      </c>
    </row>
    <row r="89" spans="1:14" ht="15" thickTop="1"/>
    <row r="90" spans="1:14" ht="15" thickBot="1">
      <c r="A90" s="231">
        <f>_xlfn.XLOOKUP(F90,FEED!D:D,FEED!E:E,FALSE)</f>
        <v>0</v>
      </c>
      <c r="B90" s="232"/>
      <c r="C90" s="188"/>
      <c r="D90" s="189" t="s">
        <v>124</v>
      </c>
      <c r="E90" s="189" t="s">
        <v>125</v>
      </c>
      <c r="F90" s="189" t="s">
        <v>82</v>
      </c>
      <c r="G90" s="189" t="str">
        <f>IFERROR(_xlfn.XLOOKUP(F90,FEED!$D:$D,FEED!$S:$S),$B$8)</f>
        <v>4. Low</v>
      </c>
      <c r="H90" s="189" t="str">
        <f>IFERROR(_xlfn.XLOOKUP(F90,FEED!$D:$D,FEED!$Y:$Y),"Major Load")</f>
        <v>Data Centre</v>
      </c>
      <c r="I90" s="189" t="str">
        <f>IFERROR(_xlfn.XLOOKUP(F90,FEED!$D:$D,FEED!$C:$C),"N")</f>
        <v>Y</v>
      </c>
      <c r="J90" s="190"/>
      <c r="K90" s="190"/>
      <c r="L90" s="190"/>
    </row>
    <row r="91" spans="1:14" ht="15" thickBot="1">
      <c r="A91" s="191" t="str">
        <f>A84</f>
        <v>Uptake Scenario</v>
      </c>
      <c r="B91" s="192">
        <f>B84</f>
        <v>2023</v>
      </c>
      <c r="C91" s="192">
        <f t="shared" ref="C91:L91" si="265">C84</f>
        <v>2024</v>
      </c>
      <c r="D91" s="192">
        <f t="shared" si="265"/>
        <v>2025</v>
      </c>
      <c r="E91" s="192">
        <f t="shared" si="265"/>
        <v>2026</v>
      </c>
      <c r="F91" s="192">
        <f t="shared" si="265"/>
        <v>2027</v>
      </c>
      <c r="G91" s="192">
        <f t="shared" si="265"/>
        <v>2028</v>
      </c>
      <c r="H91" s="192">
        <f t="shared" si="265"/>
        <v>2029</v>
      </c>
      <c r="I91" s="192">
        <f t="shared" si="265"/>
        <v>2030</v>
      </c>
      <c r="J91" s="192">
        <f t="shared" si="265"/>
        <v>2031</v>
      </c>
      <c r="K91" s="192">
        <f t="shared" si="265"/>
        <v>2032</v>
      </c>
      <c r="L91" s="192">
        <f t="shared" si="265"/>
        <v>2033</v>
      </c>
    </row>
    <row r="92" spans="1:14" ht="15.6" thickTop="1" thickBot="1">
      <c r="A92" s="193" t="s">
        <v>111</v>
      </c>
      <c r="B92" s="194">
        <v>0</v>
      </c>
      <c r="C92" s="194">
        <f>SUMIF(FEED!$D:$D,$F90,FEED!F:F)+B92</f>
        <v>0</v>
      </c>
      <c r="D92" s="194">
        <f>SUMIF(FEED!$D:$D,$F90,FEED!G:G)+C92</f>
        <v>0</v>
      </c>
      <c r="E92" s="194">
        <f>SUMIF(FEED!$D:$D,$F90,FEED!H:H)+D92</f>
        <v>0</v>
      </c>
      <c r="F92" s="194">
        <f>SUMIF(FEED!$D:$D,$F90,FEED!I:I)+E92</f>
        <v>0</v>
      </c>
      <c r="G92" s="194">
        <f>SUMIF(FEED!$D:$D,$F90,FEED!J:J)+F92</f>
        <v>0</v>
      </c>
      <c r="H92" s="194">
        <f>SUMIF(FEED!$D:$D,$F90,FEED!K:K)+G92</f>
        <v>0</v>
      </c>
      <c r="I92" s="194">
        <f>SUMIF(FEED!$D:$D,$F90,FEED!L:L)+H92</f>
        <v>0</v>
      </c>
      <c r="J92" s="194">
        <f>SUMIF(FEED!$D:$D,$F90,FEED!M:M)+I92</f>
        <v>0</v>
      </c>
      <c r="K92" s="194">
        <f>SUMIF(FEED!$D:$D,$F90,FEED!N:N)+J92</f>
        <v>26.325354700019538</v>
      </c>
      <c r="L92" s="194">
        <f>SUMIF(FEED!$D:$D,$F90,FEED!O:O)+K92</f>
        <v>37.5099975571624</v>
      </c>
    </row>
    <row r="93" spans="1:14" ht="15" thickBot="1">
      <c r="A93" s="195" t="s">
        <v>107</v>
      </c>
      <c r="B93" s="196">
        <f>B92</f>
        <v>0</v>
      </c>
      <c r="C93" s="196">
        <f ca="1">IF($I90="N",C92,IF($G90="1. In Flight",1,$G$4)*MIN(MAX($C92:$L92)*_xlfn.XLOOKUP($G90,$B$4:$B$8,$F$4:$F$8),MAX(IF(IFERROR(OFFSET(C92,0,_xlfn.XLOOKUP($G90,$B$4:$B$8,$C$4:$C$8)),0)=MAX($C92:$L92),_xlfn.MINIFS($C92:$L92,$C92:$L92,"&gt;0")*_xlfn.XLOOKUP($G90,$B$4:$B$8,$D$4:$D$8),IFERROR(OFFSET(C92,0,_xlfn.XLOOKUP($G90,$B$4:$B$8,$C$4:$C$8))*_xlfn.XLOOKUP($G90,$B$4:$B$8,$D$4:$D$8),0)),IFERROR(OFFSET(C92,0,_xlfn.XLOOKUP($G90,$B$4:$B$8,$E$4:$E$8))*_xlfn.XLOOKUP($G90,$B$4:$B$8,$F$4:$F$8),0),A93)))</f>
        <v>0</v>
      </c>
      <c r="D93" s="196">
        <f t="shared" ref="D93" ca="1" si="266">IF($I90="N",D92,IF($G90="1. In Flight",1,$G$4)*MIN(MAX($C92:$L92)*_xlfn.XLOOKUP($G90,$B$4:$B$8,$F$4:$F$8),MAX(IF(IFERROR(OFFSET(D92,0,_xlfn.XLOOKUP($G90,$B$4:$B$8,$C$4:$C$8)),0)=MAX($C92:$L92),_xlfn.MINIFS($C92:$L92,$C92:$L92,"&gt;0")*_xlfn.XLOOKUP($G90,$B$4:$B$8,$D$4:$D$8),IFERROR(OFFSET(D92,0,_xlfn.XLOOKUP($G90,$B$4:$B$8,$C$4:$C$8))*_xlfn.XLOOKUP($G90,$B$4:$B$8,$D$4:$D$8),0)),IFERROR(OFFSET(D92,0,_xlfn.XLOOKUP($G90,$B$4:$B$8,$E$4:$E$8))*_xlfn.XLOOKUP($G90,$B$4:$B$8,$F$4:$F$8),0),B93)))</f>
        <v>0</v>
      </c>
      <c r="E93" s="196">
        <f t="shared" ref="E93" ca="1" si="267">IF($I90="N",E92,IF($G90="1. In Flight",1,$G$4)*MIN(MAX($C92:$L92)*_xlfn.XLOOKUP($G90,$B$4:$B$8,$F$4:$F$8),MAX(IF(IFERROR(OFFSET(E92,0,_xlfn.XLOOKUP($G90,$B$4:$B$8,$C$4:$C$8)),0)=MAX($C92:$L92),_xlfn.MINIFS($C92:$L92,$C92:$L92,"&gt;0")*_xlfn.XLOOKUP($G90,$B$4:$B$8,$D$4:$D$8),IFERROR(OFFSET(E92,0,_xlfn.XLOOKUP($G90,$B$4:$B$8,$C$4:$C$8))*_xlfn.XLOOKUP($G90,$B$4:$B$8,$D$4:$D$8),0)),IFERROR(OFFSET(E92,0,_xlfn.XLOOKUP($G90,$B$4:$B$8,$E$4:$E$8))*_xlfn.XLOOKUP($G90,$B$4:$B$8,$F$4:$F$8),0),C93)))</f>
        <v>0</v>
      </c>
      <c r="F93" s="196">
        <f t="shared" ref="F93" ca="1" si="268">IF($I90="N",F92,IF($G90="1. In Flight",1,$G$4)*MIN(MAX($C92:$L92)*_xlfn.XLOOKUP($G90,$B$4:$B$8,$F$4:$F$8),MAX(IF(IFERROR(OFFSET(F92,0,_xlfn.XLOOKUP($G90,$B$4:$B$8,$C$4:$C$8)),0)=MAX($C92:$L92),_xlfn.MINIFS($C92:$L92,$C92:$L92,"&gt;0")*_xlfn.XLOOKUP($G90,$B$4:$B$8,$D$4:$D$8),IFERROR(OFFSET(F92,0,_xlfn.XLOOKUP($G90,$B$4:$B$8,$C$4:$C$8))*_xlfn.XLOOKUP($G90,$B$4:$B$8,$D$4:$D$8),0)),IFERROR(OFFSET(F92,0,_xlfn.XLOOKUP($G90,$B$4:$B$8,$E$4:$E$8))*_xlfn.XLOOKUP($G90,$B$4:$B$8,$F$4:$F$8),0),D93)))</f>
        <v>0</v>
      </c>
      <c r="G93" s="196">
        <f t="shared" ref="G93" ca="1" si="269">IF($I90="N",G92,IF($G90="1. In Flight",1,$G$4)*MIN(MAX($C92:$L92)*_xlfn.XLOOKUP($G90,$B$4:$B$8,$F$4:$F$8),MAX(IF(IFERROR(OFFSET(G92,0,_xlfn.XLOOKUP($G90,$B$4:$B$8,$C$4:$C$8)),0)=MAX($C92:$L92),_xlfn.MINIFS($C92:$L92,$C92:$L92,"&gt;0")*_xlfn.XLOOKUP($G90,$B$4:$B$8,$D$4:$D$8),IFERROR(OFFSET(G92,0,_xlfn.XLOOKUP($G90,$B$4:$B$8,$C$4:$C$8))*_xlfn.XLOOKUP($G90,$B$4:$B$8,$D$4:$D$8),0)),IFERROR(OFFSET(G92,0,_xlfn.XLOOKUP($G90,$B$4:$B$8,$E$4:$E$8))*_xlfn.XLOOKUP($G90,$B$4:$B$8,$F$4:$F$8),0),E93)))</f>
        <v>0</v>
      </c>
      <c r="H93" s="196">
        <f t="shared" ref="H93" ca="1" si="270">IF($I90="N",H92,IF($G90="1. In Flight",1,$G$4)*MIN(MAX($C92:$L92)*_xlfn.XLOOKUP($G90,$B$4:$B$8,$F$4:$F$8),MAX(IF(IFERROR(OFFSET(H92,0,_xlfn.XLOOKUP($G90,$B$4:$B$8,$C$4:$C$8)),0)=MAX($C92:$L92),_xlfn.MINIFS($C92:$L92,$C92:$L92,"&gt;0")*_xlfn.XLOOKUP($G90,$B$4:$B$8,$D$4:$D$8),IFERROR(OFFSET(H92,0,_xlfn.XLOOKUP($G90,$B$4:$B$8,$C$4:$C$8))*_xlfn.XLOOKUP($G90,$B$4:$B$8,$D$4:$D$8),0)),IFERROR(OFFSET(H92,0,_xlfn.XLOOKUP($G90,$B$4:$B$8,$E$4:$E$8))*_xlfn.XLOOKUP($G90,$B$4:$B$8,$F$4:$F$8),0),F93)))</f>
        <v>0</v>
      </c>
      <c r="I93" s="196">
        <f t="shared" ref="I93" ca="1" si="271">IF($I90="N",I92,IF($G90="1. In Flight",1,$G$4)*MIN(MAX($C92:$L92)*_xlfn.XLOOKUP($G90,$B$4:$B$8,$F$4:$F$8),MAX(IF(IFERROR(OFFSET(I92,0,_xlfn.XLOOKUP($G90,$B$4:$B$8,$C$4:$C$8)),0)=MAX($C92:$L92),_xlfn.MINIFS($C92:$L92,$C92:$L92,"&gt;0")*_xlfn.XLOOKUP($G90,$B$4:$B$8,$D$4:$D$8),IFERROR(OFFSET(I92,0,_xlfn.XLOOKUP($G90,$B$4:$B$8,$C$4:$C$8))*_xlfn.XLOOKUP($G90,$B$4:$B$8,$D$4:$D$8),0)),IFERROR(OFFSET(I92,0,_xlfn.XLOOKUP($G90,$B$4:$B$8,$E$4:$E$8))*_xlfn.XLOOKUP($G90,$B$4:$B$8,$F$4:$F$8),0),G93)))</f>
        <v>0</v>
      </c>
      <c r="J93" s="196">
        <f t="shared" ref="J93" ca="1" si="272">IF($I90="N",J92,IF($G90="1. In Flight",1,$G$4)*MIN(MAX($C92:$L92)*_xlfn.XLOOKUP($G90,$B$4:$B$8,$F$4:$F$8),MAX(IF(IFERROR(OFFSET(J92,0,_xlfn.XLOOKUP($G90,$B$4:$B$8,$C$4:$C$8)),0)=MAX($C92:$L92),_xlfn.MINIFS($C92:$L92,$C92:$L92,"&gt;0")*_xlfn.XLOOKUP($G90,$B$4:$B$8,$D$4:$D$8),IFERROR(OFFSET(J92,0,_xlfn.XLOOKUP($G90,$B$4:$B$8,$C$4:$C$8))*_xlfn.XLOOKUP($G90,$B$4:$B$8,$D$4:$D$8),0)),IFERROR(OFFSET(J92,0,_xlfn.XLOOKUP($G90,$B$4:$B$8,$E$4:$E$8))*_xlfn.XLOOKUP($G90,$B$4:$B$8,$F$4:$F$8),0),H93)))</f>
        <v>0</v>
      </c>
      <c r="K93" s="196">
        <f t="shared" ref="K93" ca="1" si="273">IF($I90="N",K92,IF($G90="1. In Flight",1,$G$4)*MIN(MAX($C92:$L92)*_xlfn.XLOOKUP($G90,$B$4:$B$8,$F$4:$F$8),MAX(IF(IFERROR(OFFSET(K92,0,_xlfn.XLOOKUP($G90,$B$4:$B$8,$C$4:$C$8)),0)=MAX($C92:$L92),_xlfn.MINIFS($C92:$L92,$C92:$L92,"&gt;0")*_xlfn.XLOOKUP($G90,$B$4:$B$8,$D$4:$D$8),IFERROR(OFFSET(K92,0,_xlfn.XLOOKUP($G90,$B$4:$B$8,$C$4:$C$8))*_xlfn.XLOOKUP($G90,$B$4:$B$8,$D$4:$D$8),0)),IFERROR(OFFSET(K92,0,_xlfn.XLOOKUP($G90,$B$4:$B$8,$E$4:$E$8))*_xlfn.XLOOKUP($G90,$B$4:$B$8,$F$4:$F$8),0),I93)))</f>
        <v>0</v>
      </c>
      <c r="L93" s="196">
        <f t="shared" ref="L93" ca="1" si="274">IF($I90="N",L92,IF($G90="1. In Flight",1,$G$4)*MIN(MAX($C92:$L92)*_xlfn.XLOOKUP($G90,$B$4:$B$8,$F$4:$F$8),MAX(IF(IFERROR(OFFSET(L92,0,_xlfn.XLOOKUP($G90,$B$4:$B$8,$C$4:$C$8)),0)=MAX($C92:$L92),_xlfn.MINIFS($C92:$L92,$C92:$L92,"&gt;0")*_xlfn.XLOOKUP($G90,$B$4:$B$8,$D$4:$D$8),IFERROR(OFFSET(L92,0,_xlfn.XLOOKUP($G90,$B$4:$B$8,$C$4:$C$8))*_xlfn.XLOOKUP($G90,$B$4:$B$8,$D$4:$D$8),0)),IFERROR(OFFSET(L92,0,_xlfn.XLOOKUP($G90,$B$4:$B$8,$E$4:$E$8))*_xlfn.XLOOKUP($G90,$B$4:$B$8,$F$4:$F$8),0),J93)))</f>
        <v>0</v>
      </c>
    </row>
    <row r="94" spans="1:14" ht="15" thickBot="1">
      <c r="A94" s="195" t="s">
        <v>108</v>
      </c>
      <c r="B94" s="196">
        <f>B92</f>
        <v>0</v>
      </c>
      <c r="C94" s="196">
        <f ca="1">IF($I90="N",C92,IF($G90="1. In Flight",1,$G$9)*MIN(MAX($C92:$L92)*_xlfn.XLOOKUP($G90,$B$9:$B$13,$F$9:$F$13),MAX(IF(IFERROR(OFFSET(C92,0,_xlfn.XLOOKUP($G90,$B$9:$B$13,$C$9:$C$13)),0)=MAX($C92:$L92),_xlfn.MINIFS($C92:$L92,$C92:$L92,"&gt;0")*_xlfn.XLOOKUP($G90,$B$9:$B$13,$D$9:$D$13),IFERROR(OFFSET(C92,0,_xlfn.XLOOKUP($G90,$B$9:$B$13,$C$9:$C$13))*_xlfn.XLOOKUP($G90,$B$9:$B$13,$D$9:$D$13),0)),IFERROR(OFFSET(C92,0,_xlfn.XLOOKUP($G90,$B$9:$B$13,$E$9:$E$13))*_xlfn.XLOOKUP($G90,$B$9:$B$13,$F$9:$F$13),0),A94)))</f>
        <v>0</v>
      </c>
      <c r="D94" s="196">
        <f t="shared" ref="D94" ca="1" si="275">IF($I90="N",D92,IF($G90="1. In Flight",1,$G$9)*MIN(MAX($C92:$L92)*_xlfn.XLOOKUP($G90,$B$9:$B$13,$F$9:$F$13),MAX(IF(IFERROR(OFFSET(D92,0,_xlfn.XLOOKUP($G90,$B$9:$B$13,$C$9:$C$13)),0)=MAX($C92:$L92),_xlfn.MINIFS($C92:$L92,$C92:$L92,"&gt;0")*_xlfn.XLOOKUP($G90,$B$9:$B$13,$D$9:$D$13),IFERROR(OFFSET(D92,0,_xlfn.XLOOKUP($G90,$B$9:$B$13,$C$9:$C$13))*_xlfn.XLOOKUP($G90,$B$9:$B$13,$D$9:$D$13),0)),IFERROR(OFFSET(D92,0,_xlfn.XLOOKUP($G90,$B$9:$B$13,$E$9:$E$13))*_xlfn.XLOOKUP($G90,$B$9:$B$13,$F$9:$F$13),0),B94)))</f>
        <v>0</v>
      </c>
      <c r="E94" s="196">
        <f t="shared" ref="E94" ca="1" si="276">IF($I90="N",E92,IF($G90="1. In Flight",1,$G$9)*MIN(MAX($C92:$L92)*_xlfn.XLOOKUP($G90,$B$9:$B$13,$F$9:$F$13),MAX(IF(IFERROR(OFFSET(E92,0,_xlfn.XLOOKUP($G90,$B$9:$B$13,$C$9:$C$13)),0)=MAX($C92:$L92),_xlfn.MINIFS($C92:$L92,$C92:$L92,"&gt;0")*_xlfn.XLOOKUP($G90,$B$9:$B$13,$D$9:$D$13),IFERROR(OFFSET(E92,0,_xlfn.XLOOKUP($G90,$B$9:$B$13,$C$9:$C$13))*_xlfn.XLOOKUP($G90,$B$9:$B$13,$D$9:$D$13),0)),IFERROR(OFFSET(E92,0,_xlfn.XLOOKUP($G90,$B$9:$B$13,$E$9:$E$13))*_xlfn.XLOOKUP($G90,$B$9:$B$13,$F$9:$F$13),0),C94)))</f>
        <v>0</v>
      </c>
      <c r="F94" s="196">
        <f t="shared" ref="F94" ca="1" si="277">IF($I90="N",F92,IF($G90="1. In Flight",1,$G$9)*MIN(MAX($C92:$L92)*_xlfn.XLOOKUP($G90,$B$9:$B$13,$F$9:$F$13),MAX(IF(IFERROR(OFFSET(F92,0,_xlfn.XLOOKUP($G90,$B$9:$B$13,$C$9:$C$13)),0)=MAX($C92:$L92),_xlfn.MINIFS($C92:$L92,$C92:$L92,"&gt;0")*_xlfn.XLOOKUP($G90,$B$9:$B$13,$D$9:$D$13),IFERROR(OFFSET(F92,0,_xlfn.XLOOKUP($G90,$B$9:$B$13,$C$9:$C$13))*_xlfn.XLOOKUP($G90,$B$9:$B$13,$D$9:$D$13),0)),IFERROR(OFFSET(F92,0,_xlfn.XLOOKUP($G90,$B$9:$B$13,$E$9:$E$13))*_xlfn.XLOOKUP($G90,$B$9:$B$13,$F$9:$F$13),0),D94)))</f>
        <v>0</v>
      </c>
      <c r="G94" s="196">
        <f t="shared" ref="G94" ca="1" si="278">IF($I90="N",G92,IF($G90="1. In Flight",1,$G$9)*MIN(MAX($C92:$L92)*_xlfn.XLOOKUP($G90,$B$9:$B$13,$F$9:$F$13),MAX(IF(IFERROR(OFFSET(G92,0,_xlfn.XLOOKUP($G90,$B$9:$B$13,$C$9:$C$13)),0)=MAX($C92:$L92),_xlfn.MINIFS($C92:$L92,$C92:$L92,"&gt;0")*_xlfn.XLOOKUP($G90,$B$9:$B$13,$D$9:$D$13),IFERROR(OFFSET(G92,0,_xlfn.XLOOKUP($G90,$B$9:$B$13,$C$9:$C$13))*_xlfn.XLOOKUP($G90,$B$9:$B$13,$D$9:$D$13),0)),IFERROR(OFFSET(G92,0,_xlfn.XLOOKUP($G90,$B$9:$B$13,$E$9:$E$13))*_xlfn.XLOOKUP($G90,$B$9:$B$13,$F$9:$F$13),0),E94)))</f>
        <v>0</v>
      </c>
      <c r="H94" s="196">
        <f t="shared" ref="H94" ca="1" si="279">IF($I90="N",H92,IF($G90="1. In Flight",1,$G$9)*MIN(MAX($C92:$L92)*_xlfn.XLOOKUP($G90,$B$9:$B$13,$F$9:$F$13),MAX(IF(IFERROR(OFFSET(H92,0,_xlfn.XLOOKUP($G90,$B$9:$B$13,$C$9:$C$13)),0)=MAX($C92:$L92),_xlfn.MINIFS($C92:$L92,$C92:$L92,"&gt;0")*_xlfn.XLOOKUP($G90,$B$9:$B$13,$D$9:$D$13),IFERROR(OFFSET(H92,0,_xlfn.XLOOKUP($G90,$B$9:$B$13,$C$9:$C$13))*_xlfn.XLOOKUP($G90,$B$9:$B$13,$D$9:$D$13),0)),IFERROR(OFFSET(H92,0,_xlfn.XLOOKUP($G90,$B$9:$B$13,$E$9:$E$13))*_xlfn.XLOOKUP($G90,$B$9:$B$13,$F$9:$F$13),0),F94)))</f>
        <v>0</v>
      </c>
      <c r="I94" s="196">
        <f t="shared" ref="I94" ca="1" si="280">IF($I90="N",I92,IF($G90="1. In Flight",1,$G$9)*MIN(MAX($C92:$L92)*_xlfn.XLOOKUP($G90,$B$9:$B$13,$F$9:$F$13),MAX(IF(IFERROR(OFFSET(I92,0,_xlfn.XLOOKUP($G90,$B$9:$B$13,$C$9:$C$13)),0)=MAX($C92:$L92),_xlfn.MINIFS($C92:$L92,$C92:$L92,"&gt;0")*_xlfn.XLOOKUP($G90,$B$9:$B$13,$D$9:$D$13),IFERROR(OFFSET(I92,0,_xlfn.XLOOKUP($G90,$B$9:$B$13,$C$9:$C$13))*_xlfn.XLOOKUP($G90,$B$9:$B$13,$D$9:$D$13),0)),IFERROR(OFFSET(I92,0,_xlfn.XLOOKUP($G90,$B$9:$B$13,$E$9:$E$13))*_xlfn.XLOOKUP($G90,$B$9:$B$13,$F$9:$F$13),0),G94)))</f>
        <v>0</v>
      </c>
      <c r="J94" s="196">
        <f t="shared" ref="J94" ca="1" si="281">IF($I90="N",J92,IF($G90="1. In Flight",1,$G$9)*MIN(MAX($C92:$L92)*_xlfn.XLOOKUP($G90,$B$9:$B$13,$F$9:$F$13),MAX(IF(IFERROR(OFFSET(J92,0,_xlfn.XLOOKUP($G90,$B$9:$B$13,$C$9:$C$13)),0)=MAX($C92:$L92),_xlfn.MINIFS($C92:$L92,$C92:$L92,"&gt;0")*_xlfn.XLOOKUP($G90,$B$9:$B$13,$D$9:$D$13),IFERROR(OFFSET(J92,0,_xlfn.XLOOKUP($G90,$B$9:$B$13,$C$9:$C$13))*_xlfn.XLOOKUP($G90,$B$9:$B$13,$D$9:$D$13),0)),IFERROR(OFFSET(J92,0,_xlfn.XLOOKUP($G90,$B$9:$B$13,$E$9:$E$13))*_xlfn.XLOOKUP($G90,$B$9:$B$13,$F$9:$F$13),0),H94)))</f>
        <v>0</v>
      </c>
      <c r="K94" s="196">
        <f t="shared" ref="K94" ca="1" si="282">IF($I90="N",K92,IF($G90="1. In Flight",1,$G$9)*MIN(MAX($C92:$L92)*_xlfn.XLOOKUP($G90,$B$9:$B$13,$F$9:$F$13),MAX(IF(IFERROR(OFFSET(K92,0,_xlfn.XLOOKUP($G90,$B$9:$B$13,$C$9:$C$13)),0)=MAX($C92:$L92),_xlfn.MINIFS($C92:$L92,$C92:$L92,"&gt;0")*_xlfn.XLOOKUP($G90,$B$9:$B$13,$D$9:$D$13),IFERROR(OFFSET(K92,0,_xlfn.XLOOKUP($G90,$B$9:$B$13,$C$9:$C$13))*_xlfn.XLOOKUP($G90,$B$9:$B$13,$D$9:$D$13),0)),IFERROR(OFFSET(K92,0,_xlfn.XLOOKUP($G90,$B$9:$B$13,$E$9:$E$13))*_xlfn.XLOOKUP($G90,$B$9:$B$13,$F$9:$F$13),0),I94)))</f>
        <v>0</v>
      </c>
      <c r="L94" s="196">
        <f t="shared" ref="L94" ca="1" si="283">IF($I90="N",L92,IF($G90="1. In Flight",1,$G$9)*MIN(MAX($C92:$L92)*_xlfn.XLOOKUP($G90,$B$9:$B$13,$F$9:$F$13),MAX(IF(IFERROR(OFFSET(L92,0,_xlfn.XLOOKUP($G90,$B$9:$B$13,$C$9:$C$13)),0)=MAX($C92:$L92),_xlfn.MINIFS($C92:$L92,$C92:$L92,"&gt;0")*_xlfn.XLOOKUP($G90,$B$9:$B$13,$D$9:$D$13),IFERROR(OFFSET(L92,0,_xlfn.XLOOKUP($G90,$B$9:$B$13,$C$9:$C$13))*_xlfn.XLOOKUP($G90,$B$9:$B$13,$D$9:$D$13),0)),IFERROR(OFFSET(L92,0,_xlfn.XLOOKUP($G90,$B$9:$B$13,$E$9:$E$13))*_xlfn.XLOOKUP($G90,$B$9:$B$13,$F$9:$F$13),0),J94)))</f>
        <v>0</v>
      </c>
    </row>
    <row r="95" spans="1:14" ht="15" thickBot="1">
      <c r="A95" s="197" t="s">
        <v>109</v>
      </c>
      <c r="B95" s="198">
        <f>B92</f>
        <v>0</v>
      </c>
      <c r="C95" s="198">
        <f ca="1">IF($I90="N",C92,IF($G90="1. In Flight",1,$G$14)*MIN(MAX($C92:$L92)*_xlfn.XLOOKUP($G90,$B$14:$B$18,$F$14:$F$18),MAX(IF(IFERROR(OFFSET(C92,0,_xlfn.XLOOKUP($G90,$B$14:$B$18,$C$14:$C$18)),0)=MAX($C92:$L92),_xlfn.MINIFS($C92:$L92,$C92:$L92,"&gt;0")*_xlfn.XLOOKUP($G90,$B$14:$B$18,$D$14:$D$18),IFERROR(OFFSET(C92,0,_xlfn.XLOOKUP($G90,$B$14:$B$18,$C$14:$C$18))*_xlfn.XLOOKUP($G90,$B$14:$B$18,$D$14:$D$18),0)),IFERROR(OFFSET(C92,0,_xlfn.XLOOKUP($G90,$B$14:$B$18,$E$14:$E$18))*_xlfn.XLOOKUP($G90,$B$14:$B$18,$F$14:$F$18),0),A95)))</f>
        <v>0</v>
      </c>
      <c r="D95" s="198">
        <f t="shared" ref="D95" ca="1" si="284">IF($I90="N",D92,IF($G90="1. In Flight",1,$G$14)*MIN(MAX($C92:$L92)*_xlfn.XLOOKUP($G90,$B$14:$B$18,$F$14:$F$18),MAX(IF(IFERROR(OFFSET(D92,0,_xlfn.XLOOKUP($G90,$B$14:$B$18,$C$14:$C$18)),0)=MAX($C92:$L92),_xlfn.MINIFS($C92:$L92,$C92:$L92,"&gt;0")*_xlfn.XLOOKUP($G90,$B$14:$B$18,$D$14:$D$18),IFERROR(OFFSET(D92,0,_xlfn.XLOOKUP($G90,$B$14:$B$18,$C$14:$C$18))*_xlfn.XLOOKUP($G90,$B$14:$B$18,$D$14:$D$18),0)),IFERROR(OFFSET(D92,0,_xlfn.XLOOKUP($G90,$B$14:$B$18,$E$14:$E$18))*_xlfn.XLOOKUP($G90,$B$14:$B$18,$F$14:$F$18),0),B95)))</f>
        <v>0</v>
      </c>
      <c r="E95" s="198">
        <f t="shared" ref="E95" ca="1" si="285">IF($I90="N",E92,IF($G90="1. In Flight",1,$G$14)*MIN(MAX($C92:$L92)*_xlfn.XLOOKUP($G90,$B$14:$B$18,$F$14:$F$18),MAX(IF(IFERROR(OFFSET(E92,0,_xlfn.XLOOKUP($G90,$B$14:$B$18,$C$14:$C$18)),0)=MAX($C92:$L92),_xlfn.MINIFS($C92:$L92,$C92:$L92,"&gt;0")*_xlfn.XLOOKUP($G90,$B$14:$B$18,$D$14:$D$18),IFERROR(OFFSET(E92,0,_xlfn.XLOOKUP($G90,$B$14:$B$18,$C$14:$C$18))*_xlfn.XLOOKUP($G90,$B$14:$B$18,$D$14:$D$18),0)),IFERROR(OFFSET(E92,0,_xlfn.XLOOKUP($G90,$B$14:$B$18,$E$14:$E$18))*_xlfn.XLOOKUP($G90,$B$14:$B$18,$F$14:$F$18),0),C95)))</f>
        <v>0</v>
      </c>
      <c r="F95" s="198">
        <f t="shared" ref="F95" ca="1" si="286">IF($I90="N",F92,IF($G90="1. In Flight",1,$G$14)*MIN(MAX($C92:$L92)*_xlfn.XLOOKUP($G90,$B$14:$B$18,$F$14:$F$18),MAX(IF(IFERROR(OFFSET(F92,0,_xlfn.XLOOKUP($G90,$B$14:$B$18,$C$14:$C$18)),0)=MAX($C92:$L92),_xlfn.MINIFS($C92:$L92,$C92:$L92,"&gt;0")*_xlfn.XLOOKUP($G90,$B$14:$B$18,$D$14:$D$18),IFERROR(OFFSET(F92,0,_xlfn.XLOOKUP($G90,$B$14:$B$18,$C$14:$C$18))*_xlfn.XLOOKUP($G90,$B$14:$B$18,$D$14:$D$18),0)),IFERROR(OFFSET(F92,0,_xlfn.XLOOKUP($G90,$B$14:$B$18,$E$14:$E$18))*_xlfn.XLOOKUP($G90,$B$14:$B$18,$F$14:$F$18),0),D95)))</f>
        <v>0</v>
      </c>
      <c r="G95" s="198">
        <f t="shared" ref="G95" ca="1" si="287">IF($I90="N",G92,IF($G90="1. In Flight",1,$G$14)*MIN(MAX($C92:$L92)*_xlfn.XLOOKUP($G90,$B$14:$B$18,$F$14:$F$18),MAX(IF(IFERROR(OFFSET(G92,0,_xlfn.XLOOKUP($G90,$B$14:$B$18,$C$14:$C$18)),0)=MAX($C92:$L92),_xlfn.MINIFS($C92:$L92,$C92:$L92,"&gt;0")*_xlfn.XLOOKUP($G90,$B$14:$B$18,$D$14:$D$18),IFERROR(OFFSET(G92,0,_xlfn.XLOOKUP($G90,$B$14:$B$18,$C$14:$C$18))*_xlfn.XLOOKUP($G90,$B$14:$B$18,$D$14:$D$18),0)),IFERROR(OFFSET(G92,0,_xlfn.XLOOKUP($G90,$B$14:$B$18,$E$14:$E$18))*_xlfn.XLOOKUP($G90,$B$14:$B$18,$F$14:$F$18),0),E95)))</f>
        <v>0</v>
      </c>
      <c r="H95" s="198">
        <f t="shared" ref="H95" ca="1" si="288">IF($I90="N",H92,IF($G90="1. In Flight",1,$G$14)*MIN(MAX($C92:$L92)*_xlfn.XLOOKUP($G90,$B$14:$B$18,$F$14:$F$18),MAX(IF(IFERROR(OFFSET(H92,0,_xlfn.XLOOKUP($G90,$B$14:$B$18,$C$14:$C$18)),0)=MAX($C92:$L92),_xlfn.MINIFS($C92:$L92,$C92:$L92,"&gt;0")*_xlfn.XLOOKUP($G90,$B$14:$B$18,$D$14:$D$18),IFERROR(OFFSET(H92,0,_xlfn.XLOOKUP($G90,$B$14:$B$18,$C$14:$C$18))*_xlfn.XLOOKUP($G90,$B$14:$B$18,$D$14:$D$18),0)),IFERROR(OFFSET(H92,0,_xlfn.XLOOKUP($G90,$B$14:$B$18,$E$14:$E$18))*_xlfn.XLOOKUP($G90,$B$14:$B$18,$F$14:$F$18),0),F95)))</f>
        <v>0</v>
      </c>
      <c r="I95" s="198">
        <f t="shared" ref="I95" ca="1" si="289">IF($I90="N",I92,IF($G90="1. In Flight",1,$G$14)*MIN(MAX($C92:$L92)*_xlfn.XLOOKUP($G90,$B$14:$B$18,$F$14:$F$18),MAX(IF(IFERROR(OFFSET(I92,0,_xlfn.XLOOKUP($G90,$B$14:$B$18,$C$14:$C$18)),0)=MAX($C92:$L92),_xlfn.MINIFS($C92:$L92,$C92:$L92,"&gt;0")*_xlfn.XLOOKUP($G90,$B$14:$B$18,$D$14:$D$18),IFERROR(OFFSET(I92,0,_xlfn.XLOOKUP($G90,$B$14:$B$18,$C$14:$C$18))*_xlfn.XLOOKUP($G90,$B$14:$B$18,$D$14:$D$18),0)),IFERROR(OFFSET(I92,0,_xlfn.XLOOKUP($G90,$B$14:$B$18,$E$14:$E$18))*_xlfn.XLOOKUP($G90,$B$14:$B$18,$F$14:$F$18),0),G95)))</f>
        <v>0</v>
      </c>
      <c r="J95" s="198">
        <f t="shared" ref="J95" ca="1" si="290">IF($I90="N",J92,IF($G90="1. In Flight",1,$G$14)*MIN(MAX($C92:$L92)*_xlfn.XLOOKUP($G90,$B$14:$B$18,$F$14:$F$18),MAX(IF(IFERROR(OFFSET(J92,0,_xlfn.XLOOKUP($G90,$B$14:$B$18,$C$14:$C$18)),0)=MAX($C92:$L92),_xlfn.MINIFS($C92:$L92,$C92:$L92,"&gt;0")*_xlfn.XLOOKUP($G90,$B$14:$B$18,$D$14:$D$18),IFERROR(OFFSET(J92,0,_xlfn.XLOOKUP($G90,$B$14:$B$18,$C$14:$C$18))*_xlfn.XLOOKUP($G90,$B$14:$B$18,$D$14:$D$18),0)),IFERROR(OFFSET(J92,0,_xlfn.XLOOKUP($G90,$B$14:$B$18,$E$14:$E$18))*_xlfn.XLOOKUP($G90,$B$14:$B$18,$F$14:$F$18),0),H95)))</f>
        <v>0</v>
      </c>
      <c r="K95" s="198">
        <f t="shared" ref="K95" ca="1" si="291">IF($I90="N",K92,IF($G90="1. In Flight",1,$G$14)*MIN(MAX($C92:$L92)*_xlfn.XLOOKUP($G90,$B$14:$B$18,$F$14:$F$18),MAX(IF(IFERROR(OFFSET(K92,0,_xlfn.XLOOKUP($G90,$B$14:$B$18,$C$14:$C$18)),0)=MAX($C92:$L92),_xlfn.MINIFS($C92:$L92,$C92:$L92,"&gt;0")*_xlfn.XLOOKUP($G90,$B$14:$B$18,$D$14:$D$18),IFERROR(OFFSET(K92,0,_xlfn.XLOOKUP($G90,$B$14:$B$18,$C$14:$C$18))*_xlfn.XLOOKUP($G90,$B$14:$B$18,$D$14:$D$18),0)),IFERROR(OFFSET(K92,0,_xlfn.XLOOKUP($G90,$B$14:$B$18,$E$14:$E$18))*_xlfn.XLOOKUP($G90,$B$14:$B$18,$F$14:$F$18),0),I95)))</f>
        <v>0</v>
      </c>
      <c r="L95" s="198">
        <f t="shared" ref="L95" ca="1" si="292">IF($I90="N",L92,IF($G90="1. In Flight",1,$G$14)*MIN(MAX($C92:$L92)*_xlfn.XLOOKUP($G90,$B$14:$B$18,$F$14:$F$18),MAX(IF(IFERROR(OFFSET(L92,0,_xlfn.XLOOKUP($G90,$B$14:$B$18,$C$14:$C$18)),0)=MAX($C92:$L92),_xlfn.MINIFS($C92:$L92,$C92:$L92,"&gt;0")*_xlfn.XLOOKUP($G90,$B$14:$B$18,$D$14:$D$18),IFERROR(OFFSET(L92,0,_xlfn.XLOOKUP($G90,$B$14:$B$18,$C$14:$C$18))*_xlfn.XLOOKUP($G90,$B$14:$B$18,$D$14:$D$18),0)),IFERROR(OFFSET(L92,0,_xlfn.XLOOKUP($G90,$B$14:$B$18,$E$14:$E$18))*_xlfn.XLOOKUP($G90,$B$14:$B$18,$F$14:$F$18),0),J95)))</f>
        <v>0</v>
      </c>
      <c r="M95" s="9"/>
      <c r="N95" s="9"/>
    </row>
    <row r="96" spans="1:14" ht="15" thickTop="1"/>
    <row r="97" spans="1:14" ht="15" thickBot="1">
      <c r="A97" s="231">
        <f>_xlfn.XLOOKUP(F97,FEED!D:D,FEED!E:E,FALSE)</f>
        <v>0</v>
      </c>
      <c r="B97" s="232"/>
      <c r="C97" s="188" t="s">
        <v>110</v>
      </c>
      <c r="D97" s="189"/>
      <c r="E97" s="189"/>
      <c r="F97" s="189" t="s">
        <v>45</v>
      </c>
      <c r="G97" s="189" t="str">
        <f>IFERROR(_xlfn.XLOOKUP(F97,FEED!$D:$D,FEED!$S:$S),$B$8)</f>
        <v>1. In Flight</v>
      </c>
      <c r="H97" s="189" t="str">
        <f>IFERROR(_xlfn.XLOOKUP(F97,FEED!$D:$D,FEED!$Y:$Y),"Major Load")</f>
        <v>Major Load</v>
      </c>
      <c r="I97" s="189" t="str">
        <f>IFERROR(_xlfn.XLOOKUP(F97,FEED!$D:$D,FEED!$C:$C),"N")</f>
        <v>Y</v>
      </c>
      <c r="J97" s="190"/>
      <c r="K97" s="190"/>
      <c r="L97" s="190"/>
    </row>
    <row r="98" spans="1:14" ht="15" thickBot="1">
      <c r="A98" s="191" t="str">
        <f>A91</f>
        <v>Uptake Scenario</v>
      </c>
      <c r="B98" s="192">
        <f>B91</f>
        <v>2023</v>
      </c>
      <c r="C98" s="192">
        <f t="shared" ref="C98:L98" si="293">C91</f>
        <v>2024</v>
      </c>
      <c r="D98" s="192">
        <f t="shared" si="293"/>
        <v>2025</v>
      </c>
      <c r="E98" s="192">
        <f t="shared" si="293"/>
        <v>2026</v>
      </c>
      <c r="F98" s="192">
        <f t="shared" si="293"/>
        <v>2027</v>
      </c>
      <c r="G98" s="192">
        <f t="shared" si="293"/>
        <v>2028</v>
      </c>
      <c r="H98" s="192">
        <f t="shared" si="293"/>
        <v>2029</v>
      </c>
      <c r="I98" s="192">
        <f t="shared" si="293"/>
        <v>2030</v>
      </c>
      <c r="J98" s="192">
        <f t="shared" si="293"/>
        <v>2031</v>
      </c>
      <c r="K98" s="192">
        <f t="shared" si="293"/>
        <v>2032</v>
      </c>
      <c r="L98" s="192">
        <f t="shared" si="293"/>
        <v>2033</v>
      </c>
    </row>
    <row r="99" spans="1:14" ht="15.6" thickTop="1" thickBot="1">
      <c r="A99" s="193" t="s">
        <v>111</v>
      </c>
      <c r="B99" s="194">
        <v>0</v>
      </c>
      <c r="C99" s="194">
        <f>SUMIF(FEED!$D:$D,$F97,FEED!F:F)+B99</f>
        <v>12</v>
      </c>
      <c r="D99" s="194">
        <f>SUMIF(FEED!$D:$D,$F97,FEED!G:G)+C99</f>
        <v>12</v>
      </c>
      <c r="E99" s="194">
        <f>SUMIF(FEED!$D:$D,$F97,FEED!H:H)+D99</f>
        <v>12</v>
      </c>
      <c r="F99" s="194">
        <f>SUMIF(FEED!$D:$D,$F97,FEED!I:I)+E99</f>
        <v>12</v>
      </c>
      <c r="G99" s="194">
        <f>SUMIF(FEED!$D:$D,$F97,FEED!J:J)+F99</f>
        <v>12</v>
      </c>
      <c r="H99" s="194">
        <f>SUMIF(FEED!$D:$D,$F97,FEED!K:K)+G99</f>
        <v>12</v>
      </c>
      <c r="I99" s="194">
        <f>SUMIF(FEED!$D:$D,$F97,FEED!L:L)+H99</f>
        <v>12</v>
      </c>
      <c r="J99" s="194">
        <f>SUMIF(FEED!$D:$D,$F97,FEED!M:M)+I99</f>
        <v>12</v>
      </c>
      <c r="K99" s="194">
        <f>SUMIF(FEED!$D:$D,$F97,FEED!N:N)+J99</f>
        <v>12</v>
      </c>
      <c r="L99" s="194">
        <f>SUMIF(FEED!$D:$D,$F97,FEED!O:O)+K99</f>
        <v>12</v>
      </c>
    </row>
    <row r="100" spans="1:14" ht="15" thickBot="1">
      <c r="A100" s="195" t="s">
        <v>107</v>
      </c>
      <c r="B100" s="196">
        <f>B99</f>
        <v>0</v>
      </c>
      <c r="C100" s="196">
        <f ca="1">IF($I97="N",C99,IF($G97="1. In Flight",1,$G$4)*MIN(MAX($C99:$L99)*_xlfn.XLOOKUP($G97,$B$4:$B$8,$F$4:$F$8),MAX(IF(IFERROR(OFFSET(C99,0,_xlfn.XLOOKUP($G97,$B$4:$B$8,$C$4:$C$8)),0)=MAX($C99:$L99),_xlfn.MINIFS($C99:$L99,$C99:$L99,"&gt;0")*_xlfn.XLOOKUP($G97,$B$4:$B$8,$D$4:$D$8),IFERROR(OFFSET(C99,0,_xlfn.XLOOKUP($G97,$B$4:$B$8,$C$4:$C$8))*_xlfn.XLOOKUP($G97,$B$4:$B$8,$D$4:$D$8),0)),IFERROR(OFFSET(C99,0,_xlfn.XLOOKUP($G97,$B$4:$B$8,$E$4:$E$8))*_xlfn.XLOOKUP($G97,$B$4:$B$8,$F$4:$F$8),0),A100)))</f>
        <v>0</v>
      </c>
      <c r="D100" s="196">
        <f t="shared" ref="D100" ca="1" si="294">IF($I97="N",D99,IF($G97="1. In Flight",1,$G$4)*MIN(MAX($C99:$L99)*_xlfn.XLOOKUP($G97,$B$4:$B$8,$F$4:$F$8),MAX(IF(IFERROR(OFFSET(D99,0,_xlfn.XLOOKUP($G97,$B$4:$B$8,$C$4:$C$8)),0)=MAX($C99:$L99),_xlfn.MINIFS($C99:$L99,$C99:$L99,"&gt;0")*_xlfn.XLOOKUP($G97,$B$4:$B$8,$D$4:$D$8),IFERROR(OFFSET(D99,0,_xlfn.XLOOKUP($G97,$B$4:$B$8,$C$4:$C$8))*_xlfn.XLOOKUP($G97,$B$4:$B$8,$D$4:$D$8),0)),IFERROR(OFFSET(D99,0,_xlfn.XLOOKUP($G97,$B$4:$B$8,$E$4:$E$8))*_xlfn.XLOOKUP($G97,$B$4:$B$8,$F$4:$F$8),0),B100)))</f>
        <v>8.3999999999999986</v>
      </c>
      <c r="E100" s="196">
        <f t="shared" ref="E100" ca="1" si="295">IF($I97="N",E99,IF($G97="1. In Flight",1,$G$4)*MIN(MAX($C99:$L99)*_xlfn.XLOOKUP($G97,$B$4:$B$8,$F$4:$F$8),MAX(IF(IFERROR(OFFSET(E99,0,_xlfn.XLOOKUP($G97,$B$4:$B$8,$C$4:$C$8)),0)=MAX($C99:$L99),_xlfn.MINIFS($C99:$L99,$C99:$L99,"&gt;0")*_xlfn.XLOOKUP($G97,$B$4:$B$8,$D$4:$D$8),IFERROR(OFFSET(E99,0,_xlfn.XLOOKUP($G97,$B$4:$B$8,$C$4:$C$8))*_xlfn.XLOOKUP($G97,$B$4:$B$8,$D$4:$D$8),0)),IFERROR(OFFSET(E99,0,_xlfn.XLOOKUP($G97,$B$4:$B$8,$E$4:$E$8))*_xlfn.XLOOKUP($G97,$B$4:$B$8,$F$4:$F$8),0),C100)))</f>
        <v>8.3999999999999986</v>
      </c>
      <c r="F100" s="196">
        <f t="shared" ref="F100" ca="1" si="296">IF($I97="N",F99,IF($G97="1. In Flight",1,$G$4)*MIN(MAX($C99:$L99)*_xlfn.XLOOKUP($G97,$B$4:$B$8,$F$4:$F$8),MAX(IF(IFERROR(OFFSET(F99,0,_xlfn.XLOOKUP($G97,$B$4:$B$8,$C$4:$C$8)),0)=MAX($C99:$L99),_xlfn.MINIFS($C99:$L99,$C99:$L99,"&gt;0")*_xlfn.XLOOKUP($G97,$B$4:$B$8,$D$4:$D$8),IFERROR(OFFSET(F99,0,_xlfn.XLOOKUP($G97,$B$4:$B$8,$C$4:$C$8))*_xlfn.XLOOKUP($G97,$B$4:$B$8,$D$4:$D$8),0)),IFERROR(OFFSET(F99,0,_xlfn.XLOOKUP($G97,$B$4:$B$8,$E$4:$E$8))*_xlfn.XLOOKUP($G97,$B$4:$B$8,$F$4:$F$8),0),D100)))</f>
        <v>8.3999999999999986</v>
      </c>
      <c r="G100" s="196">
        <f t="shared" ref="G100" ca="1" si="297">IF($I97="N",G99,IF($G97="1. In Flight",1,$G$4)*MIN(MAX($C99:$L99)*_xlfn.XLOOKUP($G97,$B$4:$B$8,$F$4:$F$8),MAX(IF(IFERROR(OFFSET(G99,0,_xlfn.XLOOKUP($G97,$B$4:$B$8,$C$4:$C$8)),0)=MAX($C99:$L99),_xlfn.MINIFS($C99:$L99,$C99:$L99,"&gt;0")*_xlfn.XLOOKUP($G97,$B$4:$B$8,$D$4:$D$8),IFERROR(OFFSET(G99,0,_xlfn.XLOOKUP($G97,$B$4:$B$8,$C$4:$C$8))*_xlfn.XLOOKUP($G97,$B$4:$B$8,$D$4:$D$8),0)),IFERROR(OFFSET(G99,0,_xlfn.XLOOKUP($G97,$B$4:$B$8,$E$4:$E$8))*_xlfn.XLOOKUP($G97,$B$4:$B$8,$F$4:$F$8),0),E100)))</f>
        <v>8.3999999999999986</v>
      </c>
      <c r="H100" s="196">
        <f t="shared" ref="H100" ca="1" si="298">IF($I97="N",H99,IF($G97="1. In Flight",1,$G$4)*MIN(MAX($C99:$L99)*_xlfn.XLOOKUP($G97,$B$4:$B$8,$F$4:$F$8),MAX(IF(IFERROR(OFFSET(H99,0,_xlfn.XLOOKUP($G97,$B$4:$B$8,$C$4:$C$8)),0)=MAX($C99:$L99),_xlfn.MINIFS($C99:$L99,$C99:$L99,"&gt;0")*_xlfn.XLOOKUP($G97,$B$4:$B$8,$D$4:$D$8),IFERROR(OFFSET(H99,0,_xlfn.XLOOKUP($G97,$B$4:$B$8,$C$4:$C$8))*_xlfn.XLOOKUP($G97,$B$4:$B$8,$D$4:$D$8),0)),IFERROR(OFFSET(H99,0,_xlfn.XLOOKUP($G97,$B$4:$B$8,$E$4:$E$8))*_xlfn.XLOOKUP($G97,$B$4:$B$8,$F$4:$F$8),0),F100)))</f>
        <v>8.3999999999999986</v>
      </c>
      <c r="I100" s="196">
        <f t="shared" ref="I100" ca="1" si="299">IF($I97="N",I99,IF($G97="1. In Flight",1,$G$4)*MIN(MAX($C99:$L99)*_xlfn.XLOOKUP($G97,$B$4:$B$8,$F$4:$F$8),MAX(IF(IFERROR(OFFSET(I99,0,_xlfn.XLOOKUP($G97,$B$4:$B$8,$C$4:$C$8)),0)=MAX($C99:$L99),_xlfn.MINIFS($C99:$L99,$C99:$L99,"&gt;0")*_xlfn.XLOOKUP($G97,$B$4:$B$8,$D$4:$D$8),IFERROR(OFFSET(I99,0,_xlfn.XLOOKUP($G97,$B$4:$B$8,$C$4:$C$8))*_xlfn.XLOOKUP($G97,$B$4:$B$8,$D$4:$D$8),0)),IFERROR(OFFSET(I99,0,_xlfn.XLOOKUP($G97,$B$4:$B$8,$E$4:$E$8))*_xlfn.XLOOKUP($G97,$B$4:$B$8,$F$4:$F$8),0),G100)))</f>
        <v>8.3999999999999986</v>
      </c>
      <c r="J100" s="196">
        <f t="shared" ref="J100" ca="1" si="300">IF($I97="N",J99,IF($G97="1. In Flight",1,$G$4)*MIN(MAX($C99:$L99)*_xlfn.XLOOKUP($G97,$B$4:$B$8,$F$4:$F$8),MAX(IF(IFERROR(OFFSET(J99,0,_xlfn.XLOOKUP($G97,$B$4:$B$8,$C$4:$C$8)),0)=MAX($C99:$L99),_xlfn.MINIFS($C99:$L99,$C99:$L99,"&gt;0")*_xlfn.XLOOKUP($G97,$B$4:$B$8,$D$4:$D$8),IFERROR(OFFSET(J99,0,_xlfn.XLOOKUP($G97,$B$4:$B$8,$C$4:$C$8))*_xlfn.XLOOKUP($G97,$B$4:$B$8,$D$4:$D$8),0)),IFERROR(OFFSET(J99,0,_xlfn.XLOOKUP($G97,$B$4:$B$8,$E$4:$E$8))*_xlfn.XLOOKUP($G97,$B$4:$B$8,$F$4:$F$8),0),H100)))</f>
        <v>8.3999999999999986</v>
      </c>
      <c r="K100" s="196">
        <f t="shared" ref="K100" ca="1" si="301">IF($I97="N",K99,IF($G97="1. In Flight",1,$G$4)*MIN(MAX($C99:$L99)*_xlfn.XLOOKUP($G97,$B$4:$B$8,$F$4:$F$8),MAX(IF(IFERROR(OFFSET(K99,0,_xlfn.XLOOKUP($G97,$B$4:$B$8,$C$4:$C$8)),0)=MAX($C99:$L99),_xlfn.MINIFS($C99:$L99,$C99:$L99,"&gt;0")*_xlfn.XLOOKUP($G97,$B$4:$B$8,$D$4:$D$8),IFERROR(OFFSET(K99,0,_xlfn.XLOOKUP($G97,$B$4:$B$8,$C$4:$C$8))*_xlfn.XLOOKUP($G97,$B$4:$B$8,$D$4:$D$8),0)),IFERROR(OFFSET(K99,0,_xlfn.XLOOKUP($G97,$B$4:$B$8,$E$4:$E$8))*_xlfn.XLOOKUP($G97,$B$4:$B$8,$F$4:$F$8),0),I100)))</f>
        <v>8.3999999999999986</v>
      </c>
      <c r="L100" s="196">
        <f t="shared" ref="L100" ca="1" si="302">IF($I97="N",L99,IF($G97="1. In Flight",1,$G$4)*MIN(MAX($C99:$L99)*_xlfn.XLOOKUP($G97,$B$4:$B$8,$F$4:$F$8),MAX(IF(IFERROR(OFFSET(L99,0,_xlfn.XLOOKUP($G97,$B$4:$B$8,$C$4:$C$8)),0)=MAX($C99:$L99),_xlfn.MINIFS($C99:$L99,$C99:$L99,"&gt;0")*_xlfn.XLOOKUP($G97,$B$4:$B$8,$D$4:$D$8),IFERROR(OFFSET(L99,0,_xlfn.XLOOKUP($G97,$B$4:$B$8,$C$4:$C$8))*_xlfn.XLOOKUP($G97,$B$4:$B$8,$D$4:$D$8),0)),IFERROR(OFFSET(L99,0,_xlfn.XLOOKUP($G97,$B$4:$B$8,$E$4:$E$8))*_xlfn.XLOOKUP($G97,$B$4:$B$8,$F$4:$F$8),0),J100)))</f>
        <v>8.3999999999999986</v>
      </c>
    </row>
    <row r="101" spans="1:14" ht="15" thickBot="1">
      <c r="A101" s="195" t="s">
        <v>108</v>
      </c>
      <c r="B101" s="196">
        <f>B99</f>
        <v>0</v>
      </c>
      <c r="C101" s="196">
        <f ca="1">IF($I97="N",C99,IF($G97="1. In Flight",1,$G$9)*MIN(MAX($C99:$L99)*_xlfn.XLOOKUP($G97,$B$9:$B$13,$F$9:$F$13),MAX(IF(IFERROR(OFFSET(C99,0,_xlfn.XLOOKUP($G97,$B$9:$B$13,$C$9:$C$13)),0)=MAX($C99:$L99),_xlfn.MINIFS($C99:$L99,$C99:$L99,"&gt;0")*_xlfn.XLOOKUP($G97,$B$9:$B$13,$D$9:$D$13),IFERROR(OFFSET(C99,0,_xlfn.XLOOKUP($G97,$B$9:$B$13,$C$9:$C$13))*_xlfn.XLOOKUP($G97,$B$9:$B$13,$D$9:$D$13),0)),IFERROR(OFFSET(C99,0,_xlfn.XLOOKUP($G97,$B$9:$B$13,$E$9:$E$13))*_xlfn.XLOOKUP($G97,$B$9:$B$13,$F$9:$F$13),0),A101)))</f>
        <v>0</v>
      </c>
      <c r="D101" s="196">
        <f t="shared" ref="D101" ca="1" si="303">IF($I97="N",D99,IF($G97="1. In Flight",1,$G$9)*MIN(MAX($C99:$L99)*_xlfn.XLOOKUP($G97,$B$9:$B$13,$F$9:$F$13),MAX(IF(IFERROR(OFFSET(D99,0,_xlfn.XLOOKUP($G97,$B$9:$B$13,$C$9:$C$13)),0)=MAX($C99:$L99),_xlfn.MINIFS($C99:$L99,$C99:$L99,"&gt;0")*_xlfn.XLOOKUP($G97,$B$9:$B$13,$D$9:$D$13),IFERROR(OFFSET(D99,0,_xlfn.XLOOKUP($G97,$B$9:$B$13,$C$9:$C$13))*_xlfn.XLOOKUP($G97,$B$9:$B$13,$D$9:$D$13),0)),IFERROR(OFFSET(D99,0,_xlfn.XLOOKUP($G97,$B$9:$B$13,$E$9:$E$13))*_xlfn.XLOOKUP($G97,$B$9:$B$13,$F$9:$F$13),0),B101)))</f>
        <v>0</v>
      </c>
      <c r="E101" s="196">
        <f t="shared" ref="E101" ca="1" si="304">IF($I97="N",E99,IF($G97="1. In Flight",1,$G$9)*MIN(MAX($C99:$L99)*_xlfn.XLOOKUP($G97,$B$9:$B$13,$F$9:$F$13),MAX(IF(IFERROR(OFFSET(E99,0,_xlfn.XLOOKUP($G97,$B$9:$B$13,$C$9:$C$13)),0)=MAX($C99:$L99),_xlfn.MINIFS($C99:$L99,$C99:$L99,"&gt;0")*_xlfn.XLOOKUP($G97,$B$9:$B$13,$D$9:$D$13),IFERROR(OFFSET(E99,0,_xlfn.XLOOKUP($G97,$B$9:$B$13,$C$9:$C$13))*_xlfn.XLOOKUP($G97,$B$9:$B$13,$D$9:$D$13),0)),IFERROR(OFFSET(E99,0,_xlfn.XLOOKUP($G97,$B$9:$B$13,$E$9:$E$13))*_xlfn.XLOOKUP($G97,$B$9:$B$13,$F$9:$F$13),0),C101)))</f>
        <v>7.1999999999999993</v>
      </c>
      <c r="F101" s="196">
        <f t="shared" ref="F101" ca="1" si="305">IF($I97="N",F99,IF($G97="1. In Flight",1,$G$9)*MIN(MAX($C99:$L99)*_xlfn.XLOOKUP($G97,$B$9:$B$13,$F$9:$F$13),MAX(IF(IFERROR(OFFSET(F99,0,_xlfn.XLOOKUP($G97,$B$9:$B$13,$C$9:$C$13)),0)=MAX($C99:$L99),_xlfn.MINIFS($C99:$L99,$C99:$L99,"&gt;0")*_xlfn.XLOOKUP($G97,$B$9:$B$13,$D$9:$D$13),IFERROR(OFFSET(F99,0,_xlfn.XLOOKUP($G97,$B$9:$B$13,$C$9:$C$13))*_xlfn.XLOOKUP($G97,$B$9:$B$13,$D$9:$D$13),0)),IFERROR(OFFSET(F99,0,_xlfn.XLOOKUP($G97,$B$9:$B$13,$E$9:$E$13))*_xlfn.XLOOKUP($G97,$B$9:$B$13,$F$9:$F$13),0),D101)))</f>
        <v>7.1999999999999993</v>
      </c>
      <c r="G101" s="196">
        <f t="shared" ref="G101" ca="1" si="306">IF($I97="N",G99,IF($G97="1. In Flight",1,$G$9)*MIN(MAX($C99:$L99)*_xlfn.XLOOKUP($G97,$B$9:$B$13,$F$9:$F$13),MAX(IF(IFERROR(OFFSET(G99,0,_xlfn.XLOOKUP($G97,$B$9:$B$13,$C$9:$C$13)),0)=MAX($C99:$L99),_xlfn.MINIFS($C99:$L99,$C99:$L99,"&gt;0")*_xlfn.XLOOKUP($G97,$B$9:$B$13,$D$9:$D$13),IFERROR(OFFSET(G99,0,_xlfn.XLOOKUP($G97,$B$9:$B$13,$C$9:$C$13))*_xlfn.XLOOKUP($G97,$B$9:$B$13,$D$9:$D$13),0)),IFERROR(OFFSET(G99,0,_xlfn.XLOOKUP($G97,$B$9:$B$13,$E$9:$E$13))*_xlfn.XLOOKUP($G97,$B$9:$B$13,$F$9:$F$13),0),E101)))</f>
        <v>7.1999999999999993</v>
      </c>
      <c r="H101" s="196">
        <f t="shared" ref="H101" ca="1" si="307">IF($I97="N",H99,IF($G97="1. In Flight",1,$G$9)*MIN(MAX($C99:$L99)*_xlfn.XLOOKUP($G97,$B$9:$B$13,$F$9:$F$13),MAX(IF(IFERROR(OFFSET(H99,0,_xlfn.XLOOKUP($G97,$B$9:$B$13,$C$9:$C$13)),0)=MAX($C99:$L99),_xlfn.MINIFS($C99:$L99,$C99:$L99,"&gt;0")*_xlfn.XLOOKUP($G97,$B$9:$B$13,$D$9:$D$13),IFERROR(OFFSET(H99,0,_xlfn.XLOOKUP($G97,$B$9:$B$13,$C$9:$C$13))*_xlfn.XLOOKUP($G97,$B$9:$B$13,$D$9:$D$13),0)),IFERROR(OFFSET(H99,0,_xlfn.XLOOKUP($G97,$B$9:$B$13,$E$9:$E$13))*_xlfn.XLOOKUP($G97,$B$9:$B$13,$F$9:$F$13),0),F101)))</f>
        <v>7.1999999999999993</v>
      </c>
      <c r="I101" s="196">
        <f t="shared" ref="I101" ca="1" si="308">IF($I97="N",I99,IF($G97="1. In Flight",1,$G$9)*MIN(MAX($C99:$L99)*_xlfn.XLOOKUP($G97,$B$9:$B$13,$F$9:$F$13),MAX(IF(IFERROR(OFFSET(I99,0,_xlfn.XLOOKUP($G97,$B$9:$B$13,$C$9:$C$13)),0)=MAX($C99:$L99),_xlfn.MINIFS($C99:$L99,$C99:$L99,"&gt;0")*_xlfn.XLOOKUP($G97,$B$9:$B$13,$D$9:$D$13),IFERROR(OFFSET(I99,0,_xlfn.XLOOKUP($G97,$B$9:$B$13,$C$9:$C$13))*_xlfn.XLOOKUP($G97,$B$9:$B$13,$D$9:$D$13),0)),IFERROR(OFFSET(I99,0,_xlfn.XLOOKUP($G97,$B$9:$B$13,$E$9:$E$13))*_xlfn.XLOOKUP($G97,$B$9:$B$13,$F$9:$F$13),0),G101)))</f>
        <v>7.1999999999999993</v>
      </c>
      <c r="J101" s="196">
        <f t="shared" ref="J101" ca="1" si="309">IF($I97="N",J99,IF($G97="1. In Flight",1,$G$9)*MIN(MAX($C99:$L99)*_xlfn.XLOOKUP($G97,$B$9:$B$13,$F$9:$F$13),MAX(IF(IFERROR(OFFSET(J99,0,_xlfn.XLOOKUP($G97,$B$9:$B$13,$C$9:$C$13)),0)=MAX($C99:$L99),_xlfn.MINIFS($C99:$L99,$C99:$L99,"&gt;0")*_xlfn.XLOOKUP($G97,$B$9:$B$13,$D$9:$D$13),IFERROR(OFFSET(J99,0,_xlfn.XLOOKUP($G97,$B$9:$B$13,$C$9:$C$13))*_xlfn.XLOOKUP($G97,$B$9:$B$13,$D$9:$D$13),0)),IFERROR(OFFSET(J99,0,_xlfn.XLOOKUP($G97,$B$9:$B$13,$E$9:$E$13))*_xlfn.XLOOKUP($G97,$B$9:$B$13,$F$9:$F$13),0),H101)))</f>
        <v>7.1999999999999993</v>
      </c>
      <c r="K101" s="196">
        <f t="shared" ref="K101" ca="1" si="310">IF($I97="N",K99,IF($G97="1. In Flight",1,$G$9)*MIN(MAX($C99:$L99)*_xlfn.XLOOKUP($G97,$B$9:$B$13,$F$9:$F$13),MAX(IF(IFERROR(OFFSET(K99,0,_xlfn.XLOOKUP($G97,$B$9:$B$13,$C$9:$C$13)),0)=MAX($C99:$L99),_xlfn.MINIFS($C99:$L99,$C99:$L99,"&gt;0")*_xlfn.XLOOKUP($G97,$B$9:$B$13,$D$9:$D$13),IFERROR(OFFSET(K99,0,_xlfn.XLOOKUP($G97,$B$9:$B$13,$C$9:$C$13))*_xlfn.XLOOKUP($G97,$B$9:$B$13,$D$9:$D$13),0)),IFERROR(OFFSET(K99,0,_xlfn.XLOOKUP($G97,$B$9:$B$13,$E$9:$E$13))*_xlfn.XLOOKUP($G97,$B$9:$B$13,$F$9:$F$13),0),I101)))</f>
        <v>7.1999999999999993</v>
      </c>
      <c r="L101" s="196">
        <f t="shared" ref="L101" ca="1" si="311">IF($I97="N",L99,IF($G97="1. In Flight",1,$G$9)*MIN(MAX($C99:$L99)*_xlfn.XLOOKUP($G97,$B$9:$B$13,$F$9:$F$13),MAX(IF(IFERROR(OFFSET(L99,0,_xlfn.XLOOKUP($G97,$B$9:$B$13,$C$9:$C$13)),0)=MAX($C99:$L99),_xlfn.MINIFS($C99:$L99,$C99:$L99,"&gt;0")*_xlfn.XLOOKUP($G97,$B$9:$B$13,$D$9:$D$13),IFERROR(OFFSET(L99,0,_xlfn.XLOOKUP($G97,$B$9:$B$13,$C$9:$C$13))*_xlfn.XLOOKUP($G97,$B$9:$B$13,$D$9:$D$13),0)),IFERROR(OFFSET(L99,0,_xlfn.XLOOKUP($G97,$B$9:$B$13,$E$9:$E$13))*_xlfn.XLOOKUP($G97,$B$9:$B$13,$F$9:$F$13),0),J101)))</f>
        <v>7.1999999999999993</v>
      </c>
    </row>
    <row r="102" spans="1:14" ht="15" thickBot="1">
      <c r="A102" s="197" t="s">
        <v>109</v>
      </c>
      <c r="B102" s="198">
        <f>B99</f>
        <v>0</v>
      </c>
      <c r="C102" s="198">
        <f ca="1">IF($I97="N",C99,IF($G97="1. In Flight",1,$G$14)*MIN(MAX($C99:$L99)*_xlfn.XLOOKUP($G97,$B$14:$B$18,$F$14:$F$18),MAX(IF(IFERROR(OFFSET(C99,0,_xlfn.XLOOKUP($G97,$B$14:$B$18,$C$14:$C$18)),0)=MAX($C99:$L99),_xlfn.MINIFS($C99:$L99,$C99:$L99,"&gt;0")*_xlfn.XLOOKUP($G97,$B$14:$B$18,$D$14:$D$18),IFERROR(OFFSET(C99,0,_xlfn.XLOOKUP($G97,$B$14:$B$18,$C$14:$C$18))*_xlfn.XLOOKUP($G97,$B$14:$B$18,$D$14:$D$18),0)),IFERROR(OFFSET(C99,0,_xlfn.XLOOKUP($G97,$B$14:$B$18,$E$14:$E$18))*_xlfn.XLOOKUP($G97,$B$14:$B$18,$F$14:$F$18),0),A102)))</f>
        <v>12</v>
      </c>
      <c r="D102" s="198">
        <f t="shared" ref="D102" ca="1" si="312">IF($I97="N",D99,IF($G97="1. In Flight",1,$G$14)*MIN(MAX($C99:$L99)*_xlfn.XLOOKUP($G97,$B$14:$B$18,$F$14:$F$18),MAX(IF(IFERROR(OFFSET(D99,0,_xlfn.XLOOKUP($G97,$B$14:$B$18,$C$14:$C$18)),0)=MAX($C99:$L99),_xlfn.MINIFS($C99:$L99,$C99:$L99,"&gt;0")*_xlfn.XLOOKUP($G97,$B$14:$B$18,$D$14:$D$18),IFERROR(OFFSET(D99,0,_xlfn.XLOOKUP($G97,$B$14:$B$18,$C$14:$C$18))*_xlfn.XLOOKUP($G97,$B$14:$B$18,$D$14:$D$18),0)),IFERROR(OFFSET(D99,0,_xlfn.XLOOKUP($G97,$B$14:$B$18,$E$14:$E$18))*_xlfn.XLOOKUP($G97,$B$14:$B$18,$F$14:$F$18),0),B102)))</f>
        <v>12</v>
      </c>
      <c r="E102" s="198">
        <f t="shared" ref="E102" ca="1" si="313">IF($I97="N",E99,IF($G97="1. In Flight",1,$G$14)*MIN(MAX($C99:$L99)*_xlfn.XLOOKUP($G97,$B$14:$B$18,$F$14:$F$18),MAX(IF(IFERROR(OFFSET(E99,0,_xlfn.XLOOKUP($G97,$B$14:$B$18,$C$14:$C$18)),0)=MAX($C99:$L99),_xlfn.MINIFS($C99:$L99,$C99:$L99,"&gt;0")*_xlfn.XLOOKUP($G97,$B$14:$B$18,$D$14:$D$18),IFERROR(OFFSET(E99,0,_xlfn.XLOOKUP($G97,$B$14:$B$18,$C$14:$C$18))*_xlfn.XLOOKUP($G97,$B$14:$B$18,$D$14:$D$18),0)),IFERROR(OFFSET(E99,0,_xlfn.XLOOKUP($G97,$B$14:$B$18,$E$14:$E$18))*_xlfn.XLOOKUP($G97,$B$14:$B$18,$F$14:$F$18),0),C102)))</f>
        <v>12</v>
      </c>
      <c r="F102" s="198">
        <f t="shared" ref="F102" ca="1" si="314">IF($I97="N",F99,IF($G97="1. In Flight",1,$G$14)*MIN(MAX($C99:$L99)*_xlfn.XLOOKUP($G97,$B$14:$B$18,$F$14:$F$18),MAX(IF(IFERROR(OFFSET(F99,0,_xlfn.XLOOKUP($G97,$B$14:$B$18,$C$14:$C$18)),0)=MAX($C99:$L99),_xlfn.MINIFS($C99:$L99,$C99:$L99,"&gt;0")*_xlfn.XLOOKUP($G97,$B$14:$B$18,$D$14:$D$18),IFERROR(OFFSET(F99,0,_xlfn.XLOOKUP($G97,$B$14:$B$18,$C$14:$C$18))*_xlfn.XLOOKUP($G97,$B$14:$B$18,$D$14:$D$18),0)),IFERROR(OFFSET(F99,0,_xlfn.XLOOKUP($G97,$B$14:$B$18,$E$14:$E$18))*_xlfn.XLOOKUP($G97,$B$14:$B$18,$F$14:$F$18),0),D102)))</f>
        <v>12</v>
      </c>
      <c r="G102" s="198">
        <f t="shared" ref="G102" ca="1" si="315">IF($I97="N",G99,IF($G97="1. In Flight",1,$G$14)*MIN(MAX($C99:$L99)*_xlfn.XLOOKUP($G97,$B$14:$B$18,$F$14:$F$18),MAX(IF(IFERROR(OFFSET(G99,0,_xlfn.XLOOKUP($G97,$B$14:$B$18,$C$14:$C$18)),0)=MAX($C99:$L99),_xlfn.MINIFS($C99:$L99,$C99:$L99,"&gt;0")*_xlfn.XLOOKUP($G97,$B$14:$B$18,$D$14:$D$18),IFERROR(OFFSET(G99,0,_xlfn.XLOOKUP($G97,$B$14:$B$18,$C$14:$C$18))*_xlfn.XLOOKUP($G97,$B$14:$B$18,$D$14:$D$18),0)),IFERROR(OFFSET(G99,0,_xlfn.XLOOKUP($G97,$B$14:$B$18,$E$14:$E$18))*_xlfn.XLOOKUP($G97,$B$14:$B$18,$F$14:$F$18),0),E102)))</f>
        <v>12</v>
      </c>
      <c r="H102" s="198">
        <f t="shared" ref="H102" ca="1" si="316">IF($I97="N",H99,IF($G97="1. In Flight",1,$G$14)*MIN(MAX($C99:$L99)*_xlfn.XLOOKUP($G97,$B$14:$B$18,$F$14:$F$18),MAX(IF(IFERROR(OFFSET(H99,0,_xlfn.XLOOKUP($G97,$B$14:$B$18,$C$14:$C$18)),0)=MAX($C99:$L99),_xlfn.MINIFS($C99:$L99,$C99:$L99,"&gt;0")*_xlfn.XLOOKUP($G97,$B$14:$B$18,$D$14:$D$18),IFERROR(OFFSET(H99,0,_xlfn.XLOOKUP($G97,$B$14:$B$18,$C$14:$C$18))*_xlfn.XLOOKUP($G97,$B$14:$B$18,$D$14:$D$18),0)),IFERROR(OFFSET(H99,0,_xlfn.XLOOKUP($G97,$B$14:$B$18,$E$14:$E$18))*_xlfn.XLOOKUP($G97,$B$14:$B$18,$F$14:$F$18),0),F102)))</f>
        <v>12</v>
      </c>
      <c r="I102" s="198">
        <f t="shared" ref="I102" ca="1" si="317">IF($I97="N",I99,IF($G97="1. In Flight",1,$G$14)*MIN(MAX($C99:$L99)*_xlfn.XLOOKUP($G97,$B$14:$B$18,$F$14:$F$18),MAX(IF(IFERROR(OFFSET(I99,0,_xlfn.XLOOKUP($G97,$B$14:$B$18,$C$14:$C$18)),0)=MAX($C99:$L99),_xlfn.MINIFS($C99:$L99,$C99:$L99,"&gt;0")*_xlfn.XLOOKUP($G97,$B$14:$B$18,$D$14:$D$18),IFERROR(OFFSET(I99,0,_xlfn.XLOOKUP($G97,$B$14:$B$18,$C$14:$C$18))*_xlfn.XLOOKUP($G97,$B$14:$B$18,$D$14:$D$18),0)),IFERROR(OFFSET(I99,0,_xlfn.XLOOKUP($G97,$B$14:$B$18,$E$14:$E$18))*_xlfn.XLOOKUP($G97,$B$14:$B$18,$F$14:$F$18),0),G102)))</f>
        <v>12</v>
      </c>
      <c r="J102" s="198">
        <f t="shared" ref="J102" ca="1" si="318">IF($I97="N",J99,IF($G97="1. In Flight",1,$G$14)*MIN(MAX($C99:$L99)*_xlfn.XLOOKUP($G97,$B$14:$B$18,$F$14:$F$18),MAX(IF(IFERROR(OFFSET(J99,0,_xlfn.XLOOKUP($G97,$B$14:$B$18,$C$14:$C$18)),0)=MAX($C99:$L99),_xlfn.MINIFS($C99:$L99,$C99:$L99,"&gt;0")*_xlfn.XLOOKUP($G97,$B$14:$B$18,$D$14:$D$18),IFERROR(OFFSET(J99,0,_xlfn.XLOOKUP($G97,$B$14:$B$18,$C$14:$C$18))*_xlfn.XLOOKUP($G97,$B$14:$B$18,$D$14:$D$18),0)),IFERROR(OFFSET(J99,0,_xlfn.XLOOKUP($G97,$B$14:$B$18,$E$14:$E$18))*_xlfn.XLOOKUP($G97,$B$14:$B$18,$F$14:$F$18),0),H102)))</f>
        <v>12</v>
      </c>
      <c r="K102" s="198">
        <f t="shared" ref="K102" ca="1" si="319">IF($I97="N",K99,IF($G97="1. In Flight",1,$G$14)*MIN(MAX($C99:$L99)*_xlfn.XLOOKUP($G97,$B$14:$B$18,$F$14:$F$18),MAX(IF(IFERROR(OFFSET(K99,0,_xlfn.XLOOKUP($G97,$B$14:$B$18,$C$14:$C$18)),0)=MAX($C99:$L99),_xlfn.MINIFS($C99:$L99,$C99:$L99,"&gt;0")*_xlfn.XLOOKUP($G97,$B$14:$B$18,$D$14:$D$18),IFERROR(OFFSET(K99,0,_xlfn.XLOOKUP($G97,$B$14:$B$18,$C$14:$C$18))*_xlfn.XLOOKUP($G97,$B$14:$B$18,$D$14:$D$18),0)),IFERROR(OFFSET(K99,0,_xlfn.XLOOKUP($G97,$B$14:$B$18,$E$14:$E$18))*_xlfn.XLOOKUP($G97,$B$14:$B$18,$F$14:$F$18),0),I102)))</f>
        <v>12</v>
      </c>
      <c r="L102" s="198">
        <f t="shared" ref="L102" ca="1" si="320">IF($I97="N",L99,IF($G97="1. In Flight",1,$G$14)*MIN(MAX($C99:$L99)*_xlfn.XLOOKUP($G97,$B$14:$B$18,$F$14:$F$18),MAX(IF(IFERROR(OFFSET(L99,0,_xlfn.XLOOKUP($G97,$B$14:$B$18,$C$14:$C$18)),0)=MAX($C99:$L99),_xlfn.MINIFS($C99:$L99,$C99:$L99,"&gt;0")*_xlfn.XLOOKUP($G97,$B$14:$B$18,$D$14:$D$18),IFERROR(OFFSET(L99,0,_xlfn.XLOOKUP($G97,$B$14:$B$18,$C$14:$C$18))*_xlfn.XLOOKUP($G97,$B$14:$B$18,$D$14:$D$18),0)),IFERROR(OFFSET(L99,0,_xlfn.XLOOKUP($G97,$B$14:$B$18,$E$14:$E$18))*_xlfn.XLOOKUP($G97,$B$14:$B$18,$F$14:$F$18),0),J102)))</f>
        <v>12</v>
      </c>
      <c r="M102" s="9"/>
      <c r="N102" s="9"/>
    </row>
    <row r="103" spans="1:14" ht="15" thickTop="1"/>
    <row r="104" spans="1:14" ht="15" thickBot="1">
      <c r="A104" s="231">
        <f>_xlfn.XLOOKUP(F104,FEED!D:D,FEED!E:E,FALSE)</f>
        <v>0</v>
      </c>
      <c r="B104" s="232"/>
      <c r="C104" s="188" t="s">
        <v>110</v>
      </c>
      <c r="D104" s="189"/>
      <c r="E104" s="189"/>
      <c r="F104" s="189" t="s">
        <v>46</v>
      </c>
      <c r="G104" s="189" t="str">
        <f>IFERROR(_xlfn.XLOOKUP(F104,FEED!$D:$D,FEED!$S:$S),$B$8)</f>
        <v>1. In Flight</v>
      </c>
      <c r="H104" s="189" t="str">
        <f>IFERROR(_xlfn.XLOOKUP(F104,FEED!$D:$D,FEED!$Y:$Y),"Major Load")</f>
        <v>Major Load</v>
      </c>
      <c r="I104" s="189" t="str">
        <f>IFERROR(_xlfn.XLOOKUP(F104,FEED!$D:$D,FEED!$C:$C),"N")</f>
        <v>Y</v>
      </c>
      <c r="J104" s="190"/>
      <c r="K104" s="190"/>
      <c r="L104" s="190"/>
    </row>
    <row r="105" spans="1:14" ht="15" thickBot="1">
      <c r="A105" s="191" t="str">
        <f>A98</f>
        <v>Uptake Scenario</v>
      </c>
      <c r="B105" s="192">
        <f>B98</f>
        <v>2023</v>
      </c>
      <c r="C105" s="192">
        <f t="shared" ref="C105:L105" si="321">C98</f>
        <v>2024</v>
      </c>
      <c r="D105" s="192">
        <f t="shared" si="321"/>
        <v>2025</v>
      </c>
      <c r="E105" s="192">
        <f t="shared" si="321"/>
        <v>2026</v>
      </c>
      <c r="F105" s="192">
        <f t="shared" si="321"/>
        <v>2027</v>
      </c>
      <c r="G105" s="192">
        <f t="shared" si="321"/>
        <v>2028</v>
      </c>
      <c r="H105" s="192">
        <f t="shared" si="321"/>
        <v>2029</v>
      </c>
      <c r="I105" s="192">
        <f t="shared" si="321"/>
        <v>2030</v>
      </c>
      <c r="J105" s="192">
        <f t="shared" si="321"/>
        <v>2031</v>
      </c>
      <c r="K105" s="192">
        <f t="shared" si="321"/>
        <v>2032</v>
      </c>
      <c r="L105" s="192">
        <f t="shared" si="321"/>
        <v>2033</v>
      </c>
    </row>
    <row r="106" spans="1:14" ht="15.6" thickTop="1" thickBot="1">
      <c r="A106" s="193" t="s">
        <v>111</v>
      </c>
      <c r="B106" s="194">
        <v>0</v>
      </c>
      <c r="C106" s="194">
        <f>SUMIF(FEED!$D:$D,$F104,FEED!F:F)+B106</f>
        <v>11</v>
      </c>
      <c r="D106" s="194">
        <f>SUMIF(FEED!$D:$D,$F104,FEED!G:G)+C106</f>
        <v>11</v>
      </c>
      <c r="E106" s="194">
        <f>SUMIF(FEED!$D:$D,$F104,FEED!H:H)+D106</f>
        <v>11</v>
      </c>
      <c r="F106" s="194">
        <f>SUMIF(FEED!$D:$D,$F104,FEED!I:I)+E106</f>
        <v>11</v>
      </c>
      <c r="G106" s="194">
        <f>SUMIF(FEED!$D:$D,$F104,FEED!J:J)+F106</f>
        <v>11</v>
      </c>
      <c r="H106" s="194">
        <f>SUMIF(FEED!$D:$D,$F104,FEED!K:K)+G106</f>
        <v>11</v>
      </c>
      <c r="I106" s="194">
        <f>SUMIF(FEED!$D:$D,$F104,FEED!L:L)+H106</f>
        <v>11</v>
      </c>
      <c r="J106" s="194">
        <f>SUMIF(FEED!$D:$D,$F104,FEED!M:M)+I106</f>
        <v>11</v>
      </c>
      <c r="K106" s="194">
        <f>SUMIF(FEED!$D:$D,$F104,FEED!N:N)+J106</f>
        <v>11</v>
      </c>
      <c r="L106" s="194">
        <f>SUMIF(FEED!$D:$D,$F104,FEED!O:O)+K106</f>
        <v>11</v>
      </c>
    </row>
    <row r="107" spans="1:14" ht="15" thickBot="1">
      <c r="A107" s="195" t="s">
        <v>107</v>
      </c>
      <c r="B107" s="196">
        <f>B106</f>
        <v>0</v>
      </c>
      <c r="C107" s="196">
        <f ca="1">IF($I104="N",C106,IF($G104="1. In Flight",1,$G$4)*MIN(MAX($C106:$L106)*_xlfn.XLOOKUP($G104,$B$4:$B$8,$F$4:$F$8),MAX(IF(IFERROR(OFFSET(C106,0,_xlfn.XLOOKUP($G104,$B$4:$B$8,$C$4:$C$8)),0)=MAX($C106:$L106),_xlfn.MINIFS($C106:$L106,$C106:$L106,"&gt;0")*_xlfn.XLOOKUP($G104,$B$4:$B$8,$D$4:$D$8),IFERROR(OFFSET(C106,0,_xlfn.XLOOKUP($G104,$B$4:$B$8,$C$4:$C$8))*_xlfn.XLOOKUP($G104,$B$4:$B$8,$D$4:$D$8),0)),IFERROR(OFFSET(C106,0,_xlfn.XLOOKUP($G104,$B$4:$B$8,$E$4:$E$8))*_xlfn.XLOOKUP($G104,$B$4:$B$8,$F$4:$F$8),0),A107)))</f>
        <v>0</v>
      </c>
      <c r="D107" s="196">
        <f t="shared" ref="D107" ca="1" si="322">IF($I104="N",D106,IF($G104="1. In Flight",1,$G$4)*MIN(MAX($C106:$L106)*_xlfn.XLOOKUP($G104,$B$4:$B$8,$F$4:$F$8),MAX(IF(IFERROR(OFFSET(D106,0,_xlfn.XLOOKUP($G104,$B$4:$B$8,$C$4:$C$8)),0)=MAX($C106:$L106),_xlfn.MINIFS($C106:$L106,$C106:$L106,"&gt;0")*_xlfn.XLOOKUP($G104,$B$4:$B$8,$D$4:$D$8),IFERROR(OFFSET(D106,0,_xlfn.XLOOKUP($G104,$B$4:$B$8,$C$4:$C$8))*_xlfn.XLOOKUP($G104,$B$4:$B$8,$D$4:$D$8),0)),IFERROR(OFFSET(D106,0,_xlfn.XLOOKUP($G104,$B$4:$B$8,$E$4:$E$8))*_xlfn.XLOOKUP($G104,$B$4:$B$8,$F$4:$F$8),0),B107)))</f>
        <v>7.6999999999999993</v>
      </c>
      <c r="E107" s="196">
        <f t="shared" ref="E107" ca="1" si="323">IF($I104="N",E106,IF($G104="1. In Flight",1,$G$4)*MIN(MAX($C106:$L106)*_xlfn.XLOOKUP($G104,$B$4:$B$8,$F$4:$F$8),MAX(IF(IFERROR(OFFSET(E106,0,_xlfn.XLOOKUP($G104,$B$4:$B$8,$C$4:$C$8)),0)=MAX($C106:$L106),_xlfn.MINIFS($C106:$L106,$C106:$L106,"&gt;0")*_xlfn.XLOOKUP($G104,$B$4:$B$8,$D$4:$D$8),IFERROR(OFFSET(E106,0,_xlfn.XLOOKUP($G104,$B$4:$B$8,$C$4:$C$8))*_xlfn.XLOOKUP($G104,$B$4:$B$8,$D$4:$D$8),0)),IFERROR(OFFSET(E106,0,_xlfn.XLOOKUP($G104,$B$4:$B$8,$E$4:$E$8))*_xlfn.XLOOKUP($G104,$B$4:$B$8,$F$4:$F$8),0),C107)))</f>
        <v>7.6999999999999993</v>
      </c>
      <c r="F107" s="196">
        <f t="shared" ref="F107" ca="1" si="324">IF($I104="N",F106,IF($G104="1. In Flight",1,$G$4)*MIN(MAX($C106:$L106)*_xlfn.XLOOKUP($G104,$B$4:$B$8,$F$4:$F$8),MAX(IF(IFERROR(OFFSET(F106,0,_xlfn.XLOOKUP($G104,$B$4:$B$8,$C$4:$C$8)),0)=MAX($C106:$L106),_xlfn.MINIFS($C106:$L106,$C106:$L106,"&gt;0")*_xlfn.XLOOKUP($G104,$B$4:$B$8,$D$4:$D$8),IFERROR(OFFSET(F106,0,_xlfn.XLOOKUP($G104,$B$4:$B$8,$C$4:$C$8))*_xlfn.XLOOKUP($G104,$B$4:$B$8,$D$4:$D$8),0)),IFERROR(OFFSET(F106,0,_xlfn.XLOOKUP($G104,$B$4:$B$8,$E$4:$E$8))*_xlfn.XLOOKUP($G104,$B$4:$B$8,$F$4:$F$8),0),D107)))</f>
        <v>7.6999999999999993</v>
      </c>
      <c r="G107" s="196">
        <f t="shared" ref="G107" ca="1" si="325">IF($I104="N",G106,IF($G104="1. In Flight",1,$G$4)*MIN(MAX($C106:$L106)*_xlfn.XLOOKUP($G104,$B$4:$B$8,$F$4:$F$8),MAX(IF(IFERROR(OFFSET(G106,0,_xlfn.XLOOKUP($G104,$B$4:$B$8,$C$4:$C$8)),0)=MAX($C106:$L106),_xlfn.MINIFS($C106:$L106,$C106:$L106,"&gt;0")*_xlfn.XLOOKUP($G104,$B$4:$B$8,$D$4:$D$8),IFERROR(OFFSET(G106,0,_xlfn.XLOOKUP($G104,$B$4:$B$8,$C$4:$C$8))*_xlfn.XLOOKUP($G104,$B$4:$B$8,$D$4:$D$8),0)),IFERROR(OFFSET(G106,0,_xlfn.XLOOKUP($G104,$B$4:$B$8,$E$4:$E$8))*_xlfn.XLOOKUP($G104,$B$4:$B$8,$F$4:$F$8),0),E107)))</f>
        <v>7.6999999999999993</v>
      </c>
      <c r="H107" s="196">
        <f t="shared" ref="H107" ca="1" si="326">IF($I104="N",H106,IF($G104="1. In Flight",1,$G$4)*MIN(MAX($C106:$L106)*_xlfn.XLOOKUP($G104,$B$4:$B$8,$F$4:$F$8),MAX(IF(IFERROR(OFFSET(H106,0,_xlfn.XLOOKUP($G104,$B$4:$B$8,$C$4:$C$8)),0)=MAX($C106:$L106),_xlfn.MINIFS($C106:$L106,$C106:$L106,"&gt;0")*_xlfn.XLOOKUP($G104,$B$4:$B$8,$D$4:$D$8),IFERROR(OFFSET(H106,0,_xlfn.XLOOKUP($G104,$B$4:$B$8,$C$4:$C$8))*_xlfn.XLOOKUP($G104,$B$4:$B$8,$D$4:$D$8),0)),IFERROR(OFFSET(H106,0,_xlfn.XLOOKUP($G104,$B$4:$B$8,$E$4:$E$8))*_xlfn.XLOOKUP($G104,$B$4:$B$8,$F$4:$F$8),0),F107)))</f>
        <v>7.6999999999999993</v>
      </c>
      <c r="I107" s="196">
        <f t="shared" ref="I107" ca="1" si="327">IF($I104="N",I106,IF($G104="1. In Flight",1,$G$4)*MIN(MAX($C106:$L106)*_xlfn.XLOOKUP($G104,$B$4:$B$8,$F$4:$F$8),MAX(IF(IFERROR(OFFSET(I106,0,_xlfn.XLOOKUP($G104,$B$4:$B$8,$C$4:$C$8)),0)=MAX($C106:$L106),_xlfn.MINIFS($C106:$L106,$C106:$L106,"&gt;0")*_xlfn.XLOOKUP($G104,$B$4:$B$8,$D$4:$D$8),IFERROR(OFFSET(I106,0,_xlfn.XLOOKUP($G104,$B$4:$B$8,$C$4:$C$8))*_xlfn.XLOOKUP($G104,$B$4:$B$8,$D$4:$D$8),0)),IFERROR(OFFSET(I106,0,_xlfn.XLOOKUP($G104,$B$4:$B$8,$E$4:$E$8))*_xlfn.XLOOKUP($G104,$B$4:$B$8,$F$4:$F$8),0),G107)))</f>
        <v>7.6999999999999993</v>
      </c>
      <c r="J107" s="196">
        <f t="shared" ref="J107" ca="1" si="328">IF($I104="N",J106,IF($G104="1. In Flight",1,$G$4)*MIN(MAX($C106:$L106)*_xlfn.XLOOKUP($G104,$B$4:$B$8,$F$4:$F$8),MAX(IF(IFERROR(OFFSET(J106,0,_xlfn.XLOOKUP($G104,$B$4:$B$8,$C$4:$C$8)),0)=MAX($C106:$L106),_xlfn.MINIFS($C106:$L106,$C106:$L106,"&gt;0")*_xlfn.XLOOKUP($G104,$B$4:$B$8,$D$4:$D$8),IFERROR(OFFSET(J106,0,_xlfn.XLOOKUP($G104,$B$4:$B$8,$C$4:$C$8))*_xlfn.XLOOKUP($G104,$B$4:$B$8,$D$4:$D$8),0)),IFERROR(OFFSET(J106,0,_xlfn.XLOOKUP($G104,$B$4:$B$8,$E$4:$E$8))*_xlfn.XLOOKUP($G104,$B$4:$B$8,$F$4:$F$8),0),H107)))</f>
        <v>7.6999999999999993</v>
      </c>
      <c r="K107" s="196">
        <f t="shared" ref="K107" ca="1" si="329">IF($I104="N",K106,IF($G104="1. In Flight",1,$G$4)*MIN(MAX($C106:$L106)*_xlfn.XLOOKUP($G104,$B$4:$B$8,$F$4:$F$8),MAX(IF(IFERROR(OFFSET(K106,0,_xlfn.XLOOKUP($G104,$B$4:$B$8,$C$4:$C$8)),0)=MAX($C106:$L106),_xlfn.MINIFS($C106:$L106,$C106:$L106,"&gt;0")*_xlfn.XLOOKUP($G104,$B$4:$B$8,$D$4:$D$8),IFERROR(OFFSET(K106,0,_xlfn.XLOOKUP($G104,$B$4:$B$8,$C$4:$C$8))*_xlfn.XLOOKUP($G104,$B$4:$B$8,$D$4:$D$8),0)),IFERROR(OFFSET(K106,0,_xlfn.XLOOKUP($G104,$B$4:$B$8,$E$4:$E$8))*_xlfn.XLOOKUP($G104,$B$4:$B$8,$F$4:$F$8),0),I107)))</f>
        <v>7.6999999999999993</v>
      </c>
      <c r="L107" s="196">
        <f t="shared" ref="L107" ca="1" si="330">IF($I104="N",L106,IF($G104="1. In Flight",1,$G$4)*MIN(MAX($C106:$L106)*_xlfn.XLOOKUP($G104,$B$4:$B$8,$F$4:$F$8),MAX(IF(IFERROR(OFFSET(L106,0,_xlfn.XLOOKUP($G104,$B$4:$B$8,$C$4:$C$8)),0)=MAX($C106:$L106),_xlfn.MINIFS($C106:$L106,$C106:$L106,"&gt;0")*_xlfn.XLOOKUP($G104,$B$4:$B$8,$D$4:$D$8),IFERROR(OFFSET(L106,0,_xlfn.XLOOKUP($G104,$B$4:$B$8,$C$4:$C$8))*_xlfn.XLOOKUP($G104,$B$4:$B$8,$D$4:$D$8),0)),IFERROR(OFFSET(L106,0,_xlfn.XLOOKUP($G104,$B$4:$B$8,$E$4:$E$8))*_xlfn.XLOOKUP($G104,$B$4:$B$8,$F$4:$F$8),0),J107)))</f>
        <v>7.6999999999999993</v>
      </c>
    </row>
    <row r="108" spans="1:14" ht="15" thickBot="1">
      <c r="A108" s="195" t="s">
        <v>108</v>
      </c>
      <c r="B108" s="196">
        <f>B106</f>
        <v>0</v>
      </c>
      <c r="C108" s="196">
        <f ca="1">IF($I104="N",C106,IF($G104="1. In Flight",1,$G$9)*MIN(MAX($C106:$L106)*_xlfn.XLOOKUP($G104,$B$9:$B$13,$F$9:$F$13),MAX(IF(IFERROR(OFFSET(C106,0,_xlfn.XLOOKUP($G104,$B$9:$B$13,$C$9:$C$13)),0)=MAX($C106:$L106),_xlfn.MINIFS($C106:$L106,$C106:$L106,"&gt;0")*_xlfn.XLOOKUP($G104,$B$9:$B$13,$D$9:$D$13),IFERROR(OFFSET(C106,0,_xlfn.XLOOKUP($G104,$B$9:$B$13,$C$9:$C$13))*_xlfn.XLOOKUP($G104,$B$9:$B$13,$D$9:$D$13),0)),IFERROR(OFFSET(C106,0,_xlfn.XLOOKUP($G104,$B$9:$B$13,$E$9:$E$13))*_xlfn.XLOOKUP($G104,$B$9:$B$13,$F$9:$F$13),0),A108)))</f>
        <v>0</v>
      </c>
      <c r="D108" s="196">
        <f t="shared" ref="D108" ca="1" si="331">IF($I104="N",D106,IF($G104="1. In Flight",1,$G$9)*MIN(MAX($C106:$L106)*_xlfn.XLOOKUP($G104,$B$9:$B$13,$F$9:$F$13),MAX(IF(IFERROR(OFFSET(D106,0,_xlfn.XLOOKUP($G104,$B$9:$B$13,$C$9:$C$13)),0)=MAX($C106:$L106),_xlfn.MINIFS($C106:$L106,$C106:$L106,"&gt;0")*_xlfn.XLOOKUP($G104,$B$9:$B$13,$D$9:$D$13),IFERROR(OFFSET(D106,0,_xlfn.XLOOKUP($G104,$B$9:$B$13,$C$9:$C$13))*_xlfn.XLOOKUP($G104,$B$9:$B$13,$D$9:$D$13),0)),IFERROR(OFFSET(D106,0,_xlfn.XLOOKUP($G104,$B$9:$B$13,$E$9:$E$13))*_xlfn.XLOOKUP($G104,$B$9:$B$13,$F$9:$F$13),0),B108)))</f>
        <v>0</v>
      </c>
      <c r="E108" s="196">
        <f t="shared" ref="E108" ca="1" si="332">IF($I104="N",E106,IF($G104="1. In Flight",1,$G$9)*MIN(MAX($C106:$L106)*_xlfn.XLOOKUP($G104,$B$9:$B$13,$F$9:$F$13),MAX(IF(IFERROR(OFFSET(E106,0,_xlfn.XLOOKUP($G104,$B$9:$B$13,$C$9:$C$13)),0)=MAX($C106:$L106),_xlfn.MINIFS($C106:$L106,$C106:$L106,"&gt;0")*_xlfn.XLOOKUP($G104,$B$9:$B$13,$D$9:$D$13),IFERROR(OFFSET(E106,0,_xlfn.XLOOKUP($G104,$B$9:$B$13,$C$9:$C$13))*_xlfn.XLOOKUP($G104,$B$9:$B$13,$D$9:$D$13),0)),IFERROR(OFFSET(E106,0,_xlfn.XLOOKUP($G104,$B$9:$B$13,$E$9:$E$13))*_xlfn.XLOOKUP($G104,$B$9:$B$13,$F$9:$F$13),0),C108)))</f>
        <v>6.6</v>
      </c>
      <c r="F108" s="196">
        <f t="shared" ref="F108" ca="1" si="333">IF($I104="N",F106,IF($G104="1. In Flight",1,$G$9)*MIN(MAX($C106:$L106)*_xlfn.XLOOKUP($G104,$B$9:$B$13,$F$9:$F$13),MAX(IF(IFERROR(OFFSET(F106,0,_xlfn.XLOOKUP($G104,$B$9:$B$13,$C$9:$C$13)),0)=MAX($C106:$L106),_xlfn.MINIFS($C106:$L106,$C106:$L106,"&gt;0")*_xlfn.XLOOKUP($G104,$B$9:$B$13,$D$9:$D$13),IFERROR(OFFSET(F106,0,_xlfn.XLOOKUP($G104,$B$9:$B$13,$C$9:$C$13))*_xlfn.XLOOKUP($G104,$B$9:$B$13,$D$9:$D$13),0)),IFERROR(OFFSET(F106,0,_xlfn.XLOOKUP($G104,$B$9:$B$13,$E$9:$E$13))*_xlfn.XLOOKUP($G104,$B$9:$B$13,$F$9:$F$13),0),D108)))</f>
        <v>6.6</v>
      </c>
      <c r="G108" s="196">
        <f t="shared" ref="G108" ca="1" si="334">IF($I104="N",G106,IF($G104="1. In Flight",1,$G$9)*MIN(MAX($C106:$L106)*_xlfn.XLOOKUP($G104,$B$9:$B$13,$F$9:$F$13),MAX(IF(IFERROR(OFFSET(G106,0,_xlfn.XLOOKUP($G104,$B$9:$B$13,$C$9:$C$13)),0)=MAX($C106:$L106),_xlfn.MINIFS($C106:$L106,$C106:$L106,"&gt;0")*_xlfn.XLOOKUP($G104,$B$9:$B$13,$D$9:$D$13),IFERROR(OFFSET(G106,0,_xlfn.XLOOKUP($G104,$B$9:$B$13,$C$9:$C$13))*_xlfn.XLOOKUP($G104,$B$9:$B$13,$D$9:$D$13),0)),IFERROR(OFFSET(G106,0,_xlfn.XLOOKUP($G104,$B$9:$B$13,$E$9:$E$13))*_xlfn.XLOOKUP($G104,$B$9:$B$13,$F$9:$F$13),0),E108)))</f>
        <v>6.6</v>
      </c>
      <c r="H108" s="196">
        <f t="shared" ref="H108" ca="1" si="335">IF($I104="N",H106,IF($G104="1. In Flight",1,$G$9)*MIN(MAX($C106:$L106)*_xlfn.XLOOKUP($G104,$B$9:$B$13,$F$9:$F$13),MAX(IF(IFERROR(OFFSET(H106,0,_xlfn.XLOOKUP($G104,$B$9:$B$13,$C$9:$C$13)),0)=MAX($C106:$L106),_xlfn.MINIFS($C106:$L106,$C106:$L106,"&gt;0")*_xlfn.XLOOKUP($G104,$B$9:$B$13,$D$9:$D$13),IFERROR(OFFSET(H106,0,_xlfn.XLOOKUP($G104,$B$9:$B$13,$C$9:$C$13))*_xlfn.XLOOKUP($G104,$B$9:$B$13,$D$9:$D$13),0)),IFERROR(OFFSET(H106,0,_xlfn.XLOOKUP($G104,$B$9:$B$13,$E$9:$E$13))*_xlfn.XLOOKUP($G104,$B$9:$B$13,$F$9:$F$13),0),F108)))</f>
        <v>6.6</v>
      </c>
      <c r="I108" s="196">
        <f t="shared" ref="I108" ca="1" si="336">IF($I104="N",I106,IF($G104="1. In Flight",1,$G$9)*MIN(MAX($C106:$L106)*_xlfn.XLOOKUP($G104,$B$9:$B$13,$F$9:$F$13),MAX(IF(IFERROR(OFFSET(I106,0,_xlfn.XLOOKUP($G104,$B$9:$B$13,$C$9:$C$13)),0)=MAX($C106:$L106),_xlfn.MINIFS($C106:$L106,$C106:$L106,"&gt;0")*_xlfn.XLOOKUP($G104,$B$9:$B$13,$D$9:$D$13),IFERROR(OFFSET(I106,0,_xlfn.XLOOKUP($G104,$B$9:$B$13,$C$9:$C$13))*_xlfn.XLOOKUP($G104,$B$9:$B$13,$D$9:$D$13),0)),IFERROR(OFFSET(I106,0,_xlfn.XLOOKUP($G104,$B$9:$B$13,$E$9:$E$13))*_xlfn.XLOOKUP($G104,$B$9:$B$13,$F$9:$F$13),0),G108)))</f>
        <v>6.6</v>
      </c>
      <c r="J108" s="196">
        <f t="shared" ref="J108" ca="1" si="337">IF($I104="N",J106,IF($G104="1. In Flight",1,$G$9)*MIN(MAX($C106:$L106)*_xlfn.XLOOKUP($G104,$B$9:$B$13,$F$9:$F$13),MAX(IF(IFERROR(OFFSET(J106,0,_xlfn.XLOOKUP($G104,$B$9:$B$13,$C$9:$C$13)),0)=MAX($C106:$L106),_xlfn.MINIFS($C106:$L106,$C106:$L106,"&gt;0")*_xlfn.XLOOKUP($G104,$B$9:$B$13,$D$9:$D$13),IFERROR(OFFSET(J106,0,_xlfn.XLOOKUP($G104,$B$9:$B$13,$C$9:$C$13))*_xlfn.XLOOKUP($G104,$B$9:$B$13,$D$9:$D$13),0)),IFERROR(OFFSET(J106,0,_xlfn.XLOOKUP($G104,$B$9:$B$13,$E$9:$E$13))*_xlfn.XLOOKUP($G104,$B$9:$B$13,$F$9:$F$13),0),H108)))</f>
        <v>6.6</v>
      </c>
      <c r="K108" s="196">
        <f t="shared" ref="K108" ca="1" si="338">IF($I104="N",K106,IF($G104="1. In Flight",1,$G$9)*MIN(MAX($C106:$L106)*_xlfn.XLOOKUP($G104,$B$9:$B$13,$F$9:$F$13),MAX(IF(IFERROR(OFFSET(K106,0,_xlfn.XLOOKUP($G104,$B$9:$B$13,$C$9:$C$13)),0)=MAX($C106:$L106),_xlfn.MINIFS($C106:$L106,$C106:$L106,"&gt;0")*_xlfn.XLOOKUP($G104,$B$9:$B$13,$D$9:$D$13),IFERROR(OFFSET(K106,0,_xlfn.XLOOKUP($G104,$B$9:$B$13,$C$9:$C$13))*_xlfn.XLOOKUP($G104,$B$9:$B$13,$D$9:$D$13),0)),IFERROR(OFFSET(K106,0,_xlfn.XLOOKUP($G104,$B$9:$B$13,$E$9:$E$13))*_xlfn.XLOOKUP($G104,$B$9:$B$13,$F$9:$F$13),0),I108)))</f>
        <v>6.6</v>
      </c>
      <c r="L108" s="196">
        <f t="shared" ref="L108" ca="1" si="339">IF($I104="N",L106,IF($G104="1. In Flight",1,$G$9)*MIN(MAX($C106:$L106)*_xlfn.XLOOKUP($G104,$B$9:$B$13,$F$9:$F$13),MAX(IF(IFERROR(OFFSET(L106,0,_xlfn.XLOOKUP($G104,$B$9:$B$13,$C$9:$C$13)),0)=MAX($C106:$L106),_xlfn.MINIFS($C106:$L106,$C106:$L106,"&gt;0")*_xlfn.XLOOKUP($G104,$B$9:$B$13,$D$9:$D$13),IFERROR(OFFSET(L106,0,_xlfn.XLOOKUP($G104,$B$9:$B$13,$C$9:$C$13))*_xlfn.XLOOKUP($G104,$B$9:$B$13,$D$9:$D$13),0)),IFERROR(OFFSET(L106,0,_xlfn.XLOOKUP($G104,$B$9:$B$13,$E$9:$E$13))*_xlfn.XLOOKUP($G104,$B$9:$B$13,$F$9:$F$13),0),J108)))</f>
        <v>6.6</v>
      </c>
    </row>
    <row r="109" spans="1:14" ht="15" thickBot="1">
      <c r="A109" s="197" t="s">
        <v>109</v>
      </c>
      <c r="B109" s="198">
        <f>B106</f>
        <v>0</v>
      </c>
      <c r="C109" s="198">
        <f ca="1">IF($I104="N",C106,IF($G104="1. In Flight",1,$G$14)*MIN(MAX($C106:$L106)*_xlfn.XLOOKUP($G104,$B$14:$B$18,$F$14:$F$18),MAX(IF(IFERROR(OFFSET(C106,0,_xlfn.XLOOKUP($G104,$B$14:$B$18,$C$14:$C$18)),0)=MAX($C106:$L106),_xlfn.MINIFS($C106:$L106,$C106:$L106,"&gt;0")*_xlfn.XLOOKUP($G104,$B$14:$B$18,$D$14:$D$18),IFERROR(OFFSET(C106,0,_xlfn.XLOOKUP($G104,$B$14:$B$18,$C$14:$C$18))*_xlfn.XLOOKUP($G104,$B$14:$B$18,$D$14:$D$18),0)),IFERROR(OFFSET(C106,0,_xlfn.XLOOKUP($G104,$B$14:$B$18,$E$14:$E$18))*_xlfn.XLOOKUP($G104,$B$14:$B$18,$F$14:$F$18),0),A109)))</f>
        <v>11</v>
      </c>
      <c r="D109" s="198">
        <f t="shared" ref="D109" ca="1" si="340">IF($I104="N",D106,IF($G104="1. In Flight",1,$G$14)*MIN(MAX($C106:$L106)*_xlfn.XLOOKUP($G104,$B$14:$B$18,$F$14:$F$18),MAX(IF(IFERROR(OFFSET(D106,0,_xlfn.XLOOKUP($G104,$B$14:$B$18,$C$14:$C$18)),0)=MAX($C106:$L106),_xlfn.MINIFS($C106:$L106,$C106:$L106,"&gt;0")*_xlfn.XLOOKUP($G104,$B$14:$B$18,$D$14:$D$18),IFERROR(OFFSET(D106,0,_xlfn.XLOOKUP($G104,$B$14:$B$18,$C$14:$C$18))*_xlfn.XLOOKUP($G104,$B$14:$B$18,$D$14:$D$18),0)),IFERROR(OFFSET(D106,0,_xlfn.XLOOKUP($G104,$B$14:$B$18,$E$14:$E$18))*_xlfn.XLOOKUP($G104,$B$14:$B$18,$F$14:$F$18),0),B109)))</f>
        <v>11</v>
      </c>
      <c r="E109" s="198">
        <f t="shared" ref="E109" ca="1" si="341">IF($I104="N",E106,IF($G104="1. In Flight",1,$G$14)*MIN(MAX($C106:$L106)*_xlfn.XLOOKUP($G104,$B$14:$B$18,$F$14:$F$18),MAX(IF(IFERROR(OFFSET(E106,0,_xlfn.XLOOKUP($G104,$B$14:$B$18,$C$14:$C$18)),0)=MAX($C106:$L106),_xlfn.MINIFS($C106:$L106,$C106:$L106,"&gt;0")*_xlfn.XLOOKUP($G104,$B$14:$B$18,$D$14:$D$18),IFERROR(OFFSET(E106,0,_xlfn.XLOOKUP($G104,$B$14:$B$18,$C$14:$C$18))*_xlfn.XLOOKUP($G104,$B$14:$B$18,$D$14:$D$18),0)),IFERROR(OFFSET(E106,0,_xlfn.XLOOKUP($G104,$B$14:$B$18,$E$14:$E$18))*_xlfn.XLOOKUP($G104,$B$14:$B$18,$F$14:$F$18),0),C109)))</f>
        <v>11</v>
      </c>
      <c r="F109" s="198">
        <f t="shared" ref="F109" ca="1" si="342">IF($I104="N",F106,IF($G104="1. In Flight",1,$G$14)*MIN(MAX($C106:$L106)*_xlfn.XLOOKUP($G104,$B$14:$B$18,$F$14:$F$18),MAX(IF(IFERROR(OFFSET(F106,0,_xlfn.XLOOKUP($G104,$B$14:$B$18,$C$14:$C$18)),0)=MAX($C106:$L106),_xlfn.MINIFS($C106:$L106,$C106:$L106,"&gt;0")*_xlfn.XLOOKUP($G104,$B$14:$B$18,$D$14:$D$18),IFERROR(OFFSET(F106,0,_xlfn.XLOOKUP($G104,$B$14:$B$18,$C$14:$C$18))*_xlfn.XLOOKUP($G104,$B$14:$B$18,$D$14:$D$18),0)),IFERROR(OFFSET(F106,0,_xlfn.XLOOKUP($G104,$B$14:$B$18,$E$14:$E$18))*_xlfn.XLOOKUP($G104,$B$14:$B$18,$F$14:$F$18),0),D109)))</f>
        <v>11</v>
      </c>
      <c r="G109" s="198">
        <f t="shared" ref="G109" ca="1" si="343">IF($I104="N",G106,IF($G104="1. In Flight",1,$G$14)*MIN(MAX($C106:$L106)*_xlfn.XLOOKUP($G104,$B$14:$B$18,$F$14:$F$18),MAX(IF(IFERROR(OFFSET(G106,0,_xlfn.XLOOKUP($G104,$B$14:$B$18,$C$14:$C$18)),0)=MAX($C106:$L106),_xlfn.MINIFS($C106:$L106,$C106:$L106,"&gt;0")*_xlfn.XLOOKUP($G104,$B$14:$B$18,$D$14:$D$18),IFERROR(OFFSET(G106,0,_xlfn.XLOOKUP($G104,$B$14:$B$18,$C$14:$C$18))*_xlfn.XLOOKUP($G104,$B$14:$B$18,$D$14:$D$18),0)),IFERROR(OFFSET(G106,0,_xlfn.XLOOKUP($G104,$B$14:$B$18,$E$14:$E$18))*_xlfn.XLOOKUP($G104,$B$14:$B$18,$F$14:$F$18),0),E109)))</f>
        <v>11</v>
      </c>
      <c r="H109" s="198">
        <f t="shared" ref="H109" ca="1" si="344">IF($I104="N",H106,IF($G104="1. In Flight",1,$G$14)*MIN(MAX($C106:$L106)*_xlfn.XLOOKUP($G104,$B$14:$B$18,$F$14:$F$18),MAX(IF(IFERROR(OFFSET(H106,0,_xlfn.XLOOKUP($G104,$B$14:$B$18,$C$14:$C$18)),0)=MAX($C106:$L106),_xlfn.MINIFS($C106:$L106,$C106:$L106,"&gt;0")*_xlfn.XLOOKUP($G104,$B$14:$B$18,$D$14:$D$18),IFERROR(OFFSET(H106,0,_xlfn.XLOOKUP($G104,$B$14:$B$18,$C$14:$C$18))*_xlfn.XLOOKUP($G104,$B$14:$B$18,$D$14:$D$18),0)),IFERROR(OFFSET(H106,0,_xlfn.XLOOKUP($G104,$B$14:$B$18,$E$14:$E$18))*_xlfn.XLOOKUP($G104,$B$14:$B$18,$F$14:$F$18),0),F109)))</f>
        <v>11</v>
      </c>
      <c r="I109" s="198">
        <f t="shared" ref="I109" ca="1" si="345">IF($I104="N",I106,IF($G104="1. In Flight",1,$G$14)*MIN(MAX($C106:$L106)*_xlfn.XLOOKUP($G104,$B$14:$B$18,$F$14:$F$18),MAX(IF(IFERROR(OFFSET(I106,0,_xlfn.XLOOKUP($G104,$B$14:$B$18,$C$14:$C$18)),0)=MAX($C106:$L106),_xlfn.MINIFS($C106:$L106,$C106:$L106,"&gt;0")*_xlfn.XLOOKUP($G104,$B$14:$B$18,$D$14:$D$18),IFERROR(OFFSET(I106,0,_xlfn.XLOOKUP($G104,$B$14:$B$18,$C$14:$C$18))*_xlfn.XLOOKUP($G104,$B$14:$B$18,$D$14:$D$18),0)),IFERROR(OFFSET(I106,0,_xlfn.XLOOKUP($G104,$B$14:$B$18,$E$14:$E$18))*_xlfn.XLOOKUP($G104,$B$14:$B$18,$F$14:$F$18),0),G109)))</f>
        <v>11</v>
      </c>
      <c r="J109" s="198">
        <f t="shared" ref="J109" ca="1" si="346">IF($I104="N",J106,IF($G104="1. In Flight",1,$G$14)*MIN(MAX($C106:$L106)*_xlfn.XLOOKUP($G104,$B$14:$B$18,$F$14:$F$18),MAX(IF(IFERROR(OFFSET(J106,0,_xlfn.XLOOKUP($G104,$B$14:$B$18,$C$14:$C$18)),0)=MAX($C106:$L106),_xlfn.MINIFS($C106:$L106,$C106:$L106,"&gt;0")*_xlfn.XLOOKUP($G104,$B$14:$B$18,$D$14:$D$18),IFERROR(OFFSET(J106,0,_xlfn.XLOOKUP($G104,$B$14:$B$18,$C$14:$C$18))*_xlfn.XLOOKUP($G104,$B$14:$B$18,$D$14:$D$18),0)),IFERROR(OFFSET(J106,0,_xlfn.XLOOKUP($G104,$B$14:$B$18,$E$14:$E$18))*_xlfn.XLOOKUP($G104,$B$14:$B$18,$F$14:$F$18),0),H109)))</f>
        <v>11</v>
      </c>
      <c r="K109" s="198">
        <f t="shared" ref="K109" ca="1" si="347">IF($I104="N",K106,IF($G104="1. In Flight",1,$G$14)*MIN(MAX($C106:$L106)*_xlfn.XLOOKUP($G104,$B$14:$B$18,$F$14:$F$18),MAX(IF(IFERROR(OFFSET(K106,0,_xlfn.XLOOKUP($G104,$B$14:$B$18,$C$14:$C$18)),0)=MAX($C106:$L106),_xlfn.MINIFS($C106:$L106,$C106:$L106,"&gt;0")*_xlfn.XLOOKUP($G104,$B$14:$B$18,$D$14:$D$18),IFERROR(OFFSET(K106,0,_xlfn.XLOOKUP($G104,$B$14:$B$18,$C$14:$C$18))*_xlfn.XLOOKUP($G104,$B$14:$B$18,$D$14:$D$18),0)),IFERROR(OFFSET(K106,0,_xlfn.XLOOKUP($G104,$B$14:$B$18,$E$14:$E$18))*_xlfn.XLOOKUP($G104,$B$14:$B$18,$F$14:$F$18),0),I109)))</f>
        <v>11</v>
      </c>
      <c r="L109" s="198">
        <f t="shared" ref="L109" ca="1" si="348">IF($I104="N",L106,IF($G104="1. In Flight",1,$G$14)*MIN(MAX($C106:$L106)*_xlfn.XLOOKUP($G104,$B$14:$B$18,$F$14:$F$18),MAX(IF(IFERROR(OFFSET(L106,0,_xlfn.XLOOKUP($G104,$B$14:$B$18,$C$14:$C$18)),0)=MAX($C106:$L106),_xlfn.MINIFS($C106:$L106,$C106:$L106,"&gt;0")*_xlfn.XLOOKUP($G104,$B$14:$B$18,$D$14:$D$18),IFERROR(OFFSET(L106,0,_xlfn.XLOOKUP($G104,$B$14:$B$18,$C$14:$C$18))*_xlfn.XLOOKUP($G104,$B$14:$B$18,$D$14:$D$18),0)),IFERROR(OFFSET(L106,0,_xlfn.XLOOKUP($G104,$B$14:$B$18,$E$14:$E$18))*_xlfn.XLOOKUP($G104,$B$14:$B$18,$F$14:$F$18),0),J109)))</f>
        <v>11</v>
      </c>
      <c r="M109" s="9"/>
      <c r="N109" s="9"/>
    </row>
    <row r="110" spans="1:14" ht="15" thickTop="1"/>
    <row r="111" spans="1:14" ht="15" thickBot="1">
      <c r="A111" s="231">
        <f>_xlfn.XLOOKUP(F111,FEED!D:D,FEED!E:E,FALSE)</f>
        <v>0</v>
      </c>
      <c r="B111" s="232"/>
      <c r="C111" s="188" t="s">
        <v>110</v>
      </c>
      <c r="D111" s="189"/>
      <c r="E111" s="189"/>
      <c r="F111" s="189" t="s">
        <v>83</v>
      </c>
      <c r="G111" s="189" t="str">
        <f>IFERROR(_xlfn.XLOOKUP(F111,FEED!$D:$D,FEED!$S:$S),$B$8)</f>
        <v>1. In Flight</v>
      </c>
      <c r="H111" s="189" t="str">
        <f>IFERROR(_xlfn.XLOOKUP(F111,FEED!$D:$D,FEED!$Y:$Y),"Major Load")</f>
        <v>Major Load</v>
      </c>
      <c r="I111" s="189" t="str">
        <f>IFERROR(_xlfn.XLOOKUP(F111,FEED!$D:$D,FEED!$C:$C),"N")</f>
        <v>Y</v>
      </c>
      <c r="J111" s="190"/>
      <c r="K111" s="190"/>
      <c r="L111" s="190"/>
    </row>
    <row r="112" spans="1:14" ht="15" thickBot="1">
      <c r="A112" s="191" t="str">
        <f>A105</f>
        <v>Uptake Scenario</v>
      </c>
      <c r="B112" s="192">
        <f>B105</f>
        <v>2023</v>
      </c>
      <c r="C112" s="192">
        <f t="shared" ref="C112:L112" si="349">C105</f>
        <v>2024</v>
      </c>
      <c r="D112" s="192">
        <f t="shared" si="349"/>
        <v>2025</v>
      </c>
      <c r="E112" s="192">
        <f t="shared" si="349"/>
        <v>2026</v>
      </c>
      <c r="F112" s="192">
        <f t="shared" si="349"/>
        <v>2027</v>
      </c>
      <c r="G112" s="192">
        <f t="shared" si="349"/>
        <v>2028</v>
      </c>
      <c r="H112" s="192">
        <f t="shared" si="349"/>
        <v>2029</v>
      </c>
      <c r="I112" s="192">
        <f t="shared" si="349"/>
        <v>2030</v>
      </c>
      <c r="J112" s="192">
        <f t="shared" si="349"/>
        <v>2031</v>
      </c>
      <c r="K112" s="192">
        <f t="shared" si="349"/>
        <v>2032</v>
      </c>
      <c r="L112" s="192">
        <f t="shared" si="349"/>
        <v>2033</v>
      </c>
    </row>
    <row r="113" spans="1:14" ht="15.6" thickTop="1" thickBot="1">
      <c r="A113" s="193" t="s">
        <v>111</v>
      </c>
      <c r="B113" s="194">
        <v>0</v>
      </c>
      <c r="C113" s="194">
        <f>SUMIF(FEED!$D:$D,$F111,FEED!F:F)+B113</f>
        <v>0</v>
      </c>
      <c r="D113" s="194">
        <f>SUMIF(FEED!$D:$D,$F111,FEED!G:G)+C113</f>
        <v>10</v>
      </c>
      <c r="E113" s="194">
        <f>SUMIF(FEED!$D:$D,$F111,FEED!H:H)+D113</f>
        <v>10</v>
      </c>
      <c r="F113" s="194">
        <f>SUMIF(FEED!$D:$D,$F111,FEED!I:I)+E113</f>
        <v>10</v>
      </c>
      <c r="G113" s="194">
        <f>SUMIF(FEED!$D:$D,$F111,FEED!J:J)+F113</f>
        <v>10</v>
      </c>
      <c r="H113" s="194">
        <f>SUMIF(FEED!$D:$D,$F111,FEED!K:K)+G113</f>
        <v>10</v>
      </c>
      <c r="I113" s="194">
        <f>SUMIF(FEED!$D:$D,$F111,FEED!L:L)+H113</f>
        <v>10</v>
      </c>
      <c r="J113" s="194">
        <f>SUMIF(FEED!$D:$D,$F111,FEED!M:M)+I113</f>
        <v>10</v>
      </c>
      <c r="K113" s="194">
        <f>SUMIF(FEED!$D:$D,$F111,FEED!N:N)+J113</f>
        <v>10</v>
      </c>
      <c r="L113" s="194">
        <f>SUMIF(FEED!$D:$D,$F111,FEED!O:O)+K113</f>
        <v>10</v>
      </c>
    </row>
    <row r="114" spans="1:14" ht="15" thickBot="1">
      <c r="A114" s="195" t="s">
        <v>107</v>
      </c>
      <c r="B114" s="196">
        <f>B113</f>
        <v>0</v>
      </c>
      <c r="C114" s="196">
        <f ca="1">IF($I111="N",C113,IF($G111="1. In Flight",1,$G$4)*MIN(MAX($C113:$L113)*_xlfn.XLOOKUP($G111,$B$4:$B$8,$F$4:$F$8),MAX(IF(IFERROR(OFFSET(C113,0,_xlfn.XLOOKUP($G111,$B$4:$B$8,$C$4:$C$8)),0)=MAX($C113:$L113),_xlfn.MINIFS($C113:$L113,$C113:$L113,"&gt;0")*_xlfn.XLOOKUP($G111,$B$4:$B$8,$D$4:$D$8),IFERROR(OFFSET(C113,0,_xlfn.XLOOKUP($G111,$B$4:$B$8,$C$4:$C$8))*_xlfn.XLOOKUP($G111,$B$4:$B$8,$D$4:$D$8),0)),IFERROR(OFFSET(C113,0,_xlfn.XLOOKUP($G111,$B$4:$B$8,$E$4:$E$8))*_xlfn.XLOOKUP($G111,$B$4:$B$8,$F$4:$F$8),0),A114)))</f>
        <v>0</v>
      </c>
      <c r="D114" s="196">
        <f t="shared" ref="D114" ca="1" si="350">IF($I111="N",D113,IF($G111="1. In Flight",1,$G$4)*MIN(MAX($C113:$L113)*_xlfn.XLOOKUP($G111,$B$4:$B$8,$F$4:$F$8),MAX(IF(IFERROR(OFFSET(D113,0,_xlfn.XLOOKUP($G111,$B$4:$B$8,$C$4:$C$8)),0)=MAX($C113:$L113),_xlfn.MINIFS($C113:$L113,$C113:$L113,"&gt;0")*_xlfn.XLOOKUP($G111,$B$4:$B$8,$D$4:$D$8),IFERROR(OFFSET(D113,0,_xlfn.XLOOKUP($G111,$B$4:$B$8,$C$4:$C$8))*_xlfn.XLOOKUP($G111,$B$4:$B$8,$D$4:$D$8),0)),IFERROR(OFFSET(D113,0,_xlfn.XLOOKUP($G111,$B$4:$B$8,$E$4:$E$8))*_xlfn.XLOOKUP($G111,$B$4:$B$8,$F$4:$F$8),0),B114)))</f>
        <v>0</v>
      </c>
      <c r="E114" s="196">
        <f t="shared" ref="E114" ca="1" si="351">IF($I111="N",E113,IF($G111="1. In Flight",1,$G$4)*MIN(MAX($C113:$L113)*_xlfn.XLOOKUP($G111,$B$4:$B$8,$F$4:$F$8),MAX(IF(IFERROR(OFFSET(E113,0,_xlfn.XLOOKUP($G111,$B$4:$B$8,$C$4:$C$8)),0)=MAX($C113:$L113),_xlfn.MINIFS($C113:$L113,$C113:$L113,"&gt;0")*_xlfn.XLOOKUP($G111,$B$4:$B$8,$D$4:$D$8),IFERROR(OFFSET(E113,0,_xlfn.XLOOKUP($G111,$B$4:$B$8,$C$4:$C$8))*_xlfn.XLOOKUP($G111,$B$4:$B$8,$D$4:$D$8),0)),IFERROR(OFFSET(E113,0,_xlfn.XLOOKUP($G111,$B$4:$B$8,$E$4:$E$8))*_xlfn.XLOOKUP($G111,$B$4:$B$8,$F$4:$F$8),0),C114)))</f>
        <v>7</v>
      </c>
      <c r="F114" s="196">
        <f t="shared" ref="F114" ca="1" si="352">IF($I111="N",F113,IF($G111="1. In Flight",1,$G$4)*MIN(MAX($C113:$L113)*_xlfn.XLOOKUP($G111,$B$4:$B$8,$F$4:$F$8),MAX(IF(IFERROR(OFFSET(F113,0,_xlfn.XLOOKUP($G111,$B$4:$B$8,$C$4:$C$8)),0)=MAX($C113:$L113),_xlfn.MINIFS($C113:$L113,$C113:$L113,"&gt;0")*_xlfn.XLOOKUP($G111,$B$4:$B$8,$D$4:$D$8),IFERROR(OFFSET(F113,0,_xlfn.XLOOKUP($G111,$B$4:$B$8,$C$4:$C$8))*_xlfn.XLOOKUP($G111,$B$4:$B$8,$D$4:$D$8),0)),IFERROR(OFFSET(F113,0,_xlfn.XLOOKUP($G111,$B$4:$B$8,$E$4:$E$8))*_xlfn.XLOOKUP($G111,$B$4:$B$8,$F$4:$F$8),0),D114)))</f>
        <v>7</v>
      </c>
      <c r="G114" s="196">
        <f t="shared" ref="G114" ca="1" si="353">IF($I111="N",G113,IF($G111="1. In Flight",1,$G$4)*MIN(MAX($C113:$L113)*_xlfn.XLOOKUP($G111,$B$4:$B$8,$F$4:$F$8),MAX(IF(IFERROR(OFFSET(G113,0,_xlfn.XLOOKUP($G111,$B$4:$B$8,$C$4:$C$8)),0)=MAX($C113:$L113),_xlfn.MINIFS($C113:$L113,$C113:$L113,"&gt;0")*_xlfn.XLOOKUP($G111,$B$4:$B$8,$D$4:$D$8),IFERROR(OFFSET(G113,0,_xlfn.XLOOKUP($G111,$B$4:$B$8,$C$4:$C$8))*_xlfn.XLOOKUP($G111,$B$4:$B$8,$D$4:$D$8),0)),IFERROR(OFFSET(G113,0,_xlfn.XLOOKUP($G111,$B$4:$B$8,$E$4:$E$8))*_xlfn.XLOOKUP($G111,$B$4:$B$8,$F$4:$F$8),0),E114)))</f>
        <v>7</v>
      </c>
      <c r="H114" s="196">
        <f t="shared" ref="H114" ca="1" si="354">IF($I111="N",H113,IF($G111="1. In Flight",1,$G$4)*MIN(MAX($C113:$L113)*_xlfn.XLOOKUP($G111,$B$4:$B$8,$F$4:$F$8),MAX(IF(IFERROR(OFFSET(H113,0,_xlfn.XLOOKUP($G111,$B$4:$B$8,$C$4:$C$8)),0)=MAX($C113:$L113),_xlfn.MINIFS($C113:$L113,$C113:$L113,"&gt;0")*_xlfn.XLOOKUP($G111,$B$4:$B$8,$D$4:$D$8),IFERROR(OFFSET(H113,0,_xlfn.XLOOKUP($G111,$B$4:$B$8,$C$4:$C$8))*_xlfn.XLOOKUP($G111,$B$4:$B$8,$D$4:$D$8),0)),IFERROR(OFFSET(H113,0,_xlfn.XLOOKUP($G111,$B$4:$B$8,$E$4:$E$8))*_xlfn.XLOOKUP($G111,$B$4:$B$8,$F$4:$F$8),0),F114)))</f>
        <v>7</v>
      </c>
      <c r="I114" s="196">
        <f t="shared" ref="I114" ca="1" si="355">IF($I111="N",I113,IF($G111="1. In Flight",1,$G$4)*MIN(MAX($C113:$L113)*_xlfn.XLOOKUP($G111,$B$4:$B$8,$F$4:$F$8),MAX(IF(IFERROR(OFFSET(I113,0,_xlfn.XLOOKUP($G111,$B$4:$B$8,$C$4:$C$8)),0)=MAX($C113:$L113),_xlfn.MINIFS($C113:$L113,$C113:$L113,"&gt;0")*_xlfn.XLOOKUP($G111,$B$4:$B$8,$D$4:$D$8),IFERROR(OFFSET(I113,0,_xlfn.XLOOKUP($G111,$B$4:$B$8,$C$4:$C$8))*_xlfn.XLOOKUP($G111,$B$4:$B$8,$D$4:$D$8),0)),IFERROR(OFFSET(I113,0,_xlfn.XLOOKUP($G111,$B$4:$B$8,$E$4:$E$8))*_xlfn.XLOOKUP($G111,$B$4:$B$8,$F$4:$F$8),0),G114)))</f>
        <v>7</v>
      </c>
      <c r="J114" s="196">
        <f t="shared" ref="J114" ca="1" si="356">IF($I111="N",J113,IF($G111="1. In Flight",1,$G$4)*MIN(MAX($C113:$L113)*_xlfn.XLOOKUP($G111,$B$4:$B$8,$F$4:$F$8),MAX(IF(IFERROR(OFFSET(J113,0,_xlfn.XLOOKUP($G111,$B$4:$B$8,$C$4:$C$8)),0)=MAX($C113:$L113),_xlfn.MINIFS($C113:$L113,$C113:$L113,"&gt;0")*_xlfn.XLOOKUP($G111,$B$4:$B$8,$D$4:$D$8),IFERROR(OFFSET(J113,0,_xlfn.XLOOKUP($G111,$B$4:$B$8,$C$4:$C$8))*_xlfn.XLOOKUP($G111,$B$4:$B$8,$D$4:$D$8),0)),IFERROR(OFFSET(J113,0,_xlfn.XLOOKUP($G111,$B$4:$B$8,$E$4:$E$8))*_xlfn.XLOOKUP($G111,$B$4:$B$8,$F$4:$F$8),0),H114)))</f>
        <v>7</v>
      </c>
      <c r="K114" s="196">
        <f t="shared" ref="K114" ca="1" si="357">IF($I111="N",K113,IF($G111="1. In Flight",1,$G$4)*MIN(MAX($C113:$L113)*_xlfn.XLOOKUP($G111,$B$4:$B$8,$F$4:$F$8),MAX(IF(IFERROR(OFFSET(K113,0,_xlfn.XLOOKUP($G111,$B$4:$B$8,$C$4:$C$8)),0)=MAX($C113:$L113),_xlfn.MINIFS($C113:$L113,$C113:$L113,"&gt;0")*_xlfn.XLOOKUP($G111,$B$4:$B$8,$D$4:$D$8),IFERROR(OFFSET(K113,0,_xlfn.XLOOKUP($G111,$B$4:$B$8,$C$4:$C$8))*_xlfn.XLOOKUP($G111,$B$4:$B$8,$D$4:$D$8),0)),IFERROR(OFFSET(K113,0,_xlfn.XLOOKUP($G111,$B$4:$B$8,$E$4:$E$8))*_xlfn.XLOOKUP($G111,$B$4:$B$8,$F$4:$F$8),0),I114)))</f>
        <v>7</v>
      </c>
      <c r="L114" s="196">
        <f t="shared" ref="L114" ca="1" si="358">IF($I111="N",L113,IF($G111="1. In Flight",1,$G$4)*MIN(MAX($C113:$L113)*_xlfn.XLOOKUP($G111,$B$4:$B$8,$F$4:$F$8),MAX(IF(IFERROR(OFFSET(L113,0,_xlfn.XLOOKUP($G111,$B$4:$B$8,$C$4:$C$8)),0)=MAX($C113:$L113),_xlfn.MINIFS($C113:$L113,$C113:$L113,"&gt;0")*_xlfn.XLOOKUP($G111,$B$4:$B$8,$D$4:$D$8),IFERROR(OFFSET(L113,0,_xlfn.XLOOKUP($G111,$B$4:$B$8,$C$4:$C$8))*_xlfn.XLOOKUP($G111,$B$4:$B$8,$D$4:$D$8),0)),IFERROR(OFFSET(L113,0,_xlfn.XLOOKUP($G111,$B$4:$B$8,$E$4:$E$8))*_xlfn.XLOOKUP($G111,$B$4:$B$8,$F$4:$F$8),0),J114)))</f>
        <v>7</v>
      </c>
    </row>
    <row r="115" spans="1:14" ht="15" thickBot="1">
      <c r="A115" s="195" t="s">
        <v>108</v>
      </c>
      <c r="B115" s="196">
        <f>B113</f>
        <v>0</v>
      </c>
      <c r="C115" s="196">
        <f ca="1">IF($I111="N",C113,IF($G111="1. In Flight",1,$G$9)*MIN(MAX($C113:$L113)*_xlfn.XLOOKUP($G111,$B$9:$B$13,$F$9:$F$13),MAX(IF(IFERROR(OFFSET(C113,0,_xlfn.XLOOKUP($G111,$B$9:$B$13,$C$9:$C$13)),0)=MAX($C113:$L113),_xlfn.MINIFS($C113:$L113,$C113:$L113,"&gt;0")*_xlfn.XLOOKUP($G111,$B$9:$B$13,$D$9:$D$13),IFERROR(OFFSET(C113,0,_xlfn.XLOOKUP($G111,$B$9:$B$13,$C$9:$C$13))*_xlfn.XLOOKUP($G111,$B$9:$B$13,$D$9:$D$13),0)),IFERROR(OFFSET(C113,0,_xlfn.XLOOKUP($G111,$B$9:$B$13,$E$9:$E$13))*_xlfn.XLOOKUP($G111,$B$9:$B$13,$F$9:$F$13),0),A115)))</f>
        <v>0</v>
      </c>
      <c r="D115" s="196">
        <f t="shared" ref="D115" ca="1" si="359">IF($I111="N",D113,IF($G111="1. In Flight",1,$G$9)*MIN(MAX($C113:$L113)*_xlfn.XLOOKUP($G111,$B$9:$B$13,$F$9:$F$13),MAX(IF(IFERROR(OFFSET(D113,0,_xlfn.XLOOKUP($G111,$B$9:$B$13,$C$9:$C$13)),0)=MAX($C113:$L113),_xlfn.MINIFS($C113:$L113,$C113:$L113,"&gt;0")*_xlfn.XLOOKUP($G111,$B$9:$B$13,$D$9:$D$13),IFERROR(OFFSET(D113,0,_xlfn.XLOOKUP($G111,$B$9:$B$13,$C$9:$C$13))*_xlfn.XLOOKUP($G111,$B$9:$B$13,$D$9:$D$13),0)),IFERROR(OFFSET(D113,0,_xlfn.XLOOKUP($G111,$B$9:$B$13,$E$9:$E$13))*_xlfn.XLOOKUP($G111,$B$9:$B$13,$F$9:$F$13),0),B115)))</f>
        <v>0</v>
      </c>
      <c r="E115" s="196">
        <f t="shared" ref="E115" ca="1" si="360">IF($I111="N",E113,IF($G111="1. In Flight",1,$G$9)*MIN(MAX($C113:$L113)*_xlfn.XLOOKUP($G111,$B$9:$B$13,$F$9:$F$13),MAX(IF(IFERROR(OFFSET(E113,0,_xlfn.XLOOKUP($G111,$B$9:$B$13,$C$9:$C$13)),0)=MAX($C113:$L113),_xlfn.MINIFS($C113:$L113,$C113:$L113,"&gt;0")*_xlfn.XLOOKUP($G111,$B$9:$B$13,$D$9:$D$13),IFERROR(OFFSET(E113,0,_xlfn.XLOOKUP($G111,$B$9:$B$13,$C$9:$C$13))*_xlfn.XLOOKUP($G111,$B$9:$B$13,$D$9:$D$13),0)),IFERROR(OFFSET(E113,0,_xlfn.XLOOKUP($G111,$B$9:$B$13,$E$9:$E$13))*_xlfn.XLOOKUP($G111,$B$9:$B$13,$F$9:$F$13),0),C115)))</f>
        <v>0</v>
      </c>
      <c r="F115" s="196">
        <f t="shared" ref="F115" ca="1" si="361">IF($I111="N",F113,IF($G111="1. In Flight",1,$G$9)*MIN(MAX($C113:$L113)*_xlfn.XLOOKUP($G111,$B$9:$B$13,$F$9:$F$13),MAX(IF(IFERROR(OFFSET(F113,0,_xlfn.XLOOKUP($G111,$B$9:$B$13,$C$9:$C$13)),0)=MAX($C113:$L113),_xlfn.MINIFS($C113:$L113,$C113:$L113,"&gt;0")*_xlfn.XLOOKUP($G111,$B$9:$B$13,$D$9:$D$13),IFERROR(OFFSET(F113,0,_xlfn.XLOOKUP($G111,$B$9:$B$13,$C$9:$C$13))*_xlfn.XLOOKUP($G111,$B$9:$B$13,$D$9:$D$13),0)),IFERROR(OFFSET(F113,0,_xlfn.XLOOKUP($G111,$B$9:$B$13,$E$9:$E$13))*_xlfn.XLOOKUP($G111,$B$9:$B$13,$F$9:$F$13),0),D115)))</f>
        <v>6</v>
      </c>
      <c r="G115" s="196">
        <f t="shared" ref="G115" ca="1" si="362">IF($I111="N",G113,IF($G111="1. In Flight",1,$G$9)*MIN(MAX($C113:$L113)*_xlfn.XLOOKUP($G111,$B$9:$B$13,$F$9:$F$13),MAX(IF(IFERROR(OFFSET(G113,0,_xlfn.XLOOKUP($G111,$B$9:$B$13,$C$9:$C$13)),0)=MAX($C113:$L113),_xlfn.MINIFS($C113:$L113,$C113:$L113,"&gt;0")*_xlfn.XLOOKUP($G111,$B$9:$B$13,$D$9:$D$13),IFERROR(OFFSET(G113,0,_xlfn.XLOOKUP($G111,$B$9:$B$13,$C$9:$C$13))*_xlfn.XLOOKUP($G111,$B$9:$B$13,$D$9:$D$13),0)),IFERROR(OFFSET(G113,0,_xlfn.XLOOKUP($G111,$B$9:$B$13,$E$9:$E$13))*_xlfn.XLOOKUP($G111,$B$9:$B$13,$F$9:$F$13),0),E115)))</f>
        <v>6</v>
      </c>
      <c r="H115" s="196">
        <f t="shared" ref="H115" ca="1" si="363">IF($I111="N",H113,IF($G111="1. In Flight",1,$G$9)*MIN(MAX($C113:$L113)*_xlfn.XLOOKUP($G111,$B$9:$B$13,$F$9:$F$13),MAX(IF(IFERROR(OFFSET(H113,0,_xlfn.XLOOKUP($G111,$B$9:$B$13,$C$9:$C$13)),0)=MAX($C113:$L113),_xlfn.MINIFS($C113:$L113,$C113:$L113,"&gt;0")*_xlfn.XLOOKUP($G111,$B$9:$B$13,$D$9:$D$13),IFERROR(OFFSET(H113,0,_xlfn.XLOOKUP($G111,$B$9:$B$13,$C$9:$C$13))*_xlfn.XLOOKUP($G111,$B$9:$B$13,$D$9:$D$13),0)),IFERROR(OFFSET(H113,0,_xlfn.XLOOKUP($G111,$B$9:$B$13,$E$9:$E$13))*_xlfn.XLOOKUP($G111,$B$9:$B$13,$F$9:$F$13),0),F115)))</f>
        <v>6</v>
      </c>
      <c r="I115" s="196">
        <f t="shared" ref="I115" ca="1" si="364">IF($I111="N",I113,IF($G111="1. In Flight",1,$G$9)*MIN(MAX($C113:$L113)*_xlfn.XLOOKUP($G111,$B$9:$B$13,$F$9:$F$13),MAX(IF(IFERROR(OFFSET(I113,0,_xlfn.XLOOKUP($G111,$B$9:$B$13,$C$9:$C$13)),0)=MAX($C113:$L113),_xlfn.MINIFS($C113:$L113,$C113:$L113,"&gt;0")*_xlfn.XLOOKUP($G111,$B$9:$B$13,$D$9:$D$13),IFERROR(OFFSET(I113,0,_xlfn.XLOOKUP($G111,$B$9:$B$13,$C$9:$C$13))*_xlfn.XLOOKUP($G111,$B$9:$B$13,$D$9:$D$13),0)),IFERROR(OFFSET(I113,0,_xlfn.XLOOKUP($G111,$B$9:$B$13,$E$9:$E$13))*_xlfn.XLOOKUP($G111,$B$9:$B$13,$F$9:$F$13),0),G115)))</f>
        <v>6</v>
      </c>
      <c r="J115" s="196">
        <f t="shared" ref="J115" ca="1" si="365">IF($I111="N",J113,IF($G111="1. In Flight",1,$G$9)*MIN(MAX($C113:$L113)*_xlfn.XLOOKUP($G111,$B$9:$B$13,$F$9:$F$13),MAX(IF(IFERROR(OFFSET(J113,0,_xlfn.XLOOKUP($G111,$B$9:$B$13,$C$9:$C$13)),0)=MAX($C113:$L113),_xlfn.MINIFS($C113:$L113,$C113:$L113,"&gt;0")*_xlfn.XLOOKUP($G111,$B$9:$B$13,$D$9:$D$13),IFERROR(OFFSET(J113,0,_xlfn.XLOOKUP($G111,$B$9:$B$13,$C$9:$C$13))*_xlfn.XLOOKUP($G111,$B$9:$B$13,$D$9:$D$13),0)),IFERROR(OFFSET(J113,0,_xlfn.XLOOKUP($G111,$B$9:$B$13,$E$9:$E$13))*_xlfn.XLOOKUP($G111,$B$9:$B$13,$F$9:$F$13),0),H115)))</f>
        <v>6</v>
      </c>
      <c r="K115" s="196">
        <f t="shared" ref="K115" ca="1" si="366">IF($I111="N",K113,IF($G111="1. In Flight",1,$G$9)*MIN(MAX($C113:$L113)*_xlfn.XLOOKUP($G111,$B$9:$B$13,$F$9:$F$13),MAX(IF(IFERROR(OFFSET(K113,0,_xlfn.XLOOKUP($G111,$B$9:$B$13,$C$9:$C$13)),0)=MAX($C113:$L113),_xlfn.MINIFS($C113:$L113,$C113:$L113,"&gt;0")*_xlfn.XLOOKUP($G111,$B$9:$B$13,$D$9:$D$13),IFERROR(OFFSET(K113,0,_xlfn.XLOOKUP($G111,$B$9:$B$13,$C$9:$C$13))*_xlfn.XLOOKUP($G111,$B$9:$B$13,$D$9:$D$13),0)),IFERROR(OFFSET(K113,0,_xlfn.XLOOKUP($G111,$B$9:$B$13,$E$9:$E$13))*_xlfn.XLOOKUP($G111,$B$9:$B$13,$F$9:$F$13),0),I115)))</f>
        <v>6</v>
      </c>
      <c r="L115" s="196">
        <f t="shared" ref="L115" ca="1" si="367">IF($I111="N",L113,IF($G111="1. In Flight",1,$G$9)*MIN(MAX($C113:$L113)*_xlfn.XLOOKUP($G111,$B$9:$B$13,$F$9:$F$13),MAX(IF(IFERROR(OFFSET(L113,0,_xlfn.XLOOKUP($G111,$B$9:$B$13,$C$9:$C$13)),0)=MAX($C113:$L113),_xlfn.MINIFS($C113:$L113,$C113:$L113,"&gt;0")*_xlfn.XLOOKUP($G111,$B$9:$B$13,$D$9:$D$13),IFERROR(OFFSET(L113,0,_xlfn.XLOOKUP($G111,$B$9:$B$13,$C$9:$C$13))*_xlfn.XLOOKUP($G111,$B$9:$B$13,$D$9:$D$13),0)),IFERROR(OFFSET(L113,0,_xlfn.XLOOKUP($G111,$B$9:$B$13,$E$9:$E$13))*_xlfn.XLOOKUP($G111,$B$9:$B$13,$F$9:$F$13),0),J115)))</f>
        <v>6</v>
      </c>
    </row>
    <row r="116" spans="1:14" ht="15" thickBot="1">
      <c r="A116" s="197" t="s">
        <v>109</v>
      </c>
      <c r="B116" s="198">
        <f>B113</f>
        <v>0</v>
      </c>
      <c r="C116" s="198">
        <f ca="1">IF($I111="N",C113,IF($G111="1. In Flight",1,$G$14)*MIN(MAX($C113:$L113)*_xlfn.XLOOKUP($G111,$B$14:$B$18,$F$14:$F$18),MAX(IF(IFERROR(OFFSET(C113,0,_xlfn.XLOOKUP($G111,$B$14:$B$18,$C$14:$C$18)),0)=MAX($C113:$L113),_xlfn.MINIFS($C113:$L113,$C113:$L113,"&gt;0")*_xlfn.XLOOKUP($G111,$B$14:$B$18,$D$14:$D$18),IFERROR(OFFSET(C113,0,_xlfn.XLOOKUP($G111,$B$14:$B$18,$C$14:$C$18))*_xlfn.XLOOKUP($G111,$B$14:$B$18,$D$14:$D$18),0)),IFERROR(OFFSET(C113,0,_xlfn.XLOOKUP($G111,$B$14:$B$18,$E$14:$E$18))*_xlfn.XLOOKUP($G111,$B$14:$B$18,$F$14:$F$18),0),A116)))</f>
        <v>0</v>
      </c>
      <c r="D116" s="198">
        <f t="shared" ref="D116" ca="1" si="368">IF($I111="N",D113,IF($G111="1. In Flight",1,$G$14)*MIN(MAX($C113:$L113)*_xlfn.XLOOKUP($G111,$B$14:$B$18,$F$14:$F$18),MAX(IF(IFERROR(OFFSET(D113,0,_xlfn.XLOOKUP($G111,$B$14:$B$18,$C$14:$C$18)),0)=MAX($C113:$L113),_xlfn.MINIFS($C113:$L113,$C113:$L113,"&gt;0")*_xlfn.XLOOKUP($G111,$B$14:$B$18,$D$14:$D$18),IFERROR(OFFSET(D113,0,_xlfn.XLOOKUP($G111,$B$14:$B$18,$C$14:$C$18))*_xlfn.XLOOKUP($G111,$B$14:$B$18,$D$14:$D$18),0)),IFERROR(OFFSET(D113,0,_xlfn.XLOOKUP($G111,$B$14:$B$18,$E$14:$E$18))*_xlfn.XLOOKUP($G111,$B$14:$B$18,$F$14:$F$18),0),B116)))</f>
        <v>10</v>
      </c>
      <c r="E116" s="198">
        <f t="shared" ref="E116" ca="1" si="369">IF($I111="N",E113,IF($G111="1. In Flight",1,$G$14)*MIN(MAX($C113:$L113)*_xlfn.XLOOKUP($G111,$B$14:$B$18,$F$14:$F$18),MAX(IF(IFERROR(OFFSET(E113,0,_xlfn.XLOOKUP($G111,$B$14:$B$18,$C$14:$C$18)),0)=MAX($C113:$L113),_xlfn.MINIFS($C113:$L113,$C113:$L113,"&gt;0")*_xlfn.XLOOKUP($G111,$B$14:$B$18,$D$14:$D$18),IFERROR(OFFSET(E113,0,_xlfn.XLOOKUP($G111,$B$14:$B$18,$C$14:$C$18))*_xlfn.XLOOKUP($G111,$B$14:$B$18,$D$14:$D$18),0)),IFERROR(OFFSET(E113,0,_xlfn.XLOOKUP($G111,$B$14:$B$18,$E$14:$E$18))*_xlfn.XLOOKUP($G111,$B$14:$B$18,$F$14:$F$18),0),C116)))</f>
        <v>10</v>
      </c>
      <c r="F116" s="198">
        <f t="shared" ref="F116" ca="1" si="370">IF($I111="N",F113,IF($G111="1. In Flight",1,$G$14)*MIN(MAX($C113:$L113)*_xlfn.XLOOKUP($G111,$B$14:$B$18,$F$14:$F$18),MAX(IF(IFERROR(OFFSET(F113,0,_xlfn.XLOOKUP($G111,$B$14:$B$18,$C$14:$C$18)),0)=MAX($C113:$L113),_xlfn.MINIFS($C113:$L113,$C113:$L113,"&gt;0")*_xlfn.XLOOKUP($G111,$B$14:$B$18,$D$14:$D$18),IFERROR(OFFSET(F113,0,_xlfn.XLOOKUP($G111,$B$14:$B$18,$C$14:$C$18))*_xlfn.XLOOKUP($G111,$B$14:$B$18,$D$14:$D$18),0)),IFERROR(OFFSET(F113,0,_xlfn.XLOOKUP($G111,$B$14:$B$18,$E$14:$E$18))*_xlfn.XLOOKUP($G111,$B$14:$B$18,$F$14:$F$18),0),D116)))</f>
        <v>10</v>
      </c>
      <c r="G116" s="198">
        <f t="shared" ref="G116" ca="1" si="371">IF($I111="N",G113,IF($G111="1. In Flight",1,$G$14)*MIN(MAX($C113:$L113)*_xlfn.XLOOKUP($G111,$B$14:$B$18,$F$14:$F$18),MAX(IF(IFERROR(OFFSET(G113,0,_xlfn.XLOOKUP($G111,$B$14:$B$18,$C$14:$C$18)),0)=MAX($C113:$L113),_xlfn.MINIFS($C113:$L113,$C113:$L113,"&gt;0")*_xlfn.XLOOKUP($G111,$B$14:$B$18,$D$14:$D$18),IFERROR(OFFSET(G113,0,_xlfn.XLOOKUP($G111,$B$14:$B$18,$C$14:$C$18))*_xlfn.XLOOKUP($G111,$B$14:$B$18,$D$14:$D$18),0)),IFERROR(OFFSET(G113,0,_xlfn.XLOOKUP($G111,$B$14:$B$18,$E$14:$E$18))*_xlfn.XLOOKUP($G111,$B$14:$B$18,$F$14:$F$18),0),E116)))</f>
        <v>10</v>
      </c>
      <c r="H116" s="198">
        <f t="shared" ref="H116" ca="1" si="372">IF($I111="N",H113,IF($G111="1. In Flight",1,$G$14)*MIN(MAX($C113:$L113)*_xlfn.XLOOKUP($G111,$B$14:$B$18,$F$14:$F$18),MAX(IF(IFERROR(OFFSET(H113,0,_xlfn.XLOOKUP($G111,$B$14:$B$18,$C$14:$C$18)),0)=MAX($C113:$L113),_xlfn.MINIFS($C113:$L113,$C113:$L113,"&gt;0")*_xlfn.XLOOKUP($G111,$B$14:$B$18,$D$14:$D$18),IFERROR(OFFSET(H113,0,_xlfn.XLOOKUP($G111,$B$14:$B$18,$C$14:$C$18))*_xlfn.XLOOKUP($G111,$B$14:$B$18,$D$14:$D$18),0)),IFERROR(OFFSET(H113,0,_xlfn.XLOOKUP($G111,$B$14:$B$18,$E$14:$E$18))*_xlfn.XLOOKUP($G111,$B$14:$B$18,$F$14:$F$18),0),F116)))</f>
        <v>10</v>
      </c>
      <c r="I116" s="198">
        <f t="shared" ref="I116" ca="1" si="373">IF($I111="N",I113,IF($G111="1. In Flight",1,$G$14)*MIN(MAX($C113:$L113)*_xlfn.XLOOKUP($G111,$B$14:$B$18,$F$14:$F$18),MAX(IF(IFERROR(OFFSET(I113,0,_xlfn.XLOOKUP($G111,$B$14:$B$18,$C$14:$C$18)),0)=MAX($C113:$L113),_xlfn.MINIFS($C113:$L113,$C113:$L113,"&gt;0")*_xlfn.XLOOKUP($G111,$B$14:$B$18,$D$14:$D$18),IFERROR(OFFSET(I113,0,_xlfn.XLOOKUP($G111,$B$14:$B$18,$C$14:$C$18))*_xlfn.XLOOKUP($G111,$B$14:$B$18,$D$14:$D$18),0)),IFERROR(OFFSET(I113,0,_xlfn.XLOOKUP($G111,$B$14:$B$18,$E$14:$E$18))*_xlfn.XLOOKUP($G111,$B$14:$B$18,$F$14:$F$18),0),G116)))</f>
        <v>10</v>
      </c>
      <c r="J116" s="198">
        <f t="shared" ref="J116" ca="1" si="374">IF($I111="N",J113,IF($G111="1. In Flight",1,$G$14)*MIN(MAX($C113:$L113)*_xlfn.XLOOKUP($G111,$B$14:$B$18,$F$14:$F$18),MAX(IF(IFERROR(OFFSET(J113,0,_xlfn.XLOOKUP($G111,$B$14:$B$18,$C$14:$C$18)),0)=MAX($C113:$L113),_xlfn.MINIFS($C113:$L113,$C113:$L113,"&gt;0")*_xlfn.XLOOKUP($G111,$B$14:$B$18,$D$14:$D$18),IFERROR(OFFSET(J113,0,_xlfn.XLOOKUP($G111,$B$14:$B$18,$C$14:$C$18))*_xlfn.XLOOKUP($G111,$B$14:$B$18,$D$14:$D$18),0)),IFERROR(OFFSET(J113,0,_xlfn.XLOOKUP($G111,$B$14:$B$18,$E$14:$E$18))*_xlfn.XLOOKUP($G111,$B$14:$B$18,$F$14:$F$18),0),H116)))</f>
        <v>10</v>
      </c>
      <c r="K116" s="198">
        <f t="shared" ref="K116" ca="1" si="375">IF($I111="N",K113,IF($G111="1. In Flight",1,$G$14)*MIN(MAX($C113:$L113)*_xlfn.XLOOKUP($G111,$B$14:$B$18,$F$14:$F$18),MAX(IF(IFERROR(OFFSET(K113,0,_xlfn.XLOOKUP($G111,$B$14:$B$18,$C$14:$C$18)),0)=MAX($C113:$L113),_xlfn.MINIFS($C113:$L113,$C113:$L113,"&gt;0")*_xlfn.XLOOKUP($G111,$B$14:$B$18,$D$14:$D$18),IFERROR(OFFSET(K113,0,_xlfn.XLOOKUP($G111,$B$14:$B$18,$C$14:$C$18))*_xlfn.XLOOKUP($G111,$B$14:$B$18,$D$14:$D$18),0)),IFERROR(OFFSET(K113,0,_xlfn.XLOOKUP($G111,$B$14:$B$18,$E$14:$E$18))*_xlfn.XLOOKUP($G111,$B$14:$B$18,$F$14:$F$18),0),I116)))</f>
        <v>10</v>
      </c>
      <c r="L116" s="198">
        <f t="shared" ref="L116" ca="1" si="376">IF($I111="N",L113,IF($G111="1. In Flight",1,$G$14)*MIN(MAX($C113:$L113)*_xlfn.XLOOKUP($G111,$B$14:$B$18,$F$14:$F$18),MAX(IF(IFERROR(OFFSET(L113,0,_xlfn.XLOOKUP($G111,$B$14:$B$18,$C$14:$C$18)),0)=MAX($C113:$L113),_xlfn.MINIFS($C113:$L113,$C113:$L113,"&gt;0")*_xlfn.XLOOKUP($G111,$B$14:$B$18,$D$14:$D$18),IFERROR(OFFSET(L113,0,_xlfn.XLOOKUP($G111,$B$14:$B$18,$C$14:$C$18))*_xlfn.XLOOKUP($G111,$B$14:$B$18,$D$14:$D$18),0)),IFERROR(OFFSET(L113,0,_xlfn.XLOOKUP($G111,$B$14:$B$18,$E$14:$E$18))*_xlfn.XLOOKUP($G111,$B$14:$B$18,$F$14:$F$18),0),J116)))</f>
        <v>10</v>
      </c>
      <c r="M116" s="9"/>
      <c r="N116" s="9"/>
    </row>
    <row r="117" spans="1:14" ht="15" thickTop="1"/>
    <row r="118" spans="1:14" ht="15" thickBot="1">
      <c r="A118" s="231">
        <f>_xlfn.XLOOKUP(F118,FEED!D:D,FEED!E:E,FALSE)</f>
        <v>0</v>
      </c>
      <c r="B118" s="232"/>
      <c r="C118" s="188" t="s">
        <v>110</v>
      </c>
      <c r="D118" s="189"/>
      <c r="E118" s="189"/>
      <c r="F118" s="189" t="s">
        <v>84</v>
      </c>
      <c r="G118" s="189" t="str">
        <f>IFERROR(_xlfn.XLOOKUP(F118,FEED!$D:$D,FEED!$S:$S),$B$8)</f>
        <v>1. In Flight</v>
      </c>
      <c r="H118" s="189" t="str">
        <f>IFERROR(_xlfn.XLOOKUP(F118,FEED!$D:$D,FEED!$Y:$Y),"Major Load")</f>
        <v>Major Load</v>
      </c>
      <c r="I118" s="189" t="str">
        <f>IFERROR(_xlfn.XLOOKUP(F118,FEED!$D:$D,FEED!$C:$C),"N")</f>
        <v>Y</v>
      </c>
      <c r="J118" s="190"/>
      <c r="K118" s="190"/>
      <c r="L118" s="190"/>
    </row>
    <row r="119" spans="1:14" ht="15" thickBot="1">
      <c r="A119" s="191" t="str">
        <f>A112</f>
        <v>Uptake Scenario</v>
      </c>
      <c r="B119" s="192">
        <f>B112</f>
        <v>2023</v>
      </c>
      <c r="C119" s="192">
        <f t="shared" ref="C119:L119" si="377">C112</f>
        <v>2024</v>
      </c>
      <c r="D119" s="192">
        <f t="shared" si="377"/>
        <v>2025</v>
      </c>
      <c r="E119" s="192">
        <f t="shared" si="377"/>
        <v>2026</v>
      </c>
      <c r="F119" s="192">
        <f t="shared" si="377"/>
        <v>2027</v>
      </c>
      <c r="G119" s="192">
        <f t="shared" si="377"/>
        <v>2028</v>
      </c>
      <c r="H119" s="192">
        <f t="shared" si="377"/>
        <v>2029</v>
      </c>
      <c r="I119" s="192">
        <f t="shared" si="377"/>
        <v>2030</v>
      </c>
      <c r="J119" s="192">
        <f t="shared" si="377"/>
        <v>2031</v>
      </c>
      <c r="K119" s="192">
        <f t="shared" si="377"/>
        <v>2032</v>
      </c>
      <c r="L119" s="192">
        <f t="shared" si="377"/>
        <v>2033</v>
      </c>
    </row>
    <row r="120" spans="1:14" ht="15.6" thickTop="1" thickBot="1">
      <c r="A120" s="193" t="s">
        <v>111</v>
      </c>
      <c r="B120" s="194">
        <v>0</v>
      </c>
      <c r="C120" s="194">
        <f>SUMIF(FEED!$D:$D,$F118,FEED!F:F)+B120</f>
        <v>0</v>
      </c>
      <c r="D120" s="194">
        <f>SUMIF(FEED!$D:$D,$F118,FEED!G:G)+C120</f>
        <v>15</v>
      </c>
      <c r="E120" s="194">
        <f>SUMIF(FEED!$D:$D,$F118,FEED!H:H)+D120</f>
        <v>15</v>
      </c>
      <c r="F120" s="194">
        <f>SUMIF(FEED!$D:$D,$F118,FEED!I:I)+E120</f>
        <v>15</v>
      </c>
      <c r="G120" s="194">
        <f>SUMIF(FEED!$D:$D,$F118,FEED!J:J)+F120</f>
        <v>15</v>
      </c>
      <c r="H120" s="194">
        <f>SUMIF(FEED!$D:$D,$F118,FEED!K:K)+G120</f>
        <v>15</v>
      </c>
      <c r="I120" s="194">
        <f>SUMIF(FEED!$D:$D,$F118,FEED!L:L)+H120</f>
        <v>15</v>
      </c>
      <c r="J120" s="194">
        <f>SUMIF(FEED!$D:$D,$F118,FEED!M:M)+I120</f>
        <v>15</v>
      </c>
      <c r="K120" s="194">
        <f>SUMIF(FEED!$D:$D,$F118,FEED!N:N)+J120</f>
        <v>15</v>
      </c>
      <c r="L120" s="194">
        <f>SUMIF(FEED!$D:$D,$F118,FEED!O:O)+K120</f>
        <v>15</v>
      </c>
    </row>
    <row r="121" spans="1:14" ht="15" thickBot="1">
      <c r="A121" s="195" t="s">
        <v>107</v>
      </c>
      <c r="B121" s="196">
        <f>B120</f>
        <v>0</v>
      </c>
      <c r="C121" s="196">
        <f ca="1">IF($I118="N",C120,IF($G118="1. In Flight",1,$G$4)*MIN(MAX($C120:$L120)*_xlfn.XLOOKUP($G118,$B$4:$B$8,$F$4:$F$8),MAX(IF(IFERROR(OFFSET(C120,0,_xlfn.XLOOKUP($G118,$B$4:$B$8,$C$4:$C$8)),0)=MAX($C120:$L120),_xlfn.MINIFS($C120:$L120,$C120:$L120,"&gt;0")*_xlfn.XLOOKUP($G118,$B$4:$B$8,$D$4:$D$8),IFERROR(OFFSET(C120,0,_xlfn.XLOOKUP($G118,$B$4:$B$8,$C$4:$C$8))*_xlfn.XLOOKUP($G118,$B$4:$B$8,$D$4:$D$8),0)),IFERROR(OFFSET(C120,0,_xlfn.XLOOKUP($G118,$B$4:$B$8,$E$4:$E$8))*_xlfn.XLOOKUP($G118,$B$4:$B$8,$F$4:$F$8),0),A121)))</f>
        <v>0</v>
      </c>
      <c r="D121" s="196">
        <f t="shared" ref="D121" ca="1" si="378">IF($I118="N",D120,IF($G118="1. In Flight",1,$G$4)*MIN(MAX($C120:$L120)*_xlfn.XLOOKUP($G118,$B$4:$B$8,$F$4:$F$8),MAX(IF(IFERROR(OFFSET(D120,0,_xlfn.XLOOKUP($G118,$B$4:$B$8,$C$4:$C$8)),0)=MAX($C120:$L120),_xlfn.MINIFS($C120:$L120,$C120:$L120,"&gt;0")*_xlfn.XLOOKUP($G118,$B$4:$B$8,$D$4:$D$8),IFERROR(OFFSET(D120,0,_xlfn.XLOOKUP($G118,$B$4:$B$8,$C$4:$C$8))*_xlfn.XLOOKUP($G118,$B$4:$B$8,$D$4:$D$8),0)),IFERROR(OFFSET(D120,0,_xlfn.XLOOKUP($G118,$B$4:$B$8,$E$4:$E$8))*_xlfn.XLOOKUP($G118,$B$4:$B$8,$F$4:$F$8),0),B121)))</f>
        <v>0</v>
      </c>
      <c r="E121" s="196">
        <f t="shared" ref="E121" ca="1" si="379">IF($I118="N",E120,IF($G118="1. In Flight",1,$G$4)*MIN(MAX($C120:$L120)*_xlfn.XLOOKUP($G118,$B$4:$B$8,$F$4:$F$8),MAX(IF(IFERROR(OFFSET(E120,0,_xlfn.XLOOKUP($G118,$B$4:$B$8,$C$4:$C$8)),0)=MAX($C120:$L120),_xlfn.MINIFS($C120:$L120,$C120:$L120,"&gt;0")*_xlfn.XLOOKUP($G118,$B$4:$B$8,$D$4:$D$8),IFERROR(OFFSET(E120,0,_xlfn.XLOOKUP($G118,$B$4:$B$8,$C$4:$C$8))*_xlfn.XLOOKUP($G118,$B$4:$B$8,$D$4:$D$8),0)),IFERROR(OFFSET(E120,0,_xlfn.XLOOKUP($G118,$B$4:$B$8,$E$4:$E$8))*_xlfn.XLOOKUP($G118,$B$4:$B$8,$F$4:$F$8),0),C121)))</f>
        <v>10.5</v>
      </c>
      <c r="F121" s="196">
        <f t="shared" ref="F121" ca="1" si="380">IF($I118="N",F120,IF($G118="1. In Flight",1,$G$4)*MIN(MAX($C120:$L120)*_xlfn.XLOOKUP($G118,$B$4:$B$8,$F$4:$F$8),MAX(IF(IFERROR(OFFSET(F120,0,_xlfn.XLOOKUP($G118,$B$4:$B$8,$C$4:$C$8)),0)=MAX($C120:$L120),_xlfn.MINIFS($C120:$L120,$C120:$L120,"&gt;0")*_xlfn.XLOOKUP($G118,$B$4:$B$8,$D$4:$D$8),IFERROR(OFFSET(F120,0,_xlfn.XLOOKUP($G118,$B$4:$B$8,$C$4:$C$8))*_xlfn.XLOOKUP($G118,$B$4:$B$8,$D$4:$D$8),0)),IFERROR(OFFSET(F120,0,_xlfn.XLOOKUP($G118,$B$4:$B$8,$E$4:$E$8))*_xlfn.XLOOKUP($G118,$B$4:$B$8,$F$4:$F$8),0),D121)))</f>
        <v>10.5</v>
      </c>
      <c r="G121" s="196">
        <f t="shared" ref="G121" ca="1" si="381">IF($I118="N",G120,IF($G118="1. In Flight",1,$G$4)*MIN(MAX($C120:$L120)*_xlfn.XLOOKUP($G118,$B$4:$B$8,$F$4:$F$8),MAX(IF(IFERROR(OFFSET(G120,0,_xlfn.XLOOKUP($G118,$B$4:$B$8,$C$4:$C$8)),0)=MAX($C120:$L120),_xlfn.MINIFS($C120:$L120,$C120:$L120,"&gt;0")*_xlfn.XLOOKUP($G118,$B$4:$B$8,$D$4:$D$8),IFERROR(OFFSET(G120,0,_xlfn.XLOOKUP($G118,$B$4:$B$8,$C$4:$C$8))*_xlfn.XLOOKUP($G118,$B$4:$B$8,$D$4:$D$8),0)),IFERROR(OFFSET(G120,0,_xlfn.XLOOKUP($G118,$B$4:$B$8,$E$4:$E$8))*_xlfn.XLOOKUP($G118,$B$4:$B$8,$F$4:$F$8),0),E121)))</f>
        <v>10.5</v>
      </c>
      <c r="H121" s="196">
        <f t="shared" ref="H121" ca="1" si="382">IF($I118="N",H120,IF($G118="1. In Flight",1,$G$4)*MIN(MAX($C120:$L120)*_xlfn.XLOOKUP($G118,$B$4:$B$8,$F$4:$F$8),MAX(IF(IFERROR(OFFSET(H120,0,_xlfn.XLOOKUP($G118,$B$4:$B$8,$C$4:$C$8)),0)=MAX($C120:$L120),_xlfn.MINIFS($C120:$L120,$C120:$L120,"&gt;0")*_xlfn.XLOOKUP($G118,$B$4:$B$8,$D$4:$D$8),IFERROR(OFFSET(H120,0,_xlfn.XLOOKUP($G118,$B$4:$B$8,$C$4:$C$8))*_xlfn.XLOOKUP($G118,$B$4:$B$8,$D$4:$D$8),0)),IFERROR(OFFSET(H120,0,_xlfn.XLOOKUP($G118,$B$4:$B$8,$E$4:$E$8))*_xlfn.XLOOKUP($G118,$B$4:$B$8,$F$4:$F$8),0),F121)))</f>
        <v>10.5</v>
      </c>
      <c r="I121" s="196">
        <f t="shared" ref="I121" ca="1" si="383">IF($I118="N",I120,IF($G118="1. In Flight",1,$G$4)*MIN(MAX($C120:$L120)*_xlfn.XLOOKUP($G118,$B$4:$B$8,$F$4:$F$8),MAX(IF(IFERROR(OFFSET(I120,0,_xlfn.XLOOKUP($G118,$B$4:$B$8,$C$4:$C$8)),0)=MAX($C120:$L120),_xlfn.MINIFS($C120:$L120,$C120:$L120,"&gt;0")*_xlfn.XLOOKUP($G118,$B$4:$B$8,$D$4:$D$8),IFERROR(OFFSET(I120,0,_xlfn.XLOOKUP($G118,$B$4:$B$8,$C$4:$C$8))*_xlfn.XLOOKUP($G118,$B$4:$B$8,$D$4:$D$8),0)),IFERROR(OFFSET(I120,0,_xlfn.XLOOKUP($G118,$B$4:$B$8,$E$4:$E$8))*_xlfn.XLOOKUP($G118,$B$4:$B$8,$F$4:$F$8),0),G121)))</f>
        <v>10.5</v>
      </c>
      <c r="J121" s="196">
        <f t="shared" ref="J121" ca="1" si="384">IF($I118="N",J120,IF($G118="1. In Flight",1,$G$4)*MIN(MAX($C120:$L120)*_xlfn.XLOOKUP($G118,$B$4:$B$8,$F$4:$F$8),MAX(IF(IFERROR(OFFSET(J120,0,_xlfn.XLOOKUP($G118,$B$4:$B$8,$C$4:$C$8)),0)=MAX($C120:$L120),_xlfn.MINIFS($C120:$L120,$C120:$L120,"&gt;0")*_xlfn.XLOOKUP($G118,$B$4:$B$8,$D$4:$D$8),IFERROR(OFFSET(J120,0,_xlfn.XLOOKUP($G118,$B$4:$B$8,$C$4:$C$8))*_xlfn.XLOOKUP($G118,$B$4:$B$8,$D$4:$D$8),0)),IFERROR(OFFSET(J120,0,_xlfn.XLOOKUP($G118,$B$4:$B$8,$E$4:$E$8))*_xlfn.XLOOKUP($G118,$B$4:$B$8,$F$4:$F$8),0),H121)))</f>
        <v>10.5</v>
      </c>
      <c r="K121" s="196">
        <f t="shared" ref="K121" ca="1" si="385">IF($I118="N",K120,IF($G118="1. In Flight",1,$G$4)*MIN(MAX($C120:$L120)*_xlfn.XLOOKUP($G118,$B$4:$B$8,$F$4:$F$8),MAX(IF(IFERROR(OFFSET(K120,0,_xlfn.XLOOKUP($G118,$B$4:$B$8,$C$4:$C$8)),0)=MAX($C120:$L120),_xlfn.MINIFS($C120:$L120,$C120:$L120,"&gt;0")*_xlfn.XLOOKUP($G118,$B$4:$B$8,$D$4:$D$8),IFERROR(OFFSET(K120,0,_xlfn.XLOOKUP($G118,$B$4:$B$8,$C$4:$C$8))*_xlfn.XLOOKUP($G118,$B$4:$B$8,$D$4:$D$8),0)),IFERROR(OFFSET(K120,0,_xlfn.XLOOKUP($G118,$B$4:$B$8,$E$4:$E$8))*_xlfn.XLOOKUP($G118,$B$4:$B$8,$F$4:$F$8),0),I121)))</f>
        <v>10.5</v>
      </c>
      <c r="L121" s="196">
        <f t="shared" ref="L121" ca="1" si="386">IF($I118="N",L120,IF($G118="1. In Flight",1,$G$4)*MIN(MAX($C120:$L120)*_xlfn.XLOOKUP($G118,$B$4:$B$8,$F$4:$F$8),MAX(IF(IFERROR(OFFSET(L120,0,_xlfn.XLOOKUP($G118,$B$4:$B$8,$C$4:$C$8)),0)=MAX($C120:$L120),_xlfn.MINIFS($C120:$L120,$C120:$L120,"&gt;0")*_xlfn.XLOOKUP($G118,$B$4:$B$8,$D$4:$D$8),IFERROR(OFFSET(L120,0,_xlfn.XLOOKUP($G118,$B$4:$B$8,$C$4:$C$8))*_xlfn.XLOOKUP($G118,$B$4:$B$8,$D$4:$D$8),0)),IFERROR(OFFSET(L120,0,_xlfn.XLOOKUP($G118,$B$4:$B$8,$E$4:$E$8))*_xlfn.XLOOKUP($G118,$B$4:$B$8,$F$4:$F$8),0),J121)))</f>
        <v>10.5</v>
      </c>
    </row>
    <row r="122" spans="1:14" ht="15" thickBot="1">
      <c r="A122" s="195" t="s">
        <v>108</v>
      </c>
      <c r="B122" s="196">
        <f>B120</f>
        <v>0</v>
      </c>
      <c r="C122" s="196">
        <f ca="1">IF($I118="N",C120,IF($G118="1. In Flight",1,$G$9)*MIN(MAX($C120:$L120)*_xlfn.XLOOKUP($G118,$B$9:$B$13,$F$9:$F$13),MAX(IF(IFERROR(OFFSET(C120,0,_xlfn.XLOOKUP($G118,$B$9:$B$13,$C$9:$C$13)),0)=MAX($C120:$L120),_xlfn.MINIFS($C120:$L120,$C120:$L120,"&gt;0")*_xlfn.XLOOKUP($G118,$B$9:$B$13,$D$9:$D$13),IFERROR(OFFSET(C120,0,_xlfn.XLOOKUP($G118,$B$9:$B$13,$C$9:$C$13))*_xlfn.XLOOKUP($G118,$B$9:$B$13,$D$9:$D$13),0)),IFERROR(OFFSET(C120,0,_xlfn.XLOOKUP($G118,$B$9:$B$13,$E$9:$E$13))*_xlfn.XLOOKUP($G118,$B$9:$B$13,$F$9:$F$13),0),A122)))</f>
        <v>0</v>
      </c>
      <c r="D122" s="196">
        <f t="shared" ref="D122" ca="1" si="387">IF($I118="N",D120,IF($G118="1. In Flight",1,$G$9)*MIN(MAX($C120:$L120)*_xlfn.XLOOKUP($G118,$B$9:$B$13,$F$9:$F$13),MAX(IF(IFERROR(OFFSET(D120,0,_xlfn.XLOOKUP($G118,$B$9:$B$13,$C$9:$C$13)),0)=MAX($C120:$L120),_xlfn.MINIFS($C120:$L120,$C120:$L120,"&gt;0")*_xlfn.XLOOKUP($G118,$B$9:$B$13,$D$9:$D$13),IFERROR(OFFSET(D120,0,_xlfn.XLOOKUP($G118,$B$9:$B$13,$C$9:$C$13))*_xlfn.XLOOKUP($G118,$B$9:$B$13,$D$9:$D$13),0)),IFERROR(OFFSET(D120,0,_xlfn.XLOOKUP($G118,$B$9:$B$13,$E$9:$E$13))*_xlfn.XLOOKUP($G118,$B$9:$B$13,$F$9:$F$13),0),B122)))</f>
        <v>0</v>
      </c>
      <c r="E122" s="196">
        <f t="shared" ref="E122" ca="1" si="388">IF($I118="N",E120,IF($G118="1. In Flight",1,$G$9)*MIN(MAX($C120:$L120)*_xlfn.XLOOKUP($G118,$B$9:$B$13,$F$9:$F$13),MAX(IF(IFERROR(OFFSET(E120,0,_xlfn.XLOOKUP($G118,$B$9:$B$13,$C$9:$C$13)),0)=MAX($C120:$L120),_xlfn.MINIFS($C120:$L120,$C120:$L120,"&gt;0")*_xlfn.XLOOKUP($G118,$B$9:$B$13,$D$9:$D$13),IFERROR(OFFSET(E120,0,_xlfn.XLOOKUP($G118,$B$9:$B$13,$C$9:$C$13))*_xlfn.XLOOKUP($G118,$B$9:$B$13,$D$9:$D$13),0)),IFERROR(OFFSET(E120,0,_xlfn.XLOOKUP($G118,$B$9:$B$13,$E$9:$E$13))*_xlfn.XLOOKUP($G118,$B$9:$B$13,$F$9:$F$13),0),C122)))</f>
        <v>0</v>
      </c>
      <c r="F122" s="196">
        <f t="shared" ref="F122" ca="1" si="389">IF($I118="N",F120,IF($G118="1. In Flight",1,$G$9)*MIN(MAX($C120:$L120)*_xlfn.XLOOKUP($G118,$B$9:$B$13,$F$9:$F$13),MAX(IF(IFERROR(OFFSET(F120,0,_xlfn.XLOOKUP($G118,$B$9:$B$13,$C$9:$C$13)),0)=MAX($C120:$L120),_xlfn.MINIFS($C120:$L120,$C120:$L120,"&gt;0")*_xlfn.XLOOKUP($G118,$B$9:$B$13,$D$9:$D$13),IFERROR(OFFSET(F120,0,_xlfn.XLOOKUP($G118,$B$9:$B$13,$C$9:$C$13))*_xlfn.XLOOKUP($G118,$B$9:$B$13,$D$9:$D$13),0)),IFERROR(OFFSET(F120,0,_xlfn.XLOOKUP($G118,$B$9:$B$13,$E$9:$E$13))*_xlfn.XLOOKUP($G118,$B$9:$B$13,$F$9:$F$13),0),D122)))</f>
        <v>9</v>
      </c>
      <c r="G122" s="196">
        <f t="shared" ref="G122" ca="1" si="390">IF($I118="N",G120,IF($G118="1. In Flight",1,$G$9)*MIN(MAX($C120:$L120)*_xlfn.XLOOKUP($G118,$B$9:$B$13,$F$9:$F$13),MAX(IF(IFERROR(OFFSET(G120,0,_xlfn.XLOOKUP($G118,$B$9:$B$13,$C$9:$C$13)),0)=MAX($C120:$L120),_xlfn.MINIFS($C120:$L120,$C120:$L120,"&gt;0")*_xlfn.XLOOKUP($G118,$B$9:$B$13,$D$9:$D$13),IFERROR(OFFSET(G120,0,_xlfn.XLOOKUP($G118,$B$9:$B$13,$C$9:$C$13))*_xlfn.XLOOKUP($G118,$B$9:$B$13,$D$9:$D$13),0)),IFERROR(OFFSET(G120,0,_xlfn.XLOOKUP($G118,$B$9:$B$13,$E$9:$E$13))*_xlfn.XLOOKUP($G118,$B$9:$B$13,$F$9:$F$13),0),E122)))</f>
        <v>9</v>
      </c>
      <c r="H122" s="196">
        <f t="shared" ref="H122" ca="1" si="391">IF($I118="N",H120,IF($G118="1. In Flight",1,$G$9)*MIN(MAX($C120:$L120)*_xlfn.XLOOKUP($G118,$B$9:$B$13,$F$9:$F$13),MAX(IF(IFERROR(OFFSET(H120,0,_xlfn.XLOOKUP($G118,$B$9:$B$13,$C$9:$C$13)),0)=MAX($C120:$L120),_xlfn.MINIFS($C120:$L120,$C120:$L120,"&gt;0")*_xlfn.XLOOKUP($G118,$B$9:$B$13,$D$9:$D$13),IFERROR(OFFSET(H120,0,_xlfn.XLOOKUP($G118,$B$9:$B$13,$C$9:$C$13))*_xlfn.XLOOKUP($G118,$B$9:$B$13,$D$9:$D$13),0)),IFERROR(OFFSET(H120,0,_xlfn.XLOOKUP($G118,$B$9:$B$13,$E$9:$E$13))*_xlfn.XLOOKUP($G118,$B$9:$B$13,$F$9:$F$13),0),F122)))</f>
        <v>9</v>
      </c>
      <c r="I122" s="196">
        <f t="shared" ref="I122" ca="1" si="392">IF($I118="N",I120,IF($G118="1. In Flight",1,$G$9)*MIN(MAX($C120:$L120)*_xlfn.XLOOKUP($G118,$B$9:$B$13,$F$9:$F$13),MAX(IF(IFERROR(OFFSET(I120,0,_xlfn.XLOOKUP($G118,$B$9:$B$13,$C$9:$C$13)),0)=MAX($C120:$L120),_xlfn.MINIFS($C120:$L120,$C120:$L120,"&gt;0")*_xlfn.XLOOKUP($G118,$B$9:$B$13,$D$9:$D$13),IFERROR(OFFSET(I120,0,_xlfn.XLOOKUP($G118,$B$9:$B$13,$C$9:$C$13))*_xlfn.XLOOKUP($G118,$B$9:$B$13,$D$9:$D$13),0)),IFERROR(OFFSET(I120,0,_xlfn.XLOOKUP($G118,$B$9:$B$13,$E$9:$E$13))*_xlfn.XLOOKUP($G118,$B$9:$B$13,$F$9:$F$13),0),G122)))</f>
        <v>9</v>
      </c>
      <c r="J122" s="196">
        <f t="shared" ref="J122" ca="1" si="393">IF($I118="N",J120,IF($G118="1. In Flight",1,$G$9)*MIN(MAX($C120:$L120)*_xlfn.XLOOKUP($G118,$B$9:$B$13,$F$9:$F$13),MAX(IF(IFERROR(OFFSET(J120,0,_xlfn.XLOOKUP($G118,$B$9:$B$13,$C$9:$C$13)),0)=MAX($C120:$L120),_xlfn.MINIFS($C120:$L120,$C120:$L120,"&gt;0")*_xlfn.XLOOKUP($G118,$B$9:$B$13,$D$9:$D$13),IFERROR(OFFSET(J120,0,_xlfn.XLOOKUP($G118,$B$9:$B$13,$C$9:$C$13))*_xlfn.XLOOKUP($G118,$B$9:$B$13,$D$9:$D$13),0)),IFERROR(OFFSET(J120,0,_xlfn.XLOOKUP($G118,$B$9:$B$13,$E$9:$E$13))*_xlfn.XLOOKUP($G118,$B$9:$B$13,$F$9:$F$13),0),H122)))</f>
        <v>9</v>
      </c>
      <c r="K122" s="196">
        <f t="shared" ref="K122" ca="1" si="394">IF($I118="N",K120,IF($G118="1. In Flight",1,$G$9)*MIN(MAX($C120:$L120)*_xlfn.XLOOKUP($G118,$B$9:$B$13,$F$9:$F$13),MAX(IF(IFERROR(OFFSET(K120,0,_xlfn.XLOOKUP($G118,$B$9:$B$13,$C$9:$C$13)),0)=MAX($C120:$L120),_xlfn.MINIFS($C120:$L120,$C120:$L120,"&gt;0")*_xlfn.XLOOKUP($G118,$B$9:$B$13,$D$9:$D$13),IFERROR(OFFSET(K120,0,_xlfn.XLOOKUP($G118,$B$9:$B$13,$C$9:$C$13))*_xlfn.XLOOKUP($G118,$B$9:$B$13,$D$9:$D$13),0)),IFERROR(OFFSET(K120,0,_xlfn.XLOOKUP($G118,$B$9:$B$13,$E$9:$E$13))*_xlfn.XLOOKUP($G118,$B$9:$B$13,$F$9:$F$13),0),I122)))</f>
        <v>9</v>
      </c>
      <c r="L122" s="196">
        <f t="shared" ref="L122" ca="1" si="395">IF($I118="N",L120,IF($G118="1. In Flight",1,$G$9)*MIN(MAX($C120:$L120)*_xlfn.XLOOKUP($G118,$B$9:$B$13,$F$9:$F$13),MAX(IF(IFERROR(OFFSET(L120,0,_xlfn.XLOOKUP($G118,$B$9:$B$13,$C$9:$C$13)),0)=MAX($C120:$L120),_xlfn.MINIFS($C120:$L120,$C120:$L120,"&gt;0")*_xlfn.XLOOKUP($G118,$B$9:$B$13,$D$9:$D$13),IFERROR(OFFSET(L120,0,_xlfn.XLOOKUP($G118,$B$9:$B$13,$C$9:$C$13))*_xlfn.XLOOKUP($G118,$B$9:$B$13,$D$9:$D$13),0)),IFERROR(OFFSET(L120,0,_xlfn.XLOOKUP($G118,$B$9:$B$13,$E$9:$E$13))*_xlfn.XLOOKUP($G118,$B$9:$B$13,$F$9:$F$13),0),J122)))</f>
        <v>9</v>
      </c>
    </row>
    <row r="123" spans="1:14" ht="15" thickBot="1">
      <c r="A123" s="197" t="s">
        <v>109</v>
      </c>
      <c r="B123" s="198">
        <f>B120</f>
        <v>0</v>
      </c>
      <c r="C123" s="198">
        <f ca="1">IF($I118="N",C120,IF($G118="1. In Flight",1,$G$14)*MIN(MAX($C120:$L120)*_xlfn.XLOOKUP($G118,$B$14:$B$18,$F$14:$F$18),MAX(IF(IFERROR(OFFSET(C120,0,_xlfn.XLOOKUP($G118,$B$14:$B$18,$C$14:$C$18)),0)=MAX($C120:$L120),_xlfn.MINIFS($C120:$L120,$C120:$L120,"&gt;0")*_xlfn.XLOOKUP($G118,$B$14:$B$18,$D$14:$D$18),IFERROR(OFFSET(C120,0,_xlfn.XLOOKUP($G118,$B$14:$B$18,$C$14:$C$18))*_xlfn.XLOOKUP($G118,$B$14:$B$18,$D$14:$D$18),0)),IFERROR(OFFSET(C120,0,_xlfn.XLOOKUP($G118,$B$14:$B$18,$E$14:$E$18))*_xlfn.XLOOKUP($G118,$B$14:$B$18,$F$14:$F$18),0),A123)))</f>
        <v>0</v>
      </c>
      <c r="D123" s="198">
        <f t="shared" ref="D123" ca="1" si="396">IF($I118="N",D120,IF($G118="1. In Flight",1,$G$14)*MIN(MAX($C120:$L120)*_xlfn.XLOOKUP($G118,$B$14:$B$18,$F$14:$F$18),MAX(IF(IFERROR(OFFSET(D120,0,_xlfn.XLOOKUP($G118,$B$14:$B$18,$C$14:$C$18)),0)=MAX($C120:$L120),_xlfn.MINIFS($C120:$L120,$C120:$L120,"&gt;0")*_xlfn.XLOOKUP($G118,$B$14:$B$18,$D$14:$D$18),IFERROR(OFFSET(D120,0,_xlfn.XLOOKUP($G118,$B$14:$B$18,$C$14:$C$18))*_xlfn.XLOOKUP($G118,$B$14:$B$18,$D$14:$D$18),0)),IFERROR(OFFSET(D120,0,_xlfn.XLOOKUP($G118,$B$14:$B$18,$E$14:$E$18))*_xlfn.XLOOKUP($G118,$B$14:$B$18,$F$14:$F$18),0),B123)))</f>
        <v>15</v>
      </c>
      <c r="E123" s="198">
        <f t="shared" ref="E123" ca="1" si="397">IF($I118="N",E120,IF($G118="1. In Flight",1,$G$14)*MIN(MAX($C120:$L120)*_xlfn.XLOOKUP($G118,$B$14:$B$18,$F$14:$F$18),MAX(IF(IFERROR(OFFSET(E120,0,_xlfn.XLOOKUP($G118,$B$14:$B$18,$C$14:$C$18)),0)=MAX($C120:$L120),_xlfn.MINIFS($C120:$L120,$C120:$L120,"&gt;0")*_xlfn.XLOOKUP($G118,$B$14:$B$18,$D$14:$D$18),IFERROR(OFFSET(E120,0,_xlfn.XLOOKUP($G118,$B$14:$B$18,$C$14:$C$18))*_xlfn.XLOOKUP($G118,$B$14:$B$18,$D$14:$D$18),0)),IFERROR(OFFSET(E120,0,_xlfn.XLOOKUP($G118,$B$14:$B$18,$E$14:$E$18))*_xlfn.XLOOKUP($G118,$B$14:$B$18,$F$14:$F$18),0),C123)))</f>
        <v>15</v>
      </c>
      <c r="F123" s="198">
        <f t="shared" ref="F123" ca="1" si="398">IF($I118="N",F120,IF($G118="1. In Flight",1,$G$14)*MIN(MAX($C120:$L120)*_xlfn.XLOOKUP($G118,$B$14:$B$18,$F$14:$F$18),MAX(IF(IFERROR(OFFSET(F120,0,_xlfn.XLOOKUP($G118,$B$14:$B$18,$C$14:$C$18)),0)=MAX($C120:$L120),_xlfn.MINIFS($C120:$L120,$C120:$L120,"&gt;0")*_xlfn.XLOOKUP($G118,$B$14:$B$18,$D$14:$D$18),IFERROR(OFFSET(F120,0,_xlfn.XLOOKUP($G118,$B$14:$B$18,$C$14:$C$18))*_xlfn.XLOOKUP($G118,$B$14:$B$18,$D$14:$D$18),0)),IFERROR(OFFSET(F120,0,_xlfn.XLOOKUP($G118,$B$14:$B$18,$E$14:$E$18))*_xlfn.XLOOKUP($G118,$B$14:$B$18,$F$14:$F$18),0),D123)))</f>
        <v>15</v>
      </c>
      <c r="G123" s="198">
        <f t="shared" ref="G123" ca="1" si="399">IF($I118="N",G120,IF($G118="1. In Flight",1,$G$14)*MIN(MAX($C120:$L120)*_xlfn.XLOOKUP($G118,$B$14:$B$18,$F$14:$F$18),MAX(IF(IFERROR(OFFSET(G120,0,_xlfn.XLOOKUP($G118,$B$14:$B$18,$C$14:$C$18)),0)=MAX($C120:$L120),_xlfn.MINIFS($C120:$L120,$C120:$L120,"&gt;0")*_xlfn.XLOOKUP($G118,$B$14:$B$18,$D$14:$D$18),IFERROR(OFFSET(G120,0,_xlfn.XLOOKUP($G118,$B$14:$B$18,$C$14:$C$18))*_xlfn.XLOOKUP($G118,$B$14:$B$18,$D$14:$D$18),0)),IFERROR(OFFSET(G120,0,_xlfn.XLOOKUP($G118,$B$14:$B$18,$E$14:$E$18))*_xlfn.XLOOKUP($G118,$B$14:$B$18,$F$14:$F$18),0),E123)))</f>
        <v>15</v>
      </c>
      <c r="H123" s="198">
        <f t="shared" ref="H123" ca="1" si="400">IF($I118="N",H120,IF($G118="1. In Flight",1,$G$14)*MIN(MAX($C120:$L120)*_xlfn.XLOOKUP($G118,$B$14:$B$18,$F$14:$F$18),MAX(IF(IFERROR(OFFSET(H120,0,_xlfn.XLOOKUP($G118,$B$14:$B$18,$C$14:$C$18)),0)=MAX($C120:$L120),_xlfn.MINIFS($C120:$L120,$C120:$L120,"&gt;0")*_xlfn.XLOOKUP($G118,$B$14:$B$18,$D$14:$D$18),IFERROR(OFFSET(H120,0,_xlfn.XLOOKUP($G118,$B$14:$B$18,$C$14:$C$18))*_xlfn.XLOOKUP($G118,$B$14:$B$18,$D$14:$D$18),0)),IFERROR(OFFSET(H120,0,_xlfn.XLOOKUP($G118,$B$14:$B$18,$E$14:$E$18))*_xlfn.XLOOKUP($G118,$B$14:$B$18,$F$14:$F$18),0),F123)))</f>
        <v>15</v>
      </c>
      <c r="I123" s="198">
        <f t="shared" ref="I123" ca="1" si="401">IF($I118="N",I120,IF($G118="1. In Flight",1,$G$14)*MIN(MAX($C120:$L120)*_xlfn.XLOOKUP($G118,$B$14:$B$18,$F$14:$F$18),MAX(IF(IFERROR(OFFSET(I120,0,_xlfn.XLOOKUP($G118,$B$14:$B$18,$C$14:$C$18)),0)=MAX($C120:$L120),_xlfn.MINIFS($C120:$L120,$C120:$L120,"&gt;0")*_xlfn.XLOOKUP($G118,$B$14:$B$18,$D$14:$D$18),IFERROR(OFFSET(I120,0,_xlfn.XLOOKUP($G118,$B$14:$B$18,$C$14:$C$18))*_xlfn.XLOOKUP($G118,$B$14:$B$18,$D$14:$D$18),0)),IFERROR(OFFSET(I120,0,_xlfn.XLOOKUP($G118,$B$14:$B$18,$E$14:$E$18))*_xlfn.XLOOKUP($G118,$B$14:$B$18,$F$14:$F$18),0),G123)))</f>
        <v>15</v>
      </c>
      <c r="J123" s="198">
        <f t="shared" ref="J123" ca="1" si="402">IF($I118="N",J120,IF($G118="1. In Flight",1,$G$14)*MIN(MAX($C120:$L120)*_xlfn.XLOOKUP($G118,$B$14:$B$18,$F$14:$F$18),MAX(IF(IFERROR(OFFSET(J120,0,_xlfn.XLOOKUP($G118,$B$14:$B$18,$C$14:$C$18)),0)=MAX($C120:$L120),_xlfn.MINIFS($C120:$L120,$C120:$L120,"&gt;0")*_xlfn.XLOOKUP($G118,$B$14:$B$18,$D$14:$D$18),IFERROR(OFFSET(J120,0,_xlfn.XLOOKUP($G118,$B$14:$B$18,$C$14:$C$18))*_xlfn.XLOOKUP($G118,$B$14:$B$18,$D$14:$D$18),0)),IFERROR(OFFSET(J120,0,_xlfn.XLOOKUP($G118,$B$14:$B$18,$E$14:$E$18))*_xlfn.XLOOKUP($G118,$B$14:$B$18,$F$14:$F$18),0),H123)))</f>
        <v>15</v>
      </c>
      <c r="K123" s="198">
        <f t="shared" ref="K123" ca="1" si="403">IF($I118="N",K120,IF($G118="1. In Flight",1,$G$14)*MIN(MAX($C120:$L120)*_xlfn.XLOOKUP($G118,$B$14:$B$18,$F$14:$F$18),MAX(IF(IFERROR(OFFSET(K120,0,_xlfn.XLOOKUP($G118,$B$14:$B$18,$C$14:$C$18)),0)=MAX($C120:$L120),_xlfn.MINIFS($C120:$L120,$C120:$L120,"&gt;0")*_xlfn.XLOOKUP($G118,$B$14:$B$18,$D$14:$D$18),IFERROR(OFFSET(K120,0,_xlfn.XLOOKUP($G118,$B$14:$B$18,$C$14:$C$18))*_xlfn.XLOOKUP($G118,$B$14:$B$18,$D$14:$D$18),0)),IFERROR(OFFSET(K120,0,_xlfn.XLOOKUP($G118,$B$14:$B$18,$E$14:$E$18))*_xlfn.XLOOKUP($G118,$B$14:$B$18,$F$14:$F$18),0),I123)))</f>
        <v>15</v>
      </c>
      <c r="L123" s="198">
        <f t="shared" ref="L123" ca="1" si="404">IF($I118="N",L120,IF($G118="1. In Flight",1,$G$14)*MIN(MAX($C120:$L120)*_xlfn.XLOOKUP($G118,$B$14:$B$18,$F$14:$F$18),MAX(IF(IFERROR(OFFSET(L120,0,_xlfn.XLOOKUP($G118,$B$14:$B$18,$C$14:$C$18)),0)=MAX($C120:$L120),_xlfn.MINIFS($C120:$L120,$C120:$L120,"&gt;0")*_xlfn.XLOOKUP($G118,$B$14:$B$18,$D$14:$D$18),IFERROR(OFFSET(L120,0,_xlfn.XLOOKUP($G118,$B$14:$B$18,$C$14:$C$18))*_xlfn.XLOOKUP($G118,$B$14:$B$18,$D$14:$D$18),0)),IFERROR(OFFSET(L120,0,_xlfn.XLOOKUP($G118,$B$14:$B$18,$E$14:$E$18))*_xlfn.XLOOKUP($G118,$B$14:$B$18,$F$14:$F$18),0),J123)))</f>
        <v>15</v>
      </c>
      <c r="M123" s="9"/>
      <c r="N123" s="9"/>
    </row>
    <row r="124" spans="1:14" ht="15" thickTop="1"/>
    <row r="125" spans="1:14" ht="15" thickBot="1">
      <c r="A125" s="231">
        <f>_xlfn.XLOOKUP(F125,FEED!D:D,FEED!E:E,FALSE)</f>
        <v>0</v>
      </c>
      <c r="B125" s="232"/>
      <c r="C125" s="188" t="s">
        <v>110</v>
      </c>
      <c r="D125" s="189"/>
      <c r="E125" s="189"/>
      <c r="F125" s="189" t="s">
        <v>85</v>
      </c>
      <c r="G125" s="189" t="str">
        <f>IFERROR(_xlfn.XLOOKUP(F125,FEED!$D:$D,FEED!$S:$S),$B$8)</f>
        <v>1. In Flight</v>
      </c>
      <c r="H125" s="189" t="str">
        <f>IFERROR(_xlfn.XLOOKUP(F125,FEED!$D:$D,FEED!$Y:$Y),"Major Load")</f>
        <v>Major Load</v>
      </c>
      <c r="I125" s="189" t="str">
        <f>IFERROR(_xlfn.XLOOKUP(F125,FEED!$D:$D,FEED!$C:$C),"N")</f>
        <v>Y</v>
      </c>
      <c r="J125" s="190"/>
      <c r="K125" s="190"/>
      <c r="L125" s="190"/>
    </row>
    <row r="126" spans="1:14" ht="15" thickBot="1">
      <c r="A126" s="191" t="str">
        <f t="shared" ref="A126" si="405">A42</f>
        <v>Uptake Scenario</v>
      </c>
      <c r="B126" s="192">
        <f>B91</f>
        <v>2023</v>
      </c>
      <c r="C126" s="192">
        <f t="shared" ref="C126:L126" si="406">C91</f>
        <v>2024</v>
      </c>
      <c r="D126" s="192">
        <f t="shared" si="406"/>
        <v>2025</v>
      </c>
      <c r="E126" s="192">
        <f t="shared" si="406"/>
        <v>2026</v>
      </c>
      <c r="F126" s="192">
        <f t="shared" si="406"/>
        <v>2027</v>
      </c>
      <c r="G126" s="192">
        <f t="shared" si="406"/>
        <v>2028</v>
      </c>
      <c r="H126" s="192">
        <f t="shared" si="406"/>
        <v>2029</v>
      </c>
      <c r="I126" s="192">
        <f t="shared" si="406"/>
        <v>2030</v>
      </c>
      <c r="J126" s="192">
        <f t="shared" si="406"/>
        <v>2031</v>
      </c>
      <c r="K126" s="192">
        <f t="shared" si="406"/>
        <v>2032</v>
      </c>
      <c r="L126" s="192">
        <f t="shared" si="406"/>
        <v>2033</v>
      </c>
    </row>
    <row r="127" spans="1:14" ht="15.6" thickTop="1" thickBot="1">
      <c r="A127" s="193" t="s">
        <v>111</v>
      </c>
      <c r="B127" s="194">
        <v>0</v>
      </c>
      <c r="C127" s="194">
        <f>SUMIF(FEED!$D:$D,$F125,FEED!F:F)+B127</f>
        <v>0</v>
      </c>
      <c r="D127" s="194">
        <f>SUMIF(FEED!$D:$D,$F125,FEED!G:G)+C127</f>
        <v>0</v>
      </c>
      <c r="E127" s="194">
        <f>SUMIF(FEED!$D:$D,$F125,FEED!H:H)+D127</f>
        <v>0</v>
      </c>
      <c r="F127" s="194">
        <f>SUMIF(FEED!$D:$D,$F125,FEED!I:I)+E127</f>
        <v>0</v>
      </c>
      <c r="G127" s="194">
        <f>SUMIF(FEED!$D:$D,$F125,FEED!J:J)+F127</f>
        <v>14</v>
      </c>
      <c r="H127" s="194">
        <f>SUMIF(FEED!$D:$D,$F125,FEED!K:K)+G127</f>
        <v>14</v>
      </c>
      <c r="I127" s="194">
        <f>SUMIF(FEED!$D:$D,$F125,FEED!L:L)+H127</f>
        <v>14</v>
      </c>
      <c r="J127" s="194"/>
      <c r="K127" s="194"/>
      <c r="L127" s="194"/>
    </row>
    <row r="128" spans="1:14" ht="15" thickBot="1">
      <c r="A128" s="195" t="s">
        <v>107</v>
      </c>
      <c r="B128" s="196">
        <f>B127</f>
        <v>0</v>
      </c>
      <c r="C128" s="196">
        <f ca="1">IF($I125="N",C127,IF($G125="1. In Flight",1,$G$4)*MIN(MAX($C127:$L127)*_xlfn.XLOOKUP($G125,$B$4:$B$8,$F$4:$F$8),MAX(IF(IFERROR(OFFSET(C127,0,_xlfn.XLOOKUP($G125,$B$4:$B$8,$C$4:$C$8)),0)=MAX($C127:$L127),_xlfn.MINIFS($C127:$L127,$C127:$L127,"&gt;0")*_xlfn.XLOOKUP($G125,$B$4:$B$8,$D$4:$D$8),IFERROR(OFFSET(C127,0,_xlfn.XLOOKUP($G125,$B$4:$B$8,$C$4:$C$8))*_xlfn.XLOOKUP($G125,$B$4:$B$8,$D$4:$D$8),0)),IFERROR(OFFSET(C127,0,_xlfn.XLOOKUP($G125,$B$4:$B$8,$E$4:$E$8))*_xlfn.XLOOKUP($G125,$B$4:$B$8,$F$4:$F$8),0),A128)))</f>
        <v>0</v>
      </c>
      <c r="D128" s="196">
        <f t="shared" ref="D128" ca="1" si="407">IF($I125="N",D127,IF($G125="1. In Flight",1,$G$4)*MIN(MAX($C127:$L127)*_xlfn.XLOOKUP($G125,$B$4:$B$8,$F$4:$F$8),MAX(IF(IFERROR(OFFSET(D127,0,_xlfn.XLOOKUP($G125,$B$4:$B$8,$C$4:$C$8)),0)=MAX($C127:$L127),_xlfn.MINIFS($C127:$L127,$C127:$L127,"&gt;0")*_xlfn.XLOOKUP($G125,$B$4:$B$8,$D$4:$D$8),IFERROR(OFFSET(D127,0,_xlfn.XLOOKUP($G125,$B$4:$B$8,$C$4:$C$8))*_xlfn.XLOOKUP($G125,$B$4:$B$8,$D$4:$D$8),0)),IFERROR(OFFSET(D127,0,_xlfn.XLOOKUP($G125,$B$4:$B$8,$E$4:$E$8))*_xlfn.XLOOKUP($G125,$B$4:$B$8,$F$4:$F$8),0),B128)))</f>
        <v>0</v>
      </c>
      <c r="E128" s="196">
        <f t="shared" ref="E128" ca="1" si="408">IF($I125="N",E127,IF($G125="1. In Flight",1,$G$4)*MIN(MAX($C127:$L127)*_xlfn.XLOOKUP($G125,$B$4:$B$8,$F$4:$F$8),MAX(IF(IFERROR(OFFSET(E127,0,_xlfn.XLOOKUP($G125,$B$4:$B$8,$C$4:$C$8)),0)=MAX($C127:$L127),_xlfn.MINIFS($C127:$L127,$C127:$L127,"&gt;0")*_xlfn.XLOOKUP($G125,$B$4:$B$8,$D$4:$D$8),IFERROR(OFFSET(E127,0,_xlfn.XLOOKUP($G125,$B$4:$B$8,$C$4:$C$8))*_xlfn.XLOOKUP($G125,$B$4:$B$8,$D$4:$D$8),0)),IFERROR(OFFSET(E127,0,_xlfn.XLOOKUP($G125,$B$4:$B$8,$E$4:$E$8))*_xlfn.XLOOKUP($G125,$B$4:$B$8,$F$4:$F$8),0),C128)))</f>
        <v>0</v>
      </c>
      <c r="F128" s="196">
        <f t="shared" ref="F128" ca="1" si="409">IF($I125="N",F127,IF($G125="1. In Flight",1,$G$4)*MIN(MAX($C127:$L127)*_xlfn.XLOOKUP($G125,$B$4:$B$8,$F$4:$F$8),MAX(IF(IFERROR(OFFSET(F127,0,_xlfn.XLOOKUP($G125,$B$4:$B$8,$C$4:$C$8)),0)=MAX($C127:$L127),_xlfn.MINIFS($C127:$L127,$C127:$L127,"&gt;0")*_xlfn.XLOOKUP($G125,$B$4:$B$8,$D$4:$D$8),IFERROR(OFFSET(F127,0,_xlfn.XLOOKUP($G125,$B$4:$B$8,$C$4:$C$8))*_xlfn.XLOOKUP($G125,$B$4:$B$8,$D$4:$D$8),0)),IFERROR(OFFSET(F127,0,_xlfn.XLOOKUP($G125,$B$4:$B$8,$E$4:$E$8))*_xlfn.XLOOKUP($G125,$B$4:$B$8,$F$4:$F$8),0),D128)))</f>
        <v>0</v>
      </c>
      <c r="G128" s="196">
        <f t="shared" ref="G128" ca="1" si="410">IF($I125="N",G127,IF($G125="1. In Flight",1,$G$4)*MIN(MAX($C127:$L127)*_xlfn.XLOOKUP($G125,$B$4:$B$8,$F$4:$F$8),MAX(IF(IFERROR(OFFSET(G127,0,_xlfn.XLOOKUP($G125,$B$4:$B$8,$C$4:$C$8)),0)=MAX($C127:$L127),_xlfn.MINIFS($C127:$L127,$C127:$L127,"&gt;0")*_xlfn.XLOOKUP($G125,$B$4:$B$8,$D$4:$D$8),IFERROR(OFFSET(G127,0,_xlfn.XLOOKUP($G125,$B$4:$B$8,$C$4:$C$8))*_xlfn.XLOOKUP($G125,$B$4:$B$8,$D$4:$D$8),0)),IFERROR(OFFSET(G127,0,_xlfn.XLOOKUP($G125,$B$4:$B$8,$E$4:$E$8))*_xlfn.XLOOKUP($G125,$B$4:$B$8,$F$4:$F$8),0),E128)))</f>
        <v>0</v>
      </c>
      <c r="H128" s="196">
        <f t="shared" ref="H128" ca="1" si="411">IF($I125="N",H127,IF($G125="1. In Flight",1,$G$4)*MIN(MAX($C127:$L127)*_xlfn.XLOOKUP($G125,$B$4:$B$8,$F$4:$F$8),MAX(IF(IFERROR(OFFSET(H127,0,_xlfn.XLOOKUP($G125,$B$4:$B$8,$C$4:$C$8)),0)=MAX($C127:$L127),_xlfn.MINIFS($C127:$L127,$C127:$L127,"&gt;0")*_xlfn.XLOOKUP($G125,$B$4:$B$8,$D$4:$D$8),IFERROR(OFFSET(H127,0,_xlfn.XLOOKUP($G125,$B$4:$B$8,$C$4:$C$8))*_xlfn.XLOOKUP($G125,$B$4:$B$8,$D$4:$D$8),0)),IFERROR(OFFSET(H127,0,_xlfn.XLOOKUP($G125,$B$4:$B$8,$E$4:$E$8))*_xlfn.XLOOKUP($G125,$B$4:$B$8,$F$4:$F$8),0),F128)))</f>
        <v>9.7999999999999989</v>
      </c>
      <c r="I128" s="196">
        <f t="shared" ref="I128" ca="1" si="412">IF($I125="N",I127,IF($G125="1. In Flight",1,$G$4)*MIN(MAX($C127:$L127)*_xlfn.XLOOKUP($G125,$B$4:$B$8,$F$4:$F$8),MAX(IF(IFERROR(OFFSET(I127,0,_xlfn.XLOOKUP($G125,$B$4:$B$8,$C$4:$C$8)),0)=MAX($C127:$L127),_xlfn.MINIFS($C127:$L127,$C127:$L127,"&gt;0")*_xlfn.XLOOKUP($G125,$B$4:$B$8,$D$4:$D$8),IFERROR(OFFSET(I127,0,_xlfn.XLOOKUP($G125,$B$4:$B$8,$C$4:$C$8))*_xlfn.XLOOKUP($G125,$B$4:$B$8,$D$4:$D$8),0)),IFERROR(OFFSET(I127,0,_xlfn.XLOOKUP($G125,$B$4:$B$8,$E$4:$E$8))*_xlfn.XLOOKUP($G125,$B$4:$B$8,$F$4:$F$8),0),G128)))</f>
        <v>9.7999999999999989</v>
      </c>
      <c r="J128" s="194"/>
      <c r="K128" s="194"/>
      <c r="L128" s="194"/>
    </row>
    <row r="129" spans="1:12" ht="15" thickBot="1">
      <c r="A129" s="195" t="s">
        <v>108</v>
      </c>
      <c r="B129" s="196">
        <f>B127</f>
        <v>0</v>
      </c>
      <c r="C129" s="196">
        <f ca="1">IF($I125="N",C127,IF($G125="1. In Flight",1,$G$9)*MIN(MAX($C127:$L127)*_xlfn.XLOOKUP($G125,$B$9:$B$13,$F$9:$F$13),MAX(IF(IFERROR(OFFSET(C127,0,_xlfn.XLOOKUP($G125,$B$9:$B$13,$C$9:$C$13)),0)=MAX($C127:$L127),_xlfn.MINIFS($C127:$L127,$C127:$L127,"&gt;0")*_xlfn.XLOOKUP($G125,$B$9:$B$13,$D$9:$D$13),IFERROR(OFFSET(C127,0,_xlfn.XLOOKUP($G125,$B$9:$B$13,$C$9:$C$13))*_xlfn.XLOOKUP($G125,$B$9:$B$13,$D$9:$D$13),0)),IFERROR(OFFSET(C127,0,_xlfn.XLOOKUP($G125,$B$9:$B$13,$E$9:$E$13))*_xlfn.XLOOKUP($G125,$B$9:$B$13,$F$9:$F$13),0),A129)))</f>
        <v>0</v>
      </c>
      <c r="D129" s="196">
        <f t="shared" ref="D129" ca="1" si="413">IF($I125="N",D127,IF($G125="1. In Flight",1,$G$9)*MIN(MAX($C127:$L127)*_xlfn.XLOOKUP($G125,$B$9:$B$13,$F$9:$F$13),MAX(IF(IFERROR(OFFSET(D127,0,_xlfn.XLOOKUP($G125,$B$9:$B$13,$C$9:$C$13)),0)=MAX($C127:$L127),_xlfn.MINIFS($C127:$L127,$C127:$L127,"&gt;0")*_xlfn.XLOOKUP($G125,$B$9:$B$13,$D$9:$D$13),IFERROR(OFFSET(D127,0,_xlfn.XLOOKUP($G125,$B$9:$B$13,$C$9:$C$13))*_xlfn.XLOOKUP($G125,$B$9:$B$13,$D$9:$D$13),0)),IFERROR(OFFSET(D127,0,_xlfn.XLOOKUP($G125,$B$9:$B$13,$E$9:$E$13))*_xlfn.XLOOKUP($G125,$B$9:$B$13,$F$9:$F$13),0),B129)))</f>
        <v>0</v>
      </c>
      <c r="E129" s="196">
        <f t="shared" ref="E129" ca="1" si="414">IF($I125="N",E127,IF($G125="1. In Flight",1,$G$9)*MIN(MAX($C127:$L127)*_xlfn.XLOOKUP($G125,$B$9:$B$13,$F$9:$F$13),MAX(IF(IFERROR(OFFSET(E127,0,_xlfn.XLOOKUP($G125,$B$9:$B$13,$C$9:$C$13)),0)=MAX($C127:$L127),_xlfn.MINIFS($C127:$L127,$C127:$L127,"&gt;0")*_xlfn.XLOOKUP($G125,$B$9:$B$13,$D$9:$D$13),IFERROR(OFFSET(E127,0,_xlfn.XLOOKUP($G125,$B$9:$B$13,$C$9:$C$13))*_xlfn.XLOOKUP($G125,$B$9:$B$13,$D$9:$D$13),0)),IFERROR(OFFSET(E127,0,_xlfn.XLOOKUP($G125,$B$9:$B$13,$E$9:$E$13))*_xlfn.XLOOKUP($G125,$B$9:$B$13,$F$9:$F$13),0),C129)))</f>
        <v>0</v>
      </c>
      <c r="F129" s="196">
        <f t="shared" ref="F129" ca="1" si="415">IF($I125="N",F127,IF($G125="1. In Flight",1,$G$9)*MIN(MAX($C127:$L127)*_xlfn.XLOOKUP($G125,$B$9:$B$13,$F$9:$F$13),MAX(IF(IFERROR(OFFSET(F127,0,_xlfn.XLOOKUP($G125,$B$9:$B$13,$C$9:$C$13)),0)=MAX($C127:$L127),_xlfn.MINIFS($C127:$L127,$C127:$L127,"&gt;0")*_xlfn.XLOOKUP($G125,$B$9:$B$13,$D$9:$D$13),IFERROR(OFFSET(F127,0,_xlfn.XLOOKUP($G125,$B$9:$B$13,$C$9:$C$13))*_xlfn.XLOOKUP($G125,$B$9:$B$13,$D$9:$D$13),0)),IFERROR(OFFSET(F127,0,_xlfn.XLOOKUP($G125,$B$9:$B$13,$E$9:$E$13))*_xlfn.XLOOKUP($G125,$B$9:$B$13,$F$9:$F$13),0),D129)))</f>
        <v>0</v>
      </c>
      <c r="G129" s="196">
        <f t="shared" ref="G129" ca="1" si="416">IF($I125="N",G127,IF($G125="1. In Flight",1,$G$9)*MIN(MAX($C127:$L127)*_xlfn.XLOOKUP($G125,$B$9:$B$13,$F$9:$F$13),MAX(IF(IFERROR(OFFSET(G127,0,_xlfn.XLOOKUP($G125,$B$9:$B$13,$C$9:$C$13)),0)=MAX($C127:$L127),_xlfn.MINIFS($C127:$L127,$C127:$L127,"&gt;0")*_xlfn.XLOOKUP($G125,$B$9:$B$13,$D$9:$D$13),IFERROR(OFFSET(G127,0,_xlfn.XLOOKUP($G125,$B$9:$B$13,$C$9:$C$13))*_xlfn.XLOOKUP($G125,$B$9:$B$13,$D$9:$D$13),0)),IFERROR(OFFSET(G127,0,_xlfn.XLOOKUP($G125,$B$9:$B$13,$E$9:$E$13))*_xlfn.XLOOKUP($G125,$B$9:$B$13,$F$9:$F$13),0),E129)))</f>
        <v>0</v>
      </c>
      <c r="H129" s="196">
        <f t="shared" ref="H129" ca="1" si="417">IF($I125="N",H127,IF($G125="1. In Flight",1,$G$9)*MIN(MAX($C127:$L127)*_xlfn.XLOOKUP($G125,$B$9:$B$13,$F$9:$F$13),MAX(IF(IFERROR(OFFSET(H127,0,_xlfn.XLOOKUP($G125,$B$9:$B$13,$C$9:$C$13)),0)=MAX($C127:$L127),_xlfn.MINIFS($C127:$L127,$C127:$L127,"&gt;0")*_xlfn.XLOOKUP($G125,$B$9:$B$13,$D$9:$D$13),IFERROR(OFFSET(H127,0,_xlfn.XLOOKUP($G125,$B$9:$B$13,$C$9:$C$13))*_xlfn.XLOOKUP($G125,$B$9:$B$13,$D$9:$D$13),0)),IFERROR(OFFSET(H127,0,_xlfn.XLOOKUP($G125,$B$9:$B$13,$E$9:$E$13))*_xlfn.XLOOKUP($G125,$B$9:$B$13,$F$9:$F$13),0),F129)))</f>
        <v>0</v>
      </c>
      <c r="I129" s="196">
        <f t="shared" ref="I129" ca="1" si="418">IF($I125="N",I127,IF($G125="1. In Flight",1,$G$9)*MIN(MAX($C127:$L127)*_xlfn.XLOOKUP($G125,$B$9:$B$13,$F$9:$F$13),MAX(IF(IFERROR(OFFSET(I127,0,_xlfn.XLOOKUP($G125,$B$9:$B$13,$C$9:$C$13)),0)=MAX($C127:$L127),_xlfn.MINIFS($C127:$L127,$C127:$L127,"&gt;0")*_xlfn.XLOOKUP($G125,$B$9:$B$13,$D$9:$D$13),IFERROR(OFFSET(I127,0,_xlfn.XLOOKUP($G125,$B$9:$B$13,$C$9:$C$13))*_xlfn.XLOOKUP($G125,$B$9:$B$13,$D$9:$D$13),0)),IFERROR(OFFSET(I127,0,_xlfn.XLOOKUP($G125,$B$9:$B$13,$E$9:$E$13))*_xlfn.XLOOKUP($G125,$B$9:$B$13,$F$9:$F$13),0),G129)))</f>
        <v>8.4</v>
      </c>
      <c r="J129" s="194"/>
      <c r="K129" s="194"/>
      <c r="L129" s="194"/>
    </row>
    <row r="130" spans="1:12" ht="15" thickBot="1">
      <c r="A130" s="197" t="s">
        <v>109</v>
      </c>
      <c r="B130" s="198">
        <f>B127</f>
        <v>0</v>
      </c>
      <c r="C130" s="198">
        <f ca="1">IF($I125="N",C127,IF($G125="1. In Flight",1,$G$14)*MIN(MAX($C127:$L127)*_xlfn.XLOOKUP($G125,$B$14:$B$18,$F$14:$F$18),MAX(IF(IFERROR(OFFSET(C127,0,_xlfn.XLOOKUP($G125,$B$14:$B$18,$C$14:$C$18)),0)=MAX($C127:$L127),_xlfn.MINIFS($C127:$L127,$C127:$L127,"&gt;0")*_xlfn.XLOOKUP($G125,$B$14:$B$18,$D$14:$D$18),IFERROR(OFFSET(C127,0,_xlfn.XLOOKUP($G125,$B$14:$B$18,$C$14:$C$18))*_xlfn.XLOOKUP($G125,$B$14:$B$18,$D$14:$D$18),0)),IFERROR(OFFSET(C127,0,_xlfn.XLOOKUP($G125,$B$14:$B$18,$E$14:$E$18))*_xlfn.XLOOKUP($G125,$B$14:$B$18,$F$14:$F$18),0),A130)))</f>
        <v>0</v>
      </c>
      <c r="D130" s="198">
        <f t="shared" ref="D130" ca="1" si="419">IF($I125="N",D127,IF($G125="1. In Flight",1,$G$14)*MIN(MAX($C127:$L127)*_xlfn.XLOOKUP($G125,$B$14:$B$18,$F$14:$F$18),MAX(IF(IFERROR(OFFSET(D127,0,_xlfn.XLOOKUP($G125,$B$14:$B$18,$C$14:$C$18)),0)=MAX($C127:$L127),_xlfn.MINIFS($C127:$L127,$C127:$L127,"&gt;0")*_xlfn.XLOOKUP($G125,$B$14:$B$18,$D$14:$D$18),IFERROR(OFFSET(D127,0,_xlfn.XLOOKUP($G125,$B$14:$B$18,$C$14:$C$18))*_xlfn.XLOOKUP($G125,$B$14:$B$18,$D$14:$D$18),0)),IFERROR(OFFSET(D127,0,_xlfn.XLOOKUP($G125,$B$14:$B$18,$E$14:$E$18))*_xlfn.XLOOKUP($G125,$B$14:$B$18,$F$14:$F$18),0),B130)))</f>
        <v>0</v>
      </c>
      <c r="E130" s="198">
        <f t="shared" ref="E130" ca="1" si="420">IF($I125="N",E127,IF($G125="1. In Flight",1,$G$14)*MIN(MAX($C127:$L127)*_xlfn.XLOOKUP($G125,$B$14:$B$18,$F$14:$F$18),MAX(IF(IFERROR(OFFSET(E127,0,_xlfn.XLOOKUP($G125,$B$14:$B$18,$C$14:$C$18)),0)=MAX($C127:$L127),_xlfn.MINIFS($C127:$L127,$C127:$L127,"&gt;0")*_xlfn.XLOOKUP($G125,$B$14:$B$18,$D$14:$D$18),IFERROR(OFFSET(E127,0,_xlfn.XLOOKUP($G125,$B$14:$B$18,$C$14:$C$18))*_xlfn.XLOOKUP($G125,$B$14:$B$18,$D$14:$D$18),0)),IFERROR(OFFSET(E127,0,_xlfn.XLOOKUP($G125,$B$14:$B$18,$E$14:$E$18))*_xlfn.XLOOKUP($G125,$B$14:$B$18,$F$14:$F$18),0),C130)))</f>
        <v>0</v>
      </c>
      <c r="F130" s="198">
        <f t="shared" ref="F130" ca="1" si="421">IF($I125="N",F127,IF($G125="1. In Flight",1,$G$14)*MIN(MAX($C127:$L127)*_xlfn.XLOOKUP($G125,$B$14:$B$18,$F$14:$F$18),MAX(IF(IFERROR(OFFSET(F127,0,_xlfn.XLOOKUP($G125,$B$14:$B$18,$C$14:$C$18)),0)=MAX($C127:$L127),_xlfn.MINIFS($C127:$L127,$C127:$L127,"&gt;0")*_xlfn.XLOOKUP($G125,$B$14:$B$18,$D$14:$D$18),IFERROR(OFFSET(F127,0,_xlfn.XLOOKUP($G125,$B$14:$B$18,$C$14:$C$18))*_xlfn.XLOOKUP($G125,$B$14:$B$18,$D$14:$D$18),0)),IFERROR(OFFSET(F127,0,_xlfn.XLOOKUP($G125,$B$14:$B$18,$E$14:$E$18))*_xlfn.XLOOKUP($G125,$B$14:$B$18,$F$14:$F$18),0),D130)))</f>
        <v>0</v>
      </c>
      <c r="G130" s="198">
        <f t="shared" ref="G130" ca="1" si="422">IF($I125="N",G127,IF($G125="1. In Flight",1,$G$14)*MIN(MAX($C127:$L127)*_xlfn.XLOOKUP($G125,$B$14:$B$18,$F$14:$F$18),MAX(IF(IFERROR(OFFSET(G127,0,_xlfn.XLOOKUP($G125,$B$14:$B$18,$C$14:$C$18)),0)=MAX($C127:$L127),_xlfn.MINIFS($C127:$L127,$C127:$L127,"&gt;0")*_xlfn.XLOOKUP($G125,$B$14:$B$18,$D$14:$D$18),IFERROR(OFFSET(G127,0,_xlfn.XLOOKUP($G125,$B$14:$B$18,$C$14:$C$18))*_xlfn.XLOOKUP($G125,$B$14:$B$18,$D$14:$D$18),0)),IFERROR(OFFSET(G127,0,_xlfn.XLOOKUP($G125,$B$14:$B$18,$E$14:$E$18))*_xlfn.XLOOKUP($G125,$B$14:$B$18,$F$14:$F$18),0),E130)))</f>
        <v>14</v>
      </c>
      <c r="H130" s="198">
        <f t="shared" ref="H130" ca="1" si="423">IF($I125="N",H127,IF($G125="1. In Flight",1,$G$14)*MIN(MAX($C127:$L127)*_xlfn.XLOOKUP($G125,$B$14:$B$18,$F$14:$F$18),MAX(IF(IFERROR(OFFSET(H127,0,_xlfn.XLOOKUP($G125,$B$14:$B$18,$C$14:$C$18)),0)=MAX($C127:$L127),_xlfn.MINIFS($C127:$L127,$C127:$L127,"&gt;0")*_xlfn.XLOOKUP($G125,$B$14:$B$18,$D$14:$D$18),IFERROR(OFFSET(H127,0,_xlfn.XLOOKUP($G125,$B$14:$B$18,$C$14:$C$18))*_xlfn.XLOOKUP($G125,$B$14:$B$18,$D$14:$D$18),0)),IFERROR(OFFSET(H127,0,_xlfn.XLOOKUP($G125,$B$14:$B$18,$E$14:$E$18))*_xlfn.XLOOKUP($G125,$B$14:$B$18,$F$14:$F$18),0),F130)))</f>
        <v>14</v>
      </c>
      <c r="I130" s="198">
        <f t="shared" ref="I130" ca="1" si="424">IF($I125="N",I127,IF($G125="1. In Flight",1,$G$14)*MIN(MAX($C127:$L127)*_xlfn.XLOOKUP($G125,$B$14:$B$18,$F$14:$F$18),MAX(IF(IFERROR(OFFSET(I127,0,_xlfn.XLOOKUP($G125,$B$14:$B$18,$C$14:$C$18)),0)=MAX($C127:$L127),_xlfn.MINIFS($C127:$L127,$C127:$L127,"&gt;0")*_xlfn.XLOOKUP($G125,$B$14:$B$18,$D$14:$D$18),IFERROR(OFFSET(I127,0,_xlfn.XLOOKUP($G125,$B$14:$B$18,$C$14:$C$18))*_xlfn.XLOOKUP($G125,$B$14:$B$18,$D$14:$D$18),0)),IFERROR(OFFSET(I127,0,_xlfn.XLOOKUP($G125,$B$14:$B$18,$E$14:$E$18))*_xlfn.XLOOKUP($G125,$B$14:$B$18,$F$14:$F$18),0),G130)))</f>
        <v>14</v>
      </c>
      <c r="J130" s="194"/>
      <c r="K130" s="194"/>
      <c r="L130" s="194"/>
    </row>
    <row r="131" spans="1:12" ht="15" thickTop="1">
      <c r="A131" s="50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</row>
    <row r="132" spans="1:12" ht="15" thickBot="1">
      <c r="A132" s="231">
        <f>_xlfn.XLOOKUP(F132,FEED!D:D,FEED!E:E,FALSE)</f>
        <v>0</v>
      </c>
      <c r="B132" s="232"/>
      <c r="C132" s="188"/>
      <c r="D132" s="189" t="s">
        <v>114</v>
      </c>
      <c r="E132" s="189" t="s">
        <v>115</v>
      </c>
      <c r="F132" s="189" t="s">
        <v>86</v>
      </c>
      <c r="G132" s="189" t="str">
        <f>IFERROR(_xlfn.XLOOKUP(F132,FEED!$D:$D,FEED!$S:$S),$B$8)</f>
        <v>4. Low</v>
      </c>
      <c r="H132" s="189" t="str">
        <f>IFERROR(_xlfn.XLOOKUP(F132,FEED!$D:$D,FEED!$Y:$Y),"Major Load")</f>
        <v>Major Load</v>
      </c>
      <c r="I132" s="189" t="str">
        <f>IFERROR(_xlfn.XLOOKUP(F132,FEED!$D:$D,FEED!$C:$C),"N")</f>
        <v>Y</v>
      </c>
      <c r="J132" s="190"/>
      <c r="K132" s="190"/>
      <c r="L132" s="190"/>
    </row>
    <row r="133" spans="1:12" ht="15" thickBot="1">
      <c r="A133" s="191" t="str">
        <f t="shared" ref="A133" si="425">A49</f>
        <v>Uptake Scenario</v>
      </c>
      <c r="B133" s="192">
        <f>B98</f>
        <v>2023</v>
      </c>
      <c r="C133" s="192">
        <f t="shared" ref="C133:L133" si="426">C98</f>
        <v>2024</v>
      </c>
      <c r="D133" s="192">
        <f t="shared" si="426"/>
        <v>2025</v>
      </c>
      <c r="E133" s="192">
        <f t="shared" si="426"/>
        <v>2026</v>
      </c>
      <c r="F133" s="192">
        <f t="shared" si="426"/>
        <v>2027</v>
      </c>
      <c r="G133" s="192">
        <f t="shared" si="426"/>
        <v>2028</v>
      </c>
      <c r="H133" s="192">
        <f t="shared" si="426"/>
        <v>2029</v>
      </c>
      <c r="I133" s="192">
        <f t="shared" si="426"/>
        <v>2030</v>
      </c>
      <c r="J133" s="192">
        <f t="shared" si="426"/>
        <v>2031</v>
      </c>
      <c r="K133" s="192">
        <f t="shared" si="426"/>
        <v>2032</v>
      </c>
      <c r="L133" s="192">
        <f t="shared" si="426"/>
        <v>2033</v>
      </c>
    </row>
    <row r="134" spans="1:12" ht="15.6" thickTop="1" thickBot="1">
      <c r="A134" s="193" t="s">
        <v>111</v>
      </c>
      <c r="B134" s="194">
        <v>0</v>
      </c>
      <c r="C134" s="194">
        <f>SUMIF(FEED!$D:$D,$F132,FEED!F:F)+B134</f>
        <v>0</v>
      </c>
      <c r="D134" s="194">
        <f>SUMIF(FEED!$D:$D,$F132,FEED!G:G)+C134</f>
        <v>0</v>
      </c>
      <c r="E134" s="194">
        <f>SUMIF(FEED!$D:$D,$F132,FEED!H:H)+D134</f>
        <v>0</v>
      </c>
      <c r="F134" s="194">
        <f>SUMIF(FEED!$D:$D,$F132,FEED!I:I)+E134</f>
        <v>0</v>
      </c>
      <c r="G134" s="194">
        <f>SUMIF(FEED!$D:$D,$F132,FEED!J:J)+F134</f>
        <v>0</v>
      </c>
      <c r="H134" s="194">
        <f>SUMIF(FEED!$D:$D,$F132,FEED!K:K)+G134</f>
        <v>0</v>
      </c>
      <c r="I134" s="194">
        <f>SUMIF(FEED!$D:$D,$F132,FEED!L:L)+H134</f>
        <v>0</v>
      </c>
      <c r="J134" s="194">
        <f>SUMIF(FEED!$D:$D,$F132,FEED!M:M)+I134</f>
        <v>20.8</v>
      </c>
      <c r="K134" s="194">
        <f>SUMIF(FEED!$D:$D,$F132,FEED!N:N)+J134</f>
        <v>27.6</v>
      </c>
      <c r="L134" s="194">
        <f>SUMIF(FEED!$D:$D,$F132,FEED!O:O)+K134</f>
        <v>34.4</v>
      </c>
    </row>
    <row r="135" spans="1:12" ht="15" thickBot="1">
      <c r="A135" s="195" t="s">
        <v>107</v>
      </c>
      <c r="B135" s="196">
        <f>B134</f>
        <v>0</v>
      </c>
      <c r="C135" s="196">
        <f ca="1">IF($I132="N",C134,IF($G132="1. In Flight",1,$G$4)*MIN(MAX($C134:$L134)*_xlfn.XLOOKUP($G132,$B$4:$B$8,$F$4:$F$8),MAX(IF(IFERROR(OFFSET(C134,0,_xlfn.XLOOKUP($G132,$B$4:$B$8,$C$4:$C$8)),0)=MAX($C134:$L134),_xlfn.MINIFS($C134:$L134,$C134:$L134,"&gt;0")*_xlfn.XLOOKUP($G132,$B$4:$B$8,$D$4:$D$8),IFERROR(OFFSET(C134,0,_xlfn.XLOOKUP($G132,$B$4:$B$8,$C$4:$C$8))*_xlfn.XLOOKUP($G132,$B$4:$B$8,$D$4:$D$8),0)),IFERROR(OFFSET(C134,0,_xlfn.XLOOKUP($G132,$B$4:$B$8,$E$4:$E$8))*_xlfn.XLOOKUP($G132,$B$4:$B$8,$F$4:$F$8),0),A135)))</f>
        <v>0</v>
      </c>
      <c r="D135" s="196">
        <f t="shared" ref="D135" ca="1" si="427">IF($I132="N",D134,IF($G132="1. In Flight",1,$G$4)*MIN(MAX($C134:$L134)*_xlfn.XLOOKUP($G132,$B$4:$B$8,$F$4:$F$8),MAX(IF(IFERROR(OFFSET(D134,0,_xlfn.XLOOKUP($G132,$B$4:$B$8,$C$4:$C$8)),0)=MAX($C134:$L134),_xlfn.MINIFS($C134:$L134,$C134:$L134,"&gt;0")*_xlfn.XLOOKUP($G132,$B$4:$B$8,$D$4:$D$8),IFERROR(OFFSET(D134,0,_xlfn.XLOOKUP($G132,$B$4:$B$8,$C$4:$C$8))*_xlfn.XLOOKUP($G132,$B$4:$B$8,$D$4:$D$8),0)),IFERROR(OFFSET(D134,0,_xlfn.XLOOKUP($G132,$B$4:$B$8,$E$4:$E$8))*_xlfn.XLOOKUP($G132,$B$4:$B$8,$F$4:$F$8),0),B135)))</f>
        <v>0</v>
      </c>
      <c r="E135" s="196">
        <f t="shared" ref="E135" ca="1" si="428">IF($I132="N",E134,IF($G132="1. In Flight",1,$G$4)*MIN(MAX($C134:$L134)*_xlfn.XLOOKUP($G132,$B$4:$B$8,$F$4:$F$8),MAX(IF(IFERROR(OFFSET(E134,0,_xlfn.XLOOKUP($G132,$B$4:$B$8,$C$4:$C$8)),0)=MAX($C134:$L134),_xlfn.MINIFS($C134:$L134,$C134:$L134,"&gt;0")*_xlfn.XLOOKUP($G132,$B$4:$B$8,$D$4:$D$8),IFERROR(OFFSET(E134,0,_xlfn.XLOOKUP($G132,$B$4:$B$8,$C$4:$C$8))*_xlfn.XLOOKUP($G132,$B$4:$B$8,$D$4:$D$8),0)),IFERROR(OFFSET(E134,0,_xlfn.XLOOKUP($G132,$B$4:$B$8,$E$4:$E$8))*_xlfn.XLOOKUP($G132,$B$4:$B$8,$F$4:$F$8),0),C135)))</f>
        <v>0</v>
      </c>
      <c r="F135" s="196">
        <f t="shared" ref="F135" ca="1" si="429">IF($I132="N",F134,IF($G132="1. In Flight",1,$G$4)*MIN(MAX($C134:$L134)*_xlfn.XLOOKUP($G132,$B$4:$B$8,$F$4:$F$8),MAX(IF(IFERROR(OFFSET(F134,0,_xlfn.XLOOKUP($G132,$B$4:$B$8,$C$4:$C$8)),0)=MAX($C134:$L134),_xlfn.MINIFS($C134:$L134,$C134:$L134,"&gt;0")*_xlfn.XLOOKUP($G132,$B$4:$B$8,$D$4:$D$8),IFERROR(OFFSET(F134,0,_xlfn.XLOOKUP($G132,$B$4:$B$8,$C$4:$C$8))*_xlfn.XLOOKUP($G132,$B$4:$B$8,$D$4:$D$8),0)),IFERROR(OFFSET(F134,0,_xlfn.XLOOKUP($G132,$B$4:$B$8,$E$4:$E$8))*_xlfn.XLOOKUP($G132,$B$4:$B$8,$F$4:$F$8),0),D135)))</f>
        <v>0</v>
      </c>
      <c r="G135" s="196">
        <f t="shared" ref="G135" ca="1" si="430">IF($I132="N",G134,IF($G132="1. In Flight",1,$G$4)*MIN(MAX($C134:$L134)*_xlfn.XLOOKUP($G132,$B$4:$B$8,$F$4:$F$8),MAX(IF(IFERROR(OFFSET(G134,0,_xlfn.XLOOKUP($G132,$B$4:$B$8,$C$4:$C$8)),0)=MAX($C134:$L134),_xlfn.MINIFS($C134:$L134,$C134:$L134,"&gt;0")*_xlfn.XLOOKUP($G132,$B$4:$B$8,$D$4:$D$8),IFERROR(OFFSET(G134,0,_xlfn.XLOOKUP($G132,$B$4:$B$8,$C$4:$C$8))*_xlfn.XLOOKUP($G132,$B$4:$B$8,$D$4:$D$8),0)),IFERROR(OFFSET(G134,0,_xlfn.XLOOKUP($G132,$B$4:$B$8,$E$4:$E$8))*_xlfn.XLOOKUP($G132,$B$4:$B$8,$F$4:$F$8),0),E135)))</f>
        <v>0</v>
      </c>
      <c r="H135" s="196">
        <f t="shared" ref="H135" ca="1" si="431">IF($I132="N",H134,IF($G132="1. In Flight",1,$G$4)*MIN(MAX($C134:$L134)*_xlfn.XLOOKUP($G132,$B$4:$B$8,$F$4:$F$8),MAX(IF(IFERROR(OFFSET(H134,0,_xlfn.XLOOKUP($G132,$B$4:$B$8,$C$4:$C$8)),0)=MAX($C134:$L134),_xlfn.MINIFS($C134:$L134,$C134:$L134,"&gt;0")*_xlfn.XLOOKUP($G132,$B$4:$B$8,$D$4:$D$8),IFERROR(OFFSET(H134,0,_xlfn.XLOOKUP($G132,$B$4:$B$8,$C$4:$C$8))*_xlfn.XLOOKUP($G132,$B$4:$B$8,$D$4:$D$8),0)),IFERROR(OFFSET(H134,0,_xlfn.XLOOKUP($G132,$B$4:$B$8,$E$4:$E$8))*_xlfn.XLOOKUP($G132,$B$4:$B$8,$F$4:$F$8),0),F135)))</f>
        <v>0</v>
      </c>
      <c r="I135" s="196">
        <f t="shared" ref="I135" ca="1" si="432">IF($I132="N",I134,IF($G132="1. In Flight",1,$G$4)*MIN(MAX($C134:$L134)*_xlfn.XLOOKUP($G132,$B$4:$B$8,$F$4:$F$8),MAX(IF(IFERROR(OFFSET(I134,0,_xlfn.XLOOKUP($G132,$B$4:$B$8,$C$4:$C$8)),0)=MAX($C134:$L134),_xlfn.MINIFS($C134:$L134,$C134:$L134,"&gt;0")*_xlfn.XLOOKUP($G132,$B$4:$B$8,$D$4:$D$8),IFERROR(OFFSET(I134,0,_xlfn.XLOOKUP($G132,$B$4:$B$8,$C$4:$C$8))*_xlfn.XLOOKUP($G132,$B$4:$B$8,$D$4:$D$8),0)),IFERROR(OFFSET(I134,0,_xlfn.XLOOKUP($G132,$B$4:$B$8,$E$4:$E$8))*_xlfn.XLOOKUP($G132,$B$4:$B$8,$F$4:$F$8),0),G135)))</f>
        <v>0</v>
      </c>
      <c r="J135" s="196">
        <f ca="1">IF($I132="N",J134,MIN(MAX($C127:$L127)*_xlfn.XLOOKUP($G125,$B$4:$B$8,$F$4:$F$8),MAX(IF(IFERROR(OFFSET(J127,0,_xlfn.XLOOKUP($G125,$B$4:$B$8,$C$4:$C$8)),0)=MAX($C127:$L127),_xlfn.MINIFS($C127:$L127,$C127:$L127,"&gt;0")*_xlfn.XLOOKUP($G125,$B$4:$B$8,$D$4:$D$8),IFERROR(OFFSET(J127,0,_xlfn.XLOOKUP($G125,$B$4:$B$8,$C$4:$C$8))*_xlfn.XLOOKUP($G125,$B$4:$B$8,$D$4:$D$8),0)),IFERROR(OFFSET(J127,0,_xlfn.XLOOKUP($G125,$B$4:$B$8,$E$4:$E$8))*_xlfn.XLOOKUP($G125,$B$4:$B$8,$F$4:$F$8),0),I128)))</f>
        <v>9.7999999999999989</v>
      </c>
      <c r="K135" s="196">
        <f ca="1">J135</f>
        <v>9.7999999999999989</v>
      </c>
      <c r="L135" s="196">
        <f ca="1">K135</f>
        <v>9.7999999999999989</v>
      </c>
    </row>
    <row r="136" spans="1:12" ht="15" thickBot="1">
      <c r="A136" s="195" t="s">
        <v>108</v>
      </c>
      <c r="B136" s="196">
        <f>B134</f>
        <v>0</v>
      </c>
      <c r="C136" s="196">
        <f ca="1">IF($I132="N",C134,IF($G132="1. In Flight",1,$G$9)*MIN(MAX($C134:$L134)*_xlfn.XLOOKUP($G132,$B$9:$B$13,$F$9:$F$13),MAX(IF(IFERROR(OFFSET(C134,0,_xlfn.XLOOKUP($G132,$B$9:$B$13,$C$9:$C$13)),0)=MAX($C134:$L134),_xlfn.MINIFS($C134:$L134,$C134:$L134,"&gt;0")*_xlfn.XLOOKUP($G132,$B$9:$B$13,$D$9:$D$13),IFERROR(OFFSET(C134,0,_xlfn.XLOOKUP($G132,$B$9:$B$13,$C$9:$C$13))*_xlfn.XLOOKUP($G132,$B$9:$B$13,$D$9:$D$13),0)),IFERROR(OFFSET(C134,0,_xlfn.XLOOKUP($G132,$B$9:$B$13,$E$9:$E$13))*_xlfn.XLOOKUP($G132,$B$9:$B$13,$F$9:$F$13),0),A136)))</f>
        <v>0</v>
      </c>
      <c r="D136" s="196">
        <f t="shared" ref="D136" ca="1" si="433">IF($I132="N",D134,IF($G132="1. In Flight",1,$G$9)*MIN(MAX($C134:$L134)*_xlfn.XLOOKUP($G132,$B$9:$B$13,$F$9:$F$13),MAX(IF(IFERROR(OFFSET(D134,0,_xlfn.XLOOKUP($G132,$B$9:$B$13,$C$9:$C$13)),0)=MAX($C134:$L134),_xlfn.MINIFS($C134:$L134,$C134:$L134,"&gt;0")*_xlfn.XLOOKUP($G132,$B$9:$B$13,$D$9:$D$13),IFERROR(OFFSET(D134,0,_xlfn.XLOOKUP($G132,$B$9:$B$13,$C$9:$C$13))*_xlfn.XLOOKUP($G132,$B$9:$B$13,$D$9:$D$13),0)),IFERROR(OFFSET(D134,0,_xlfn.XLOOKUP($G132,$B$9:$B$13,$E$9:$E$13))*_xlfn.XLOOKUP($G132,$B$9:$B$13,$F$9:$F$13),0),B136)))</f>
        <v>0</v>
      </c>
      <c r="E136" s="196">
        <f t="shared" ref="E136" ca="1" si="434">IF($I132="N",E134,IF($G132="1. In Flight",1,$G$9)*MIN(MAX($C134:$L134)*_xlfn.XLOOKUP($G132,$B$9:$B$13,$F$9:$F$13),MAX(IF(IFERROR(OFFSET(E134,0,_xlfn.XLOOKUP($G132,$B$9:$B$13,$C$9:$C$13)),0)=MAX($C134:$L134),_xlfn.MINIFS($C134:$L134,$C134:$L134,"&gt;0")*_xlfn.XLOOKUP($G132,$B$9:$B$13,$D$9:$D$13),IFERROR(OFFSET(E134,0,_xlfn.XLOOKUP($G132,$B$9:$B$13,$C$9:$C$13))*_xlfn.XLOOKUP($G132,$B$9:$B$13,$D$9:$D$13),0)),IFERROR(OFFSET(E134,0,_xlfn.XLOOKUP($G132,$B$9:$B$13,$E$9:$E$13))*_xlfn.XLOOKUP($G132,$B$9:$B$13,$F$9:$F$13),0),C136)))</f>
        <v>0</v>
      </c>
      <c r="F136" s="196">
        <f t="shared" ref="F136" ca="1" si="435">IF($I132="N",F134,IF($G132="1. In Flight",1,$G$9)*MIN(MAX($C134:$L134)*_xlfn.XLOOKUP($G132,$B$9:$B$13,$F$9:$F$13),MAX(IF(IFERROR(OFFSET(F134,0,_xlfn.XLOOKUP($G132,$B$9:$B$13,$C$9:$C$13)),0)=MAX($C134:$L134),_xlfn.MINIFS($C134:$L134,$C134:$L134,"&gt;0")*_xlfn.XLOOKUP($G132,$B$9:$B$13,$D$9:$D$13),IFERROR(OFFSET(F134,0,_xlfn.XLOOKUP($G132,$B$9:$B$13,$C$9:$C$13))*_xlfn.XLOOKUP($G132,$B$9:$B$13,$D$9:$D$13),0)),IFERROR(OFFSET(F134,0,_xlfn.XLOOKUP($G132,$B$9:$B$13,$E$9:$E$13))*_xlfn.XLOOKUP($G132,$B$9:$B$13,$F$9:$F$13),0),D136)))</f>
        <v>0</v>
      </c>
      <c r="G136" s="196">
        <f t="shared" ref="G136" ca="1" si="436">IF($I132="N",G134,IF($G132="1. In Flight",1,$G$9)*MIN(MAX($C134:$L134)*_xlfn.XLOOKUP($G132,$B$9:$B$13,$F$9:$F$13),MAX(IF(IFERROR(OFFSET(G134,0,_xlfn.XLOOKUP($G132,$B$9:$B$13,$C$9:$C$13)),0)=MAX($C134:$L134),_xlfn.MINIFS($C134:$L134,$C134:$L134,"&gt;0")*_xlfn.XLOOKUP($G132,$B$9:$B$13,$D$9:$D$13),IFERROR(OFFSET(G134,0,_xlfn.XLOOKUP($G132,$B$9:$B$13,$C$9:$C$13))*_xlfn.XLOOKUP($G132,$B$9:$B$13,$D$9:$D$13),0)),IFERROR(OFFSET(G134,0,_xlfn.XLOOKUP($G132,$B$9:$B$13,$E$9:$E$13))*_xlfn.XLOOKUP($G132,$B$9:$B$13,$F$9:$F$13),0),E136)))</f>
        <v>0</v>
      </c>
      <c r="H136" s="196">
        <f t="shared" ref="H136" ca="1" si="437">IF($I132="N",H134,IF($G132="1. In Flight",1,$G$9)*MIN(MAX($C134:$L134)*_xlfn.XLOOKUP($G132,$B$9:$B$13,$F$9:$F$13),MAX(IF(IFERROR(OFFSET(H134,0,_xlfn.XLOOKUP($G132,$B$9:$B$13,$C$9:$C$13)),0)=MAX($C134:$L134),_xlfn.MINIFS($C134:$L134,$C134:$L134,"&gt;0")*_xlfn.XLOOKUP($G132,$B$9:$B$13,$D$9:$D$13),IFERROR(OFFSET(H134,0,_xlfn.XLOOKUP($G132,$B$9:$B$13,$C$9:$C$13))*_xlfn.XLOOKUP($G132,$B$9:$B$13,$D$9:$D$13),0)),IFERROR(OFFSET(H134,0,_xlfn.XLOOKUP($G132,$B$9:$B$13,$E$9:$E$13))*_xlfn.XLOOKUP($G132,$B$9:$B$13,$F$9:$F$13),0),F136)))</f>
        <v>0</v>
      </c>
      <c r="I136" s="196">
        <f t="shared" ref="I136" ca="1" si="438">IF($I132="N",I134,IF($G132="1. In Flight",1,$G$9)*MIN(MAX($C134:$L134)*_xlfn.XLOOKUP($G132,$B$9:$B$13,$F$9:$F$13),MAX(IF(IFERROR(OFFSET(I134,0,_xlfn.XLOOKUP($G132,$B$9:$B$13,$C$9:$C$13)),0)=MAX($C134:$L134),_xlfn.MINIFS($C134:$L134,$C134:$L134,"&gt;0")*_xlfn.XLOOKUP($G132,$B$9:$B$13,$D$9:$D$13),IFERROR(OFFSET(I134,0,_xlfn.XLOOKUP($G132,$B$9:$B$13,$C$9:$C$13))*_xlfn.XLOOKUP($G132,$B$9:$B$13,$D$9:$D$13),0)),IFERROR(OFFSET(I134,0,_xlfn.XLOOKUP($G132,$B$9:$B$13,$E$9:$E$13))*_xlfn.XLOOKUP($G132,$B$9:$B$13,$F$9:$F$13),0),G136)))</f>
        <v>0</v>
      </c>
      <c r="J136" s="196">
        <f ca="1">IF($I132="N",J134,MIN(MAX($C127:$L127)*_xlfn.XLOOKUP($G125,$B$9:$B$13,$F$9:$F$13),MAX(IF(IFERROR(OFFSET(J127,0,_xlfn.XLOOKUP($G125,$B$9:$B$13,$C$9:$C$13)),0)=MAX($C127:$L127),_xlfn.MINIFS($C127:$L127,$C127:$L127,"&gt;0")*_xlfn.XLOOKUP($G125,$B$9:$B$13,$D$9:$D$13),IFERROR(OFFSET(J127,0,_xlfn.XLOOKUP($G125,$B$9:$B$13,$C$9:$C$13))*_xlfn.XLOOKUP($G125,$B$9:$B$13,$D$9:$D$13),0)),IFERROR(OFFSET(J127,0,_xlfn.XLOOKUP($G125,$B$9:$B$13,$E$9:$E$13))*_xlfn.XLOOKUP($G125,$B$9:$B$13,$F$9:$F$13),0),I129)))</f>
        <v>8.4</v>
      </c>
      <c r="K136" s="196">
        <f ca="1">IF($I132="N",K134,MIN(MAX($C127:$L127)*_xlfn.XLOOKUP($G125,$B$9:$B$13,$F$9:$F$13),MAX(IF(IFERROR(OFFSET(K127,0,_xlfn.XLOOKUP($G125,$B$9:$B$13,$C$9:$C$13)),0)=MAX($C127:$L127),_xlfn.MINIFS($C127:$L127,$C127:$L127,"&gt;0")*_xlfn.XLOOKUP($G125,$B$9:$B$13,$D$9:$D$13),IFERROR(OFFSET(K127,0,_xlfn.XLOOKUP($G125,$B$9:$B$13,$C$9:$C$13))*_xlfn.XLOOKUP($G125,$B$9:$B$13,$D$9:$D$13),0)),IFERROR(OFFSET(K127,0,_xlfn.XLOOKUP($G125,$B$9:$B$13,$E$9:$E$13))*_xlfn.XLOOKUP($G125,$B$9:$B$13,$F$9:$F$13),0),J129)))</f>
        <v>8.4</v>
      </c>
      <c r="L136" s="196">
        <f ca="1">K136</f>
        <v>8.4</v>
      </c>
    </row>
    <row r="137" spans="1:12" ht="15" thickBot="1">
      <c r="A137" s="197" t="s">
        <v>109</v>
      </c>
      <c r="B137" s="198">
        <f>B134</f>
        <v>0</v>
      </c>
      <c r="C137" s="198">
        <f ca="1">IF($I132="N",C134,IF($G132="1. In Flight",1,$G$14)*MIN(MAX($C134:$L134)*_xlfn.XLOOKUP($G132,$B$14:$B$18,$F$14:$F$18),MAX(IF(IFERROR(OFFSET(C134,0,_xlfn.XLOOKUP($G132,$B$14:$B$18,$C$14:$C$18)),0)=MAX($C134:$L134),_xlfn.MINIFS($C134:$L134,$C134:$L134,"&gt;0")*_xlfn.XLOOKUP($G132,$B$14:$B$18,$D$14:$D$18),IFERROR(OFFSET(C134,0,_xlfn.XLOOKUP($G132,$B$14:$B$18,$C$14:$C$18))*_xlfn.XLOOKUP($G132,$B$14:$B$18,$D$14:$D$18),0)),IFERROR(OFFSET(C134,0,_xlfn.XLOOKUP($G132,$B$14:$B$18,$E$14:$E$18))*_xlfn.XLOOKUP($G132,$B$14:$B$18,$F$14:$F$18),0),A137)))</f>
        <v>0</v>
      </c>
      <c r="D137" s="198">
        <f t="shared" ref="D137" ca="1" si="439">IF($I132="N",D134,IF($G132="1. In Flight",1,$G$14)*MIN(MAX($C134:$L134)*_xlfn.XLOOKUP($G132,$B$14:$B$18,$F$14:$F$18),MAX(IF(IFERROR(OFFSET(D134,0,_xlfn.XLOOKUP($G132,$B$14:$B$18,$C$14:$C$18)),0)=MAX($C134:$L134),_xlfn.MINIFS($C134:$L134,$C134:$L134,"&gt;0")*_xlfn.XLOOKUP($G132,$B$14:$B$18,$D$14:$D$18),IFERROR(OFFSET(D134,0,_xlfn.XLOOKUP($G132,$B$14:$B$18,$C$14:$C$18))*_xlfn.XLOOKUP($G132,$B$14:$B$18,$D$14:$D$18),0)),IFERROR(OFFSET(D134,0,_xlfn.XLOOKUP($G132,$B$14:$B$18,$E$14:$E$18))*_xlfn.XLOOKUP($G132,$B$14:$B$18,$F$14:$F$18),0),B137)))</f>
        <v>0</v>
      </c>
      <c r="E137" s="198">
        <f t="shared" ref="E137" ca="1" si="440">IF($I132="N",E134,IF($G132="1. In Flight",1,$G$14)*MIN(MAX($C134:$L134)*_xlfn.XLOOKUP($G132,$B$14:$B$18,$F$14:$F$18),MAX(IF(IFERROR(OFFSET(E134,0,_xlfn.XLOOKUP($G132,$B$14:$B$18,$C$14:$C$18)),0)=MAX($C134:$L134),_xlfn.MINIFS($C134:$L134,$C134:$L134,"&gt;0")*_xlfn.XLOOKUP($G132,$B$14:$B$18,$D$14:$D$18),IFERROR(OFFSET(E134,0,_xlfn.XLOOKUP($G132,$B$14:$B$18,$C$14:$C$18))*_xlfn.XLOOKUP($G132,$B$14:$B$18,$D$14:$D$18),0)),IFERROR(OFFSET(E134,0,_xlfn.XLOOKUP($G132,$B$14:$B$18,$E$14:$E$18))*_xlfn.XLOOKUP($G132,$B$14:$B$18,$F$14:$F$18),0),C137)))</f>
        <v>0</v>
      </c>
      <c r="F137" s="198">
        <f t="shared" ref="F137" ca="1" si="441">IF($I132="N",F134,IF($G132="1. In Flight",1,$G$14)*MIN(MAX($C134:$L134)*_xlfn.XLOOKUP($G132,$B$14:$B$18,$F$14:$F$18),MAX(IF(IFERROR(OFFSET(F134,0,_xlfn.XLOOKUP($G132,$B$14:$B$18,$C$14:$C$18)),0)=MAX($C134:$L134),_xlfn.MINIFS($C134:$L134,$C134:$L134,"&gt;0")*_xlfn.XLOOKUP($G132,$B$14:$B$18,$D$14:$D$18),IFERROR(OFFSET(F134,0,_xlfn.XLOOKUP($G132,$B$14:$B$18,$C$14:$C$18))*_xlfn.XLOOKUP($G132,$B$14:$B$18,$D$14:$D$18),0)),IFERROR(OFFSET(F134,0,_xlfn.XLOOKUP($G132,$B$14:$B$18,$E$14:$E$18))*_xlfn.XLOOKUP($G132,$B$14:$B$18,$F$14:$F$18),0),D137)))</f>
        <v>0</v>
      </c>
      <c r="G137" s="198">
        <f t="shared" ref="G137" ca="1" si="442">IF($I132="N",G134,IF($G132="1. In Flight",1,$G$14)*MIN(MAX($C134:$L134)*_xlfn.XLOOKUP($G132,$B$14:$B$18,$F$14:$F$18),MAX(IF(IFERROR(OFFSET(G134,0,_xlfn.XLOOKUP($G132,$B$14:$B$18,$C$14:$C$18)),0)=MAX($C134:$L134),_xlfn.MINIFS($C134:$L134,$C134:$L134,"&gt;0")*_xlfn.XLOOKUP($G132,$B$14:$B$18,$D$14:$D$18),IFERROR(OFFSET(G134,0,_xlfn.XLOOKUP($G132,$B$14:$B$18,$C$14:$C$18))*_xlfn.XLOOKUP($G132,$B$14:$B$18,$D$14:$D$18),0)),IFERROR(OFFSET(G134,0,_xlfn.XLOOKUP($G132,$B$14:$B$18,$E$14:$E$18))*_xlfn.XLOOKUP($G132,$B$14:$B$18,$F$14:$F$18),0),E137)))</f>
        <v>0</v>
      </c>
      <c r="H137" s="198">
        <f t="shared" ref="H137" ca="1" si="443">IF($I132="N",H134,IF($G132="1. In Flight",1,$G$14)*MIN(MAX($C134:$L134)*_xlfn.XLOOKUP($G132,$B$14:$B$18,$F$14:$F$18),MAX(IF(IFERROR(OFFSET(H134,0,_xlfn.XLOOKUP($G132,$B$14:$B$18,$C$14:$C$18)),0)=MAX($C134:$L134),_xlfn.MINIFS($C134:$L134,$C134:$L134,"&gt;0")*_xlfn.XLOOKUP($G132,$B$14:$B$18,$D$14:$D$18),IFERROR(OFFSET(H134,0,_xlfn.XLOOKUP($G132,$B$14:$B$18,$C$14:$C$18))*_xlfn.XLOOKUP($G132,$B$14:$B$18,$D$14:$D$18),0)),IFERROR(OFFSET(H134,0,_xlfn.XLOOKUP($G132,$B$14:$B$18,$E$14:$E$18))*_xlfn.XLOOKUP($G132,$B$14:$B$18,$F$14:$F$18),0),F137)))</f>
        <v>0</v>
      </c>
      <c r="I137" s="198">
        <f t="shared" ref="I137" ca="1" si="444">IF($I132="N",I134,IF($G132="1. In Flight",1,$G$14)*MIN(MAX($C134:$L134)*_xlfn.XLOOKUP($G132,$B$14:$B$18,$F$14:$F$18),MAX(IF(IFERROR(OFFSET(I134,0,_xlfn.XLOOKUP($G132,$B$14:$B$18,$C$14:$C$18)),0)=MAX($C134:$L134),_xlfn.MINIFS($C134:$L134,$C134:$L134,"&gt;0")*_xlfn.XLOOKUP($G132,$B$14:$B$18,$D$14:$D$18),IFERROR(OFFSET(I134,0,_xlfn.XLOOKUP($G132,$B$14:$B$18,$C$14:$C$18))*_xlfn.XLOOKUP($G132,$B$14:$B$18,$D$14:$D$18),0)),IFERROR(OFFSET(I134,0,_xlfn.XLOOKUP($G132,$B$14:$B$18,$E$14:$E$18))*_xlfn.XLOOKUP($G132,$B$14:$B$18,$F$14:$F$18),0),G137)))</f>
        <v>0</v>
      </c>
      <c r="J137" s="198">
        <f ca="1">IF($I132="N",J134,MIN(MAX($C127:$L127)*_xlfn.XLOOKUP($G125,$B$14:$B$18,$F$14:$F$18),MAX(IF(IFERROR(OFFSET(J127,0,_xlfn.XLOOKUP($G125,$B$14:$B$18,$C$14:$C$18)),0)=MAX($C127:$L127),_xlfn.MINIFS($C127:$L127,$C127:$L127,"&gt;0")*_xlfn.XLOOKUP($G125,$B$14:$B$18,$D$14:$D$18),IFERROR(OFFSET(J127,0,_xlfn.XLOOKUP($G125,$B$14:$B$18,$C$14:$C$18))*_xlfn.XLOOKUP($G125,$B$14:$B$18,$D$14:$D$18),0)),IFERROR(OFFSET(J127,0,_xlfn.XLOOKUP($G125,$B$14:$B$18,$E$14:$E$18))*_xlfn.XLOOKUP($G125,$B$14:$B$18,$F$14:$F$18),0),I130)))</f>
        <v>14</v>
      </c>
      <c r="K137" s="198">
        <f ca="1">IF($I132="N",K134,MIN(MAX($C127:$L127)*_xlfn.XLOOKUP($G125,$B$14:$B$18,$F$14:$F$18),MAX(IF(IFERROR(OFFSET(K127,0,_xlfn.XLOOKUP($G125,$B$14:$B$18,$C$14:$C$18)),0)=MAX($C127:$L127),_xlfn.MINIFS($C127:$L127,$C127:$L127,"&gt;0")*_xlfn.XLOOKUP($G125,$B$14:$B$18,$D$14:$D$18),IFERROR(OFFSET(K127,0,_xlfn.XLOOKUP($G125,$B$14:$B$18,$C$14:$C$18))*_xlfn.XLOOKUP($G125,$B$14:$B$18,$D$14:$D$18),0)),IFERROR(OFFSET(K127,0,_xlfn.XLOOKUP($G125,$B$14:$B$18,$E$14:$E$18))*_xlfn.XLOOKUP($G125,$B$14:$B$18,$F$14:$F$18),0),J130)))</f>
        <v>14</v>
      </c>
      <c r="L137" s="198">
        <f ca="1">K137</f>
        <v>14</v>
      </c>
    </row>
    <row r="138" spans="1:12" ht="15" thickTop="1">
      <c r="A138" s="50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</row>
    <row r="139" spans="1:12" ht="15" thickBot="1">
      <c r="A139" s="231">
        <f>_xlfn.XLOOKUP(F139,FEED!D:D,FEED!E:E,FALSE)</f>
        <v>0</v>
      </c>
      <c r="B139" s="232"/>
      <c r="C139" s="188" t="s">
        <v>110</v>
      </c>
      <c r="D139" s="189"/>
      <c r="E139" s="189"/>
      <c r="F139" s="189" t="s">
        <v>87</v>
      </c>
      <c r="G139" s="189" t="str">
        <f>IFERROR(_xlfn.XLOOKUP(F139,FEED!$D:$D,FEED!$S:$S),$B$8)</f>
        <v>1. In Flight</v>
      </c>
      <c r="H139" s="189" t="str">
        <f>IFERROR(_xlfn.XLOOKUP(F139,FEED!$D:$D,FEED!$Y:$Y),"Major Load")</f>
        <v>Major Load</v>
      </c>
      <c r="I139" s="189" t="str">
        <f>IFERROR(_xlfn.XLOOKUP(F139,FEED!$D:$D,FEED!$C:$C),"N")</f>
        <v>Y</v>
      </c>
      <c r="J139" s="190"/>
      <c r="K139" s="190"/>
      <c r="L139" s="190"/>
    </row>
    <row r="140" spans="1:12" ht="15" thickBot="1">
      <c r="A140" s="191" t="str">
        <f>A126</f>
        <v>Uptake Scenario</v>
      </c>
      <c r="B140" s="192">
        <f>B126</f>
        <v>2023</v>
      </c>
      <c r="C140" s="192">
        <f t="shared" ref="C140:L140" si="445">C126</f>
        <v>2024</v>
      </c>
      <c r="D140" s="192">
        <f t="shared" si="445"/>
        <v>2025</v>
      </c>
      <c r="E140" s="192">
        <f t="shared" si="445"/>
        <v>2026</v>
      </c>
      <c r="F140" s="192">
        <f t="shared" si="445"/>
        <v>2027</v>
      </c>
      <c r="G140" s="192">
        <f t="shared" si="445"/>
        <v>2028</v>
      </c>
      <c r="H140" s="192">
        <f t="shared" si="445"/>
        <v>2029</v>
      </c>
      <c r="I140" s="192">
        <f t="shared" si="445"/>
        <v>2030</v>
      </c>
      <c r="J140" s="192">
        <f t="shared" si="445"/>
        <v>2031</v>
      </c>
      <c r="K140" s="192">
        <f t="shared" si="445"/>
        <v>2032</v>
      </c>
      <c r="L140" s="192">
        <f t="shared" si="445"/>
        <v>2033</v>
      </c>
    </row>
    <row r="141" spans="1:12" ht="15.6" thickTop="1" thickBot="1">
      <c r="A141" s="193" t="s">
        <v>111</v>
      </c>
      <c r="B141" s="194">
        <v>0</v>
      </c>
      <c r="C141" s="194">
        <f>SUMIF(FEED!$D:$D,$F139,FEED!F:F)+B141</f>
        <v>0</v>
      </c>
      <c r="D141" s="194">
        <f>SUMIF(FEED!$D:$D,$F139,FEED!G:G)+C141</f>
        <v>2.2999999999999998</v>
      </c>
      <c r="E141" s="194">
        <f>SUMIF(FEED!$D:$D,$F139,FEED!H:H)+D141</f>
        <v>2.2999999999999998</v>
      </c>
      <c r="F141" s="194">
        <f>SUMIF(FEED!$D:$D,$F139,FEED!I:I)+E141</f>
        <v>3.3</v>
      </c>
      <c r="G141" s="194">
        <f>SUMIF(FEED!$D:$D,$F139,FEED!J:J)+F141</f>
        <v>3.3</v>
      </c>
      <c r="H141" s="194">
        <f>SUMIF(FEED!$D:$D,$F139,FEED!K:K)+G141</f>
        <v>3.3</v>
      </c>
      <c r="I141" s="194">
        <f>SUMIF(FEED!$D:$D,$F139,FEED!L:L)+H141</f>
        <v>3.3</v>
      </c>
      <c r="J141" s="194">
        <f>SUMIF(FEED!$D:$D,$F139,FEED!M:M)+I141</f>
        <v>3.3</v>
      </c>
      <c r="K141" s="194">
        <f>SUMIF(FEED!$D:$D,$F139,FEED!N:N)+J141</f>
        <v>3.3</v>
      </c>
      <c r="L141" s="194">
        <f>SUMIF(FEED!$D:$D,$F139,FEED!O:O)+K141</f>
        <v>3.3</v>
      </c>
    </row>
    <row r="142" spans="1:12" ht="15" thickBot="1">
      <c r="A142" s="195" t="s">
        <v>107</v>
      </c>
      <c r="B142" s="196">
        <f>B141</f>
        <v>0</v>
      </c>
      <c r="C142" s="196">
        <f ca="1">IF($I139="N",C141,IF($G139="1. In Flight",1,$G$4)*MIN(MAX($C141:$L141)*_xlfn.XLOOKUP($G139,$B$4:$B$8,$F$4:$F$8),MAX(IF(IFERROR(OFFSET(C141,0,_xlfn.XLOOKUP($G139,$B$4:$B$8,$C$4:$C$8)),0)=MAX($C141:$L141),_xlfn.MINIFS($C141:$L141,$C141:$L141,"&gt;0")*_xlfn.XLOOKUP($G139,$B$4:$B$8,$D$4:$D$8),IFERROR(OFFSET(C141,0,_xlfn.XLOOKUP($G139,$B$4:$B$8,$C$4:$C$8))*_xlfn.XLOOKUP($G139,$B$4:$B$8,$D$4:$D$8),0)),IFERROR(OFFSET(C141,0,_xlfn.XLOOKUP($G139,$B$4:$B$8,$E$4:$E$8))*_xlfn.XLOOKUP($G139,$B$4:$B$8,$F$4:$F$8),0),A142)))</f>
        <v>0</v>
      </c>
      <c r="D142" s="196">
        <f t="shared" ref="D142" ca="1" si="446">IF($I139="N",D141,IF($G139="1. In Flight",1,$G$4)*MIN(MAX($C141:$L141)*_xlfn.XLOOKUP($G139,$B$4:$B$8,$F$4:$F$8),MAX(IF(IFERROR(OFFSET(D141,0,_xlfn.XLOOKUP($G139,$B$4:$B$8,$C$4:$C$8)),0)=MAX($C141:$L141),_xlfn.MINIFS($C141:$L141,$C141:$L141,"&gt;0")*_xlfn.XLOOKUP($G139,$B$4:$B$8,$D$4:$D$8),IFERROR(OFFSET(D141,0,_xlfn.XLOOKUP($G139,$B$4:$B$8,$C$4:$C$8))*_xlfn.XLOOKUP($G139,$B$4:$B$8,$D$4:$D$8),0)),IFERROR(OFFSET(D141,0,_xlfn.XLOOKUP($G139,$B$4:$B$8,$E$4:$E$8))*_xlfn.XLOOKUP($G139,$B$4:$B$8,$F$4:$F$8),0),B142)))</f>
        <v>0</v>
      </c>
      <c r="E142" s="196">
        <f t="shared" ref="E142" ca="1" si="447">IF($I139="N",E141,IF($G139="1. In Flight",1,$G$4)*MIN(MAX($C141:$L141)*_xlfn.XLOOKUP($G139,$B$4:$B$8,$F$4:$F$8),MAX(IF(IFERROR(OFFSET(E141,0,_xlfn.XLOOKUP($G139,$B$4:$B$8,$C$4:$C$8)),0)=MAX($C141:$L141),_xlfn.MINIFS($C141:$L141,$C141:$L141,"&gt;0")*_xlfn.XLOOKUP($G139,$B$4:$B$8,$D$4:$D$8),IFERROR(OFFSET(E141,0,_xlfn.XLOOKUP($G139,$B$4:$B$8,$C$4:$C$8))*_xlfn.XLOOKUP($G139,$B$4:$B$8,$D$4:$D$8),0)),IFERROR(OFFSET(E141,0,_xlfn.XLOOKUP($G139,$B$4:$B$8,$E$4:$E$8))*_xlfn.XLOOKUP($G139,$B$4:$B$8,$F$4:$F$8),0),C142)))</f>
        <v>2.0699999999999998</v>
      </c>
      <c r="F142" s="196">
        <f t="shared" ref="F142" ca="1" si="448">IF($I139="N",F141,IF($G139="1. In Flight",1,$G$4)*MIN(MAX($C141:$L141)*_xlfn.XLOOKUP($G139,$B$4:$B$8,$F$4:$F$8),MAX(IF(IFERROR(OFFSET(F141,0,_xlfn.XLOOKUP($G139,$B$4:$B$8,$C$4:$C$8)),0)=MAX($C141:$L141),_xlfn.MINIFS($C141:$L141,$C141:$L141,"&gt;0")*_xlfn.XLOOKUP($G139,$B$4:$B$8,$D$4:$D$8),IFERROR(OFFSET(F141,0,_xlfn.XLOOKUP($G139,$B$4:$B$8,$C$4:$C$8))*_xlfn.XLOOKUP($G139,$B$4:$B$8,$D$4:$D$8),0)),IFERROR(OFFSET(F141,0,_xlfn.XLOOKUP($G139,$B$4:$B$8,$E$4:$E$8))*_xlfn.XLOOKUP($G139,$B$4:$B$8,$F$4:$F$8),0),D142)))</f>
        <v>2.0699999999999998</v>
      </c>
      <c r="G142" s="196">
        <f t="shared" ref="G142" ca="1" si="449">IF($I139="N",G141,IF($G139="1. In Flight",1,$G$4)*MIN(MAX($C141:$L141)*_xlfn.XLOOKUP($G139,$B$4:$B$8,$F$4:$F$8),MAX(IF(IFERROR(OFFSET(G141,0,_xlfn.XLOOKUP($G139,$B$4:$B$8,$C$4:$C$8)),0)=MAX($C141:$L141),_xlfn.MINIFS($C141:$L141,$C141:$L141,"&gt;0")*_xlfn.XLOOKUP($G139,$B$4:$B$8,$D$4:$D$8),IFERROR(OFFSET(G141,0,_xlfn.XLOOKUP($G139,$B$4:$B$8,$C$4:$C$8))*_xlfn.XLOOKUP($G139,$B$4:$B$8,$D$4:$D$8),0)),IFERROR(OFFSET(G141,0,_xlfn.XLOOKUP($G139,$B$4:$B$8,$E$4:$E$8))*_xlfn.XLOOKUP($G139,$B$4:$B$8,$F$4:$F$8),0),E142)))</f>
        <v>2.0699999999999998</v>
      </c>
      <c r="H142" s="196">
        <f t="shared" ref="H142" ca="1" si="450">IF($I139="N",H141,IF($G139="1. In Flight",1,$G$4)*MIN(MAX($C141:$L141)*_xlfn.XLOOKUP($G139,$B$4:$B$8,$F$4:$F$8),MAX(IF(IFERROR(OFFSET(H141,0,_xlfn.XLOOKUP($G139,$B$4:$B$8,$C$4:$C$8)),0)=MAX($C141:$L141),_xlfn.MINIFS($C141:$L141,$C141:$L141,"&gt;0")*_xlfn.XLOOKUP($G139,$B$4:$B$8,$D$4:$D$8),IFERROR(OFFSET(H141,0,_xlfn.XLOOKUP($G139,$B$4:$B$8,$C$4:$C$8))*_xlfn.XLOOKUP($G139,$B$4:$B$8,$D$4:$D$8),0)),IFERROR(OFFSET(H141,0,_xlfn.XLOOKUP($G139,$B$4:$B$8,$E$4:$E$8))*_xlfn.XLOOKUP($G139,$B$4:$B$8,$F$4:$F$8),0),F142)))</f>
        <v>2.0699999999999998</v>
      </c>
      <c r="I142" s="196">
        <f t="shared" ref="I142" ca="1" si="451">IF($I139="N",I141,IF($G139="1. In Flight",1,$G$4)*MIN(MAX($C141:$L141)*_xlfn.XLOOKUP($G139,$B$4:$B$8,$F$4:$F$8),MAX(IF(IFERROR(OFFSET(I141,0,_xlfn.XLOOKUP($G139,$B$4:$B$8,$C$4:$C$8)),0)=MAX($C141:$L141),_xlfn.MINIFS($C141:$L141,$C141:$L141,"&gt;0")*_xlfn.XLOOKUP($G139,$B$4:$B$8,$D$4:$D$8),IFERROR(OFFSET(I141,0,_xlfn.XLOOKUP($G139,$B$4:$B$8,$C$4:$C$8))*_xlfn.XLOOKUP($G139,$B$4:$B$8,$D$4:$D$8),0)),IFERROR(OFFSET(I141,0,_xlfn.XLOOKUP($G139,$B$4:$B$8,$E$4:$E$8))*_xlfn.XLOOKUP($G139,$B$4:$B$8,$F$4:$F$8),0),G142)))</f>
        <v>2.3099999999999996</v>
      </c>
      <c r="J142" s="196">
        <f t="shared" ref="J142" ca="1" si="452">IF($I139="N",J141,IF($G139="1. In Flight",1,$G$4)*MIN(MAX($C141:$L141)*_xlfn.XLOOKUP($G139,$B$4:$B$8,$F$4:$F$8),MAX(IF(IFERROR(OFFSET(J141,0,_xlfn.XLOOKUP($G139,$B$4:$B$8,$C$4:$C$8)),0)=MAX($C141:$L141),_xlfn.MINIFS($C141:$L141,$C141:$L141,"&gt;0")*_xlfn.XLOOKUP($G139,$B$4:$B$8,$D$4:$D$8),IFERROR(OFFSET(J141,0,_xlfn.XLOOKUP($G139,$B$4:$B$8,$C$4:$C$8))*_xlfn.XLOOKUP($G139,$B$4:$B$8,$D$4:$D$8),0)),IFERROR(OFFSET(J141,0,_xlfn.XLOOKUP($G139,$B$4:$B$8,$E$4:$E$8))*_xlfn.XLOOKUP($G139,$B$4:$B$8,$F$4:$F$8),0),H142)))</f>
        <v>2.3099999999999996</v>
      </c>
      <c r="K142" s="196">
        <f t="shared" ref="K142" ca="1" si="453">IF($I139="N",K141,IF($G139="1. In Flight",1,$G$4)*MIN(MAX($C141:$L141)*_xlfn.XLOOKUP($G139,$B$4:$B$8,$F$4:$F$8),MAX(IF(IFERROR(OFFSET(K141,0,_xlfn.XLOOKUP($G139,$B$4:$B$8,$C$4:$C$8)),0)=MAX($C141:$L141),_xlfn.MINIFS($C141:$L141,$C141:$L141,"&gt;0")*_xlfn.XLOOKUP($G139,$B$4:$B$8,$D$4:$D$8),IFERROR(OFFSET(K141,0,_xlfn.XLOOKUP($G139,$B$4:$B$8,$C$4:$C$8))*_xlfn.XLOOKUP($G139,$B$4:$B$8,$D$4:$D$8),0)),IFERROR(OFFSET(K141,0,_xlfn.XLOOKUP($G139,$B$4:$B$8,$E$4:$E$8))*_xlfn.XLOOKUP($G139,$B$4:$B$8,$F$4:$F$8),0),I142)))</f>
        <v>2.3099999999999996</v>
      </c>
      <c r="L142" s="196">
        <f t="shared" ref="L142" ca="1" si="454">IF($I139="N",L141,IF($G139="1. In Flight",1,$G$4)*MIN(MAX($C141:$L141)*_xlfn.XLOOKUP($G139,$B$4:$B$8,$F$4:$F$8),MAX(IF(IFERROR(OFFSET(L141,0,_xlfn.XLOOKUP($G139,$B$4:$B$8,$C$4:$C$8)),0)=MAX($C141:$L141),_xlfn.MINIFS($C141:$L141,$C141:$L141,"&gt;0")*_xlfn.XLOOKUP($G139,$B$4:$B$8,$D$4:$D$8),IFERROR(OFFSET(L141,0,_xlfn.XLOOKUP($G139,$B$4:$B$8,$C$4:$C$8))*_xlfn.XLOOKUP($G139,$B$4:$B$8,$D$4:$D$8),0)),IFERROR(OFFSET(L141,0,_xlfn.XLOOKUP($G139,$B$4:$B$8,$E$4:$E$8))*_xlfn.XLOOKUP($G139,$B$4:$B$8,$F$4:$F$8),0),J142)))</f>
        <v>2.3099999999999996</v>
      </c>
    </row>
    <row r="143" spans="1:12" ht="15" thickBot="1">
      <c r="A143" s="195" t="s">
        <v>108</v>
      </c>
      <c r="B143" s="196">
        <f>B141</f>
        <v>0</v>
      </c>
      <c r="C143" s="196">
        <f ca="1">IF($I139="N",C141,IF($G139="1. In Flight",1,$G$9)*MIN(MAX($C141:$L141)*_xlfn.XLOOKUP($G139,$B$9:$B$13,$F$9:$F$13),MAX(IF(IFERROR(OFFSET(C141,0,_xlfn.XLOOKUP($G139,$B$9:$B$13,$C$9:$C$13)),0)=MAX($C141:$L141),_xlfn.MINIFS($C141:$L141,$C141:$L141,"&gt;0")*_xlfn.XLOOKUP($G139,$B$9:$B$13,$D$9:$D$13),IFERROR(OFFSET(C141,0,_xlfn.XLOOKUP($G139,$B$9:$B$13,$C$9:$C$13))*_xlfn.XLOOKUP($G139,$B$9:$B$13,$D$9:$D$13),0)),IFERROR(OFFSET(C141,0,_xlfn.XLOOKUP($G139,$B$9:$B$13,$E$9:$E$13))*_xlfn.XLOOKUP($G139,$B$9:$B$13,$F$9:$F$13),0),A143)))</f>
        <v>0</v>
      </c>
      <c r="D143" s="196">
        <f t="shared" ref="D143" ca="1" si="455">IF($I139="N",D141,IF($G139="1. In Flight",1,$G$9)*MIN(MAX($C141:$L141)*_xlfn.XLOOKUP($G139,$B$9:$B$13,$F$9:$F$13),MAX(IF(IFERROR(OFFSET(D141,0,_xlfn.XLOOKUP($G139,$B$9:$B$13,$C$9:$C$13)),0)=MAX($C141:$L141),_xlfn.MINIFS($C141:$L141,$C141:$L141,"&gt;0")*_xlfn.XLOOKUP($G139,$B$9:$B$13,$D$9:$D$13),IFERROR(OFFSET(D141,0,_xlfn.XLOOKUP($G139,$B$9:$B$13,$C$9:$C$13))*_xlfn.XLOOKUP($G139,$B$9:$B$13,$D$9:$D$13),0)),IFERROR(OFFSET(D141,0,_xlfn.XLOOKUP($G139,$B$9:$B$13,$E$9:$E$13))*_xlfn.XLOOKUP($G139,$B$9:$B$13,$F$9:$F$13),0),B143)))</f>
        <v>0</v>
      </c>
      <c r="E143" s="196">
        <f t="shared" ref="E143" ca="1" si="456">IF($I139="N",E141,IF($G139="1. In Flight",1,$G$9)*MIN(MAX($C141:$L141)*_xlfn.XLOOKUP($G139,$B$9:$B$13,$F$9:$F$13),MAX(IF(IFERROR(OFFSET(E141,0,_xlfn.XLOOKUP($G139,$B$9:$B$13,$C$9:$C$13)),0)=MAX($C141:$L141),_xlfn.MINIFS($C141:$L141,$C141:$L141,"&gt;0")*_xlfn.XLOOKUP($G139,$B$9:$B$13,$D$9:$D$13),IFERROR(OFFSET(E141,0,_xlfn.XLOOKUP($G139,$B$9:$B$13,$C$9:$C$13))*_xlfn.XLOOKUP($G139,$B$9:$B$13,$D$9:$D$13),0)),IFERROR(OFFSET(E141,0,_xlfn.XLOOKUP($G139,$B$9:$B$13,$E$9:$E$13))*_xlfn.XLOOKUP($G139,$B$9:$B$13,$F$9:$F$13),0),C143)))</f>
        <v>0</v>
      </c>
      <c r="F143" s="196">
        <f t="shared" ref="F143" ca="1" si="457">IF($I139="N",F141,IF($G139="1. In Flight",1,$G$9)*MIN(MAX($C141:$L141)*_xlfn.XLOOKUP($G139,$B$9:$B$13,$F$9:$F$13),MAX(IF(IFERROR(OFFSET(F141,0,_xlfn.XLOOKUP($G139,$B$9:$B$13,$C$9:$C$13)),0)=MAX($C141:$L141),_xlfn.MINIFS($C141:$L141,$C141:$L141,"&gt;0")*_xlfn.XLOOKUP($G139,$B$9:$B$13,$D$9:$D$13),IFERROR(OFFSET(F141,0,_xlfn.XLOOKUP($G139,$B$9:$B$13,$C$9:$C$13))*_xlfn.XLOOKUP($G139,$B$9:$B$13,$D$9:$D$13),0)),IFERROR(OFFSET(F141,0,_xlfn.XLOOKUP($G139,$B$9:$B$13,$E$9:$E$13))*_xlfn.XLOOKUP($G139,$B$9:$B$13,$F$9:$F$13),0),D143)))</f>
        <v>1.38</v>
      </c>
      <c r="G143" s="196">
        <f t="shared" ref="G143" ca="1" si="458">IF($I139="N",G141,IF($G139="1. In Flight",1,$G$9)*MIN(MAX($C141:$L141)*_xlfn.XLOOKUP($G139,$B$9:$B$13,$F$9:$F$13),MAX(IF(IFERROR(OFFSET(G141,0,_xlfn.XLOOKUP($G139,$B$9:$B$13,$C$9:$C$13)),0)=MAX($C141:$L141),_xlfn.MINIFS($C141:$L141,$C141:$L141,"&gt;0")*_xlfn.XLOOKUP($G139,$B$9:$B$13,$D$9:$D$13),IFERROR(OFFSET(G141,0,_xlfn.XLOOKUP($G139,$B$9:$B$13,$C$9:$C$13))*_xlfn.XLOOKUP($G139,$B$9:$B$13,$D$9:$D$13),0)),IFERROR(OFFSET(G141,0,_xlfn.XLOOKUP($G139,$B$9:$B$13,$E$9:$E$13))*_xlfn.XLOOKUP($G139,$B$9:$B$13,$F$9:$F$13),0),E143)))</f>
        <v>1.38</v>
      </c>
      <c r="H143" s="196">
        <f t="shared" ref="H143" ca="1" si="459">IF($I139="N",H141,IF($G139="1. In Flight",1,$G$9)*MIN(MAX($C141:$L141)*_xlfn.XLOOKUP($G139,$B$9:$B$13,$F$9:$F$13),MAX(IF(IFERROR(OFFSET(H141,0,_xlfn.XLOOKUP($G139,$B$9:$B$13,$C$9:$C$13)),0)=MAX($C141:$L141),_xlfn.MINIFS($C141:$L141,$C141:$L141,"&gt;0")*_xlfn.XLOOKUP($G139,$B$9:$B$13,$D$9:$D$13),IFERROR(OFFSET(H141,0,_xlfn.XLOOKUP($G139,$B$9:$B$13,$C$9:$C$13))*_xlfn.XLOOKUP($G139,$B$9:$B$13,$D$9:$D$13),0)),IFERROR(OFFSET(H141,0,_xlfn.XLOOKUP($G139,$B$9:$B$13,$E$9:$E$13))*_xlfn.XLOOKUP($G139,$B$9:$B$13,$F$9:$F$13),0),F143)))</f>
        <v>1.38</v>
      </c>
      <c r="I143" s="196">
        <f t="shared" ref="I143" ca="1" si="460">IF($I139="N",I141,IF($G139="1. In Flight",1,$G$9)*MIN(MAX($C141:$L141)*_xlfn.XLOOKUP($G139,$B$9:$B$13,$F$9:$F$13),MAX(IF(IFERROR(OFFSET(I141,0,_xlfn.XLOOKUP($G139,$B$9:$B$13,$C$9:$C$13)),0)=MAX($C141:$L141),_xlfn.MINIFS($C141:$L141,$C141:$L141,"&gt;0")*_xlfn.XLOOKUP($G139,$B$9:$B$13,$D$9:$D$13),IFERROR(OFFSET(I141,0,_xlfn.XLOOKUP($G139,$B$9:$B$13,$C$9:$C$13))*_xlfn.XLOOKUP($G139,$B$9:$B$13,$D$9:$D$13),0)),IFERROR(OFFSET(I141,0,_xlfn.XLOOKUP($G139,$B$9:$B$13,$E$9:$E$13))*_xlfn.XLOOKUP($G139,$B$9:$B$13,$F$9:$F$13),0),G143)))</f>
        <v>1.38</v>
      </c>
      <c r="J143" s="196">
        <f t="shared" ref="J143" ca="1" si="461">IF($I139="N",J141,IF($G139="1. In Flight",1,$G$9)*MIN(MAX($C141:$L141)*_xlfn.XLOOKUP($G139,$B$9:$B$13,$F$9:$F$13),MAX(IF(IFERROR(OFFSET(J141,0,_xlfn.XLOOKUP($G139,$B$9:$B$13,$C$9:$C$13)),0)=MAX($C141:$L141),_xlfn.MINIFS($C141:$L141,$C141:$L141,"&gt;0")*_xlfn.XLOOKUP($G139,$B$9:$B$13,$D$9:$D$13),IFERROR(OFFSET(J141,0,_xlfn.XLOOKUP($G139,$B$9:$B$13,$C$9:$C$13))*_xlfn.XLOOKUP($G139,$B$9:$B$13,$D$9:$D$13),0)),IFERROR(OFFSET(J141,0,_xlfn.XLOOKUP($G139,$B$9:$B$13,$E$9:$E$13))*_xlfn.XLOOKUP($G139,$B$9:$B$13,$F$9:$F$13),0),H143)))</f>
        <v>1.38</v>
      </c>
      <c r="K143" s="196">
        <f t="shared" ref="K143" ca="1" si="462">IF($I139="N",K141,IF($G139="1. In Flight",1,$G$9)*MIN(MAX($C141:$L141)*_xlfn.XLOOKUP($G139,$B$9:$B$13,$F$9:$F$13),MAX(IF(IFERROR(OFFSET(K141,0,_xlfn.XLOOKUP($G139,$B$9:$B$13,$C$9:$C$13)),0)=MAX($C141:$L141),_xlfn.MINIFS($C141:$L141,$C141:$L141,"&gt;0")*_xlfn.XLOOKUP($G139,$B$9:$B$13,$D$9:$D$13),IFERROR(OFFSET(K141,0,_xlfn.XLOOKUP($G139,$B$9:$B$13,$C$9:$C$13))*_xlfn.XLOOKUP($G139,$B$9:$B$13,$D$9:$D$13),0)),IFERROR(OFFSET(K141,0,_xlfn.XLOOKUP($G139,$B$9:$B$13,$E$9:$E$13))*_xlfn.XLOOKUP($G139,$B$9:$B$13,$F$9:$F$13),0),I143)))</f>
        <v>1.9799999999999998</v>
      </c>
      <c r="L143" s="196">
        <f t="shared" ref="L143" ca="1" si="463">IF($I139="N",L141,IF($G139="1. In Flight",1,$G$9)*MIN(MAX($C141:$L141)*_xlfn.XLOOKUP($G139,$B$9:$B$13,$F$9:$F$13),MAX(IF(IFERROR(OFFSET(L141,0,_xlfn.XLOOKUP($G139,$B$9:$B$13,$C$9:$C$13)),0)=MAX($C141:$L141),_xlfn.MINIFS($C141:$L141,$C141:$L141,"&gt;0")*_xlfn.XLOOKUP($G139,$B$9:$B$13,$D$9:$D$13),IFERROR(OFFSET(L141,0,_xlfn.XLOOKUP($G139,$B$9:$B$13,$C$9:$C$13))*_xlfn.XLOOKUP($G139,$B$9:$B$13,$D$9:$D$13),0)),IFERROR(OFFSET(L141,0,_xlfn.XLOOKUP($G139,$B$9:$B$13,$E$9:$E$13))*_xlfn.XLOOKUP($G139,$B$9:$B$13,$F$9:$F$13),0),J143)))</f>
        <v>1.9799999999999998</v>
      </c>
    </row>
    <row r="144" spans="1:12" ht="15" thickBot="1">
      <c r="A144" s="197" t="s">
        <v>109</v>
      </c>
      <c r="B144" s="198">
        <f>B141</f>
        <v>0</v>
      </c>
      <c r="C144" s="198">
        <f ca="1">IF($I139="N",C141,IF($G139="1. In Flight",1,$G$14)*MIN(MAX($C141:$L141)*_xlfn.XLOOKUP($G139,$B$14:$B$18,$F$14:$F$18),MAX(IF(IFERROR(OFFSET(C141,0,_xlfn.XLOOKUP($G139,$B$14:$B$18,$C$14:$C$18)),0)=MAX($C141:$L141),_xlfn.MINIFS($C141:$L141,$C141:$L141,"&gt;0")*_xlfn.XLOOKUP($G139,$B$14:$B$18,$D$14:$D$18),IFERROR(OFFSET(C141,0,_xlfn.XLOOKUP($G139,$B$14:$B$18,$C$14:$C$18))*_xlfn.XLOOKUP($G139,$B$14:$B$18,$D$14:$D$18),0)),IFERROR(OFFSET(C141,0,_xlfn.XLOOKUP($G139,$B$14:$B$18,$E$14:$E$18))*_xlfn.XLOOKUP($G139,$B$14:$B$18,$F$14:$F$18),0),A144)))</f>
        <v>0</v>
      </c>
      <c r="D144" s="198">
        <f t="shared" ref="D144" ca="1" si="464">IF($I139="N",D141,IF($G139="1. In Flight",1,$G$14)*MIN(MAX($C141:$L141)*_xlfn.XLOOKUP($G139,$B$14:$B$18,$F$14:$F$18),MAX(IF(IFERROR(OFFSET(D141,0,_xlfn.XLOOKUP($G139,$B$14:$B$18,$C$14:$C$18)),0)=MAX($C141:$L141),_xlfn.MINIFS($C141:$L141,$C141:$L141,"&gt;0")*_xlfn.XLOOKUP($G139,$B$14:$B$18,$D$14:$D$18),IFERROR(OFFSET(D141,0,_xlfn.XLOOKUP($G139,$B$14:$B$18,$C$14:$C$18))*_xlfn.XLOOKUP($G139,$B$14:$B$18,$D$14:$D$18),0)),IFERROR(OFFSET(D141,0,_xlfn.XLOOKUP($G139,$B$14:$B$18,$E$14:$E$18))*_xlfn.XLOOKUP($G139,$B$14:$B$18,$F$14:$F$18),0),B144)))</f>
        <v>2.2999999999999998</v>
      </c>
      <c r="E144" s="198">
        <f t="shared" ref="E144" ca="1" si="465">IF($I139="N",E141,IF($G139="1. In Flight",1,$G$14)*MIN(MAX($C141:$L141)*_xlfn.XLOOKUP($G139,$B$14:$B$18,$F$14:$F$18),MAX(IF(IFERROR(OFFSET(E141,0,_xlfn.XLOOKUP($G139,$B$14:$B$18,$C$14:$C$18)),0)=MAX($C141:$L141),_xlfn.MINIFS($C141:$L141,$C141:$L141,"&gt;0")*_xlfn.XLOOKUP($G139,$B$14:$B$18,$D$14:$D$18),IFERROR(OFFSET(E141,0,_xlfn.XLOOKUP($G139,$B$14:$B$18,$C$14:$C$18))*_xlfn.XLOOKUP($G139,$B$14:$B$18,$D$14:$D$18),0)),IFERROR(OFFSET(E141,0,_xlfn.XLOOKUP($G139,$B$14:$B$18,$E$14:$E$18))*_xlfn.XLOOKUP($G139,$B$14:$B$18,$F$14:$F$18),0),C144)))</f>
        <v>2.2999999999999998</v>
      </c>
      <c r="F144" s="198">
        <f t="shared" ref="F144" ca="1" si="466">IF($I139="N",F141,IF($G139="1. In Flight",1,$G$14)*MIN(MAX($C141:$L141)*_xlfn.XLOOKUP($G139,$B$14:$B$18,$F$14:$F$18),MAX(IF(IFERROR(OFFSET(F141,0,_xlfn.XLOOKUP($G139,$B$14:$B$18,$C$14:$C$18)),0)=MAX($C141:$L141),_xlfn.MINIFS($C141:$L141,$C141:$L141,"&gt;0")*_xlfn.XLOOKUP($G139,$B$14:$B$18,$D$14:$D$18),IFERROR(OFFSET(F141,0,_xlfn.XLOOKUP($G139,$B$14:$B$18,$C$14:$C$18))*_xlfn.XLOOKUP($G139,$B$14:$B$18,$D$14:$D$18),0)),IFERROR(OFFSET(F141,0,_xlfn.XLOOKUP($G139,$B$14:$B$18,$E$14:$E$18))*_xlfn.XLOOKUP($G139,$B$14:$B$18,$F$14:$F$18),0),D144)))</f>
        <v>2.2999999999999998</v>
      </c>
      <c r="G144" s="198">
        <f t="shared" ref="G144" ca="1" si="467">IF($I139="N",G141,IF($G139="1. In Flight",1,$G$14)*MIN(MAX($C141:$L141)*_xlfn.XLOOKUP($G139,$B$14:$B$18,$F$14:$F$18),MAX(IF(IFERROR(OFFSET(G141,0,_xlfn.XLOOKUP($G139,$B$14:$B$18,$C$14:$C$18)),0)=MAX($C141:$L141),_xlfn.MINIFS($C141:$L141,$C141:$L141,"&gt;0")*_xlfn.XLOOKUP($G139,$B$14:$B$18,$D$14:$D$18),IFERROR(OFFSET(G141,0,_xlfn.XLOOKUP($G139,$B$14:$B$18,$C$14:$C$18))*_xlfn.XLOOKUP($G139,$B$14:$B$18,$D$14:$D$18),0)),IFERROR(OFFSET(G141,0,_xlfn.XLOOKUP($G139,$B$14:$B$18,$E$14:$E$18))*_xlfn.XLOOKUP($G139,$B$14:$B$18,$F$14:$F$18),0),E144)))</f>
        <v>2.2999999999999998</v>
      </c>
      <c r="H144" s="198">
        <f t="shared" ref="H144" ca="1" si="468">IF($I139="N",H141,IF($G139="1. In Flight",1,$G$14)*MIN(MAX($C141:$L141)*_xlfn.XLOOKUP($G139,$B$14:$B$18,$F$14:$F$18),MAX(IF(IFERROR(OFFSET(H141,0,_xlfn.XLOOKUP($G139,$B$14:$B$18,$C$14:$C$18)),0)=MAX($C141:$L141),_xlfn.MINIFS($C141:$L141,$C141:$L141,"&gt;0")*_xlfn.XLOOKUP($G139,$B$14:$B$18,$D$14:$D$18),IFERROR(OFFSET(H141,0,_xlfn.XLOOKUP($G139,$B$14:$B$18,$C$14:$C$18))*_xlfn.XLOOKUP($G139,$B$14:$B$18,$D$14:$D$18),0)),IFERROR(OFFSET(H141,0,_xlfn.XLOOKUP($G139,$B$14:$B$18,$E$14:$E$18))*_xlfn.XLOOKUP($G139,$B$14:$B$18,$F$14:$F$18),0),F144)))</f>
        <v>3.3</v>
      </c>
      <c r="I144" s="198">
        <f t="shared" ref="I144" ca="1" si="469">IF($I139="N",I141,IF($G139="1. In Flight",1,$G$14)*MIN(MAX($C141:$L141)*_xlfn.XLOOKUP($G139,$B$14:$B$18,$F$14:$F$18),MAX(IF(IFERROR(OFFSET(I141,0,_xlfn.XLOOKUP($G139,$B$14:$B$18,$C$14:$C$18)),0)=MAX($C141:$L141),_xlfn.MINIFS($C141:$L141,$C141:$L141,"&gt;0")*_xlfn.XLOOKUP($G139,$B$14:$B$18,$D$14:$D$18),IFERROR(OFFSET(I141,0,_xlfn.XLOOKUP($G139,$B$14:$B$18,$C$14:$C$18))*_xlfn.XLOOKUP($G139,$B$14:$B$18,$D$14:$D$18),0)),IFERROR(OFFSET(I141,0,_xlfn.XLOOKUP($G139,$B$14:$B$18,$E$14:$E$18))*_xlfn.XLOOKUP($G139,$B$14:$B$18,$F$14:$F$18),0),G144)))</f>
        <v>3.3</v>
      </c>
      <c r="J144" s="198">
        <f t="shared" ref="J144" ca="1" si="470">IF($I139="N",J141,IF($G139="1. In Flight",1,$G$14)*MIN(MAX($C141:$L141)*_xlfn.XLOOKUP($G139,$B$14:$B$18,$F$14:$F$18),MAX(IF(IFERROR(OFFSET(J141,0,_xlfn.XLOOKUP($G139,$B$14:$B$18,$C$14:$C$18)),0)=MAX($C141:$L141),_xlfn.MINIFS($C141:$L141,$C141:$L141,"&gt;0")*_xlfn.XLOOKUP($G139,$B$14:$B$18,$D$14:$D$18),IFERROR(OFFSET(J141,0,_xlfn.XLOOKUP($G139,$B$14:$B$18,$C$14:$C$18))*_xlfn.XLOOKUP($G139,$B$14:$B$18,$D$14:$D$18),0)),IFERROR(OFFSET(J141,0,_xlfn.XLOOKUP($G139,$B$14:$B$18,$E$14:$E$18))*_xlfn.XLOOKUP($G139,$B$14:$B$18,$F$14:$F$18),0),H144)))</f>
        <v>3.3</v>
      </c>
      <c r="K144" s="198">
        <f t="shared" ref="K144" ca="1" si="471">IF($I139="N",K141,IF($G139="1. In Flight",1,$G$14)*MIN(MAX($C141:$L141)*_xlfn.XLOOKUP($G139,$B$14:$B$18,$F$14:$F$18),MAX(IF(IFERROR(OFFSET(K141,0,_xlfn.XLOOKUP($G139,$B$14:$B$18,$C$14:$C$18)),0)=MAX($C141:$L141),_xlfn.MINIFS($C141:$L141,$C141:$L141,"&gt;0")*_xlfn.XLOOKUP($G139,$B$14:$B$18,$D$14:$D$18),IFERROR(OFFSET(K141,0,_xlfn.XLOOKUP($G139,$B$14:$B$18,$C$14:$C$18))*_xlfn.XLOOKUP($G139,$B$14:$B$18,$D$14:$D$18),0)),IFERROR(OFFSET(K141,0,_xlfn.XLOOKUP($G139,$B$14:$B$18,$E$14:$E$18))*_xlfn.XLOOKUP($G139,$B$14:$B$18,$F$14:$F$18),0),I144)))</f>
        <v>3.3</v>
      </c>
      <c r="L144" s="198">
        <f t="shared" ref="L144" ca="1" si="472">IF($I139="N",L141,IF($G139="1. In Flight",1,$G$14)*MIN(MAX($C141:$L141)*_xlfn.XLOOKUP($G139,$B$14:$B$18,$F$14:$F$18),MAX(IF(IFERROR(OFFSET(L141,0,_xlfn.XLOOKUP($G139,$B$14:$B$18,$C$14:$C$18)),0)=MAX($C141:$L141),_xlfn.MINIFS($C141:$L141,$C141:$L141,"&gt;0")*_xlfn.XLOOKUP($G139,$B$14:$B$18,$D$14:$D$18),IFERROR(OFFSET(L141,0,_xlfn.XLOOKUP($G139,$B$14:$B$18,$C$14:$C$18))*_xlfn.XLOOKUP($G139,$B$14:$B$18,$D$14:$D$18),0)),IFERROR(OFFSET(L141,0,_xlfn.XLOOKUP($G139,$B$14:$B$18,$E$14:$E$18))*_xlfn.XLOOKUP($G139,$B$14:$B$18,$F$14:$F$18),0),J144)))</f>
        <v>3.3</v>
      </c>
    </row>
    <row r="145" spans="1:12" ht="15" thickTop="1"/>
    <row r="146" spans="1:12" ht="15" thickBot="1">
      <c r="A146" s="231">
        <f>_xlfn.XLOOKUP(F146,FEED!D:D,FEED!E:E,FALSE)</f>
        <v>0</v>
      </c>
      <c r="B146" s="232"/>
      <c r="C146" s="189" t="s">
        <v>126</v>
      </c>
      <c r="D146" s="200" t="s">
        <v>127</v>
      </c>
      <c r="E146" s="189" t="s">
        <v>123</v>
      </c>
      <c r="F146" s="189" t="s">
        <v>48</v>
      </c>
      <c r="G146" s="189" t="str">
        <f>IFERROR(_xlfn.XLOOKUP(F146,FEED!$D:$D,FEED!$S:$S),$B$8)</f>
        <v>1. In Flight</v>
      </c>
      <c r="H146" s="189" t="str">
        <f>IFERROR(_xlfn.XLOOKUP(F146,FEED!$D:$D,FEED!$Y:$Y),"Major Load")</f>
        <v>Data Centre</v>
      </c>
      <c r="I146" s="189" t="str">
        <f>IFERROR(_xlfn.XLOOKUP(F146,FEED!$D:$D,FEED!$C:$C),"N")</f>
        <v>N</v>
      </c>
      <c r="J146" s="190"/>
      <c r="K146" s="190"/>
      <c r="L146" s="190"/>
    </row>
    <row r="147" spans="1:12" ht="15" thickBot="1">
      <c r="A147" s="191" t="str">
        <f>A140</f>
        <v>Uptake Scenario</v>
      </c>
      <c r="B147" s="192">
        <f>B140</f>
        <v>2023</v>
      </c>
      <c r="C147" s="192">
        <f t="shared" ref="C147:L147" si="473">C140</f>
        <v>2024</v>
      </c>
      <c r="D147" s="192">
        <f t="shared" si="473"/>
        <v>2025</v>
      </c>
      <c r="E147" s="192">
        <f t="shared" si="473"/>
        <v>2026</v>
      </c>
      <c r="F147" s="192">
        <f t="shared" si="473"/>
        <v>2027</v>
      </c>
      <c r="G147" s="192">
        <f t="shared" si="473"/>
        <v>2028</v>
      </c>
      <c r="H147" s="192">
        <f t="shared" si="473"/>
        <v>2029</v>
      </c>
      <c r="I147" s="192">
        <f t="shared" si="473"/>
        <v>2030</v>
      </c>
      <c r="J147" s="192">
        <f t="shared" si="473"/>
        <v>2031</v>
      </c>
      <c r="K147" s="192">
        <f t="shared" si="473"/>
        <v>2032</v>
      </c>
      <c r="L147" s="192">
        <f t="shared" si="473"/>
        <v>2033</v>
      </c>
    </row>
    <row r="148" spans="1:12" ht="15.6" thickTop="1" thickBot="1">
      <c r="A148" s="193" t="s">
        <v>111</v>
      </c>
      <c r="B148" s="194">
        <v>-6</v>
      </c>
      <c r="C148" s="194">
        <f>SUMIF(FEED!$D:$D,$F146,FEED!F:F)+B148</f>
        <v>0</v>
      </c>
      <c r="D148" s="194">
        <f>SUMIF(FEED!$D:$D,$F146,FEED!G:G)+C148</f>
        <v>4</v>
      </c>
      <c r="E148" s="194">
        <f>SUMIF(FEED!$D:$D,$F146,FEED!H:H)+D148</f>
        <v>6.65</v>
      </c>
      <c r="F148" s="194">
        <f>SUMIF(FEED!$D:$D,$F146,FEED!I:I)+E148</f>
        <v>9.3000000000000007</v>
      </c>
      <c r="G148" s="194">
        <f>SUMIF(FEED!$D:$D,$F146,FEED!J:J)+F148</f>
        <v>11.950000000000001</v>
      </c>
      <c r="H148" s="194">
        <f>SUMIF(FEED!$D:$D,$F146,FEED!K:K)+G148</f>
        <v>14.600000000000001</v>
      </c>
      <c r="I148" s="194">
        <f>SUMIF(FEED!$D:$D,$F146,FEED!L:L)+H148</f>
        <v>17.25</v>
      </c>
      <c r="J148" s="194">
        <f>SUMIF(FEED!$D:$D,$F146,FEED!M:M)+I148</f>
        <v>19.899999999999999</v>
      </c>
      <c r="K148" s="194">
        <f>SUMIF(FEED!$D:$D,$F146,FEED!N:N)+J148</f>
        <v>22.549999999999997</v>
      </c>
      <c r="L148" s="194">
        <f>SUMIF(FEED!$D:$D,$F146,FEED!O:O)+K148</f>
        <v>25.199999999999996</v>
      </c>
    </row>
    <row r="149" spans="1:12" ht="15" thickBot="1">
      <c r="A149" s="195" t="s">
        <v>107</v>
      </c>
      <c r="B149" s="196">
        <f>B148</f>
        <v>-6</v>
      </c>
      <c r="C149" s="196">
        <f ca="1">IF($I146="N",C148,IF($G146="1. In Flight",1,$G$4)*MIN(MAX($C148:$L148)*_xlfn.XLOOKUP($G146,$B$4:$B$8,$F$4:$F$8),MAX(IF(IFERROR(OFFSET(C148,0,_xlfn.XLOOKUP($G146,$B$4:$B$8,$C$4:$C$8)),0)=MAX($C148:$L148),_xlfn.MINIFS($C148:$L148,$C148:$L148,"&gt;0")*_xlfn.XLOOKUP($G146,$B$4:$B$8,$D$4:$D$8),IFERROR(OFFSET(C148,0,_xlfn.XLOOKUP($G146,$B$4:$B$8,$C$4:$C$8))*_xlfn.XLOOKUP($G146,$B$4:$B$8,$D$4:$D$8),0)),IFERROR(OFFSET(C148,0,_xlfn.XLOOKUP($G146,$B$4:$B$8,$E$4:$E$8))*_xlfn.XLOOKUP($G146,$B$4:$B$8,$F$4:$F$8),0),A149)))</f>
        <v>0</v>
      </c>
      <c r="D149" s="196">
        <f t="shared" ref="D149" ca="1" si="474">IF($I146="N",D148,IF($G146="1. In Flight",1,$G$4)*MIN(MAX($C148:$L148)*_xlfn.XLOOKUP($G146,$B$4:$B$8,$F$4:$F$8),MAX(IF(IFERROR(OFFSET(D148,0,_xlfn.XLOOKUP($G146,$B$4:$B$8,$C$4:$C$8)),0)=MAX($C148:$L148),_xlfn.MINIFS($C148:$L148,$C148:$L148,"&gt;0")*_xlfn.XLOOKUP($G146,$B$4:$B$8,$D$4:$D$8),IFERROR(OFFSET(D148,0,_xlfn.XLOOKUP($G146,$B$4:$B$8,$C$4:$C$8))*_xlfn.XLOOKUP($G146,$B$4:$B$8,$D$4:$D$8),0)),IFERROR(OFFSET(D148,0,_xlfn.XLOOKUP($G146,$B$4:$B$8,$E$4:$E$8))*_xlfn.XLOOKUP($G146,$B$4:$B$8,$F$4:$F$8),0),B149)))</f>
        <v>4</v>
      </c>
      <c r="E149" s="196">
        <f t="shared" ref="E149" ca="1" si="475">IF($I146="N",E148,IF($G146="1. In Flight",1,$G$4)*MIN(MAX($C148:$L148)*_xlfn.XLOOKUP($G146,$B$4:$B$8,$F$4:$F$8),MAX(IF(IFERROR(OFFSET(E148,0,_xlfn.XLOOKUP($G146,$B$4:$B$8,$C$4:$C$8)),0)=MAX($C148:$L148),_xlfn.MINIFS($C148:$L148,$C148:$L148,"&gt;0")*_xlfn.XLOOKUP($G146,$B$4:$B$8,$D$4:$D$8),IFERROR(OFFSET(E148,0,_xlfn.XLOOKUP($G146,$B$4:$B$8,$C$4:$C$8))*_xlfn.XLOOKUP($G146,$B$4:$B$8,$D$4:$D$8),0)),IFERROR(OFFSET(E148,0,_xlfn.XLOOKUP($G146,$B$4:$B$8,$E$4:$E$8))*_xlfn.XLOOKUP($G146,$B$4:$B$8,$F$4:$F$8),0),C149)))</f>
        <v>6.65</v>
      </c>
      <c r="F149" s="196">
        <f t="shared" ref="F149" ca="1" si="476">IF($I146="N",F148,IF($G146="1. In Flight",1,$G$4)*MIN(MAX($C148:$L148)*_xlfn.XLOOKUP($G146,$B$4:$B$8,$F$4:$F$8),MAX(IF(IFERROR(OFFSET(F148,0,_xlfn.XLOOKUP($G146,$B$4:$B$8,$C$4:$C$8)),0)=MAX($C148:$L148),_xlfn.MINIFS($C148:$L148,$C148:$L148,"&gt;0")*_xlfn.XLOOKUP($G146,$B$4:$B$8,$D$4:$D$8),IFERROR(OFFSET(F148,0,_xlfn.XLOOKUP($G146,$B$4:$B$8,$C$4:$C$8))*_xlfn.XLOOKUP($G146,$B$4:$B$8,$D$4:$D$8),0)),IFERROR(OFFSET(F148,0,_xlfn.XLOOKUP($G146,$B$4:$B$8,$E$4:$E$8))*_xlfn.XLOOKUP($G146,$B$4:$B$8,$F$4:$F$8),0),D149)))</f>
        <v>9.3000000000000007</v>
      </c>
      <c r="G149" s="196">
        <f t="shared" ref="G149" ca="1" si="477">IF($I146="N",G148,IF($G146="1. In Flight",1,$G$4)*MIN(MAX($C148:$L148)*_xlfn.XLOOKUP($G146,$B$4:$B$8,$F$4:$F$8),MAX(IF(IFERROR(OFFSET(G148,0,_xlfn.XLOOKUP($G146,$B$4:$B$8,$C$4:$C$8)),0)=MAX($C148:$L148),_xlfn.MINIFS($C148:$L148,$C148:$L148,"&gt;0")*_xlfn.XLOOKUP($G146,$B$4:$B$8,$D$4:$D$8),IFERROR(OFFSET(G148,0,_xlfn.XLOOKUP($G146,$B$4:$B$8,$C$4:$C$8))*_xlfn.XLOOKUP($G146,$B$4:$B$8,$D$4:$D$8),0)),IFERROR(OFFSET(G148,0,_xlfn.XLOOKUP($G146,$B$4:$B$8,$E$4:$E$8))*_xlfn.XLOOKUP($G146,$B$4:$B$8,$F$4:$F$8),0),E149)))</f>
        <v>11.950000000000001</v>
      </c>
      <c r="H149" s="196">
        <f t="shared" ref="H149" ca="1" si="478">IF($I146="N",H148,IF($G146="1. In Flight",1,$G$4)*MIN(MAX($C148:$L148)*_xlfn.XLOOKUP($G146,$B$4:$B$8,$F$4:$F$8),MAX(IF(IFERROR(OFFSET(H148,0,_xlfn.XLOOKUP($G146,$B$4:$B$8,$C$4:$C$8)),0)=MAX($C148:$L148),_xlfn.MINIFS($C148:$L148,$C148:$L148,"&gt;0")*_xlfn.XLOOKUP($G146,$B$4:$B$8,$D$4:$D$8),IFERROR(OFFSET(H148,0,_xlfn.XLOOKUP($G146,$B$4:$B$8,$C$4:$C$8))*_xlfn.XLOOKUP($G146,$B$4:$B$8,$D$4:$D$8),0)),IFERROR(OFFSET(H148,0,_xlfn.XLOOKUP($G146,$B$4:$B$8,$E$4:$E$8))*_xlfn.XLOOKUP($G146,$B$4:$B$8,$F$4:$F$8),0),F149)))</f>
        <v>14.600000000000001</v>
      </c>
      <c r="I149" s="196">
        <f t="shared" ref="I149" ca="1" si="479">IF($I146="N",I148,IF($G146="1. In Flight",1,$G$4)*MIN(MAX($C148:$L148)*_xlfn.XLOOKUP($G146,$B$4:$B$8,$F$4:$F$8),MAX(IF(IFERROR(OFFSET(I148,0,_xlfn.XLOOKUP($G146,$B$4:$B$8,$C$4:$C$8)),0)=MAX($C148:$L148),_xlfn.MINIFS($C148:$L148,$C148:$L148,"&gt;0")*_xlfn.XLOOKUP($G146,$B$4:$B$8,$D$4:$D$8),IFERROR(OFFSET(I148,0,_xlfn.XLOOKUP($G146,$B$4:$B$8,$C$4:$C$8))*_xlfn.XLOOKUP($G146,$B$4:$B$8,$D$4:$D$8),0)),IFERROR(OFFSET(I148,0,_xlfn.XLOOKUP($G146,$B$4:$B$8,$E$4:$E$8))*_xlfn.XLOOKUP($G146,$B$4:$B$8,$F$4:$F$8),0),G149)))</f>
        <v>17.25</v>
      </c>
      <c r="J149" s="196">
        <f t="shared" ref="J149" ca="1" si="480">IF($I146="N",J148,IF($G146="1. In Flight",1,$G$4)*MIN(MAX($C148:$L148)*_xlfn.XLOOKUP($G146,$B$4:$B$8,$F$4:$F$8),MAX(IF(IFERROR(OFFSET(J148,0,_xlfn.XLOOKUP($G146,$B$4:$B$8,$C$4:$C$8)),0)=MAX($C148:$L148),_xlfn.MINIFS($C148:$L148,$C148:$L148,"&gt;0")*_xlfn.XLOOKUP($G146,$B$4:$B$8,$D$4:$D$8),IFERROR(OFFSET(J148,0,_xlfn.XLOOKUP($G146,$B$4:$B$8,$C$4:$C$8))*_xlfn.XLOOKUP($G146,$B$4:$B$8,$D$4:$D$8),0)),IFERROR(OFFSET(J148,0,_xlfn.XLOOKUP($G146,$B$4:$B$8,$E$4:$E$8))*_xlfn.XLOOKUP($G146,$B$4:$B$8,$F$4:$F$8),0),H149)))</f>
        <v>19.899999999999999</v>
      </c>
      <c r="K149" s="196">
        <f t="shared" ref="K149" ca="1" si="481">IF($I146="N",K148,IF($G146="1. In Flight",1,$G$4)*MIN(MAX($C148:$L148)*_xlfn.XLOOKUP($G146,$B$4:$B$8,$F$4:$F$8),MAX(IF(IFERROR(OFFSET(K148,0,_xlfn.XLOOKUP($G146,$B$4:$B$8,$C$4:$C$8)),0)=MAX($C148:$L148),_xlfn.MINIFS($C148:$L148,$C148:$L148,"&gt;0")*_xlfn.XLOOKUP($G146,$B$4:$B$8,$D$4:$D$8),IFERROR(OFFSET(K148,0,_xlfn.XLOOKUP($G146,$B$4:$B$8,$C$4:$C$8))*_xlfn.XLOOKUP($G146,$B$4:$B$8,$D$4:$D$8),0)),IFERROR(OFFSET(K148,0,_xlfn.XLOOKUP($G146,$B$4:$B$8,$E$4:$E$8))*_xlfn.XLOOKUP($G146,$B$4:$B$8,$F$4:$F$8),0),I149)))</f>
        <v>22.549999999999997</v>
      </c>
      <c r="L149" s="196">
        <f t="shared" ref="L149" ca="1" si="482">IF($I146="N",L148,IF($G146="1. In Flight",1,$G$4)*MIN(MAX($C148:$L148)*_xlfn.XLOOKUP($G146,$B$4:$B$8,$F$4:$F$8),MAX(IF(IFERROR(OFFSET(L148,0,_xlfn.XLOOKUP($G146,$B$4:$B$8,$C$4:$C$8)),0)=MAX($C148:$L148),_xlfn.MINIFS($C148:$L148,$C148:$L148,"&gt;0")*_xlfn.XLOOKUP($G146,$B$4:$B$8,$D$4:$D$8),IFERROR(OFFSET(L148,0,_xlfn.XLOOKUP($G146,$B$4:$B$8,$C$4:$C$8))*_xlfn.XLOOKUP($G146,$B$4:$B$8,$D$4:$D$8),0)),IFERROR(OFFSET(L148,0,_xlfn.XLOOKUP($G146,$B$4:$B$8,$E$4:$E$8))*_xlfn.XLOOKUP($G146,$B$4:$B$8,$F$4:$F$8),0),J149)))</f>
        <v>25.199999999999996</v>
      </c>
    </row>
    <row r="150" spans="1:12" ht="15" thickBot="1">
      <c r="A150" s="195" t="s">
        <v>108</v>
      </c>
      <c r="B150" s="196">
        <f>B148</f>
        <v>-6</v>
      </c>
      <c r="C150" s="196">
        <f ca="1">IF($I146="N",C148,IF($G146="1. In Flight",1,$G$9)*MIN(MAX($C148:$L148)*_xlfn.XLOOKUP($G146,$B$9:$B$13,$F$9:$F$13),MAX(IF(IFERROR(OFFSET(C148,0,_xlfn.XLOOKUP($G146,$B$9:$B$13,$C$9:$C$13)),0)=MAX($C148:$L148),_xlfn.MINIFS($C148:$L148,$C148:$L148,"&gt;0")*_xlfn.XLOOKUP($G146,$B$9:$B$13,$D$9:$D$13),IFERROR(OFFSET(C148,0,_xlfn.XLOOKUP($G146,$B$9:$B$13,$C$9:$C$13))*_xlfn.XLOOKUP($G146,$B$9:$B$13,$D$9:$D$13),0)),IFERROR(OFFSET(C148,0,_xlfn.XLOOKUP($G146,$B$9:$B$13,$E$9:$E$13))*_xlfn.XLOOKUP($G146,$B$9:$B$13,$F$9:$F$13),0),A150)))</f>
        <v>0</v>
      </c>
      <c r="D150" s="196">
        <f t="shared" ref="D150" ca="1" si="483">IF($I146="N",D148,IF($G146="1. In Flight",1,$G$9)*MIN(MAX($C148:$L148)*_xlfn.XLOOKUP($G146,$B$9:$B$13,$F$9:$F$13),MAX(IF(IFERROR(OFFSET(D148,0,_xlfn.XLOOKUP($G146,$B$9:$B$13,$C$9:$C$13)),0)=MAX($C148:$L148),_xlfn.MINIFS($C148:$L148,$C148:$L148,"&gt;0")*_xlfn.XLOOKUP($G146,$B$9:$B$13,$D$9:$D$13),IFERROR(OFFSET(D148,0,_xlfn.XLOOKUP($G146,$B$9:$B$13,$C$9:$C$13))*_xlfn.XLOOKUP($G146,$B$9:$B$13,$D$9:$D$13),0)),IFERROR(OFFSET(D148,0,_xlfn.XLOOKUP($G146,$B$9:$B$13,$E$9:$E$13))*_xlfn.XLOOKUP($G146,$B$9:$B$13,$F$9:$F$13),0),B150)))</f>
        <v>4</v>
      </c>
      <c r="E150" s="196">
        <f t="shared" ref="E150" ca="1" si="484">IF($I146="N",E148,IF($G146="1. In Flight",1,$G$9)*MIN(MAX($C148:$L148)*_xlfn.XLOOKUP($G146,$B$9:$B$13,$F$9:$F$13),MAX(IF(IFERROR(OFFSET(E148,0,_xlfn.XLOOKUP($G146,$B$9:$B$13,$C$9:$C$13)),0)=MAX($C148:$L148),_xlfn.MINIFS($C148:$L148,$C148:$L148,"&gt;0")*_xlfn.XLOOKUP($G146,$B$9:$B$13,$D$9:$D$13),IFERROR(OFFSET(E148,0,_xlfn.XLOOKUP($G146,$B$9:$B$13,$C$9:$C$13))*_xlfn.XLOOKUP($G146,$B$9:$B$13,$D$9:$D$13),0)),IFERROR(OFFSET(E148,0,_xlfn.XLOOKUP($G146,$B$9:$B$13,$E$9:$E$13))*_xlfn.XLOOKUP($G146,$B$9:$B$13,$F$9:$F$13),0),C150)))</f>
        <v>6.65</v>
      </c>
      <c r="F150" s="196">
        <f t="shared" ref="F150" ca="1" si="485">IF($I146="N",F148,IF($G146="1. In Flight",1,$G$9)*MIN(MAX($C148:$L148)*_xlfn.XLOOKUP($G146,$B$9:$B$13,$F$9:$F$13),MAX(IF(IFERROR(OFFSET(F148,0,_xlfn.XLOOKUP($G146,$B$9:$B$13,$C$9:$C$13)),0)=MAX($C148:$L148),_xlfn.MINIFS($C148:$L148,$C148:$L148,"&gt;0")*_xlfn.XLOOKUP($G146,$B$9:$B$13,$D$9:$D$13),IFERROR(OFFSET(F148,0,_xlfn.XLOOKUP($G146,$B$9:$B$13,$C$9:$C$13))*_xlfn.XLOOKUP($G146,$B$9:$B$13,$D$9:$D$13),0)),IFERROR(OFFSET(F148,0,_xlfn.XLOOKUP($G146,$B$9:$B$13,$E$9:$E$13))*_xlfn.XLOOKUP($G146,$B$9:$B$13,$F$9:$F$13),0),D150)))</f>
        <v>9.3000000000000007</v>
      </c>
      <c r="G150" s="196">
        <f t="shared" ref="G150" ca="1" si="486">IF($I146="N",G148,IF($G146="1. In Flight",1,$G$9)*MIN(MAX($C148:$L148)*_xlfn.XLOOKUP($G146,$B$9:$B$13,$F$9:$F$13),MAX(IF(IFERROR(OFFSET(G148,0,_xlfn.XLOOKUP($G146,$B$9:$B$13,$C$9:$C$13)),0)=MAX($C148:$L148),_xlfn.MINIFS($C148:$L148,$C148:$L148,"&gt;0")*_xlfn.XLOOKUP($G146,$B$9:$B$13,$D$9:$D$13),IFERROR(OFFSET(G148,0,_xlfn.XLOOKUP($G146,$B$9:$B$13,$C$9:$C$13))*_xlfn.XLOOKUP($G146,$B$9:$B$13,$D$9:$D$13),0)),IFERROR(OFFSET(G148,0,_xlfn.XLOOKUP($G146,$B$9:$B$13,$E$9:$E$13))*_xlfn.XLOOKUP($G146,$B$9:$B$13,$F$9:$F$13),0),E150)))</f>
        <v>11.950000000000001</v>
      </c>
      <c r="H150" s="196">
        <f t="shared" ref="H150" ca="1" si="487">IF($I146="N",H148,IF($G146="1. In Flight",1,$G$9)*MIN(MAX($C148:$L148)*_xlfn.XLOOKUP($G146,$B$9:$B$13,$F$9:$F$13),MAX(IF(IFERROR(OFFSET(H148,0,_xlfn.XLOOKUP($G146,$B$9:$B$13,$C$9:$C$13)),0)=MAX($C148:$L148),_xlfn.MINIFS($C148:$L148,$C148:$L148,"&gt;0")*_xlfn.XLOOKUP($G146,$B$9:$B$13,$D$9:$D$13),IFERROR(OFFSET(H148,0,_xlfn.XLOOKUP($G146,$B$9:$B$13,$C$9:$C$13))*_xlfn.XLOOKUP($G146,$B$9:$B$13,$D$9:$D$13),0)),IFERROR(OFFSET(H148,0,_xlfn.XLOOKUP($G146,$B$9:$B$13,$E$9:$E$13))*_xlfn.XLOOKUP($G146,$B$9:$B$13,$F$9:$F$13),0),F150)))</f>
        <v>14.600000000000001</v>
      </c>
      <c r="I150" s="196">
        <f t="shared" ref="I150" ca="1" si="488">IF($I146="N",I148,IF($G146="1. In Flight",1,$G$9)*MIN(MAX($C148:$L148)*_xlfn.XLOOKUP($G146,$B$9:$B$13,$F$9:$F$13),MAX(IF(IFERROR(OFFSET(I148,0,_xlfn.XLOOKUP($G146,$B$9:$B$13,$C$9:$C$13)),0)=MAX($C148:$L148),_xlfn.MINIFS($C148:$L148,$C148:$L148,"&gt;0")*_xlfn.XLOOKUP($G146,$B$9:$B$13,$D$9:$D$13),IFERROR(OFFSET(I148,0,_xlfn.XLOOKUP($G146,$B$9:$B$13,$C$9:$C$13))*_xlfn.XLOOKUP($G146,$B$9:$B$13,$D$9:$D$13),0)),IFERROR(OFFSET(I148,0,_xlfn.XLOOKUP($G146,$B$9:$B$13,$E$9:$E$13))*_xlfn.XLOOKUP($G146,$B$9:$B$13,$F$9:$F$13),0),G150)))</f>
        <v>17.25</v>
      </c>
      <c r="J150" s="196">
        <f t="shared" ref="J150" ca="1" si="489">IF($I146="N",J148,IF($G146="1. In Flight",1,$G$9)*MIN(MAX($C148:$L148)*_xlfn.XLOOKUP($G146,$B$9:$B$13,$F$9:$F$13),MAX(IF(IFERROR(OFFSET(J148,0,_xlfn.XLOOKUP($G146,$B$9:$B$13,$C$9:$C$13)),0)=MAX($C148:$L148),_xlfn.MINIFS($C148:$L148,$C148:$L148,"&gt;0")*_xlfn.XLOOKUP($G146,$B$9:$B$13,$D$9:$D$13),IFERROR(OFFSET(J148,0,_xlfn.XLOOKUP($G146,$B$9:$B$13,$C$9:$C$13))*_xlfn.XLOOKUP($G146,$B$9:$B$13,$D$9:$D$13),0)),IFERROR(OFFSET(J148,0,_xlfn.XLOOKUP($G146,$B$9:$B$13,$E$9:$E$13))*_xlfn.XLOOKUP($G146,$B$9:$B$13,$F$9:$F$13),0),H150)))</f>
        <v>19.899999999999999</v>
      </c>
      <c r="K150" s="196">
        <f t="shared" ref="K150" ca="1" si="490">IF($I146="N",K148,IF($G146="1. In Flight",1,$G$9)*MIN(MAX($C148:$L148)*_xlfn.XLOOKUP($G146,$B$9:$B$13,$F$9:$F$13),MAX(IF(IFERROR(OFFSET(K148,0,_xlfn.XLOOKUP($G146,$B$9:$B$13,$C$9:$C$13)),0)=MAX($C148:$L148),_xlfn.MINIFS($C148:$L148,$C148:$L148,"&gt;0")*_xlfn.XLOOKUP($G146,$B$9:$B$13,$D$9:$D$13),IFERROR(OFFSET(K148,0,_xlfn.XLOOKUP($G146,$B$9:$B$13,$C$9:$C$13))*_xlfn.XLOOKUP($G146,$B$9:$B$13,$D$9:$D$13),0)),IFERROR(OFFSET(K148,0,_xlfn.XLOOKUP($G146,$B$9:$B$13,$E$9:$E$13))*_xlfn.XLOOKUP($G146,$B$9:$B$13,$F$9:$F$13),0),I150)))</f>
        <v>22.549999999999997</v>
      </c>
      <c r="L150" s="196">
        <f t="shared" ref="L150" ca="1" si="491">IF($I146="N",L148,IF($G146="1. In Flight",1,$G$9)*MIN(MAX($C148:$L148)*_xlfn.XLOOKUP($G146,$B$9:$B$13,$F$9:$F$13),MAX(IF(IFERROR(OFFSET(L148,0,_xlfn.XLOOKUP($G146,$B$9:$B$13,$C$9:$C$13)),0)=MAX($C148:$L148),_xlfn.MINIFS($C148:$L148,$C148:$L148,"&gt;0")*_xlfn.XLOOKUP($G146,$B$9:$B$13,$D$9:$D$13),IFERROR(OFFSET(L148,0,_xlfn.XLOOKUP($G146,$B$9:$B$13,$C$9:$C$13))*_xlfn.XLOOKUP($G146,$B$9:$B$13,$D$9:$D$13),0)),IFERROR(OFFSET(L148,0,_xlfn.XLOOKUP($G146,$B$9:$B$13,$E$9:$E$13))*_xlfn.XLOOKUP($G146,$B$9:$B$13,$F$9:$F$13),0),J150)))</f>
        <v>25.199999999999996</v>
      </c>
    </row>
    <row r="151" spans="1:12" ht="15" thickBot="1">
      <c r="A151" s="197" t="s">
        <v>109</v>
      </c>
      <c r="B151" s="198">
        <f>B148</f>
        <v>-6</v>
      </c>
      <c r="C151" s="198">
        <f ca="1">IF($I146="N",C148,IF($G146="1. In Flight",1,$G$14)*MIN(MAX($C148:$L148)*_xlfn.XLOOKUP($G146,$B$14:$B$18,$F$14:$F$18),MAX(IF(IFERROR(OFFSET(C148,0,_xlfn.XLOOKUP($G146,$B$14:$B$18,$C$14:$C$18)),0)=MAX($C148:$L148),_xlfn.MINIFS($C148:$L148,$C148:$L148,"&gt;0")*_xlfn.XLOOKUP($G146,$B$14:$B$18,$D$14:$D$18),IFERROR(OFFSET(C148,0,_xlfn.XLOOKUP($G146,$B$14:$B$18,$C$14:$C$18))*_xlfn.XLOOKUP($G146,$B$14:$B$18,$D$14:$D$18),0)),IFERROR(OFFSET(C148,0,_xlfn.XLOOKUP($G146,$B$14:$B$18,$E$14:$E$18))*_xlfn.XLOOKUP($G146,$B$14:$B$18,$F$14:$F$18),0),A151)))</f>
        <v>0</v>
      </c>
      <c r="D151" s="198">
        <f t="shared" ref="D151" ca="1" si="492">IF($I146="N",D148,IF($G146="1. In Flight",1,$G$14)*MIN(MAX($C148:$L148)*_xlfn.XLOOKUP($G146,$B$14:$B$18,$F$14:$F$18),MAX(IF(IFERROR(OFFSET(D148,0,_xlfn.XLOOKUP($G146,$B$14:$B$18,$C$14:$C$18)),0)=MAX($C148:$L148),_xlfn.MINIFS($C148:$L148,$C148:$L148,"&gt;0")*_xlfn.XLOOKUP($G146,$B$14:$B$18,$D$14:$D$18),IFERROR(OFFSET(D148,0,_xlfn.XLOOKUP($G146,$B$14:$B$18,$C$14:$C$18))*_xlfn.XLOOKUP($G146,$B$14:$B$18,$D$14:$D$18),0)),IFERROR(OFFSET(D148,0,_xlfn.XLOOKUP($G146,$B$14:$B$18,$E$14:$E$18))*_xlfn.XLOOKUP($G146,$B$14:$B$18,$F$14:$F$18),0),B151)))</f>
        <v>4</v>
      </c>
      <c r="E151" s="198">
        <f t="shared" ref="E151" ca="1" si="493">IF($I146="N",E148,IF($G146="1. In Flight",1,$G$14)*MIN(MAX($C148:$L148)*_xlfn.XLOOKUP($G146,$B$14:$B$18,$F$14:$F$18),MAX(IF(IFERROR(OFFSET(E148,0,_xlfn.XLOOKUP($G146,$B$14:$B$18,$C$14:$C$18)),0)=MAX($C148:$L148),_xlfn.MINIFS($C148:$L148,$C148:$L148,"&gt;0")*_xlfn.XLOOKUP($G146,$B$14:$B$18,$D$14:$D$18),IFERROR(OFFSET(E148,0,_xlfn.XLOOKUP($G146,$B$14:$B$18,$C$14:$C$18))*_xlfn.XLOOKUP($G146,$B$14:$B$18,$D$14:$D$18),0)),IFERROR(OFFSET(E148,0,_xlfn.XLOOKUP($G146,$B$14:$B$18,$E$14:$E$18))*_xlfn.XLOOKUP($G146,$B$14:$B$18,$F$14:$F$18),0),C151)))</f>
        <v>6.65</v>
      </c>
      <c r="F151" s="198">
        <f t="shared" ref="F151" ca="1" si="494">IF($I146="N",F148,IF($G146="1. In Flight",1,$G$14)*MIN(MAX($C148:$L148)*_xlfn.XLOOKUP($G146,$B$14:$B$18,$F$14:$F$18),MAX(IF(IFERROR(OFFSET(F148,0,_xlfn.XLOOKUP($G146,$B$14:$B$18,$C$14:$C$18)),0)=MAX($C148:$L148),_xlfn.MINIFS($C148:$L148,$C148:$L148,"&gt;0")*_xlfn.XLOOKUP($G146,$B$14:$B$18,$D$14:$D$18),IFERROR(OFFSET(F148,0,_xlfn.XLOOKUP($G146,$B$14:$B$18,$C$14:$C$18))*_xlfn.XLOOKUP($G146,$B$14:$B$18,$D$14:$D$18),0)),IFERROR(OFFSET(F148,0,_xlfn.XLOOKUP($G146,$B$14:$B$18,$E$14:$E$18))*_xlfn.XLOOKUP($G146,$B$14:$B$18,$F$14:$F$18),0),D151)))</f>
        <v>9.3000000000000007</v>
      </c>
      <c r="G151" s="198">
        <f t="shared" ref="G151" ca="1" si="495">IF($I146="N",G148,IF($G146="1. In Flight",1,$G$14)*MIN(MAX($C148:$L148)*_xlfn.XLOOKUP($G146,$B$14:$B$18,$F$14:$F$18),MAX(IF(IFERROR(OFFSET(G148,0,_xlfn.XLOOKUP($G146,$B$14:$B$18,$C$14:$C$18)),0)=MAX($C148:$L148),_xlfn.MINIFS($C148:$L148,$C148:$L148,"&gt;0")*_xlfn.XLOOKUP($G146,$B$14:$B$18,$D$14:$D$18),IFERROR(OFFSET(G148,0,_xlfn.XLOOKUP($G146,$B$14:$B$18,$C$14:$C$18))*_xlfn.XLOOKUP($G146,$B$14:$B$18,$D$14:$D$18),0)),IFERROR(OFFSET(G148,0,_xlfn.XLOOKUP($G146,$B$14:$B$18,$E$14:$E$18))*_xlfn.XLOOKUP($G146,$B$14:$B$18,$F$14:$F$18),0),E151)))</f>
        <v>11.950000000000001</v>
      </c>
      <c r="H151" s="198">
        <f t="shared" ref="H151" ca="1" si="496">IF($I146="N",H148,IF($G146="1. In Flight",1,$G$14)*MIN(MAX($C148:$L148)*_xlfn.XLOOKUP($G146,$B$14:$B$18,$F$14:$F$18),MAX(IF(IFERROR(OFFSET(H148,0,_xlfn.XLOOKUP($G146,$B$14:$B$18,$C$14:$C$18)),0)=MAX($C148:$L148),_xlfn.MINIFS($C148:$L148,$C148:$L148,"&gt;0")*_xlfn.XLOOKUP($G146,$B$14:$B$18,$D$14:$D$18),IFERROR(OFFSET(H148,0,_xlfn.XLOOKUP($G146,$B$14:$B$18,$C$14:$C$18))*_xlfn.XLOOKUP($G146,$B$14:$B$18,$D$14:$D$18),0)),IFERROR(OFFSET(H148,0,_xlfn.XLOOKUP($G146,$B$14:$B$18,$E$14:$E$18))*_xlfn.XLOOKUP($G146,$B$14:$B$18,$F$14:$F$18),0),F151)))</f>
        <v>14.600000000000001</v>
      </c>
      <c r="I151" s="198">
        <f t="shared" ref="I151" ca="1" si="497">IF($I146="N",I148,IF($G146="1. In Flight",1,$G$14)*MIN(MAX($C148:$L148)*_xlfn.XLOOKUP($G146,$B$14:$B$18,$F$14:$F$18),MAX(IF(IFERROR(OFFSET(I148,0,_xlfn.XLOOKUP($G146,$B$14:$B$18,$C$14:$C$18)),0)=MAX($C148:$L148),_xlfn.MINIFS($C148:$L148,$C148:$L148,"&gt;0")*_xlfn.XLOOKUP($G146,$B$14:$B$18,$D$14:$D$18),IFERROR(OFFSET(I148,0,_xlfn.XLOOKUP($G146,$B$14:$B$18,$C$14:$C$18))*_xlfn.XLOOKUP($G146,$B$14:$B$18,$D$14:$D$18),0)),IFERROR(OFFSET(I148,0,_xlfn.XLOOKUP($G146,$B$14:$B$18,$E$14:$E$18))*_xlfn.XLOOKUP($G146,$B$14:$B$18,$F$14:$F$18),0),G151)))</f>
        <v>17.25</v>
      </c>
      <c r="J151" s="198">
        <f t="shared" ref="J151" ca="1" si="498">IF($I146="N",J148,IF($G146="1. In Flight",1,$G$14)*MIN(MAX($C148:$L148)*_xlfn.XLOOKUP($G146,$B$14:$B$18,$F$14:$F$18),MAX(IF(IFERROR(OFFSET(J148,0,_xlfn.XLOOKUP($G146,$B$14:$B$18,$C$14:$C$18)),0)=MAX($C148:$L148),_xlfn.MINIFS($C148:$L148,$C148:$L148,"&gt;0")*_xlfn.XLOOKUP($G146,$B$14:$B$18,$D$14:$D$18),IFERROR(OFFSET(J148,0,_xlfn.XLOOKUP($G146,$B$14:$B$18,$C$14:$C$18))*_xlfn.XLOOKUP($G146,$B$14:$B$18,$D$14:$D$18),0)),IFERROR(OFFSET(J148,0,_xlfn.XLOOKUP($G146,$B$14:$B$18,$E$14:$E$18))*_xlfn.XLOOKUP($G146,$B$14:$B$18,$F$14:$F$18),0),H151)))</f>
        <v>19.899999999999999</v>
      </c>
      <c r="K151" s="198">
        <f t="shared" ref="K151" ca="1" si="499">IF($I146="N",K148,IF($G146="1. In Flight",1,$G$14)*MIN(MAX($C148:$L148)*_xlfn.XLOOKUP($G146,$B$14:$B$18,$F$14:$F$18),MAX(IF(IFERROR(OFFSET(K148,0,_xlfn.XLOOKUP($G146,$B$14:$B$18,$C$14:$C$18)),0)=MAX($C148:$L148),_xlfn.MINIFS($C148:$L148,$C148:$L148,"&gt;0")*_xlfn.XLOOKUP($G146,$B$14:$B$18,$D$14:$D$18),IFERROR(OFFSET(K148,0,_xlfn.XLOOKUP($G146,$B$14:$B$18,$C$14:$C$18))*_xlfn.XLOOKUP($G146,$B$14:$B$18,$D$14:$D$18),0)),IFERROR(OFFSET(K148,0,_xlfn.XLOOKUP($G146,$B$14:$B$18,$E$14:$E$18))*_xlfn.XLOOKUP($G146,$B$14:$B$18,$F$14:$F$18),0),I151)))</f>
        <v>22.549999999999997</v>
      </c>
      <c r="L151" s="198">
        <f t="shared" ref="L151" ca="1" si="500">IF($I146="N",L148,IF($G146="1. In Flight",1,$G$14)*MIN(MAX($C148:$L148)*_xlfn.XLOOKUP($G146,$B$14:$B$18,$F$14:$F$18),MAX(IF(IFERROR(OFFSET(L148,0,_xlfn.XLOOKUP($G146,$B$14:$B$18,$C$14:$C$18)),0)=MAX($C148:$L148),_xlfn.MINIFS($C148:$L148,$C148:$L148,"&gt;0")*_xlfn.XLOOKUP($G146,$B$14:$B$18,$D$14:$D$18),IFERROR(OFFSET(L148,0,_xlfn.XLOOKUP($G146,$B$14:$B$18,$C$14:$C$18))*_xlfn.XLOOKUP($G146,$B$14:$B$18,$D$14:$D$18),0)),IFERROR(OFFSET(L148,0,_xlfn.XLOOKUP($G146,$B$14:$B$18,$E$14:$E$18))*_xlfn.XLOOKUP($G146,$B$14:$B$18,$F$14:$F$18),0),J151)))</f>
        <v>25.199999999999996</v>
      </c>
    </row>
    <row r="152" spans="1:12" ht="15" thickTop="1"/>
    <row r="153" spans="1:12" ht="15" thickBot="1">
      <c r="A153" s="231">
        <f>_xlfn.XLOOKUP(F153,FEED!D:D,FEED!E:E,FALSE)</f>
        <v>0</v>
      </c>
      <c r="B153" s="232"/>
      <c r="C153" s="189"/>
      <c r="D153" s="200" t="s">
        <v>127</v>
      </c>
      <c r="E153" s="189" t="s">
        <v>123</v>
      </c>
      <c r="F153" s="189" t="s">
        <v>51</v>
      </c>
      <c r="G153" s="189" t="str">
        <f>IFERROR(_xlfn.XLOOKUP(F153,FEED!$D:$D,FEED!$S:$S),$B$8)</f>
        <v>2. High</v>
      </c>
      <c r="H153" s="189" t="str">
        <f>IFERROR(_xlfn.XLOOKUP(F153,FEED!$D:$D,FEED!$Y:$Y),"Major Load")</f>
        <v>Data Centre</v>
      </c>
      <c r="I153" s="189" t="str">
        <f>IFERROR(_xlfn.XLOOKUP(F153,FEED!$D:$D,FEED!$C:$C),"N")</f>
        <v>Y</v>
      </c>
      <c r="J153" s="190"/>
      <c r="K153" s="190"/>
      <c r="L153" s="190"/>
    </row>
    <row r="154" spans="1:12" ht="15" thickBot="1">
      <c r="A154" s="191" t="str">
        <f>A147</f>
        <v>Uptake Scenario</v>
      </c>
      <c r="B154" s="192">
        <f>B147</f>
        <v>2023</v>
      </c>
      <c r="C154" s="192">
        <f t="shared" ref="C154:L154" si="501">C147</f>
        <v>2024</v>
      </c>
      <c r="D154" s="192">
        <f t="shared" si="501"/>
        <v>2025</v>
      </c>
      <c r="E154" s="192">
        <f t="shared" si="501"/>
        <v>2026</v>
      </c>
      <c r="F154" s="192">
        <f t="shared" si="501"/>
        <v>2027</v>
      </c>
      <c r="G154" s="192">
        <f t="shared" si="501"/>
        <v>2028</v>
      </c>
      <c r="H154" s="192">
        <f t="shared" si="501"/>
        <v>2029</v>
      </c>
      <c r="I154" s="192">
        <f t="shared" si="501"/>
        <v>2030</v>
      </c>
      <c r="J154" s="192">
        <f t="shared" si="501"/>
        <v>2031</v>
      </c>
      <c r="K154" s="192">
        <f t="shared" si="501"/>
        <v>2032</v>
      </c>
      <c r="L154" s="192">
        <f t="shared" si="501"/>
        <v>2033</v>
      </c>
    </row>
    <row r="155" spans="1:12" ht="15.6" thickTop="1" thickBot="1">
      <c r="A155" s="193" t="s">
        <v>111</v>
      </c>
      <c r="B155" s="194">
        <v>0</v>
      </c>
      <c r="C155" s="194">
        <f>SUMIF(FEED!$D:$D,$F153,FEED!F:F)+B155</f>
        <v>0</v>
      </c>
      <c r="D155" s="194">
        <f>SUMIF(FEED!$D:$D,$F153,FEED!G:G)+C155</f>
        <v>0</v>
      </c>
      <c r="E155" s="194">
        <f>SUMIF(FEED!$D:$D,$F153,FEED!H:H)+D155</f>
        <v>0</v>
      </c>
      <c r="F155" s="194">
        <f>SUMIF(FEED!$D:$D,$F153,FEED!I:I)+E155</f>
        <v>0</v>
      </c>
      <c r="G155" s="194">
        <f>SUMIF(FEED!$D:$D,$F153,FEED!J:J)+F155</f>
        <v>0</v>
      </c>
      <c r="H155" s="194">
        <f>SUMIF(FEED!$D:$D,$F153,FEED!K:K)+G155</f>
        <v>0</v>
      </c>
      <c r="I155" s="194">
        <f>SUMIF(FEED!$D:$D,$F153,FEED!L:L)+H155</f>
        <v>0</v>
      </c>
      <c r="J155" s="194">
        <f>SUMIF(FEED!$D:$D,$F153,FEED!M:M)+I155</f>
        <v>0</v>
      </c>
      <c r="K155" s="194">
        <f>SUMIF(FEED!$D:$D,$F153,FEED!N:N)+J155</f>
        <v>5.8500788222265641</v>
      </c>
      <c r="L155" s="194">
        <f>SUMIF(FEED!$D:$D,$F153,FEED!O:O)+K155</f>
        <v>8.3355550127027556</v>
      </c>
    </row>
    <row r="156" spans="1:12" ht="15" thickBot="1">
      <c r="A156" s="195" t="s">
        <v>107</v>
      </c>
      <c r="B156" s="196">
        <f>B155</f>
        <v>0</v>
      </c>
      <c r="C156" s="196">
        <f ca="1">IF($I153="N",C155,IF($G153="1. In Flight",1,$G$4)*MIN(MAX($C155:$L155)*_xlfn.XLOOKUP($G153,$B$4:$B$8,$F$4:$F$8),MAX(IF(IFERROR(OFFSET(C155,0,_xlfn.XLOOKUP($G153,$B$4:$B$8,$C$4:$C$8)),0)=MAX($C155:$L155),_xlfn.MINIFS($C155:$L155,$C155:$L155,"&gt;0")*_xlfn.XLOOKUP($G153,$B$4:$B$8,$D$4:$D$8),IFERROR(OFFSET(C155,0,_xlfn.XLOOKUP($G153,$B$4:$B$8,$C$4:$C$8))*_xlfn.XLOOKUP($G153,$B$4:$B$8,$D$4:$D$8),0)),IFERROR(OFFSET(C155,0,_xlfn.XLOOKUP($G153,$B$4:$B$8,$E$4:$E$8))*_xlfn.XLOOKUP($G153,$B$4:$B$8,$F$4:$F$8),0),A156)))</f>
        <v>0</v>
      </c>
      <c r="D156" s="196">
        <f t="shared" ref="D156" ca="1" si="502">IF($I153="N",D155,IF($G153="1. In Flight",1,$G$4)*MIN(MAX($C155:$L155)*_xlfn.XLOOKUP($G153,$B$4:$B$8,$F$4:$F$8),MAX(IF(IFERROR(OFFSET(D155,0,_xlfn.XLOOKUP($G153,$B$4:$B$8,$C$4:$C$8)),0)=MAX($C155:$L155),_xlfn.MINIFS($C155:$L155,$C155:$L155,"&gt;0")*_xlfn.XLOOKUP($G153,$B$4:$B$8,$D$4:$D$8),IFERROR(OFFSET(D155,0,_xlfn.XLOOKUP($G153,$B$4:$B$8,$C$4:$C$8))*_xlfn.XLOOKUP($G153,$B$4:$B$8,$D$4:$D$8),0)),IFERROR(OFFSET(D155,0,_xlfn.XLOOKUP($G153,$B$4:$B$8,$E$4:$E$8))*_xlfn.XLOOKUP($G153,$B$4:$B$8,$F$4:$F$8),0),B156)))</f>
        <v>0</v>
      </c>
      <c r="E156" s="196">
        <f t="shared" ref="E156" ca="1" si="503">IF($I153="N",E155,IF($G153="1. In Flight",1,$G$4)*MIN(MAX($C155:$L155)*_xlfn.XLOOKUP($G153,$B$4:$B$8,$F$4:$F$8),MAX(IF(IFERROR(OFFSET(E155,0,_xlfn.XLOOKUP($G153,$B$4:$B$8,$C$4:$C$8)),0)=MAX($C155:$L155),_xlfn.MINIFS($C155:$L155,$C155:$L155,"&gt;0")*_xlfn.XLOOKUP($G153,$B$4:$B$8,$D$4:$D$8),IFERROR(OFFSET(E155,0,_xlfn.XLOOKUP($G153,$B$4:$B$8,$C$4:$C$8))*_xlfn.XLOOKUP($G153,$B$4:$B$8,$D$4:$D$8),0)),IFERROR(OFFSET(E155,0,_xlfn.XLOOKUP($G153,$B$4:$B$8,$E$4:$E$8))*_xlfn.XLOOKUP($G153,$B$4:$B$8,$F$4:$F$8),0),C156)))</f>
        <v>0</v>
      </c>
      <c r="F156" s="196">
        <f t="shared" ref="F156" ca="1" si="504">IF($I153="N",F155,IF($G153="1. In Flight",1,$G$4)*MIN(MAX($C155:$L155)*_xlfn.XLOOKUP($G153,$B$4:$B$8,$F$4:$F$8),MAX(IF(IFERROR(OFFSET(F155,0,_xlfn.XLOOKUP($G153,$B$4:$B$8,$C$4:$C$8)),0)=MAX($C155:$L155),_xlfn.MINIFS($C155:$L155,$C155:$L155,"&gt;0")*_xlfn.XLOOKUP($G153,$B$4:$B$8,$D$4:$D$8),IFERROR(OFFSET(F155,0,_xlfn.XLOOKUP($G153,$B$4:$B$8,$C$4:$C$8))*_xlfn.XLOOKUP($G153,$B$4:$B$8,$D$4:$D$8),0)),IFERROR(OFFSET(F155,0,_xlfn.XLOOKUP($G153,$B$4:$B$8,$E$4:$E$8))*_xlfn.XLOOKUP($G153,$B$4:$B$8,$F$4:$F$8),0),D156)))</f>
        <v>0</v>
      </c>
      <c r="G156" s="196">
        <f t="shared" ref="G156" ca="1" si="505">IF($I153="N",G155,IF($G153="1. In Flight",1,$G$4)*MIN(MAX($C155:$L155)*_xlfn.XLOOKUP($G153,$B$4:$B$8,$F$4:$F$8),MAX(IF(IFERROR(OFFSET(G155,0,_xlfn.XLOOKUP($G153,$B$4:$B$8,$C$4:$C$8)),0)=MAX($C155:$L155),_xlfn.MINIFS($C155:$L155,$C155:$L155,"&gt;0")*_xlfn.XLOOKUP($G153,$B$4:$B$8,$D$4:$D$8),IFERROR(OFFSET(G155,0,_xlfn.XLOOKUP($G153,$B$4:$B$8,$C$4:$C$8))*_xlfn.XLOOKUP($G153,$B$4:$B$8,$D$4:$D$8),0)),IFERROR(OFFSET(G155,0,_xlfn.XLOOKUP($G153,$B$4:$B$8,$E$4:$E$8))*_xlfn.XLOOKUP($G153,$B$4:$B$8,$F$4:$F$8),0),E156)))</f>
        <v>0</v>
      </c>
      <c r="H156" s="196">
        <f t="shared" ref="H156" ca="1" si="506">IF($I153="N",H155,IF($G153="1. In Flight",1,$G$4)*MIN(MAX($C155:$L155)*_xlfn.XLOOKUP($G153,$B$4:$B$8,$F$4:$F$8),MAX(IF(IFERROR(OFFSET(H155,0,_xlfn.XLOOKUP($G153,$B$4:$B$8,$C$4:$C$8)),0)=MAX($C155:$L155),_xlfn.MINIFS($C155:$L155,$C155:$L155,"&gt;0")*_xlfn.XLOOKUP($G153,$B$4:$B$8,$D$4:$D$8),IFERROR(OFFSET(H155,0,_xlfn.XLOOKUP($G153,$B$4:$B$8,$C$4:$C$8))*_xlfn.XLOOKUP($G153,$B$4:$B$8,$D$4:$D$8),0)),IFERROR(OFFSET(H155,0,_xlfn.XLOOKUP($G153,$B$4:$B$8,$E$4:$E$8))*_xlfn.XLOOKUP($G153,$B$4:$B$8,$F$4:$F$8),0),F156)))</f>
        <v>0</v>
      </c>
      <c r="I156" s="196">
        <f t="shared" ref="I156" ca="1" si="507">IF($I153="N",I155,IF($G153="1. In Flight",1,$G$4)*MIN(MAX($C155:$L155)*_xlfn.XLOOKUP($G153,$B$4:$B$8,$F$4:$F$8),MAX(IF(IFERROR(OFFSET(I155,0,_xlfn.XLOOKUP($G153,$B$4:$B$8,$C$4:$C$8)),0)=MAX($C155:$L155),_xlfn.MINIFS($C155:$L155,$C155:$L155,"&gt;0")*_xlfn.XLOOKUP($G153,$B$4:$B$8,$D$4:$D$8),IFERROR(OFFSET(I155,0,_xlfn.XLOOKUP($G153,$B$4:$B$8,$C$4:$C$8))*_xlfn.XLOOKUP($G153,$B$4:$B$8,$D$4:$D$8),0)),IFERROR(OFFSET(I155,0,_xlfn.XLOOKUP($G153,$B$4:$B$8,$E$4:$E$8))*_xlfn.XLOOKUP($G153,$B$4:$B$8,$F$4:$F$8),0),G156)))</f>
        <v>0</v>
      </c>
      <c r="J156" s="196">
        <f t="shared" ref="J156" ca="1" si="508">IF($I153="N",J155,IF($G153="1. In Flight",1,$G$4)*MIN(MAX($C155:$L155)*_xlfn.XLOOKUP($G153,$B$4:$B$8,$F$4:$F$8),MAX(IF(IFERROR(OFFSET(J155,0,_xlfn.XLOOKUP($G153,$B$4:$B$8,$C$4:$C$8)),0)=MAX($C155:$L155),_xlfn.MINIFS($C155:$L155,$C155:$L155,"&gt;0")*_xlfn.XLOOKUP($G153,$B$4:$B$8,$D$4:$D$8),IFERROR(OFFSET(J155,0,_xlfn.XLOOKUP($G153,$B$4:$B$8,$C$4:$C$8))*_xlfn.XLOOKUP($G153,$B$4:$B$8,$D$4:$D$8),0)),IFERROR(OFFSET(J155,0,_xlfn.XLOOKUP($G153,$B$4:$B$8,$E$4:$E$8))*_xlfn.XLOOKUP($G153,$B$4:$B$8,$F$4:$F$8),0),H156)))</f>
        <v>0</v>
      </c>
      <c r="K156" s="196">
        <f t="shared" ref="K156" ca="1" si="509">IF($I153="N",K155,IF($G153="1. In Flight",1,$G$4)*MIN(MAX($C155:$L155)*_xlfn.XLOOKUP($G153,$B$4:$B$8,$F$4:$F$8),MAX(IF(IFERROR(OFFSET(K155,0,_xlfn.XLOOKUP($G153,$B$4:$B$8,$C$4:$C$8)),0)=MAX($C155:$L155),_xlfn.MINIFS($C155:$L155,$C155:$L155,"&gt;0")*_xlfn.XLOOKUP($G153,$B$4:$B$8,$D$4:$D$8),IFERROR(OFFSET(K155,0,_xlfn.XLOOKUP($G153,$B$4:$B$8,$C$4:$C$8))*_xlfn.XLOOKUP($G153,$B$4:$B$8,$D$4:$D$8),0)),IFERROR(OFFSET(K155,0,_xlfn.XLOOKUP($G153,$B$4:$B$8,$E$4:$E$8))*_xlfn.XLOOKUP($G153,$B$4:$B$8,$F$4:$F$8),0),I156)))</f>
        <v>0</v>
      </c>
      <c r="L156" s="196">
        <f t="shared" ref="L156" ca="1" si="510">IF($I153="N",L155,IF($G153="1. In Flight",1,$G$4)*MIN(MAX($C155:$L155)*_xlfn.XLOOKUP($G153,$B$4:$B$8,$F$4:$F$8),MAX(IF(IFERROR(OFFSET(L155,0,_xlfn.XLOOKUP($G153,$B$4:$B$8,$C$4:$C$8)),0)=MAX($C155:$L155),_xlfn.MINIFS($C155:$L155,$C155:$L155,"&gt;0")*_xlfn.XLOOKUP($G153,$B$4:$B$8,$D$4:$D$8),IFERROR(OFFSET(L155,0,_xlfn.XLOOKUP($G153,$B$4:$B$8,$C$4:$C$8))*_xlfn.XLOOKUP($G153,$B$4:$B$8,$D$4:$D$8),0)),IFERROR(OFFSET(L155,0,_xlfn.XLOOKUP($G153,$B$4:$B$8,$E$4:$E$8))*_xlfn.XLOOKUP($G153,$B$4:$B$8,$F$4:$F$8),0),J156)))</f>
        <v>0</v>
      </c>
    </row>
    <row r="157" spans="1:12" ht="15" thickBot="1">
      <c r="A157" s="195" t="s">
        <v>108</v>
      </c>
      <c r="B157" s="196">
        <f>B155</f>
        <v>0</v>
      </c>
      <c r="C157" s="196">
        <f ca="1">IF($I153="N",C155,IF($G153="1. In Flight",1,$G$9)*MIN(MAX($C155:$L155)*_xlfn.XLOOKUP($G153,$B$9:$B$13,$F$9:$F$13),MAX(IF(IFERROR(OFFSET(C155,0,_xlfn.XLOOKUP($G153,$B$9:$B$13,$C$9:$C$13)),0)=MAX($C155:$L155),_xlfn.MINIFS($C155:$L155,$C155:$L155,"&gt;0")*_xlfn.XLOOKUP($G153,$B$9:$B$13,$D$9:$D$13),IFERROR(OFFSET(C155,0,_xlfn.XLOOKUP($G153,$B$9:$B$13,$C$9:$C$13))*_xlfn.XLOOKUP($G153,$B$9:$B$13,$D$9:$D$13),0)),IFERROR(OFFSET(C155,0,_xlfn.XLOOKUP($G153,$B$9:$B$13,$E$9:$E$13))*_xlfn.XLOOKUP($G153,$B$9:$B$13,$F$9:$F$13),0),A157)))</f>
        <v>0</v>
      </c>
      <c r="D157" s="196">
        <f t="shared" ref="D157" ca="1" si="511">IF($I153="N",D155,IF($G153="1. In Flight",1,$G$9)*MIN(MAX($C155:$L155)*_xlfn.XLOOKUP($G153,$B$9:$B$13,$F$9:$F$13),MAX(IF(IFERROR(OFFSET(D155,0,_xlfn.XLOOKUP($G153,$B$9:$B$13,$C$9:$C$13)),0)=MAX($C155:$L155),_xlfn.MINIFS($C155:$L155,$C155:$L155,"&gt;0")*_xlfn.XLOOKUP($G153,$B$9:$B$13,$D$9:$D$13),IFERROR(OFFSET(D155,0,_xlfn.XLOOKUP($G153,$B$9:$B$13,$C$9:$C$13))*_xlfn.XLOOKUP($G153,$B$9:$B$13,$D$9:$D$13),0)),IFERROR(OFFSET(D155,0,_xlfn.XLOOKUP($G153,$B$9:$B$13,$E$9:$E$13))*_xlfn.XLOOKUP($G153,$B$9:$B$13,$F$9:$F$13),0),B157)))</f>
        <v>0</v>
      </c>
      <c r="E157" s="196">
        <f t="shared" ref="E157" ca="1" si="512">IF($I153="N",E155,IF($G153="1. In Flight",1,$G$9)*MIN(MAX($C155:$L155)*_xlfn.XLOOKUP($G153,$B$9:$B$13,$F$9:$F$13),MAX(IF(IFERROR(OFFSET(E155,0,_xlfn.XLOOKUP($G153,$B$9:$B$13,$C$9:$C$13)),0)=MAX($C155:$L155),_xlfn.MINIFS($C155:$L155,$C155:$L155,"&gt;0")*_xlfn.XLOOKUP($G153,$B$9:$B$13,$D$9:$D$13),IFERROR(OFFSET(E155,0,_xlfn.XLOOKUP($G153,$B$9:$B$13,$C$9:$C$13))*_xlfn.XLOOKUP($G153,$B$9:$B$13,$D$9:$D$13),0)),IFERROR(OFFSET(E155,0,_xlfn.XLOOKUP($G153,$B$9:$B$13,$E$9:$E$13))*_xlfn.XLOOKUP($G153,$B$9:$B$13,$F$9:$F$13),0),C157)))</f>
        <v>0</v>
      </c>
      <c r="F157" s="196">
        <f t="shared" ref="F157" ca="1" si="513">IF($I153="N",F155,IF($G153="1. In Flight",1,$G$9)*MIN(MAX($C155:$L155)*_xlfn.XLOOKUP($G153,$B$9:$B$13,$F$9:$F$13),MAX(IF(IFERROR(OFFSET(F155,0,_xlfn.XLOOKUP($G153,$B$9:$B$13,$C$9:$C$13)),0)=MAX($C155:$L155),_xlfn.MINIFS($C155:$L155,$C155:$L155,"&gt;0")*_xlfn.XLOOKUP($G153,$B$9:$B$13,$D$9:$D$13),IFERROR(OFFSET(F155,0,_xlfn.XLOOKUP($G153,$B$9:$B$13,$C$9:$C$13))*_xlfn.XLOOKUP($G153,$B$9:$B$13,$D$9:$D$13),0)),IFERROR(OFFSET(F155,0,_xlfn.XLOOKUP($G153,$B$9:$B$13,$E$9:$E$13))*_xlfn.XLOOKUP($G153,$B$9:$B$13,$F$9:$F$13),0),D157)))</f>
        <v>0</v>
      </c>
      <c r="G157" s="196">
        <f t="shared" ref="G157" ca="1" si="514">IF($I153="N",G155,IF($G153="1. In Flight",1,$G$9)*MIN(MAX($C155:$L155)*_xlfn.XLOOKUP($G153,$B$9:$B$13,$F$9:$F$13),MAX(IF(IFERROR(OFFSET(G155,0,_xlfn.XLOOKUP($G153,$B$9:$B$13,$C$9:$C$13)),0)=MAX($C155:$L155),_xlfn.MINIFS($C155:$L155,$C155:$L155,"&gt;0")*_xlfn.XLOOKUP($G153,$B$9:$B$13,$D$9:$D$13),IFERROR(OFFSET(G155,0,_xlfn.XLOOKUP($G153,$B$9:$B$13,$C$9:$C$13))*_xlfn.XLOOKUP($G153,$B$9:$B$13,$D$9:$D$13),0)),IFERROR(OFFSET(G155,0,_xlfn.XLOOKUP($G153,$B$9:$B$13,$E$9:$E$13))*_xlfn.XLOOKUP($G153,$B$9:$B$13,$F$9:$F$13),0),E157)))</f>
        <v>0</v>
      </c>
      <c r="H157" s="196">
        <f t="shared" ref="H157" ca="1" si="515">IF($I153="N",H155,IF($G153="1. In Flight",1,$G$9)*MIN(MAX($C155:$L155)*_xlfn.XLOOKUP($G153,$B$9:$B$13,$F$9:$F$13),MAX(IF(IFERROR(OFFSET(H155,0,_xlfn.XLOOKUP($G153,$B$9:$B$13,$C$9:$C$13)),0)=MAX($C155:$L155),_xlfn.MINIFS($C155:$L155,$C155:$L155,"&gt;0")*_xlfn.XLOOKUP($G153,$B$9:$B$13,$D$9:$D$13),IFERROR(OFFSET(H155,0,_xlfn.XLOOKUP($G153,$B$9:$B$13,$C$9:$C$13))*_xlfn.XLOOKUP($G153,$B$9:$B$13,$D$9:$D$13),0)),IFERROR(OFFSET(H155,0,_xlfn.XLOOKUP($G153,$B$9:$B$13,$E$9:$E$13))*_xlfn.XLOOKUP($G153,$B$9:$B$13,$F$9:$F$13),0),F157)))</f>
        <v>0</v>
      </c>
      <c r="I157" s="196">
        <f t="shared" ref="I157" ca="1" si="516">IF($I153="N",I155,IF($G153="1. In Flight",1,$G$9)*MIN(MAX($C155:$L155)*_xlfn.XLOOKUP($G153,$B$9:$B$13,$F$9:$F$13),MAX(IF(IFERROR(OFFSET(I155,0,_xlfn.XLOOKUP($G153,$B$9:$B$13,$C$9:$C$13)),0)=MAX($C155:$L155),_xlfn.MINIFS($C155:$L155,$C155:$L155,"&gt;0")*_xlfn.XLOOKUP($G153,$B$9:$B$13,$D$9:$D$13),IFERROR(OFFSET(I155,0,_xlfn.XLOOKUP($G153,$B$9:$B$13,$C$9:$C$13))*_xlfn.XLOOKUP($G153,$B$9:$B$13,$D$9:$D$13),0)),IFERROR(OFFSET(I155,0,_xlfn.XLOOKUP($G153,$B$9:$B$13,$E$9:$E$13))*_xlfn.XLOOKUP($G153,$B$9:$B$13,$F$9:$F$13),0),G157)))</f>
        <v>0</v>
      </c>
      <c r="J157" s="196">
        <f t="shared" ref="J157" ca="1" si="517">IF($I153="N",J155,IF($G153="1. In Flight",1,$G$9)*MIN(MAX($C155:$L155)*_xlfn.XLOOKUP($G153,$B$9:$B$13,$F$9:$F$13),MAX(IF(IFERROR(OFFSET(J155,0,_xlfn.XLOOKUP($G153,$B$9:$B$13,$C$9:$C$13)),0)=MAX($C155:$L155),_xlfn.MINIFS($C155:$L155,$C155:$L155,"&gt;0")*_xlfn.XLOOKUP($G153,$B$9:$B$13,$D$9:$D$13),IFERROR(OFFSET(J155,0,_xlfn.XLOOKUP($G153,$B$9:$B$13,$C$9:$C$13))*_xlfn.XLOOKUP($G153,$B$9:$B$13,$D$9:$D$13),0)),IFERROR(OFFSET(J155,0,_xlfn.XLOOKUP($G153,$B$9:$B$13,$E$9:$E$13))*_xlfn.XLOOKUP($G153,$B$9:$B$13,$F$9:$F$13),0),H157)))</f>
        <v>0</v>
      </c>
      <c r="K157" s="196">
        <f t="shared" ref="K157" ca="1" si="518">IF($I153="N",K155,IF($G153="1. In Flight",1,$G$9)*MIN(MAX($C155:$L155)*_xlfn.XLOOKUP($G153,$B$9:$B$13,$F$9:$F$13),MAX(IF(IFERROR(OFFSET(K155,0,_xlfn.XLOOKUP($G153,$B$9:$B$13,$C$9:$C$13)),0)=MAX($C155:$L155),_xlfn.MINIFS($C155:$L155,$C155:$L155,"&gt;0")*_xlfn.XLOOKUP($G153,$B$9:$B$13,$D$9:$D$13),IFERROR(OFFSET(K155,0,_xlfn.XLOOKUP($G153,$B$9:$B$13,$C$9:$C$13))*_xlfn.XLOOKUP($G153,$B$9:$B$13,$D$9:$D$13),0)),IFERROR(OFFSET(K155,0,_xlfn.XLOOKUP($G153,$B$9:$B$13,$E$9:$E$13))*_xlfn.XLOOKUP($G153,$B$9:$B$13,$F$9:$F$13),0),I157)))</f>
        <v>0</v>
      </c>
      <c r="L157" s="196">
        <f t="shared" ref="L157" ca="1" si="519">IF($I153="N",L155,IF($G153="1. In Flight",1,$G$9)*MIN(MAX($C155:$L155)*_xlfn.XLOOKUP($G153,$B$9:$B$13,$F$9:$F$13),MAX(IF(IFERROR(OFFSET(L155,0,_xlfn.XLOOKUP($G153,$B$9:$B$13,$C$9:$C$13)),0)=MAX($C155:$L155),_xlfn.MINIFS($C155:$L155,$C155:$L155,"&gt;0")*_xlfn.XLOOKUP($G153,$B$9:$B$13,$D$9:$D$13),IFERROR(OFFSET(L155,0,_xlfn.XLOOKUP($G153,$B$9:$B$13,$C$9:$C$13))*_xlfn.XLOOKUP($G153,$B$9:$B$13,$D$9:$D$13),0)),IFERROR(OFFSET(L155,0,_xlfn.XLOOKUP($G153,$B$9:$B$13,$E$9:$E$13))*_xlfn.XLOOKUP($G153,$B$9:$B$13,$F$9:$F$13),0),J157)))</f>
        <v>0</v>
      </c>
    </row>
    <row r="158" spans="1:12" ht="15" thickBot="1">
      <c r="A158" s="197" t="s">
        <v>109</v>
      </c>
      <c r="B158" s="198">
        <f>B155</f>
        <v>0</v>
      </c>
      <c r="C158" s="198">
        <f ca="1">IF($I153="N",C155,IF($G153="1. In Flight",1,$G$14)*MIN(MAX($C155:$L155)*_xlfn.XLOOKUP($G153,$B$14:$B$18,$F$14:$F$18),MAX(IF(IFERROR(OFFSET(C155,0,_xlfn.XLOOKUP($G153,$B$14:$B$18,$C$14:$C$18)),0)=MAX($C155:$L155),_xlfn.MINIFS($C155:$L155,$C155:$L155,"&gt;0")*_xlfn.XLOOKUP($G153,$B$14:$B$18,$D$14:$D$18),IFERROR(OFFSET(C155,0,_xlfn.XLOOKUP($G153,$B$14:$B$18,$C$14:$C$18))*_xlfn.XLOOKUP($G153,$B$14:$B$18,$D$14:$D$18),0)),IFERROR(OFFSET(C155,0,_xlfn.XLOOKUP($G153,$B$14:$B$18,$E$14:$E$18))*_xlfn.XLOOKUP($G153,$B$14:$B$18,$F$14:$F$18),0),A158)))</f>
        <v>0</v>
      </c>
      <c r="D158" s="198">
        <f t="shared" ref="D158" ca="1" si="520">IF($I153="N",D155,IF($G153="1. In Flight",1,$G$14)*MIN(MAX($C155:$L155)*_xlfn.XLOOKUP($G153,$B$14:$B$18,$F$14:$F$18),MAX(IF(IFERROR(OFFSET(D155,0,_xlfn.XLOOKUP($G153,$B$14:$B$18,$C$14:$C$18)),0)=MAX($C155:$L155),_xlfn.MINIFS($C155:$L155,$C155:$L155,"&gt;0")*_xlfn.XLOOKUP($G153,$B$14:$B$18,$D$14:$D$18),IFERROR(OFFSET(D155,0,_xlfn.XLOOKUP($G153,$B$14:$B$18,$C$14:$C$18))*_xlfn.XLOOKUP($G153,$B$14:$B$18,$D$14:$D$18),0)),IFERROR(OFFSET(D155,0,_xlfn.XLOOKUP($G153,$B$14:$B$18,$E$14:$E$18))*_xlfn.XLOOKUP($G153,$B$14:$B$18,$F$14:$F$18),0),B158)))</f>
        <v>0</v>
      </c>
      <c r="E158" s="198">
        <f t="shared" ref="E158" ca="1" si="521">IF($I153="N",E155,IF($G153="1. In Flight",1,$G$14)*MIN(MAX($C155:$L155)*_xlfn.XLOOKUP($G153,$B$14:$B$18,$F$14:$F$18),MAX(IF(IFERROR(OFFSET(E155,0,_xlfn.XLOOKUP($G153,$B$14:$B$18,$C$14:$C$18)),0)=MAX($C155:$L155),_xlfn.MINIFS($C155:$L155,$C155:$L155,"&gt;0")*_xlfn.XLOOKUP($G153,$B$14:$B$18,$D$14:$D$18),IFERROR(OFFSET(E155,0,_xlfn.XLOOKUP($G153,$B$14:$B$18,$C$14:$C$18))*_xlfn.XLOOKUP($G153,$B$14:$B$18,$D$14:$D$18),0)),IFERROR(OFFSET(E155,0,_xlfn.XLOOKUP($G153,$B$14:$B$18,$E$14:$E$18))*_xlfn.XLOOKUP($G153,$B$14:$B$18,$F$14:$F$18),0),C158)))</f>
        <v>0</v>
      </c>
      <c r="F158" s="198">
        <f t="shared" ref="F158" ca="1" si="522">IF($I153="N",F155,IF($G153="1. In Flight",1,$G$14)*MIN(MAX($C155:$L155)*_xlfn.XLOOKUP($G153,$B$14:$B$18,$F$14:$F$18),MAX(IF(IFERROR(OFFSET(F155,0,_xlfn.XLOOKUP($G153,$B$14:$B$18,$C$14:$C$18)),0)=MAX($C155:$L155),_xlfn.MINIFS($C155:$L155,$C155:$L155,"&gt;0")*_xlfn.XLOOKUP($G153,$B$14:$B$18,$D$14:$D$18),IFERROR(OFFSET(F155,0,_xlfn.XLOOKUP($G153,$B$14:$B$18,$C$14:$C$18))*_xlfn.XLOOKUP($G153,$B$14:$B$18,$D$14:$D$18),0)),IFERROR(OFFSET(F155,0,_xlfn.XLOOKUP($G153,$B$14:$B$18,$E$14:$E$18))*_xlfn.XLOOKUP($G153,$B$14:$B$18,$F$14:$F$18),0),D158)))</f>
        <v>0</v>
      </c>
      <c r="G158" s="198">
        <f t="shared" ref="G158" ca="1" si="523">IF($I153="N",G155,IF($G153="1. In Flight",1,$G$14)*MIN(MAX($C155:$L155)*_xlfn.XLOOKUP($G153,$B$14:$B$18,$F$14:$F$18),MAX(IF(IFERROR(OFFSET(G155,0,_xlfn.XLOOKUP($G153,$B$14:$B$18,$C$14:$C$18)),0)=MAX($C155:$L155),_xlfn.MINIFS($C155:$L155,$C155:$L155,"&gt;0")*_xlfn.XLOOKUP($G153,$B$14:$B$18,$D$14:$D$18),IFERROR(OFFSET(G155,0,_xlfn.XLOOKUP($G153,$B$14:$B$18,$C$14:$C$18))*_xlfn.XLOOKUP($G153,$B$14:$B$18,$D$14:$D$18),0)),IFERROR(OFFSET(G155,0,_xlfn.XLOOKUP($G153,$B$14:$B$18,$E$14:$E$18))*_xlfn.XLOOKUP($G153,$B$14:$B$18,$F$14:$F$18),0),E158)))</f>
        <v>0</v>
      </c>
      <c r="H158" s="198">
        <f t="shared" ref="H158" ca="1" si="524">IF($I153="N",H155,IF($G153="1. In Flight",1,$G$14)*MIN(MAX($C155:$L155)*_xlfn.XLOOKUP($G153,$B$14:$B$18,$F$14:$F$18),MAX(IF(IFERROR(OFFSET(H155,0,_xlfn.XLOOKUP($G153,$B$14:$B$18,$C$14:$C$18)),0)=MAX($C155:$L155),_xlfn.MINIFS($C155:$L155,$C155:$L155,"&gt;0")*_xlfn.XLOOKUP($G153,$B$14:$B$18,$D$14:$D$18),IFERROR(OFFSET(H155,0,_xlfn.XLOOKUP($G153,$B$14:$B$18,$C$14:$C$18))*_xlfn.XLOOKUP($G153,$B$14:$B$18,$D$14:$D$18),0)),IFERROR(OFFSET(H155,0,_xlfn.XLOOKUP($G153,$B$14:$B$18,$E$14:$E$18))*_xlfn.XLOOKUP($G153,$B$14:$B$18,$F$14:$F$18),0),F158)))</f>
        <v>0</v>
      </c>
      <c r="I158" s="198">
        <f t="shared" ref="I158" ca="1" si="525">IF($I153="N",I155,IF($G153="1. In Flight",1,$G$14)*MIN(MAX($C155:$L155)*_xlfn.XLOOKUP($G153,$B$14:$B$18,$F$14:$F$18),MAX(IF(IFERROR(OFFSET(I155,0,_xlfn.XLOOKUP($G153,$B$14:$B$18,$C$14:$C$18)),0)=MAX($C155:$L155),_xlfn.MINIFS($C155:$L155,$C155:$L155,"&gt;0")*_xlfn.XLOOKUP($G153,$B$14:$B$18,$D$14:$D$18),IFERROR(OFFSET(I155,0,_xlfn.XLOOKUP($G153,$B$14:$B$18,$C$14:$C$18))*_xlfn.XLOOKUP($G153,$B$14:$B$18,$D$14:$D$18),0)),IFERROR(OFFSET(I155,0,_xlfn.XLOOKUP($G153,$B$14:$B$18,$E$14:$E$18))*_xlfn.XLOOKUP($G153,$B$14:$B$18,$F$14:$F$18),0),G158)))</f>
        <v>0</v>
      </c>
      <c r="J158" s="198">
        <f t="shared" ref="J158" ca="1" si="526">IF($I153="N",J155,IF($G153="1. In Flight",1,$G$14)*MIN(MAX($C155:$L155)*_xlfn.XLOOKUP($G153,$B$14:$B$18,$F$14:$F$18),MAX(IF(IFERROR(OFFSET(J155,0,_xlfn.XLOOKUP($G153,$B$14:$B$18,$C$14:$C$18)),0)=MAX($C155:$L155),_xlfn.MINIFS($C155:$L155,$C155:$L155,"&gt;0")*_xlfn.XLOOKUP($G153,$B$14:$B$18,$D$14:$D$18),IFERROR(OFFSET(J155,0,_xlfn.XLOOKUP($G153,$B$14:$B$18,$C$14:$C$18))*_xlfn.XLOOKUP($G153,$B$14:$B$18,$D$14:$D$18),0)),IFERROR(OFFSET(J155,0,_xlfn.XLOOKUP($G153,$B$14:$B$18,$E$14:$E$18))*_xlfn.XLOOKUP($G153,$B$14:$B$18,$F$14:$F$18),0),H158)))</f>
        <v>0</v>
      </c>
      <c r="K158" s="198">
        <f t="shared" ref="K158" ca="1" si="527">IF($I153="N",K155,IF($G153="1. In Flight",1,$G$14)*MIN(MAX($C155:$L155)*_xlfn.XLOOKUP($G153,$B$14:$B$18,$F$14:$F$18),MAX(IF(IFERROR(OFFSET(K155,0,_xlfn.XLOOKUP($G153,$B$14:$B$18,$C$14:$C$18)),0)=MAX($C155:$L155),_xlfn.MINIFS($C155:$L155,$C155:$L155,"&gt;0")*_xlfn.XLOOKUP($G153,$B$14:$B$18,$D$14:$D$18),IFERROR(OFFSET(K155,0,_xlfn.XLOOKUP($G153,$B$14:$B$18,$C$14:$C$18))*_xlfn.XLOOKUP($G153,$B$14:$B$18,$D$14:$D$18),0)),IFERROR(OFFSET(K155,0,_xlfn.XLOOKUP($G153,$B$14:$B$18,$E$14:$E$18))*_xlfn.XLOOKUP($G153,$B$14:$B$18,$F$14:$F$18),0),I158)))</f>
        <v>0</v>
      </c>
      <c r="L158" s="198">
        <f t="shared" ref="L158" ca="1" si="528">IF($I153="N",L155,IF($G153="1. In Flight",1,$G$14)*MIN(MAX($C155:$L155)*_xlfn.XLOOKUP($G153,$B$14:$B$18,$F$14:$F$18),MAX(IF(IFERROR(OFFSET(L155,0,_xlfn.XLOOKUP($G153,$B$14:$B$18,$C$14:$C$18)),0)=MAX($C155:$L155),_xlfn.MINIFS($C155:$L155,$C155:$L155,"&gt;0")*_xlfn.XLOOKUP($G153,$B$14:$B$18,$D$14:$D$18),IFERROR(OFFSET(L155,0,_xlfn.XLOOKUP($G153,$B$14:$B$18,$C$14:$C$18))*_xlfn.XLOOKUP($G153,$B$14:$B$18,$D$14:$D$18),0)),IFERROR(OFFSET(L155,0,_xlfn.XLOOKUP($G153,$B$14:$B$18,$E$14:$E$18))*_xlfn.XLOOKUP($G153,$B$14:$B$18,$F$14:$F$18),0),J158)))</f>
        <v>4.212056752003126</v>
      </c>
    </row>
    <row r="159" spans="1:12" ht="15" thickTop="1"/>
    <row r="160" spans="1:12" ht="15" thickBot="1">
      <c r="A160" s="231">
        <f>_xlfn.XLOOKUP(F160,FEED!D:D,FEED!E:E,FALSE)</f>
        <v>0</v>
      </c>
      <c r="B160" s="232"/>
      <c r="C160" s="189"/>
      <c r="D160" s="200" t="s">
        <v>127</v>
      </c>
      <c r="E160" s="189" t="s">
        <v>123</v>
      </c>
      <c r="F160" s="189" t="s">
        <v>52</v>
      </c>
      <c r="G160" s="189" t="str">
        <f>IFERROR(_xlfn.XLOOKUP(F160,FEED!$D:$D,FEED!$S:$S),$B$8)</f>
        <v>5. Unlikely</v>
      </c>
      <c r="H160" s="189" t="str">
        <f>IFERROR(_xlfn.XLOOKUP(F160,FEED!$D:$D,FEED!$Y:$Y),"Major Load")</f>
        <v>Data Centre</v>
      </c>
      <c r="I160" s="189" t="str">
        <f>IFERROR(_xlfn.XLOOKUP(F160,FEED!$D:$D,FEED!$C:$C),"N")</f>
        <v>Y</v>
      </c>
      <c r="J160" s="190"/>
      <c r="K160" s="190"/>
      <c r="L160" s="190"/>
    </row>
    <row r="161" spans="1:12" ht="15" thickBot="1">
      <c r="A161" s="191" t="str">
        <f>A154</f>
        <v>Uptake Scenario</v>
      </c>
      <c r="B161" s="192">
        <f>B154</f>
        <v>2023</v>
      </c>
      <c r="C161" s="192">
        <f t="shared" ref="C161:L161" si="529">C154</f>
        <v>2024</v>
      </c>
      <c r="D161" s="192">
        <f t="shared" si="529"/>
        <v>2025</v>
      </c>
      <c r="E161" s="192">
        <f t="shared" si="529"/>
        <v>2026</v>
      </c>
      <c r="F161" s="192">
        <f t="shared" si="529"/>
        <v>2027</v>
      </c>
      <c r="G161" s="192">
        <f t="shared" si="529"/>
        <v>2028</v>
      </c>
      <c r="H161" s="192">
        <f t="shared" si="529"/>
        <v>2029</v>
      </c>
      <c r="I161" s="192">
        <f t="shared" si="529"/>
        <v>2030</v>
      </c>
      <c r="J161" s="192">
        <f t="shared" si="529"/>
        <v>2031</v>
      </c>
      <c r="K161" s="192">
        <f t="shared" si="529"/>
        <v>2032</v>
      </c>
      <c r="L161" s="192">
        <f t="shared" si="529"/>
        <v>2033</v>
      </c>
    </row>
    <row r="162" spans="1:12" ht="15.6" thickTop="1" thickBot="1">
      <c r="A162" s="193" t="s">
        <v>111</v>
      </c>
      <c r="B162" s="194">
        <v>0</v>
      </c>
      <c r="C162" s="194">
        <f>SUMIF(FEED!$D:$D,$F160,FEED!F:F)+B162</f>
        <v>0</v>
      </c>
      <c r="D162" s="194">
        <f>SUMIF(FEED!$D:$D,$F160,FEED!G:G)+C162</f>
        <v>0</v>
      </c>
      <c r="E162" s="194">
        <f>SUMIF(FEED!$D:$D,$F160,FEED!H:H)+D162</f>
        <v>0</v>
      </c>
      <c r="F162" s="194">
        <f>SUMIF(FEED!$D:$D,$F160,FEED!I:I)+E162</f>
        <v>0</v>
      </c>
      <c r="G162" s="194">
        <f>SUMIF(FEED!$D:$D,$F160,FEED!J:J)+F162</f>
        <v>0</v>
      </c>
      <c r="H162" s="194">
        <f>SUMIF(FEED!$D:$D,$F160,FEED!K:K)+G162</f>
        <v>0</v>
      </c>
      <c r="I162" s="194">
        <f>SUMIF(FEED!$D:$D,$F160,FEED!L:L)+H162</f>
        <v>0</v>
      </c>
      <c r="J162" s="194">
        <f>SUMIF(FEED!$D:$D,$F160,FEED!M:M)+I162</f>
        <v>0</v>
      </c>
      <c r="K162" s="194">
        <f>SUMIF(FEED!$D:$D,$F160,FEED!N:N)+J162</f>
        <v>0</v>
      </c>
      <c r="L162" s="194">
        <f>SUMIF(FEED!$D:$D,$F160,FEED!O:O)+K162</f>
        <v>0</v>
      </c>
    </row>
    <row r="163" spans="1:12" ht="15" thickBot="1">
      <c r="A163" s="195" t="s">
        <v>107</v>
      </c>
      <c r="B163" s="196">
        <f>B162</f>
        <v>0</v>
      </c>
      <c r="C163" s="196">
        <f ca="1">IF($I160="N",C162,IF($G160="1. In Flight",1,$G$4)*MIN(MAX($C162:$L162)*_xlfn.XLOOKUP($G160,$B$4:$B$8,$F$4:$F$8),MAX(IF(IFERROR(OFFSET(C162,0,_xlfn.XLOOKUP($G160,$B$4:$B$8,$C$4:$C$8)),0)=MAX($C162:$L162),_xlfn.MINIFS($C162:$L162,$C162:$L162,"&gt;0")*_xlfn.XLOOKUP($G160,$B$4:$B$8,$D$4:$D$8),IFERROR(OFFSET(C162,0,_xlfn.XLOOKUP($G160,$B$4:$B$8,$C$4:$C$8))*_xlfn.XLOOKUP($G160,$B$4:$B$8,$D$4:$D$8),0)),IFERROR(OFFSET(C162,0,_xlfn.XLOOKUP($G160,$B$4:$B$8,$E$4:$E$8))*_xlfn.XLOOKUP($G160,$B$4:$B$8,$F$4:$F$8),0),A163)))</f>
        <v>0</v>
      </c>
      <c r="D163" s="196">
        <f t="shared" ref="D163" ca="1" si="530">IF($I160="N",D162,IF($G160="1. In Flight",1,$G$4)*MIN(MAX($C162:$L162)*_xlfn.XLOOKUP($G160,$B$4:$B$8,$F$4:$F$8),MAX(IF(IFERROR(OFFSET(D162,0,_xlfn.XLOOKUP($G160,$B$4:$B$8,$C$4:$C$8)),0)=MAX($C162:$L162),_xlfn.MINIFS($C162:$L162,$C162:$L162,"&gt;0")*_xlfn.XLOOKUP($G160,$B$4:$B$8,$D$4:$D$8),IFERROR(OFFSET(D162,0,_xlfn.XLOOKUP($G160,$B$4:$B$8,$C$4:$C$8))*_xlfn.XLOOKUP($G160,$B$4:$B$8,$D$4:$D$8),0)),IFERROR(OFFSET(D162,0,_xlfn.XLOOKUP($G160,$B$4:$B$8,$E$4:$E$8))*_xlfn.XLOOKUP($G160,$B$4:$B$8,$F$4:$F$8),0),B163)))</f>
        <v>0</v>
      </c>
      <c r="E163" s="196">
        <f t="shared" ref="E163" ca="1" si="531">IF($I160="N",E162,IF($G160="1. In Flight",1,$G$4)*MIN(MAX($C162:$L162)*_xlfn.XLOOKUP($G160,$B$4:$B$8,$F$4:$F$8),MAX(IF(IFERROR(OFFSET(E162,0,_xlfn.XLOOKUP($G160,$B$4:$B$8,$C$4:$C$8)),0)=MAX($C162:$L162),_xlfn.MINIFS($C162:$L162,$C162:$L162,"&gt;0")*_xlfn.XLOOKUP($G160,$B$4:$B$8,$D$4:$D$8),IFERROR(OFFSET(E162,0,_xlfn.XLOOKUP($G160,$B$4:$B$8,$C$4:$C$8))*_xlfn.XLOOKUP($G160,$B$4:$B$8,$D$4:$D$8),0)),IFERROR(OFFSET(E162,0,_xlfn.XLOOKUP($G160,$B$4:$B$8,$E$4:$E$8))*_xlfn.XLOOKUP($G160,$B$4:$B$8,$F$4:$F$8),0),C163)))</f>
        <v>0</v>
      </c>
      <c r="F163" s="196">
        <f t="shared" ref="F163" ca="1" si="532">IF($I160="N",F162,IF($G160="1. In Flight",1,$G$4)*MIN(MAX($C162:$L162)*_xlfn.XLOOKUP($G160,$B$4:$B$8,$F$4:$F$8),MAX(IF(IFERROR(OFFSET(F162,0,_xlfn.XLOOKUP($G160,$B$4:$B$8,$C$4:$C$8)),0)=MAX($C162:$L162),_xlfn.MINIFS($C162:$L162,$C162:$L162,"&gt;0")*_xlfn.XLOOKUP($G160,$B$4:$B$8,$D$4:$D$8),IFERROR(OFFSET(F162,0,_xlfn.XLOOKUP($G160,$B$4:$B$8,$C$4:$C$8))*_xlfn.XLOOKUP($G160,$B$4:$B$8,$D$4:$D$8),0)),IFERROR(OFFSET(F162,0,_xlfn.XLOOKUP($G160,$B$4:$B$8,$E$4:$E$8))*_xlfn.XLOOKUP($G160,$B$4:$B$8,$F$4:$F$8),0),D163)))</f>
        <v>0</v>
      </c>
      <c r="G163" s="196">
        <f t="shared" ref="G163" ca="1" si="533">IF($I160="N",G162,IF($G160="1. In Flight",1,$G$4)*MIN(MAX($C162:$L162)*_xlfn.XLOOKUP($G160,$B$4:$B$8,$F$4:$F$8),MAX(IF(IFERROR(OFFSET(G162,0,_xlfn.XLOOKUP($G160,$B$4:$B$8,$C$4:$C$8)),0)=MAX($C162:$L162),_xlfn.MINIFS($C162:$L162,$C162:$L162,"&gt;0")*_xlfn.XLOOKUP($G160,$B$4:$B$8,$D$4:$D$8),IFERROR(OFFSET(G162,0,_xlfn.XLOOKUP($G160,$B$4:$B$8,$C$4:$C$8))*_xlfn.XLOOKUP($G160,$B$4:$B$8,$D$4:$D$8),0)),IFERROR(OFFSET(G162,0,_xlfn.XLOOKUP($G160,$B$4:$B$8,$E$4:$E$8))*_xlfn.XLOOKUP($G160,$B$4:$B$8,$F$4:$F$8),0),E163)))</f>
        <v>0</v>
      </c>
      <c r="H163" s="196">
        <f t="shared" ref="H163" ca="1" si="534">IF($I160="N",H162,IF($G160="1. In Flight",1,$G$4)*MIN(MAX($C162:$L162)*_xlfn.XLOOKUP($G160,$B$4:$B$8,$F$4:$F$8),MAX(IF(IFERROR(OFFSET(H162,0,_xlfn.XLOOKUP($G160,$B$4:$B$8,$C$4:$C$8)),0)=MAX($C162:$L162),_xlfn.MINIFS($C162:$L162,$C162:$L162,"&gt;0")*_xlfn.XLOOKUP($G160,$B$4:$B$8,$D$4:$D$8),IFERROR(OFFSET(H162,0,_xlfn.XLOOKUP($G160,$B$4:$B$8,$C$4:$C$8))*_xlfn.XLOOKUP($G160,$B$4:$B$8,$D$4:$D$8),0)),IFERROR(OFFSET(H162,0,_xlfn.XLOOKUP($G160,$B$4:$B$8,$E$4:$E$8))*_xlfn.XLOOKUP($G160,$B$4:$B$8,$F$4:$F$8),0),F163)))</f>
        <v>0</v>
      </c>
      <c r="I163" s="196">
        <f t="shared" ref="I163" ca="1" si="535">IF($I160="N",I162,IF($G160="1. In Flight",1,$G$4)*MIN(MAX($C162:$L162)*_xlfn.XLOOKUP($G160,$B$4:$B$8,$F$4:$F$8),MAX(IF(IFERROR(OFFSET(I162,0,_xlfn.XLOOKUP($G160,$B$4:$B$8,$C$4:$C$8)),0)=MAX($C162:$L162),_xlfn.MINIFS($C162:$L162,$C162:$L162,"&gt;0")*_xlfn.XLOOKUP($G160,$B$4:$B$8,$D$4:$D$8),IFERROR(OFFSET(I162,0,_xlfn.XLOOKUP($G160,$B$4:$B$8,$C$4:$C$8))*_xlfn.XLOOKUP($G160,$B$4:$B$8,$D$4:$D$8),0)),IFERROR(OFFSET(I162,0,_xlfn.XLOOKUP($G160,$B$4:$B$8,$E$4:$E$8))*_xlfn.XLOOKUP($G160,$B$4:$B$8,$F$4:$F$8),0),G163)))</f>
        <v>0</v>
      </c>
      <c r="J163" s="196">
        <f t="shared" ref="J163" ca="1" si="536">IF($I160="N",J162,IF($G160="1. In Flight",1,$G$4)*MIN(MAX($C162:$L162)*_xlfn.XLOOKUP($G160,$B$4:$B$8,$F$4:$F$8),MAX(IF(IFERROR(OFFSET(J162,0,_xlfn.XLOOKUP($G160,$B$4:$B$8,$C$4:$C$8)),0)=MAX($C162:$L162),_xlfn.MINIFS($C162:$L162,$C162:$L162,"&gt;0")*_xlfn.XLOOKUP($G160,$B$4:$B$8,$D$4:$D$8),IFERROR(OFFSET(J162,0,_xlfn.XLOOKUP($G160,$B$4:$B$8,$C$4:$C$8))*_xlfn.XLOOKUP($G160,$B$4:$B$8,$D$4:$D$8),0)),IFERROR(OFFSET(J162,0,_xlfn.XLOOKUP($G160,$B$4:$B$8,$E$4:$E$8))*_xlfn.XLOOKUP($G160,$B$4:$B$8,$F$4:$F$8),0),H163)))</f>
        <v>0</v>
      </c>
      <c r="K163" s="196">
        <f t="shared" ref="K163" ca="1" si="537">IF($I160="N",K162,IF($G160="1. In Flight",1,$G$4)*MIN(MAX($C162:$L162)*_xlfn.XLOOKUP($G160,$B$4:$B$8,$F$4:$F$8),MAX(IF(IFERROR(OFFSET(K162,0,_xlfn.XLOOKUP($G160,$B$4:$B$8,$C$4:$C$8)),0)=MAX($C162:$L162),_xlfn.MINIFS($C162:$L162,$C162:$L162,"&gt;0")*_xlfn.XLOOKUP($G160,$B$4:$B$8,$D$4:$D$8),IFERROR(OFFSET(K162,0,_xlfn.XLOOKUP($G160,$B$4:$B$8,$C$4:$C$8))*_xlfn.XLOOKUP($G160,$B$4:$B$8,$D$4:$D$8),0)),IFERROR(OFFSET(K162,0,_xlfn.XLOOKUP($G160,$B$4:$B$8,$E$4:$E$8))*_xlfn.XLOOKUP($G160,$B$4:$B$8,$F$4:$F$8),0),I163)))</f>
        <v>0</v>
      </c>
      <c r="L163" s="196">
        <f t="shared" ref="L163" ca="1" si="538">IF($I160="N",L162,IF($G160="1. In Flight",1,$G$4)*MIN(MAX($C162:$L162)*_xlfn.XLOOKUP($G160,$B$4:$B$8,$F$4:$F$8),MAX(IF(IFERROR(OFFSET(L162,0,_xlfn.XLOOKUP($G160,$B$4:$B$8,$C$4:$C$8)),0)=MAX($C162:$L162),_xlfn.MINIFS($C162:$L162,$C162:$L162,"&gt;0")*_xlfn.XLOOKUP($G160,$B$4:$B$8,$D$4:$D$8),IFERROR(OFFSET(L162,0,_xlfn.XLOOKUP($G160,$B$4:$B$8,$C$4:$C$8))*_xlfn.XLOOKUP($G160,$B$4:$B$8,$D$4:$D$8),0)),IFERROR(OFFSET(L162,0,_xlfn.XLOOKUP($G160,$B$4:$B$8,$E$4:$E$8))*_xlfn.XLOOKUP($G160,$B$4:$B$8,$F$4:$F$8),0),J163)))</f>
        <v>0</v>
      </c>
    </row>
    <row r="164" spans="1:12" ht="15" thickBot="1">
      <c r="A164" s="195" t="s">
        <v>108</v>
      </c>
      <c r="B164" s="196">
        <f>B162</f>
        <v>0</v>
      </c>
      <c r="C164" s="196">
        <f ca="1">IF($I160="N",C162,IF($G160="1. In Flight",1,$G$9)*MIN(MAX($C162:$L162)*_xlfn.XLOOKUP($G160,$B$9:$B$13,$F$9:$F$13),MAX(IF(IFERROR(OFFSET(C162,0,_xlfn.XLOOKUP($G160,$B$9:$B$13,$C$9:$C$13)),0)=MAX($C162:$L162),_xlfn.MINIFS($C162:$L162,$C162:$L162,"&gt;0")*_xlfn.XLOOKUP($G160,$B$9:$B$13,$D$9:$D$13),IFERROR(OFFSET(C162,0,_xlfn.XLOOKUP($G160,$B$9:$B$13,$C$9:$C$13))*_xlfn.XLOOKUP($G160,$B$9:$B$13,$D$9:$D$13),0)),IFERROR(OFFSET(C162,0,_xlfn.XLOOKUP($G160,$B$9:$B$13,$E$9:$E$13))*_xlfn.XLOOKUP($G160,$B$9:$B$13,$F$9:$F$13),0),A164)))</f>
        <v>0</v>
      </c>
      <c r="D164" s="196">
        <f t="shared" ref="D164" ca="1" si="539">IF($I160="N",D162,IF($G160="1. In Flight",1,$G$9)*MIN(MAX($C162:$L162)*_xlfn.XLOOKUP($G160,$B$9:$B$13,$F$9:$F$13),MAX(IF(IFERROR(OFFSET(D162,0,_xlfn.XLOOKUP($G160,$B$9:$B$13,$C$9:$C$13)),0)=MAX($C162:$L162),_xlfn.MINIFS($C162:$L162,$C162:$L162,"&gt;0")*_xlfn.XLOOKUP($G160,$B$9:$B$13,$D$9:$D$13),IFERROR(OFFSET(D162,0,_xlfn.XLOOKUP($G160,$B$9:$B$13,$C$9:$C$13))*_xlfn.XLOOKUP($G160,$B$9:$B$13,$D$9:$D$13),0)),IFERROR(OFFSET(D162,0,_xlfn.XLOOKUP($G160,$B$9:$B$13,$E$9:$E$13))*_xlfn.XLOOKUP($G160,$B$9:$B$13,$F$9:$F$13),0),B164)))</f>
        <v>0</v>
      </c>
      <c r="E164" s="196">
        <f t="shared" ref="E164" ca="1" si="540">IF($I160="N",E162,IF($G160="1. In Flight",1,$G$9)*MIN(MAX($C162:$L162)*_xlfn.XLOOKUP($G160,$B$9:$B$13,$F$9:$F$13),MAX(IF(IFERROR(OFFSET(E162,0,_xlfn.XLOOKUP($G160,$B$9:$B$13,$C$9:$C$13)),0)=MAX($C162:$L162),_xlfn.MINIFS($C162:$L162,$C162:$L162,"&gt;0")*_xlfn.XLOOKUP($G160,$B$9:$B$13,$D$9:$D$13),IFERROR(OFFSET(E162,0,_xlfn.XLOOKUP($G160,$B$9:$B$13,$C$9:$C$13))*_xlfn.XLOOKUP($G160,$B$9:$B$13,$D$9:$D$13),0)),IFERROR(OFFSET(E162,0,_xlfn.XLOOKUP($G160,$B$9:$B$13,$E$9:$E$13))*_xlfn.XLOOKUP($G160,$B$9:$B$13,$F$9:$F$13),0),C164)))</f>
        <v>0</v>
      </c>
      <c r="F164" s="196">
        <f t="shared" ref="F164" ca="1" si="541">IF($I160="N",F162,IF($G160="1. In Flight",1,$G$9)*MIN(MAX($C162:$L162)*_xlfn.XLOOKUP($G160,$B$9:$B$13,$F$9:$F$13),MAX(IF(IFERROR(OFFSET(F162,0,_xlfn.XLOOKUP($G160,$B$9:$B$13,$C$9:$C$13)),0)=MAX($C162:$L162),_xlfn.MINIFS($C162:$L162,$C162:$L162,"&gt;0")*_xlfn.XLOOKUP($G160,$B$9:$B$13,$D$9:$D$13),IFERROR(OFFSET(F162,0,_xlfn.XLOOKUP($G160,$B$9:$B$13,$C$9:$C$13))*_xlfn.XLOOKUP($G160,$B$9:$B$13,$D$9:$D$13),0)),IFERROR(OFFSET(F162,0,_xlfn.XLOOKUP($G160,$B$9:$B$13,$E$9:$E$13))*_xlfn.XLOOKUP($G160,$B$9:$B$13,$F$9:$F$13),0),D164)))</f>
        <v>0</v>
      </c>
      <c r="G164" s="196">
        <f t="shared" ref="G164" ca="1" si="542">IF($I160="N",G162,IF($G160="1. In Flight",1,$G$9)*MIN(MAX($C162:$L162)*_xlfn.XLOOKUP($G160,$B$9:$B$13,$F$9:$F$13),MAX(IF(IFERROR(OFFSET(G162,0,_xlfn.XLOOKUP($G160,$B$9:$B$13,$C$9:$C$13)),0)=MAX($C162:$L162),_xlfn.MINIFS($C162:$L162,$C162:$L162,"&gt;0")*_xlfn.XLOOKUP($G160,$B$9:$B$13,$D$9:$D$13),IFERROR(OFFSET(G162,0,_xlfn.XLOOKUP($G160,$B$9:$B$13,$C$9:$C$13))*_xlfn.XLOOKUP($G160,$B$9:$B$13,$D$9:$D$13),0)),IFERROR(OFFSET(G162,0,_xlfn.XLOOKUP($G160,$B$9:$B$13,$E$9:$E$13))*_xlfn.XLOOKUP($G160,$B$9:$B$13,$F$9:$F$13),0),E164)))</f>
        <v>0</v>
      </c>
      <c r="H164" s="196">
        <f t="shared" ref="H164" ca="1" si="543">IF($I160="N",H162,IF($G160="1. In Flight",1,$G$9)*MIN(MAX($C162:$L162)*_xlfn.XLOOKUP($G160,$B$9:$B$13,$F$9:$F$13),MAX(IF(IFERROR(OFFSET(H162,0,_xlfn.XLOOKUP($G160,$B$9:$B$13,$C$9:$C$13)),0)=MAX($C162:$L162),_xlfn.MINIFS($C162:$L162,$C162:$L162,"&gt;0")*_xlfn.XLOOKUP($G160,$B$9:$B$13,$D$9:$D$13),IFERROR(OFFSET(H162,0,_xlfn.XLOOKUP($G160,$B$9:$B$13,$C$9:$C$13))*_xlfn.XLOOKUP($G160,$B$9:$B$13,$D$9:$D$13),0)),IFERROR(OFFSET(H162,0,_xlfn.XLOOKUP($G160,$B$9:$B$13,$E$9:$E$13))*_xlfn.XLOOKUP($G160,$B$9:$B$13,$F$9:$F$13),0),F164)))</f>
        <v>0</v>
      </c>
      <c r="I164" s="196">
        <f t="shared" ref="I164" ca="1" si="544">IF($I160="N",I162,IF($G160="1. In Flight",1,$G$9)*MIN(MAX($C162:$L162)*_xlfn.XLOOKUP($G160,$B$9:$B$13,$F$9:$F$13),MAX(IF(IFERROR(OFFSET(I162,0,_xlfn.XLOOKUP($G160,$B$9:$B$13,$C$9:$C$13)),0)=MAX($C162:$L162),_xlfn.MINIFS($C162:$L162,$C162:$L162,"&gt;0")*_xlfn.XLOOKUP($G160,$B$9:$B$13,$D$9:$D$13),IFERROR(OFFSET(I162,0,_xlfn.XLOOKUP($G160,$B$9:$B$13,$C$9:$C$13))*_xlfn.XLOOKUP($G160,$B$9:$B$13,$D$9:$D$13),0)),IFERROR(OFFSET(I162,0,_xlfn.XLOOKUP($G160,$B$9:$B$13,$E$9:$E$13))*_xlfn.XLOOKUP($G160,$B$9:$B$13,$F$9:$F$13),0),G164)))</f>
        <v>0</v>
      </c>
      <c r="J164" s="196">
        <f t="shared" ref="J164" ca="1" si="545">IF($I160="N",J162,IF($G160="1. In Flight",1,$G$9)*MIN(MAX($C162:$L162)*_xlfn.XLOOKUP($G160,$B$9:$B$13,$F$9:$F$13),MAX(IF(IFERROR(OFFSET(J162,0,_xlfn.XLOOKUP($G160,$B$9:$B$13,$C$9:$C$13)),0)=MAX($C162:$L162),_xlfn.MINIFS($C162:$L162,$C162:$L162,"&gt;0")*_xlfn.XLOOKUP($G160,$B$9:$B$13,$D$9:$D$13),IFERROR(OFFSET(J162,0,_xlfn.XLOOKUP($G160,$B$9:$B$13,$C$9:$C$13))*_xlfn.XLOOKUP($G160,$B$9:$B$13,$D$9:$D$13),0)),IFERROR(OFFSET(J162,0,_xlfn.XLOOKUP($G160,$B$9:$B$13,$E$9:$E$13))*_xlfn.XLOOKUP($G160,$B$9:$B$13,$F$9:$F$13),0),H164)))</f>
        <v>0</v>
      </c>
      <c r="K164" s="196">
        <f t="shared" ref="K164" ca="1" si="546">IF($I160="N",K162,IF($G160="1. In Flight",1,$G$9)*MIN(MAX($C162:$L162)*_xlfn.XLOOKUP($G160,$B$9:$B$13,$F$9:$F$13),MAX(IF(IFERROR(OFFSET(K162,0,_xlfn.XLOOKUP($G160,$B$9:$B$13,$C$9:$C$13)),0)=MAX($C162:$L162),_xlfn.MINIFS($C162:$L162,$C162:$L162,"&gt;0")*_xlfn.XLOOKUP($G160,$B$9:$B$13,$D$9:$D$13),IFERROR(OFFSET(K162,0,_xlfn.XLOOKUP($G160,$B$9:$B$13,$C$9:$C$13))*_xlfn.XLOOKUP($G160,$B$9:$B$13,$D$9:$D$13),0)),IFERROR(OFFSET(K162,0,_xlfn.XLOOKUP($G160,$B$9:$B$13,$E$9:$E$13))*_xlfn.XLOOKUP($G160,$B$9:$B$13,$F$9:$F$13),0),I164)))</f>
        <v>0</v>
      </c>
      <c r="L164" s="196">
        <f t="shared" ref="L164" ca="1" si="547">IF($I160="N",L162,IF($G160="1. In Flight",1,$G$9)*MIN(MAX($C162:$L162)*_xlfn.XLOOKUP($G160,$B$9:$B$13,$F$9:$F$13),MAX(IF(IFERROR(OFFSET(L162,0,_xlfn.XLOOKUP($G160,$B$9:$B$13,$C$9:$C$13)),0)=MAX($C162:$L162),_xlfn.MINIFS($C162:$L162,$C162:$L162,"&gt;0")*_xlfn.XLOOKUP($G160,$B$9:$B$13,$D$9:$D$13),IFERROR(OFFSET(L162,0,_xlfn.XLOOKUP($G160,$B$9:$B$13,$C$9:$C$13))*_xlfn.XLOOKUP($G160,$B$9:$B$13,$D$9:$D$13),0)),IFERROR(OFFSET(L162,0,_xlfn.XLOOKUP($G160,$B$9:$B$13,$E$9:$E$13))*_xlfn.XLOOKUP($G160,$B$9:$B$13,$F$9:$F$13),0),J164)))</f>
        <v>0</v>
      </c>
    </row>
    <row r="165" spans="1:12" ht="15" thickBot="1">
      <c r="A165" s="197" t="s">
        <v>109</v>
      </c>
      <c r="B165" s="198">
        <f>B162</f>
        <v>0</v>
      </c>
      <c r="C165" s="198">
        <f ca="1">IF($I160="N",C162,IF($G160="1. In Flight",1,$G$14)*MIN(MAX($C162:$L162)*_xlfn.XLOOKUP($G160,$B$14:$B$18,$F$14:$F$18),MAX(IF(IFERROR(OFFSET(C162,0,_xlfn.XLOOKUP($G160,$B$14:$B$18,$C$14:$C$18)),0)=MAX($C162:$L162),_xlfn.MINIFS($C162:$L162,$C162:$L162,"&gt;0")*_xlfn.XLOOKUP($G160,$B$14:$B$18,$D$14:$D$18),IFERROR(OFFSET(C162,0,_xlfn.XLOOKUP($G160,$B$14:$B$18,$C$14:$C$18))*_xlfn.XLOOKUP($G160,$B$14:$B$18,$D$14:$D$18),0)),IFERROR(OFFSET(C162,0,_xlfn.XLOOKUP($G160,$B$14:$B$18,$E$14:$E$18))*_xlfn.XLOOKUP($G160,$B$14:$B$18,$F$14:$F$18),0),A165)))</f>
        <v>0</v>
      </c>
      <c r="D165" s="198">
        <f t="shared" ref="D165" ca="1" si="548">IF($I160="N",D162,IF($G160="1. In Flight",1,$G$14)*MIN(MAX($C162:$L162)*_xlfn.XLOOKUP($G160,$B$14:$B$18,$F$14:$F$18),MAX(IF(IFERROR(OFFSET(D162,0,_xlfn.XLOOKUP($G160,$B$14:$B$18,$C$14:$C$18)),0)=MAX($C162:$L162),_xlfn.MINIFS($C162:$L162,$C162:$L162,"&gt;0")*_xlfn.XLOOKUP($G160,$B$14:$B$18,$D$14:$D$18),IFERROR(OFFSET(D162,0,_xlfn.XLOOKUP($G160,$B$14:$B$18,$C$14:$C$18))*_xlfn.XLOOKUP($G160,$B$14:$B$18,$D$14:$D$18),0)),IFERROR(OFFSET(D162,0,_xlfn.XLOOKUP($G160,$B$14:$B$18,$E$14:$E$18))*_xlfn.XLOOKUP($G160,$B$14:$B$18,$F$14:$F$18),0),B165)))</f>
        <v>0</v>
      </c>
      <c r="E165" s="198">
        <f t="shared" ref="E165" ca="1" si="549">IF($I160="N",E162,IF($G160="1. In Flight",1,$G$14)*MIN(MAX($C162:$L162)*_xlfn.XLOOKUP($G160,$B$14:$B$18,$F$14:$F$18),MAX(IF(IFERROR(OFFSET(E162,0,_xlfn.XLOOKUP($G160,$B$14:$B$18,$C$14:$C$18)),0)=MAX($C162:$L162),_xlfn.MINIFS($C162:$L162,$C162:$L162,"&gt;0")*_xlfn.XLOOKUP($G160,$B$14:$B$18,$D$14:$D$18),IFERROR(OFFSET(E162,0,_xlfn.XLOOKUP($G160,$B$14:$B$18,$C$14:$C$18))*_xlfn.XLOOKUP($G160,$B$14:$B$18,$D$14:$D$18),0)),IFERROR(OFFSET(E162,0,_xlfn.XLOOKUP($G160,$B$14:$B$18,$E$14:$E$18))*_xlfn.XLOOKUP($G160,$B$14:$B$18,$F$14:$F$18),0),C165)))</f>
        <v>0</v>
      </c>
      <c r="F165" s="198">
        <f t="shared" ref="F165" ca="1" si="550">IF($I160="N",F162,IF($G160="1. In Flight",1,$G$14)*MIN(MAX($C162:$L162)*_xlfn.XLOOKUP($G160,$B$14:$B$18,$F$14:$F$18),MAX(IF(IFERROR(OFFSET(F162,0,_xlfn.XLOOKUP($G160,$B$14:$B$18,$C$14:$C$18)),0)=MAX($C162:$L162),_xlfn.MINIFS($C162:$L162,$C162:$L162,"&gt;0")*_xlfn.XLOOKUP($G160,$B$14:$B$18,$D$14:$D$18),IFERROR(OFFSET(F162,0,_xlfn.XLOOKUP($G160,$B$14:$B$18,$C$14:$C$18))*_xlfn.XLOOKUP($G160,$B$14:$B$18,$D$14:$D$18),0)),IFERROR(OFFSET(F162,0,_xlfn.XLOOKUP($G160,$B$14:$B$18,$E$14:$E$18))*_xlfn.XLOOKUP($G160,$B$14:$B$18,$F$14:$F$18),0),D165)))</f>
        <v>0</v>
      </c>
      <c r="G165" s="198">
        <f t="shared" ref="G165" ca="1" si="551">IF($I160="N",G162,IF($G160="1. In Flight",1,$G$14)*MIN(MAX($C162:$L162)*_xlfn.XLOOKUP($G160,$B$14:$B$18,$F$14:$F$18),MAX(IF(IFERROR(OFFSET(G162,0,_xlfn.XLOOKUP($G160,$B$14:$B$18,$C$14:$C$18)),0)=MAX($C162:$L162),_xlfn.MINIFS($C162:$L162,$C162:$L162,"&gt;0")*_xlfn.XLOOKUP($G160,$B$14:$B$18,$D$14:$D$18),IFERROR(OFFSET(G162,0,_xlfn.XLOOKUP($G160,$B$14:$B$18,$C$14:$C$18))*_xlfn.XLOOKUP($G160,$B$14:$B$18,$D$14:$D$18),0)),IFERROR(OFFSET(G162,0,_xlfn.XLOOKUP($G160,$B$14:$B$18,$E$14:$E$18))*_xlfn.XLOOKUP($G160,$B$14:$B$18,$F$14:$F$18),0),E165)))</f>
        <v>0</v>
      </c>
      <c r="H165" s="198">
        <f t="shared" ref="H165" ca="1" si="552">IF($I160="N",H162,IF($G160="1. In Flight",1,$G$14)*MIN(MAX($C162:$L162)*_xlfn.XLOOKUP($G160,$B$14:$B$18,$F$14:$F$18),MAX(IF(IFERROR(OFFSET(H162,0,_xlfn.XLOOKUP($G160,$B$14:$B$18,$C$14:$C$18)),0)=MAX($C162:$L162),_xlfn.MINIFS($C162:$L162,$C162:$L162,"&gt;0")*_xlfn.XLOOKUP($G160,$B$14:$B$18,$D$14:$D$18),IFERROR(OFFSET(H162,0,_xlfn.XLOOKUP($G160,$B$14:$B$18,$C$14:$C$18))*_xlfn.XLOOKUP($G160,$B$14:$B$18,$D$14:$D$18),0)),IFERROR(OFFSET(H162,0,_xlfn.XLOOKUP($G160,$B$14:$B$18,$E$14:$E$18))*_xlfn.XLOOKUP($G160,$B$14:$B$18,$F$14:$F$18),0),F165)))</f>
        <v>0</v>
      </c>
      <c r="I165" s="198">
        <f t="shared" ref="I165" ca="1" si="553">IF($I160="N",I162,IF($G160="1. In Flight",1,$G$14)*MIN(MAX($C162:$L162)*_xlfn.XLOOKUP($G160,$B$14:$B$18,$F$14:$F$18),MAX(IF(IFERROR(OFFSET(I162,0,_xlfn.XLOOKUP($G160,$B$14:$B$18,$C$14:$C$18)),0)=MAX($C162:$L162),_xlfn.MINIFS($C162:$L162,$C162:$L162,"&gt;0")*_xlfn.XLOOKUP($G160,$B$14:$B$18,$D$14:$D$18),IFERROR(OFFSET(I162,0,_xlfn.XLOOKUP($G160,$B$14:$B$18,$C$14:$C$18))*_xlfn.XLOOKUP($G160,$B$14:$B$18,$D$14:$D$18),0)),IFERROR(OFFSET(I162,0,_xlfn.XLOOKUP($G160,$B$14:$B$18,$E$14:$E$18))*_xlfn.XLOOKUP($G160,$B$14:$B$18,$F$14:$F$18),0),G165)))</f>
        <v>0</v>
      </c>
      <c r="J165" s="198">
        <f t="shared" ref="J165" ca="1" si="554">IF($I160="N",J162,IF($G160="1. In Flight",1,$G$14)*MIN(MAX($C162:$L162)*_xlfn.XLOOKUP($G160,$B$14:$B$18,$F$14:$F$18),MAX(IF(IFERROR(OFFSET(J162,0,_xlfn.XLOOKUP($G160,$B$14:$B$18,$C$14:$C$18)),0)=MAX($C162:$L162),_xlfn.MINIFS($C162:$L162,$C162:$L162,"&gt;0")*_xlfn.XLOOKUP($G160,$B$14:$B$18,$D$14:$D$18),IFERROR(OFFSET(J162,0,_xlfn.XLOOKUP($G160,$B$14:$B$18,$C$14:$C$18))*_xlfn.XLOOKUP($G160,$B$14:$B$18,$D$14:$D$18),0)),IFERROR(OFFSET(J162,0,_xlfn.XLOOKUP($G160,$B$14:$B$18,$E$14:$E$18))*_xlfn.XLOOKUP($G160,$B$14:$B$18,$F$14:$F$18),0),H165)))</f>
        <v>0</v>
      </c>
      <c r="K165" s="198">
        <f t="shared" ref="K165" ca="1" si="555">IF($I160="N",K162,IF($G160="1. In Flight",1,$G$14)*MIN(MAX($C162:$L162)*_xlfn.XLOOKUP($G160,$B$14:$B$18,$F$14:$F$18),MAX(IF(IFERROR(OFFSET(K162,0,_xlfn.XLOOKUP($G160,$B$14:$B$18,$C$14:$C$18)),0)=MAX($C162:$L162),_xlfn.MINIFS($C162:$L162,$C162:$L162,"&gt;0")*_xlfn.XLOOKUP($G160,$B$14:$B$18,$D$14:$D$18),IFERROR(OFFSET(K162,0,_xlfn.XLOOKUP($G160,$B$14:$B$18,$C$14:$C$18))*_xlfn.XLOOKUP($G160,$B$14:$B$18,$D$14:$D$18),0)),IFERROR(OFFSET(K162,0,_xlfn.XLOOKUP($G160,$B$14:$B$18,$E$14:$E$18))*_xlfn.XLOOKUP($G160,$B$14:$B$18,$F$14:$F$18),0),I165)))</f>
        <v>0</v>
      </c>
      <c r="L165" s="198">
        <f t="shared" ref="L165" ca="1" si="556">IF($I160="N",L162,IF($G160="1. In Flight",1,$G$14)*MIN(MAX($C162:$L162)*_xlfn.XLOOKUP($G160,$B$14:$B$18,$F$14:$F$18),MAX(IF(IFERROR(OFFSET(L162,0,_xlfn.XLOOKUP($G160,$B$14:$B$18,$C$14:$C$18)),0)=MAX($C162:$L162),_xlfn.MINIFS($C162:$L162,$C162:$L162,"&gt;0")*_xlfn.XLOOKUP($G160,$B$14:$B$18,$D$14:$D$18),IFERROR(OFFSET(L162,0,_xlfn.XLOOKUP($G160,$B$14:$B$18,$C$14:$C$18))*_xlfn.XLOOKUP($G160,$B$14:$B$18,$D$14:$D$18),0)),IFERROR(OFFSET(L162,0,_xlfn.XLOOKUP($G160,$B$14:$B$18,$E$14:$E$18))*_xlfn.XLOOKUP($G160,$B$14:$B$18,$F$14:$F$18),0),J165)))</f>
        <v>0</v>
      </c>
    </row>
    <row r="166" spans="1:12" ht="15" thickTop="1"/>
    <row r="167" spans="1:12" ht="15" thickBot="1">
      <c r="A167" s="231">
        <f>_xlfn.XLOOKUP(F167,FEED!D:D,FEED!E:E,FALSE)</f>
        <v>0</v>
      </c>
      <c r="B167" s="232"/>
      <c r="C167" s="189" t="s">
        <v>128</v>
      </c>
      <c r="D167" s="200" t="s">
        <v>119</v>
      </c>
      <c r="E167" s="189" t="s">
        <v>120</v>
      </c>
      <c r="F167" s="189" t="s">
        <v>54</v>
      </c>
      <c r="G167" s="189" t="str">
        <f>IFERROR(_xlfn.XLOOKUP(F167,FEED!$D:$D,FEED!$S:$S),$B$8)</f>
        <v>1. In Flight</v>
      </c>
      <c r="H167" s="189" t="str">
        <f>IFERROR(_xlfn.XLOOKUP(F167,FEED!$D:$D,FEED!$Y:$Y),"Major Load")</f>
        <v>Data Centre</v>
      </c>
      <c r="I167" s="189" t="str">
        <f>IFERROR(_xlfn.XLOOKUP(F167,FEED!$D:$D,FEED!$C:$C),"N")</f>
        <v>N</v>
      </c>
      <c r="J167" s="190"/>
      <c r="K167" s="190"/>
      <c r="L167" s="190"/>
    </row>
    <row r="168" spans="1:12" ht="15" thickBot="1">
      <c r="A168" s="191" t="str">
        <f>A154</f>
        <v>Uptake Scenario</v>
      </c>
      <c r="B168" s="192">
        <f>B154</f>
        <v>2023</v>
      </c>
      <c r="C168" s="192">
        <f t="shared" ref="C168:L168" si="557">C154</f>
        <v>2024</v>
      </c>
      <c r="D168" s="192">
        <f t="shared" si="557"/>
        <v>2025</v>
      </c>
      <c r="E168" s="192">
        <f t="shared" si="557"/>
        <v>2026</v>
      </c>
      <c r="F168" s="192">
        <f t="shared" si="557"/>
        <v>2027</v>
      </c>
      <c r="G168" s="192">
        <f t="shared" si="557"/>
        <v>2028</v>
      </c>
      <c r="H168" s="192">
        <f t="shared" si="557"/>
        <v>2029</v>
      </c>
      <c r="I168" s="192">
        <f t="shared" si="557"/>
        <v>2030</v>
      </c>
      <c r="J168" s="192">
        <f t="shared" si="557"/>
        <v>2031</v>
      </c>
      <c r="K168" s="192">
        <f t="shared" si="557"/>
        <v>2032</v>
      </c>
      <c r="L168" s="192">
        <f t="shared" si="557"/>
        <v>2033</v>
      </c>
    </row>
    <row r="169" spans="1:12" ht="15.6" thickTop="1" thickBot="1">
      <c r="A169" s="193" t="s">
        <v>111</v>
      </c>
      <c r="B169" s="194">
        <v>-2</v>
      </c>
      <c r="C169" s="194">
        <f>SUMIF(FEED!$D:$D,$F167,FEED!F:F)+B169</f>
        <v>1.75</v>
      </c>
      <c r="D169" s="194">
        <f>SUMIF(FEED!$D:$D,$F167,FEED!G:G)+C169</f>
        <v>13</v>
      </c>
      <c r="E169" s="194">
        <f>SUMIF(FEED!$D:$D,$F167,FEED!H:H)+D169</f>
        <v>18</v>
      </c>
      <c r="F169" s="194">
        <f>SUMIF(FEED!$D:$D,$F167,FEED!I:I)+E169</f>
        <v>18</v>
      </c>
      <c r="G169" s="194">
        <f>SUMIF(FEED!$D:$D,$F167,FEED!J:J)+F169</f>
        <v>18</v>
      </c>
      <c r="H169" s="194"/>
      <c r="I169" s="194"/>
      <c r="J169" s="194"/>
      <c r="K169" s="194"/>
      <c r="L169" s="194"/>
    </row>
    <row r="170" spans="1:12" ht="15" thickBot="1">
      <c r="A170" s="195" t="s">
        <v>107</v>
      </c>
      <c r="B170" s="196">
        <f>B169</f>
        <v>-2</v>
      </c>
      <c r="C170" s="196">
        <f ca="1">IF($I167="N",C169,IF($G167="1. In Flight",1,$G$4)*MIN(MAX($C169:$L169)*_xlfn.XLOOKUP($G167,$B$4:$B$8,$F$4:$F$8),MAX(IF(IFERROR(OFFSET(C169,0,_xlfn.XLOOKUP($G167,$B$4:$B$8,$C$4:$C$8)),0)=MAX($C169:$L169),_xlfn.MINIFS($C169:$L169,$C169:$L169,"&gt;0")*_xlfn.XLOOKUP($G167,$B$4:$B$8,$D$4:$D$8),IFERROR(OFFSET(C169,0,_xlfn.XLOOKUP($G167,$B$4:$B$8,$C$4:$C$8))*_xlfn.XLOOKUP($G167,$B$4:$B$8,$D$4:$D$8),0)),IFERROR(OFFSET(C169,0,_xlfn.XLOOKUP($G167,$B$4:$B$8,$E$4:$E$8))*_xlfn.XLOOKUP($G167,$B$4:$B$8,$F$4:$F$8),0),A170)))</f>
        <v>1.75</v>
      </c>
      <c r="D170" s="196">
        <f t="shared" ref="D170" ca="1" si="558">IF($I167="N",D169,IF($G167="1. In Flight",1,$G$4)*MIN(MAX($C169:$L169)*_xlfn.XLOOKUP($G167,$B$4:$B$8,$F$4:$F$8),MAX(IF(IFERROR(OFFSET(D169,0,_xlfn.XLOOKUP($G167,$B$4:$B$8,$C$4:$C$8)),0)=MAX($C169:$L169),_xlfn.MINIFS($C169:$L169,$C169:$L169,"&gt;0")*_xlfn.XLOOKUP($G167,$B$4:$B$8,$D$4:$D$8),IFERROR(OFFSET(D169,0,_xlfn.XLOOKUP($G167,$B$4:$B$8,$C$4:$C$8))*_xlfn.XLOOKUP($G167,$B$4:$B$8,$D$4:$D$8),0)),IFERROR(OFFSET(D169,0,_xlfn.XLOOKUP($G167,$B$4:$B$8,$E$4:$E$8))*_xlfn.XLOOKUP($G167,$B$4:$B$8,$F$4:$F$8),0),B170)))</f>
        <v>13</v>
      </c>
      <c r="E170" s="196">
        <f t="shared" ref="E170" ca="1" si="559">IF($I167="N",E169,IF($G167="1. In Flight",1,$G$4)*MIN(MAX($C169:$L169)*_xlfn.XLOOKUP($G167,$B$4:$B$8,$F$4:$F$8),MAX(IF(IFERROR(OFFSET(E169,0,_xlfn.XLOOKUP($G167,$B$4:$B$8,$C$4:$C$8)),0)=MAX($C169:$L169),_xlfn.MINIFS($C169:$L169,$C169:$L169,"&gt;0")*_xlfn.XLOOKUP($G167,$B$4:$B$8,$D$4:$D$8),IFERROR(OFFSET(E169,0,_xlfn.XLOOKUP($G167,$B$4:$B$8,$C$4:$C$8))*_xlfn.XLOOKUP($G167,$B$4:$B$8,$D$4:$D$8),0)),IFERROR(OFFSET(E169,0,_xlfn.XLOOKUP($G167,$B$4:$B$8,$E$4:$E$8))*_xlfn.XLOOKUP($G167,$B$4:$B$8,$F$4:$F$8),0),C170)))</f>
        <v>18</v>
      </c>
      <c r="F170" s="196">
        <f t="shared" ref="F170" ca="1" si="560">IF($I167="N",F169,IF($G167="1. In Flight",1,$G$4)*MIN(MAX($C169:$L169)*_xlfn.XLOOKUP($G167,$B$4:$B$8,$F$4:$F$8),MAX(IF(IFERROR(OFFSET(F169,0,_xlfn.XLOOKUP($G167,$B$4:$B$8,$C$4:$C$8)),0)=MAX($C169:$L169),_xlfn.MINIFS($C169:$L169,$C169:$L169,"&gt;0")*_xlfn.XLOOKUP($G167,$B$4:$B$8,$D$4:$D$8),IFERROR(OFFSET(F169,0,_xlfn.XLOOKUP($G167,$B$4:$B$8,$C$4:$C$8))*_xlfn.XLOOKUP($G167,$B$4:$B$8,$D$4:$D$8),0)),IFERROR(OFFSET(F169,0,_xlfn.XLOOKUP($G167,$B$4:$B$8,$E$4:$E$8))*_xlfn.XLOOKUP($G167,$B$4:$B$8,$F$4:$F$8),0),D170)))</f>
        <v>18</v>
      </c>
      <c r="G170" s="196">
        <f t="shared" ref="G170" ca="1" si="561">IF($I167="N",G169,IF($G167="1. In Flight",1,$G$4)*MIN(MAX($C169:$L169)*_xlfn.XLOOKUP($G167,$B$4:$B$8,$F$4:$F$8),MAX(IF(IFERROR(OFFSET(G169,0,_xlfn.XLOOKUP($G167,$B$4:$B$8,$C$4:$C$8)),0)=MAX($C169:$L169),_xlfn.MINIFS($C169:$L169,$C169:$L169,"&gt;0")*_xlfn.XLOOKUP($G167,$B$4:$B$8,$D$4:$D$8),IFERROR(OFFSET(G169,0,_xlfn.XLOOKUP($G167,$B$4:$B$8,$C$4:$C$8))*_xlfn.XLOOKUP($G167,$B$4:$B$8,$D$4:$D$8),0)),IFERROR(OFFSET(G169,0,_xlfn.XLOOKUP($G167,$B$4:$B$8,$E$4:$E$8))*_xlfn.XLOOKUP($G167,$B$4:$B$8,$F$4:$F$8),0),E170)))</f>
        <v>18</v>
      </c>
      <c r="H170" s="194"/>
      <c r="I170" s="194"/>
      <c r="J170" s="194"/>
      <c r="K170" s="194"/>
      <c r="L170" s="194"/>
    </row>
    <row r="171" spans="1:12" ht="15" thickBot="1">
      <c r="A171" s="195" t="s">
        <v>108</v>
      </c>
      <c r="B171" s="196">
        <f>B169</f>
        <v>-2</v>
      </c>
      <c r="C171" s="196">
        <f ca="1">IF($I167="N",C169,IF($G167="1. In Flight",1,$G$9)*MIN(MAX($C169:$L169)*_xlfn.XLOOKUP($G167,$B$9:$B$13,$F$9:$F$13),MAX(IF(IFERROR(OFFSET(C169,0,_xlfn.XLOOKUP($G167,$B$9:$B$13,$C$9:$C$13)),0)=MAX($C169:$L169),_xlfn.MINIFS($C169:$L169,$C169:$L169,"&gt;0")*_xlfn.XLOOKUP($G167,$B$9:$B$13,$D$9:$D$13),IFERROR(OFFSET(C169,0,_xlfn.XLOOKUP($G167,$B$9:$B$13,$C$9:$C$13))*_xlfn.XLOOKUP($G167,$B$9:$B$13,$D$9:$D$13),0)),IFERROR(OFFSET(C169,0,_xlfn.XLOOKUP($G167,$B$9:$B$13,$E$9:$E$13))*_xlfn.XLOOKUP($G167,$B$9:$B$13,$F$9:$F$13),0),A171)))</f>
        <v>1.75</v>
      </c>
      <c r="D171" s="196">
        <f t="shared" ref="D171" ca="1" si="562">IF($I167="N",D169,IF($G167="1. In Flight",1,$G$9)*MIN(MAX($C169:$L169)*_xlfn.XLOOKUP($G167,$B$9:$B$13,$F$9:$F$13),MAX(IF(IFERROR(OFFSET(D169,0,_xlfn.XLOOKUP($G167,$B$9:$B$13,$C$9:$C$13)),0)=MAX($C169:$L169),_xlfn.MINIFS($C169:$L169,$C169:$L169,"&gt;0")*_xlfn.XLOOKUP($G167,$B$9:$B$13,$D$9:$D$13),IFERROR(OFFSET(D169,0,_xlfn.XLOOKUP($G167,$B$9:$B$13,$C$9:$C$13))*_xlfn.XLOOKUP($G167,$B$9:$B$13,$D$9:$D$13),0)),IFERROR(OFFSET(D169,0,_xlfn.XLOOKUP($G167,$B$9:$B$13,$E$9:$E$13))*_xlfn.XLOOKUP($G167,$B$9:$B$13,$F$9:$F$13),0),B171)))</f>
        <v>13</v>
      </c>
      <c r="E171" s="196">
        <f t="shared" ref="E171" ca="1" si="563">IF($I167="N",E169,IF($G167="1. In Flight",1,$G$9)*MIN(MAX($C169:$L169)*_xlfn.XLOOKUP($G167,$B$9:$B$13,$F$9:$F$13),MAX(IF(IFERROR(OFFSET(E169,0,_xlfn.XLOOKUP($G167,$B$9:$B$13,$C$9:$C$13)),0)=MAX($C169:$L169),_xlfn.MINIFS($C169:$L169,$C169:$L169,"&gt;0")*_xlfn.XLOOKUP($G167,$B$9:$B$13,$D$9:$D$13),IFERROR(OFFSET(E169,0,_xlfn.XLOOKUP($G167,$B$9:$B$13,$C$9:$C$13))*_xlfn.XLOOKUP($G167,$B$9:$B$13,$D$9:$D$13),0)),IFERROR(OFFSET(E169,0,_xlfn.XLOOKUP($G167,$B$9:$B$13,$E$9:$E$13))*_xlfn.XLOOKUP($G167,$B$9:$B$13,$F$9:$F$13),0),C171)))</f>
        <v>18</v>
      </c>
      <c r="F171" s="196">
        <f t="shared" ref="F171" ca="1" si="564">IF($I167="N",F169,IF($G167="1. In Flight",1,$G$9)*MIN(MAX($C169:$L169)*_xlfn.XLOOKUP($G167,$B$9:$B$13,$F$9:$F$13),MAX(IF(IFERROR(OFFSET(F169,0,_xlfn.XLOOKUP($G167,$B$9:$B$13,$C$9:$C$13)),0)=MAX($C169:$L169),_xlfn.MINIFS($C169:$L169,$C169:$L169,"&gt;0")*_xlfn.XLOOKUP($G167,$B$9:$B$13,$D$9:$D$13),IFERROR(OFFSET(F169,0,_xlfn.XLOOKUP($G167,$B$9:$B$13,$C$9:$C$13))*_xlfn.XLOOKUP($G167,$B$9:$B$13,$D$9:$D$13),0)),IFERROR(OFFSET(F169,0,_xlfn.XLOOKUP($G167,$B$9:$B$13,$E$9:$E$13))*_xlfn.XLOOKUP($G167,$B$9:$B$13,$F$9:$F$13),0),D171)))</f>
        <v>18</v>
      </c>
      <c r="G171" s="196">
        <f t="shared" ref="G171" ca="1" si="565">IF($I167="N",G169,IF($G167="1. In Flight",1,$G$9)*MIN(MAX($C169:$L169)*_xlfn.XLOOKUP($G167,$B$9:$B$13,$F$9:$F$13),MAX(IF(IFERROR(OFFSET(G169,0,_xlfn.XLOOKUP($G167,$B$9:$B$13,$C$9:$C$13)),0)=MAX($C169:$L169),_xlfn.MINIFS($C169:$L169,$C169:$L169,"&gt;0")*_xlfn.XLOOKUP($G167,$B$9:$B$13,$D$9:$D$13),IFERROR(OFFSET(G169,0,_xlfn.XLOOKUP($G167,$B$9:$B$13,$C$9:$C$13))*_xlfn.XLOOKUP($G167,$B$9:$B$13,$D$9:$D$13),0)),IFERROR(OFFSET(G169,0,_xlfn.XLOOKUP($G167,$B$9:$B$13,$E$9:$E$13))*_xlfn.XLOOKUP($G167,$B$9:$B$13,$F$9:$F$13),0),E171)))</f>
        <v>18</v>
      </c>
      <c r="H171" s="194"/>
      <c r="I171" s="194"/>
      <c r="J171" s="194"/>
      <c r="K171" s="194"/>
      <c r="L171" s="194"/>
    </row>
    <row r="172" spans="1:12" ht="15" thickBot="1">
      <c r="A172" s="197" t="s">
        <v>109</v>
      </c>
      <c r="B172" s="198">
        <f>B169</f>
        <v>-2</v>
      </c>
      <c r="C172" s="198">
        <f ca="1">IF($I167="N",C169,IF($G167="1. In Flight",1,$G$14)*MIN(MAX($C169:$L169)*_xlfn.XLOOKUP($G167,$B$14:$B$18,$F$14:$F$18),MAX(IF(IFERROR(OFFSET(C169,0,_xlfn.XLOOKUP($G167,$B$14:$B$18,$C$14:$C$18)),0)=MAX($C169:$L169),_xlfn.MINIFS($C169:$L169,$C169:$L169,"&gt;0")*_xlfn.XLOOKUP($G167,$B$14:$B$18,$D$14:$D$18),IFERROR(OFFSET(C169,0,_xlfn.XLOOKUP($G167,$B$14:$B$18,$C$14:$C$18))*_xlfn.XLOOKUP($G167,$B$14:$B$18,$D$14:$D$18),0)),IFERROR(OFFSET(C169,0,_xlfn.XLOOKUP($G167,$B$14:$B$18,$E$14:$E$18))*_xlfn.XLOOKUP($G167,$B$14:$B$18,$F$14:$F$18),0),A172)))</f>
        <v>1.75</v>
      </c>
      <c r="D172" s="198">
        <f t="shared" ref="D172" ca="1" si="566">IF($I167="N",D169,IF($G167="1. In Flight",1,$G$14)*MIN(MAX($C169:$L169)*_xlfn.XLOOKUP($G167,$B$14:$B$18,$F$14:$F$18),MAX(IF(IFERROR(OFFSET(D169,0,_xlfn.XLOOKUP($G167,$B$14:$B$18,$C$14:$C$18)),0)=MAX($C169:$L169),_xlfn.MINIFS($C169:$L169,$C169:$L169,"&gt;0")*_xlfn.XLOOKUP($G167,$B$14:$B$18,$D$14:$D$18),IFERROR(OFFSET(D169,0,_xlfn.XLOOKUP($G167,$B$14:$B$18,$C$14:$C$18))*_xlfn.XLOOKUP($G167,$B$14:$B$18,$D$14:$D$18),0)),IFERROR(OFFSET(D169,0,_xlfn.XLOOKUP($G167,$B$14:$B$18,$E$14:$E$18))*_xlfn.XLOOKUP($G167,$B$14:$B$18,$F$14:$F$18),0),B172)))</f>
        <v>13</v>
      </c>
      <c r="E172" s="198">
        <f t="shared" ref="E172" ca="1" si="567">IF($I167="N",E169,IF($G167="1. In Flight",1,$G$14)*MIN(MAX($C169:$L169)*_xlfn.XLOOKUP($G167,$B$14:$B$18,$F$14:$F$18),MAX(IF(IFERROR(OFFSET(E169,0,_xlfn.XLOOKUP($G167,$B$14:$B$18,$C$14:$C$18)),0)=MAX($C169:$L169),_xlfn.MINIFS($C169:$L169,$C169:$L169,"&gt;0")*_xlfn.XLOOKUP($G167,$B$14:$B$18,$D$14:$D$18),IFERROR(OFFSET(E169,0,_xlfn.XLOOKUP($G167,$B$14:$B$18,$C$14:$C$18))*_xlfn.XLOOKUP($G167,$B$14:$B$18,$D$14:$D$18),0)),IFERROR(OFFSET(E169,0,_xlfn.XLOOKUP($G167,$B$14:$B$18,$E$14:$E$18))*_xlfn.XLOOKUP($G167,$B$14:$B$18,$F$14:$F$18),0),C172)))</f>
        <v>18</v>
      </c>
      <c r="F172" s="198">
        <f t="shared" ref="F172" ca="1" si="568">IF($I167="N",F169,IF($G167="1. In Flight",1,$G$14)*MIN(MAX($C169:$L169)*_xlfn.XLOOKUP($G167,$B$14:$B$18,$F$14:$F$18),MAX(IF(IFERROR(OFFSET(F169,0,_xlfn.XLOOKUP($G167,$B$14:$B$18,$C$14:$C$18)),0)=MAX($C169:$L169),_xlfn.MINIFS($C169:$L169,$C169:$L169,"&gt;0")*_xlfn.XLOOKUP($G167,$B$14:$B$18,$D$14:$D$18),IFERROR(OFFSET(F169,0,_xlfn.XLOOKUP($G167,$B$14:$B$18,$C$14:$C$18))*_xlfn.XLOOKUP($G167,$B$14:$B$18,$D$14:$D$18),0)),IFERROR(OFFSET(F169,0,_xlfn.XLOOKUP($G167,$B$14:$B$18,$E$14:$E$18))*_xlfn.XLOOKUP($G167,$B$14:$B$18,$F$14:$F$18),0),D172)))</f>
        <v>18</v>
      </c>
      <c r="G172" s="198">
        <f t="shared" ref="G172" ca="1" si="569">IF($I167="N",G169,IF($G167="1. In Flight",1,$G$14)*MIN(MAX($C169:$L169)*_xlfn.XLOOKUP($G167,$B$14:$B$18,$F$14:$F$18),MAX(IF(IFERROR(OFFSET(G169,0,_xlfn.XLOOKUP($G167,$B$14:$B$18,$C$14:$C$18)),0)=MAX($C169:$L169),_xlfn.MINIFS($C169:$L169,$C169:$L169,"&gt;0")*_xlfn.XLOOKUP($G167,$B$14:$B$18,$D$14:$D$18),IFERROR(OFFSET(G169,0,_xlfn.XLOOKUP($G167,$B$14:$B$18,$C$14:$C$18))*_xlfn.XLOOKUP($G167,$B$14:$B$18,$D$14:$D$18),0)),IFERROR(OFFSET(G169,0,_xlfn.XLOOKUP($G167,$B$14:$B$18,$E$14:$E$18))*_xlfn.XLOOKUP($G167,$B$14:$B$18,$F$14:$F$18),0),E172)))</f>
        <v>18</v>
      </c>
      <c r="H172" s="194"/>
      <c r="I172" s="194"/>
      <c r="J172" s="194"/>
      <c r="K172" s="194"/>
      <c r="L172" s="194"/>
    </row>
    <row r="173" spans="1:12" ht="15" thickTop="1"/>
    <row r="174" spans="1:12" ht="15" thickBot="1">
      <c r="A174" s="231">
        <f>_xlfn.XLOOKUP(F174,FEED!D:D,FEED!E:E,FALSE)</f>
        <v>0</v>
      </c>
      <c r="B174" s="232"/>
      <c r="C174" s="189"/>
      <c r="D174" s="200" t="s">
        <v>119</v>
      </c>
      <c r="E174" s="189" t="s">
        <v>120</v>
      </c>
      <c r="F174" s="189" t="s">
        <v>56</v>
      </c>
      <c r="G174" s="189" t="str">
        <f>IFERROR(_xlfn.XLOOKUP(F174,FEED!$D:$D,FEED!$S:$S),$B$8)</f>
        <v>3. Medium</v>
      </c>
      <c r="H174" s="189" t="str">
        <f>IFERROR(_xlfn.XLOOKUP(F174,FEED!$D:$D,FEED!$Y:$Y),"Major Load")</f>
        <v>Data Centre</v>
      </c>
      <c r="I174" s="189" t="str">
        <f>IFERROR(_xlfn.XLOOKUP(F174,FEED!$D:$D,FEED!$C:$C),"N")</f>
        <v>Y</v>
      </c>
      <c r="J174" s="190"/>
      <c r="K174" s="190"/>
      <c r="L174" s="190"/>
    </row>
    <row r="175" spans="1:12" ht="15" thickBot="1">
      <c r="A175" s="191" t="str">
        <f>A168</f>
        <v>Uptake Scenario</v>
      </c>
      <c r="B175" s="192">
        <f>B168</f>
        <v>2023</v>
      </c>
      <c r="C175" s="192">
        <f t="shared" ref="C175:L175" si="570">C168</f>
        <v>2024</v>
      </c>
      <c r="D175" s="192">
        <f t="shared" si="570"/>
        <v>2025</v>
      </c>
      <c r="E175" s="192">
        <f t="shared" si="570"/>
        <v>2026</v>
      </c>
      <c r="F175" s="192">
        <f t="shared" si="570"/>
        <v>2027</v>
      </c>
      <c r="G175" s="192">
        <f t="shared" si="570"/>
        <v>2028</v>
      </c>
      <c r="H175" s="192">
        <f t="shared" si="570"/>
        <v>2029</v>
      </c>
      <c r="I175" s="192">
        <f t="shared" si="570"/>
        <v>2030</v>
      </c>
      <c r="J175" s="192">
        <f t="shared" si="570"/>
        <v>2031</v>
      </c>
      <c r="K175" s="192">
        <f t="shared" si="570"/>
        <v>2032</v>
      </c>
      <c r="L175" s="192">
        <f t="shared" si="570"/>
        <v>2033</v>
      </c>
    </row>
    <row r="176" spans="1:12" ht="15.6" thickTop="1" thickBot="1">
      <c r="A176" s="193" t="s">
        <v>113</v>
      </c>
      <c r="B176" s="194">
        <v>0</v>
      </c>
      <c r="C176" s="194">
        <f>SUMIF(FEED!$D:$D,$F174,FEED!F:F)+B176</f>
        <v>0</v>
      </c>
      <c r="D176" s="194">
        <f>SUMIF(FEED!$D:$D,$F174,FEED!G:G)+C176</f>
        <v>0</v>
      </c>
      <c r="E176" s="194">
        <f>SUMIF(FEED!$D:$D,$F174,FEED!H:H)+D176</f>
        <v>0</v>
      </c>
      <c r="F176" s="194">
        <f>SUMIF(FEED!$D:$D,$F174,FEED!I:I)+E176</f>
        <v>0</v>
      </c>
      <c r="G176" s="194">
        <f>SUMIF(FEED!$D:$D,$F174,FEED!J:J)+F176</f>
        <v>0</v>
      </c>
      <c r="H176" s="194">
        <f>SUMIF(FEED!$D:$D,$F174,FEED!K:K)+G176</f>
        <v>20</v>
      </c>
      <c r="I176" s="194">
        <f>SUMIF(FEED!$D:$D,$F174,FEED!L:L)+H176</f>
        <v>37.550236466679692</v>
      </c>
      <c r="J176" s="194">
        <f>SUMIF(FEED!$D:$D,$F174,FEED!M:M)+I176</f>
        <v>45.006665038108267</v>
      </c>
      <c r="K176" s="194">
        <f>SUMIF(FEED!$D:$D,$F174,FEED!N:N)+J176</f>
        <v>50.543807895251128</v>
      </c>
      <c r="L176" s="194">
        <f>SUMIF(FEED!$D:$D,$F174,FEED!O:O)+K176</f>
        <v>67.075807895251131</v>
      </c>
    </row>
    <row r="177" spans="1:12" ht="15" thickBot="1">
      <c r="A177" s="195" t="s">
        <v>107</v>
      </c>
      <c r="B177" s="196">
        <f>B176</f>
        <v>0</v>
      </c>
      <c r="C177" s="196">
        <f ca="1">IF($I174="N",C176,IF($G174="1. In Flight",1,$G$4)*MIN(MAX($C176:$L176)*_xlfn.XLOOKUP($G174,$B$4:$B$8,$F$4:$F$8),MAX(IF(IFERROR(OFFSET(C176,0,_xlfn.XLOOKUP($G174,$B$4:$B$8,$C$4:$C$8)),0)=MAX($C176:$L176),_xlfn.MINIFS($C176:$L176,$C176:$L176,"&gt;0")*_xlfn.XLOOKUP($G174,$B$4:$B$8,$D$4:$D$8),IFERROR(OFFSET(C176,0,_xlfn.XLOOKUP($G174,$B$4:$B$8,$C$4:$C$8))*_xlfn.XLOOKUP($G174,$B$4:$B$8,$D$4:$D$8),0)),IFERROR(OFFSET(C176,0,_xlfn.XLOOKUP($G174,$B$4:$B$8,$E$4:$E$8))*_xlfn.XLOOKUP($G174,$B$4:$B$8,$F$4:$F$8),0),A177)))</f>
        <v>0</v>
      </c>
      <c r="D177" s="196">
        <f t="shared" ref="D177" ca="1" si="571">IF($I174="N",D176,IF($G174="1. In Flight",1,$G$4)*MIN(MAX($C176:$L176)*_xlfn.XLOOKUP($G174,$B$4:$B$8,$F$4:$F$8),MAX(IF(IFERROR(OFFSET(D176,0,_xlfn.XLOOKUP($G174,$B$4:$B$8,$C$4:$C$8)),0)=MAX($C176:$L176),_xlfn.MINIFS($C176:$L176,$C176:$L176,"&gt;0")*_xlfn.XLOOKUP($G174,$B$4:$B$8,$D$4:$D$8),IFERROR(OFFSET(D176,0,_xlfn.XLOOKUP($G174,$B$4:$B$8,$C$4:$C$8))*_xlfn.XLOOKUP($G174,$B$4:$B$8,$D$4:$D$8),0)),IFERROR(OFFSET(D176,0,_xlfn.XLOOKUP($G174,$B$4:$B$8,$E$4:$E$8))*_xlfn.XLOOKUP($G174,$B$4:$B$8,$F$4:$F$8),0),B177)))</f>
        <v>0</v>
      </c>
      <c r="E177" s="196">
        <f t="shared" ref="E177" ca="1" si="572">IF($I174="N",E176,IF($G174="1. In Flight",1,$G$4)*MIN(MAX($C176:$L176)*_xlfn.XLOOKUP($G174,$B$4:$B$8,$F$4:$F$8),MAX(IF(IFERROR(OFFSET(E176,0,_xlfn.XLOOKUP($G174,$B$4:$B$8,$C$4:$C$8)),0)=MAX($C176:$L176),_xlfn.MINIFS($C176:$L176,$C176:$L176,"&gt;0")*_xlfn.XLOOKUP($G174,$B$4:$B$8,$D$4:$D$8),IFERROR(OFFSET(E176,0,_xlfn.XLOOKUP($G174,$B$4:$B$8,$C$4:$C$8))*_xlfn.XLOOKUP($G174,$B$4:$B$8,$D$4:$D$8),0)),IFERROR(OFFSET(E176,0,_xlfn.XLOOKUP($G174,$B$4:$B$8,$E$4:$E$8))*_xlfn.XLOOKUP($G174,$B$4:$B$8,$F$4:$F$8),0),C177)))</f>
        <v>0</v>
      </c>
      <c r="F177" s="196">
        <f t="shared" ref="F177" ca="1" si="573">IF($I174="N",F176,IF($G174="1. In Flight",1,$G$4)*MIN(MAX($C176:$L176)*_xlfn.XLOOKUP($G174,$B$4:$B$8,$F$4:$F$8),MAX(IF(IFERROR(OFFSET(F176,0,_xlfn.XLOOKUP($G174,$B$4:$B$8,$C$4:$C$8)),0)=MAX($C176:$L176),_xlfn.MINIFS($C176:$L176,$C176:$L176,"&gt;0")*_xlfn.XLOOKUP($G174,$B$4:$B$8,$D$4:$D$8),IFERROR(OFFSET(F176,0,_xlfn.XLOOKUP($G174,$B$4:$B$8,$C$4:$C$8))*_xlfn.XLOOKUP($G174,$B$4:$B$8,$D$4:$D$8),0)),IFERROR(OFFSET(F176,0,_xlfn.XLOOKUP($G174,$B$4:$B$8,$E$4:$E$8))*_xlfn.XLOOKUP($G174,$B$4:$B$8,$F$4:$F$8),0),D177)))</f>
        <v>0</v>
      </c>
      <c r="G177" s="196">
        <f t="shared" ref="G177" ca="1" si="574">IF($I174="N",G176,IF($G174="1. In Flight",1,$G$4)*MIN(MAX($C176:$L176)*_xlfn.XLOOKUP($G174,$B$4:$B$8,$F$4:$F$8),MAX(IF(IFERROR(OFFSET(G176,0,_xlfn.XLOOKUP($G174,$B$4:$B$8,$C$4:$C$8)),0)=MAX($C176:$L176),_xlfn.MINIFS($C176:$L176,$C176:$L176,"&gt;0")*_xlfn.XLOOKUP($G174,$B$4:$B$8,$D$4:$D$8),IFERROR(OFFSET(G176,0,_xlfn.XLOOKUP($G174,$B$4:$B$8,$C$4:$C$8))*_xlfn.XLOOKUP($G174,$B$4:$B$8,$D$4:$D$8),0)),IFERROR(OFFSET(G176,0,_xlfn.XLOOKUP($G174,$B$4:$B$8,$E$4:$E$8))*_xlfn.XLOOKUP($G174,$B$4:$B$8,$F$4:$F$8),0),E177)))</f>
        <v>0</v>
      </c>
      <c r="H177" s="196">
        <f t="shared" ref="H177:K177" ca="1" si="575">IF($I174="N",H176,MAX($G170,MIN(MAX($C176:$L176)*_xlfn.XLOOKUP($G174,$B$4:$B$8,$F$4:$F$8),MAX(IF(IFERROR(OFFSET(H176,0,_xlfn.XLOOKUP($G174,$B$4:$B$8,$C$4:$C$8)),0)=MAX($C176:$L176),_xlfn.MINIFS($C176:$L176,$C176:$L176,"&gt;0")*_xlfn.XLOOKUP($G174,$B$4:$B$8,$D$4:$D$8),IFERROR(OFFSET(H176,0,_xlfn.XLOOKUP($G174,$B$4:$B$8,$C$4:$C$8))*_xlfn.XLOOKUP($G174,$B$4:$B$8,$D$4:$D$8),0)),IFERROR(OFFSET(H176,0,_xlfn.XLOOKUP($G174,$B$4:$B$8,$E$4:$E$8))*_xlfn.XLOOKUP($G174,$B$4:$B$8,$F$4:$F$8),0),F177))))</f>
        <v>18</v>
      </c>
      <c r="I177" s="196">
        <f t="shared" ca="1" si="575"/>
        <v>18</v>
      </c>
      <c r="J177" s="196">
        <f t="shared" ca="1" si="575"/>
        <v>18</v>
      </c>
      <c r="K177" s="196">
        <f t="shared" ca="1" si="575"/>
        <v>18</v>
      </c>
      <c r="L177" s="196">
        <f ca="1">IF($I174="N",L176,MAX($G170,MIN(MAX($C176:$L176)*_xlfn.XLOOKUP($G174,$B$4:$B$8,$F$4:$F$8),MAX(IF(IFERROR(OFFSET(L176,0,_xlfn.XLOOKUP($G174,$B$4:$B$8,$C$4:$C$8)),0)=MAX($C176:$L176),_xlfn.MINIFS($C176:$L176,$C176:$L176,"&gt;0")*_xlfn.XLOOKUP($G174,$B$4:$B$8,$D$4:$D$8),IFERROR(OFFSET(L176,0,_xlfn.XLOOKUP($G174,$B$4:$B$8,$C$4:$C$8))*_xlfn.XLOOKUP($G174,$B$4:$B$8,$D$4:$D$8),0)),IFERROR(OFFSET(L176,0,_xlfn.XLOOKUP($G174,$B$4:$B$8,$E$4:$E$8))*_xlfn.XLOOKUP($G174,$B$4:$B$8,$F$4:$F$8),0),J177))))</f>
        <v>18.775118233339846</v>
      </c>
    </row>
    <row r="178" spans="1:12" ht="15" thickBot="1">
      <c r="A178" s="195" t="s">
        <v>108</v>
      </c>
      <c r="B178" s="196">
        <f>B176</f>
        <v>0</v>
      </c>
      <c r="C178" s="196">
        <f ca="1">IF($I174="N",C176,IF($G174="1. In Flight",1,$G$9)*MIN(MAX($C176:$L176)*_xlfn.XLOOKUP($G174,$B$9:$B$13,$F$9:$F$13),MAX(IF(IFERROR(OFFSET(C176,0,_xlfn.XLOOKUP($G174,$B$9:$B$13,$C$9:$C$13)),0)=MAX($C176:$L176),_xlfn.MINIFS($C176:$L176,$C176:$L176,"&gt;0")*_xlfn.XLOOKUP($G174,$B$9:$B$13,$D$9:$D$13),IFERROR(OFFSET(C176,0,_xlfn.XLOOKUP($G174,$B$9:$B$13,$C$9:$C$13))*_xlfn.XLOOKUP($G174,$B$9:$B$13,$D$9:$D$13),0)),IFERROR(OFFSET(C176,0,_xlfn.XLOOKUP($G174,$B$9:$B$13,$E$9:$E$13))*_xlfn.XLOOKUP($G174,$B$9:$B$13,$F$9:$F$13),0),A178)))</f>
        <v>0</v>
      </c>
      <c r="D178" s="196">
        <f t="shared" ref="D178" ca="1" si="576">IF($I174="N",D176,IF($G174="1. In Flight",1,$G$9)*MIN(MAX($C176:$L176)*_xlfn.XLOOKUP($G174,$B$9:$B$13,$F$9:$F$13),MAX(IF(IFERROR(OFFSET(D176,0,_xlfn.XLOOKUP($G174,$B$9:$B$13,$C$9:$C$13)),0)=MAX($C176:$L176),_xlfn.MINIFS($C176:$L176,$C176:$L176,"&gt;0")*_xlfn.XLOOKUP($G174,$B$9:$B$13,$D$9:$D$13),IFERROR(OFFSET(D176,0,_xlfn.XLOOKUP($G174,$B$9:$B$13,$C$9:$C$13))*_xlfn.XLOOKUP($G174,$B$9:$B$13,$D$9:$D$13),0)),IFERROR(OFFSET(D176,0,_xlfn.XLOOKUP($G174,$B$9:$B$13,$E$9:$E$13))*_xlfn.XLOOKUP($G174,$B$9:$B$13,$F$9:$F$13),0),B178)))</f>
        <v>0</v>
      </c>
      <c r="E178" s="196">
        <f t="shared" ref="E178" ca="1" si="577">IF($I174="N",E176,IF($G174="1. In Flight",1,$G$9)*MIN(MAX($C176:$L176)*_xlfn.XLOOKUP($G174,$B$9:$B$13,$F$9:$F$13),MAX(IF(IFERROR(OFFSET(E176,0,_xlfn.XLOOKUP($G174,$B$9:$B$13,$C$9:$C$13)),0)=MAX($C176:$L176),_xlfn.MINIFS($C176:$L176,$C176:$L176,"&gt;0")*_xlfn.XLOOKUP($G174,$B$9:$B$13,$D$9:$D$13),IFERROR(OFFSET(E176,0,_xlfn.XLOOKUP($G174,$B$9:$B$13,$C$9:$C$13))*_xlfn.XLOOKUP($G174,$B$9:$B$13,$D$9:$D$13),0)),IFERROR(OFFSET(E176,0,_xlfn.XLOOKUP($G174,$B$9:$B$13,$E$9:$E$13))*_xlfn.XLOOKUP($G174,$B$9:$B$13,$F$9:$F$13),0),C178)))</f>
        <v>0</v>
      </c>
      <c r="F178" s="196">
        <f t="shared" ref="F178" ca="1" si="578">IF($I174="N",F176,IF($G174="1. In Flight",1,$G$9)*MIN(MAX($C176:$L176)*_xlfn.XLOOKUP($G174,$B$9:$B$13,$F$9:$F$13),MAX(IF(IFERROR(OFFSET(F176,0,_xlfn.XLOOKUP($G174,$B$9:$B$13,$C$9:$C$13)),0)=MAX($C176:$L176),_xlfn.MINIFS($C176:$L176,$C176:$L176,"&gt;0")*_xlfn.XLOOKUP($G174,$B$9:$B$13,$D$9:$D$13),IFERROR(OFFSET(F176,0,_xlfn.XLOOKUP($G174,$B$9:$B$13,$C$9:$C$13))*_xlfn.XLOOKUP($G174,$B$9:$B$13,$D$9:$D$13),0)),IFERROR(OFFSET(F176,0,_xlfn.XLOOKUP($G174,$B$9:$B$13,$E$9:$E$13))*_xlfn.XLOOKUP($G174,$B$9:$B$13,$F$9:$F$13),0),D178)))</f>
        <v>0</v>
      </c>
      <c r="G178" s="196">
        <f t="shared" ref="G178" ca="1" si="579">IF($I174="N",G176,IF($G174="1. In Flight",1,$G$9)*MIN(MAX($C176:$L176)*_xlfn.XLOOKUP($G174,$B$9:$B$13,$F$9:$F$13),MAX(IF(IFERROR(OFFSET(G176,0,_xlfn.XLOOKUP($G174,$B$9:$B$13,$C$9:$C$13)),0)=MAX($C176:$L176),_xlfn.MINIFS($C176:$L176,$C176:$L176,"&gt;0")*_xlfn.XLOOKUP($G174,$B$9:$B$13,$D$9:$D$13),IFERROR(OFFSET(G176,0,_xlfn.XLOOKUP($G174,$B$9:$B$13,$C$9:$C$13))*_xlfn.XLOOKUP($G174,$B$9:$B$13,$D$9:$D$13),0)),IFERROR(OFFSET(G176,0,_xlfn.XLOOKUP($G174,$B$9:$B$13,$E$9:$E$13))*_xlfn.XLOOKUP($G174,$B$9:$B$13,$F$9:$F$13),0),E178)))</f>
        <v>0</v>
      </c>
      <c r="H178" s="196">
        <f t="shared" ref="H178:K178" ca="1" si="580">IF($I174="N",H176,MAX($G171,MIN(MAX($C176:$L176)*_xlfn.XLOOKUP($G174,$B$9:$B$13,$F$9:$F$13),MAX(IF(IFERROR(OFFSET(H176,0,_xlfn.XLOOKUP($G174,$B$9:$B$13,$C$9:$C$13)),0)=MAX($C176:$L176),_xlfn.MINIFS($C176:$L176,$C176:$L176,"&gt;0")*_xlfn.XLOOKUP($G174,$B$9:$B$13,$D$9:$D$13),IFERROR(OFFSET(H176,0,_xlfn.XLOOKUP($G174,$B$9:$B$13,$C$9:$C$13))*_xlfn.XLOOKUP($G174,$B$9:$B$13,$D$9:$D$13),0)),IFERROR(OFFSET(H176,0,_xlfn.XLOOKUP($G174,$B$9:$B$13,$E$9:$E$13))*_xlfn.XLOOKUP($G174,$B$9:$B$13,$F$9:$F$13),0),F178))))</f>
        <v>18</v>
      </c>
      <c r="I178" s="196">
        <f t="shared" ca="1" si="580"/>
        <v>18</v>
      </c>
      <c r="J178" s="196">
        <f t="shared" ca="1" si="580"/>
        <v>18</v>
      </c>
      <c r="K178" s="196">
        <f t="shared" ca="1" si="580"/>
        <v>18</v>
      </c>
      <c r="L178" s="196">
        <f ca="1">IF($I174="N",L176,MAX($G171,MIN(MAX($C176:$L176)*_xlfn.XLOOKUP($G174,$B$9:$B$13,$F$9:$F$13),MAX(IF(IFERROR(OFFSET(L176,0,_xlfn.XLOOKUP($G174,$B$9:$B$13,$C$9:$C$13)),0)=MAX($C176:$L176),_xlfn.MINIFS($C176:$L176,$C176:$L176,"&gt;0")*_xlfn.XLOOKUP($G174,$B$9:$B$13,$D$9:$D$13),IFERROR(OFFSET(L176,0,_xlfn.XLOOKUP($G174,$B$9:$B$13,$C$9:$C$13))*_xlfn.XLOOKUP($G174,$B$9:$B$13,$D$9:$D$13),0)),IFERROR(OFFSET(L176,0,_xlfn.XLOOKUP($G174,$B$9:$B$13,$E$9:$E$13))*_xlfn.XLOOKUP($G174,$B$9:$B$13,$F$9:$F$13),0),J178))))</f>
        <v>18</v>
      </c>
    </row>
    <row r="179" spans="1:12" ht="15" thickBot="1">
      <c r="A179" s="197" t="s">
        <v>109</v>
      </c>
      <c r="B179" s="198">
        <f>B176</f>
        <v>0</v>
      </c>
      <c r="C179" s="198">
        <f ca="1">IF($I174="N",C176,IF($G174="1. In Flight",1,$G$14)*MIN(MAX($C176:$L176)*_xlfn.XLOOKUP($G174,$B$14:$B$18,$F$14:$F$18),MAX(IF(IFERROR(OFFSET(C176,0,_xlfn.XLOOKUP($G174,$B$14:$B$18,$C$14:$C$18)),0)=MAX($C176:$L176),_xlfn.MINIFS($C176:$L176,$C176:$L176,"&gt;0")*_xlfn.XLOOKUP($G174,$B$14:$B$18,$D$14:$D$18),IFERROR(OFFSET(C176,0,_xlfn.XLOOKUP($G174,$B$14:$B$18,$C$14:$C$18))*_xlfn.XLOOKUP($G174,$B$14:$B$18,$D$14:$D$18),0)),IFERROR(OFFSET(C176,0,_xlfn.XLOOKUP($G174,$B$14:$B$18,$E$14:$E$18))*_xlfn.XLOOKUP($G174,$B$14:$B$18,$F$14:$F$18),0),A179)))</f>
        <v>0</v>
      </c>
      <c r="D179" s="198">
        <f t="shared" ref="D179" ca="1" si="581">IF($I174="N",D176,IF($G174="1. In Flight",1,$G$14)*MIN(MAX($C176:$L176)*_xlfn.XLOOKUP($G174,$B$14:$B$18,$F$14:$F$18),MAX(IF(IFERROR(OFFSET(D176,0,_xlfn.XLOOKUP($G174,$B$14:$B$18,$C$14:$C$18)),0)=MAX($C176:$L176),_xlfn.MINIFS($C176:$L176,$C176:$L176,"&gt;0")*_xlfn.XLOOKUP($G174,$B$14:$B$18,$D$14:$D$18),IFERROR(OFFSET(D176,0,_xlfn.XLOOKUP($G174,$B$14:$B$18,$C$14:$C$18))*_xlfn.XLOOKUP($G174,$B$14:$B$18,$D$14:$D$18),0)),IFERROR(OFFSET(D176,0,_xlfn.XLOOKUP($G174,$B$14:$B$18,$E$14:$E$18))*_xlfn.XLOOKUP($G174,$B$14:$B$18,$F$14:$F$18),0),B179)))</f>
        <v>0</v>
      </c>
      <c r="E179" s="198">
        <f t="shared" ref="E179" ca="1" si="582">IF($I174="N",E176,IF($G174="1. In Flight",1,$G$14)*MIN(MAX($C176:$L176)*_xlfn.XLOOKUP($G174,$B$14:$B$18,$F$14:$F$18),MAX(IF(IFERROR(OFFSET(E176,0,_xlfn.XLOOKUP($G174,$B$14:$B$18,$C$14:$C$18)),0)=MAX($C176:$L176),_xlfn.MINIFS($C176:$L176,$C176:$L176,"&gt;0")*_xlfn.XLOOKUP($G174,$B$14:$B$18,$D$14:$D$18),IFERROR(OFFSET(E176,0,_xlfn.XLOOKUP($G174,$B$14:$B$18,$C$14:$C$18))*_xlfn.XLOOKUP($G174,$B$14:$B$18,$D$14:$D$18),0)),IFERROR(OFFSET(E176,0,_xlfn.XLOOKUP($G174,$B$14:$B$18,$E$14:$E$18))*_xlfn.XLOOKUP($G174,$B$14:$B$18,$F$14:$F$18),0),C179)))</f>
        <v>0</v>
      </c>
      <c r="F179" s="198">
        <f t="shared" ref="F179" ca="1" si="583">IF($I174="N",F176,IF($G174="1. In Flight",1,$G$14)*MIN(MAX($C176:$L176)*_xlfn.XLOOKUP($G174,$B$14:$B$18,$F$14:$F$18),MAX(IF(IFERROR(OFFSET(F176,0,_xlfn.XLOOKUP($G174,$B$14:$B$18,$C$14:$C$18)),0)=MAX($C176:$L176),_xlfn.MINIFS($C176:$L176,$C176:$L176,"&gt;0")*_xlfn.XLOOKUP($G174,$B$14:$B$18,$D$14:$D$18),IFERROR(OFFSET(F176,0,_xlfn.XLOOKUP($G174,$B$14:$B$18,$C$14:$C$18))*_xlfn.XLOOKUP($G174,$B$14:$B$18,$D$14:$D$18),0)),IFERROR(OFFSET(F176,0,_xlfn.XLOOKUP($G174,$B$14:$B$18,$E$14:$E$18))*_xlfn.XLOOKUP($G174,$B$14:$B$18,$F$14:$F$18),0),D179)))</f>
        <v>0</v>
      </c>
      <c r="G179" s="198">
        <f t="shared" ref="G179" ca="1" si="584">IF($I174="N",G176,IF($G174="1. In Flight",1,$G$14)*MIN(MAX($C176:$L176)*_xlfn.XLOOKUP($G174,$B$14:$B$18,$F$14:$F$18),MAX(IF(IFERROR(OFFSET(G176,0,_xlfn.XLOOKUP($G174,$B$14:$B$18,$C$14:$C$18)),0)=MAX($C176:$L176),_xlfn.MINIFS($C176:$L176,$C176:$L176,"&gt;0")*_xlfn.XLOOKUP($G174,$B$14:$B$18,$D$14:$D$18),IFERROR(OFFSET(G176,0,_xlfn.XLOOKUP($G174,$B$14:$B$18,$C$14:$C$18))*_xlfn.XLOOKUP($G174,$B$14:$B$18,$D$14:$D$18),0)),IFERROR(OFFSET(G176,0,_xlfn.XLOOKUP($G174,$B$14:$B$18,$E$14:$E$18))*_xlfn.XLOOKUP($G174,$B$14:$B$18,$F$14:$F$18),0),E179)))</f>
        <v>0</v>
      </c>
      <c r="H179" s="198">
        <f t="shared" ref="H179:K179" ca="1" si="585">IF($I174="N",H176,MAX($G172,MIN(MAX($C176:$L176)*_xlfn.XLOOKUP($G174,$B$14:$B$18,$F$14:$F$18),MAX(IF(IFERROR(OFFSET(H176,0,_xlfn.XLOOKUP($G174,$B$14:$B$18,$C$14:$C$18)),0)=MAX($C176:$L176),_xlfn.MINIFS($C176:$L176,$C176:$L176,"&gt;0")*_xlfn.XLOOKUP($G174,$B$14:$B$18,$D$14:$D$18),IFERROR(OFFSET(H176,0,_xlfn.XLOOKUP($G174,$B$14:$B$18,$C$14:$C$18))*_xlfn.XLOOKUP($G174,$B$14:$B$18,$D$14:$D$18),0)),IFERROR(OFFSET(H176,0,_xlfn.XLOOKUP($G174,$B$14:$B$18,$E$14:$E$18))*_xlfn.XLOOKUP($G174,$B$14:$B$18,$F$14:$F$18),0),F179))))</f>
        <v>18</v>
      </c>
      <c r="I179" s="198">
        <f t="shared" ca="1" si="585"/>
        <v>18</v>
      </c>
      <c r="J179" s="198">
        <f t="shared" ca="1" si="585"/>
        <v>18</v>
      </c>
      <c r="K179" s="198">
        <f t="shared" ca="1" si="585"/>
        <v>22.530141880007815</v>
      </c>
      <c r="L179" s="198">
        <f ca="1">IF($I174="N",L176,MAX($G172,MIN(MAX($C176:$L176)*_xlfn.XLOOKUP($G174,$B$14:$B$18,$F$14:$F$18),MAX(IF(IFERROR(OFFSET(L176,0,_xlfn.XLOOKUP($G174,$B$14:$B$18,$C$14:$C$18)),0)=MAX($C176:$L176),_xlfn.MINIFS($C176:$L176,$C176:$L176,"&gt;0")*_xlfn.XLOOKUP($G174,$B$14:$B$18,$D$14:$D$18),IFERROR(OFFSET(L176,0,_xlfn.XLOOKUP($G174,$B$14:$B$18,$C$14:$C$18))*_xlfn.XLOOKUP($G174,$B$14:$B$18,$D$14:$D$18),0)),IFERROR(OFFSET(L176,0,_xlfn.XLOOKUP($G174,$B$14:$B$18,$E$14:$E$18))*_xlfn.XLOOKUP($G174,$B$14:$B$18,$F$14:$F$18),0),J179))))</f>
        <v>27.00399902286496</v>
      </c>
    </row>
    <row r="180" spans="1:12" ht="15" thickTop="1"/>
    <row r="181" spans="1:12" ht="15" thickBot="1">
      <c r="A181" s="231">
        <f>_xlfn.XLOOKUP(F181,FEED!D:D,FEED!E:E,FALSE)</f>
        <v>0</v>
      </c>
      <c r="B181" s="232"/>
      <c r="C181" s="189"/>
      <c r="D181" s="200" t="s">
        <v>122</v>
      </c>
      <c r="E181" s="189" t="s">
        <v>123</v>
      </c>
      <c r="F181" s="189" t="s">
        <v>57</v>
      </c>
      <c r="G181" s="189" t="str">
        <f>IFERROR(_xlfn.XLOOKUP(F181,FEED!$D:$D,FEED!$S:$S),$B$8)</f>
        <v>1. In Flight</v>
      </c>
      <c r="H181" s="189" t="str">
        <f>IFERROR(_xlfn.XLOOKUP(F181,FEED!$D:$D,FEED!$Y:$Y),"Major Load")</f>
        <v>Data Centre</v>
      </c>
      <c r="I181" s="189" t="str">
        <f>IFERROR(_xlfn.XLOOKUP(F181,FEED!$D:$D,FEED!$C:$C),"N")</f>
        <v>N</v>
      </c>
      <c r="J181" s="190"/>
      <c r="K181" s="190"/>
      <c r="L181" s="190"/>
    </row>
    <row r="182" spans="1:12" ht="15" thickBot="1">
      <c r="A182" s="191" t="str">
        <f>A175</f>
        <v>Uptake Scenario</v>
      </c>
      <c r="B182" s="192">
        <f>B175</f>
        <v>2023</v>
      </c>
      <c r="C182" s="192">
        <f t="shared" ref="C182:L182" si="586">C175</f>
        <v>2024</v>
      </c>
      <c r="D182" s="192">
        <f t="shared" si="586"/>
        <v>2025</v>
      </c>
      <c r="E182" s="192">
        <f t="shared" si="586"/>
        <v>2026</v>
      </c>
      <c r="F182" s="192">
        <f t="shared" si="586"/>
        <v>2027</v>
      </c>
      <c r="G182" s="192">
        <f t="shared" si="586"/>
        <v>2028</v>
      </c>
      <c r="H182" s="192">
        <f t="shared" si="586"/>
        <v>2029</v>
      </c>
      <c r="I182" s="192">
        <f t="shared" si="586"/>
        <v>2030</v>
      </c>
      <c r="J182" s="192">
        <f t="shared" si="586"/>
        <v>2031</v>
      </c>
      <c r="K182" s="192">
        <f t="shared" si="586"/>
        <v>2032</v>
      </c>
      <c r="L182" s="192">
        <f t="shared" si="586"/>
        <v>2033</v>
      </c>
    </row>
    <row r="183" spans="1:12" ht="15.6" thickTop="1" thickBot="1">
      <c r="A183" s="193" t="s">
        <v>111</v>
      </c>
      <c r="B183" s="194">
        <v>0</v>
      </c>
      <c r="C183" s="194">
        <f>SUMIF(FEED!$D:$D,$F181,FEED!F:F)+B183</f>
        <v>0</v>
      </c>
      <c r="D183" s="194">
        <f>SUMIF(FEED!$D:$D,$F181,FEED!G:G)+C183</f>
        <v>0</v>
      </c>
      <c r="E183" s="194">
        <f>SUMIF(FEED!$D:$D,$F181,FEED!H:H)+D183</f>
        <v>16.899999999999999</v>
      </c>
      <c r="F183" s="194">
        <f>SUMIF(FEED!$D:$D,$F181,FEED!I:I)+E183</f>
        <v>19.3</v>
      </c>
      <c r="G183" s="194">
        <f>SUMIF(FEED!$D:$D,$F181,FEED!J:J)+F183</f>
        <v>23</v>
      </c>
      <c r="H183" s="194">
        <f>SUMIF(FEED!$D:$D,$F181,FEED!K:K)+G183</f>
        <v>37.4</v>
      </c>
      <c r="I183" s="194">
        <f>SUMIF(FEED!$D:$D,$F181,FEED!L:L)+H183</f>
        <v>51.9</v>
      </c>
      <c r="J183" s="194">
        <f>SUMIF(FEED!$D:$D,$F181,FEED!M:M)+I183</f>
        <v>65.8</v>
      </c>
      <c r="K183" s="194">
        <f>SUMIF(FEED!$D:$D,$F181,FEED!N:N)+J183</f>
        <v>67.599999999999994</v>
      </c>
      <c r="L183" s="194">
        <f>SUMIF(FEED!$D:$D,$F181,FEED!O:O)+K183</f>
        <v>69.5</v>
      </c>
    </row>
    <row r="184" spans="1:12" ht="15" thickBot="1">
      <c r="A184" s="195" t="s">
        <v>107</v>
      </c>
      <c r="B184" s="196">
        <f>B183</f>
        <v>0</v>
      </c>
      <c r="C184" s="196">
        <f ca="1">IF($I181="N",C183,IF($G181="1. In Flight",1,$G$4)*MIN(MAX($C183:$L183)*_xlfn.XLOOKUP($G181,$B$4:$B$8,$F$4:$F$8),MAX(IF(IFERROR(OFFSET(C183,0,_xlfn.XLOOKUP($G181,$B$4:$B$8,$C$4:$C$8)),0)=MAX($C183:$L183),_xlfn.MINIFS($C183:$L183,$C183:$L183,"&gt;0")*_xlfn.XLOOKUP($G181,$B$4:$B$8,$D$4:$D$8),IFERROR(OFFSET(C183,0,_xlfn.XLOOKUP($G181,$B$4:$B$8,$C$4:$C$8))*_xlfn.XLOOKUP($G181,$B$4:$B$8,$D$4:$D$8),0)),IFERROR(OFFSET(C183,0,_xlfn.XLOOKUP($G181,$B$4:$B$8,$E$4:$E$8))*_xlfn.XLOOKUP($G181,$B$4:$B$8,$F$4:$F$8),0),A184)))</f>
        <v>0</v>
      </c>
      <c r="D184" s="196">
        <f t="shared" ref="D184" ca="1" si="587">IF($I181="N",D183,IF($G181="1. In Flight",1,$G$4)*MIN(MAX($C183:$L183)*_xlfn.XLOOKUP($G181,$B$4:$B$8,$F$4:$F$8),MAX(IF(IFERROR(OFFSET(D183,0,_xlfn.XLOOKUP($G181,$B$4:$B$8,$C$4:$C$8)),0)=MAX($C183:$L183),_xlfn.MINIFS($C183:$L183,$C183:$L183,"&gt;0")*_xlfn.XLOOKUP($G181,$B$4:$B$8,$D$4:$D$8),IFERROR(OFFSET(D183,0,_xlfn.XLOOKUP($G181,$B$4:$B$8,$C$4:$C$8))*_xlfn.XLOOKUP($G181,$B$4:$B$8,$D$4:$D$8),0)),IFERROR(OFFSET(D183,0,_xlfn.XLOOKUP($G181,$B$4:$B$8,$E$4:$E$8))*_xlfn.XLOOKUP($G181,$B$4:$B$8,$F$4:$F$8),0),B184)))</f>
        <v>0</v>
      </c>
      <c r="E184" s="196">
        <f t="shared" ref="E184" ca="1" si="588">IF($I181="N",E183,IF($G181="1. In Flight",1,$G$4)*MIN(MAX($C183:$L183)*_xlfn.XLOOKUP($G181,$B$4:$B$8,$F$4:$F$8),MAX(IF(IFERROR(OFFSET(E183,0,_xlfn.XLOOKUP($G181,$B$4:$B$8,$C$4:$C$8)),0)=MAX($C183:$L183),_xlfn.MINIFS($C183:$L183,$C183:$L183,"&gt;0")*_xlfn.XLOOKUP($G181,$B$4:$B$8,$D$4:$D$8),IFERROR(OFFSET(E183,0,_xlfn.XLOOKUP($G181,$B$4:$B$8,$C$4:$C$8))*_xlfn.XLOOKUP($G181,$B$4:$B$8,$D$4:$D$8),0)),IFERROR(OFFSET(E183,0,_xlfn.XLOOKUP($G181,$B$4:$B$8,$E$4:$E$8))*_xlfn.XLOOKUP($G181,$B$4:$B$8,$F$4:$F$8),0),C184)))</f>
        <v>16.899999999999999</v>
      </c>
      <c r="F184" s="196">
        <f t="shared" ref="F184" ca="1" si="589">IF($I181="N",F183,IF($G181="1. In Flight",1,$G$4)*MIN(MAX($C183:$L183)*_xlfn.XLOOKUP($G181,$B$4:$B$8,$F$4:$F$8),MAX(IF(IFERROR(OFFSET(F183,0,_xlfn.XLOOKUP($G181,$B$4:$B$8,$C$4:$C$8)),0)=MAX($C183:$L183),_xlfn.MINIFS($C183:$L183,$C183:$L183,"&gt;0")*_xlfn.XLOOKUP($G181,$B$4:$B$8,$D$4:$D$8),IFERROR(OFFSET(F183,0,_xlfn.XLOOKUP($G181,$B$4:$B$8,$C$4:$C$8))*_xlfn.XLOOKUP($G181,$B$4:$B$8,$D$4:$D$8),0)),IFERROR(OFFSET(F183,0,_xlfn.XLOOKUP($G181,$B$4:$B$8,$E$4:$E$8))*_xlfn.XLOOKUP($G181,$B$4:$B$8,$F$4:$F$8),0),D184)))</f>
        <v>19.3</v>
      </c>
      <c r="G184" s="196">
        <f t="shared" ref="G184" ca="1" si="590">IF($I181="N",G183,IF($G181="1. In Flight",1,$G$4)*MIN(MAX($C183:$L183)*_xlfn.XLOOKUP($G181,$B$4:$B$8,$F$4:$F$8),MAX(IF(IFERROR(OFFSET(G183,0,_xlfn.XLOOKUP($G181,$B$4:$B$8,$C$4:$C$8)),0)=MAX($C183:$L183),_xlfn.MINIFS($C183:$L183,$C183:$L183,"&gt;0")*_xlfn.XLOOKUP($G181,$B$4:$B$8,$D$4:$D$8),IFERROR(OFFSET(G183,0,_xlfn.XLOOKUP($G181,$B$4:$B$8,$C$4:$C$8))*_xlfn.XLOOKUP($G181,$B$4:$B$8,$D$4:$D$8),0)),IFERROR(OFFSET(G183,0,_xlfn.XLOOKUP($G181,$B$4:$B$8,$E$4:$E$8))*_xlfn.XLOOKUP($G181,$B$4:$B$8,$F$4:$F$8),0),E184)))</f>
        <v>23</v>
      </c>
      <c r="H184" s="196">
        <f t="shared" ref="H184" ca="1" si="591">IF($I181="N",H183,IF($G181="1. In Flight",1,$G$4)*MIN(MAX($C183:$L183)*_xlfn.XLOOKUP($G181,$B$4:$B$8,$F$4:$F$8),MAX(IF(IFERROR(OFFSET(H183,0,_xlfn.XLOOKUP($G181,$B$4:$B$8,$C$4:$C$8)),0)=MAX($C183:$L183),_xlfn.MINIFS($C183:$L183,$C183:$L183,"&gt;0")*_xlfn.XLOOKUP($G181,$B$4:$B$8,$D$4:$D$8),IFERROR(OFFSET(H183,0,_xlfn.XLOOKUP($G181,$B$4:$B$8,$C$4:$C$8))*_xlfn.XLOOKUP($G181,$B$4:$B$8,$D$4:$D$8),0)),IFERROR(OFFSET(H183,0,_xlfn.XLOOKUP($G181,$B$4:$B$8,$E$4:$E$8))*_xlfn.XLOOKUP($G181,$B$4:$B$8,$F$4:$F$8),0),F184)))</f>
        <v>37.4</v>
      </c>
      <c r="I184" s="196">
        <f t="shared" ref="I184" ca="1" si="592">IF($I181="N",I183,IF($G181="1. In Flight",1,$G$4)*MIN(MAX($C183:$L183)*_xlfn.XLOOKUP($G181,$B$4:$B$8,$F$4:$F$8),MAX(IF(IFERROR(OFFSET(I183,0,_xlfn.XLOOKUP($G181,$B$4:$B$8,$C$4:$C$8)),0)=MAX($C183:$L183),_xlfn.MINIFS($C183:$L183,$C183:$L183,"&gt;0")*_xlfn.XLOOKUP($G181,$B$4:$B$8,$D$4:$D$8),IFERROR(OFFSET(I183,0,_xlfn.XLOOKUP($G181,$B$4:$B$8,$C$4:$C$8))*_xlfn.XLOOKUP($G181,$B$4:$B$8,$D$4:$D$8),0)),IFERROR(OFFSET(I183,0,_xlfn.XLOOKUP($G181,$B$4:$B$8,$E$4:$E$8))*_xlfn.XLOOKUP($G181,$B$4:$B$8,$F$4:$F$8),0),G184)))</f>
        <v>51.9</v>
      </c>
      <c r="J184" s="196">
        <f t="shared" ref="J184" ca="1" si="593">IF($I181="N",J183,IF($G181="1. In Flight",1,$G$4)*MIN(MAX($C183:$L183)*_xlfn.XLOOKUP($G181,$B$4:$B$8,$F$4:$F$8),MAX(IF(IFERROR(OFFSET(J183,0,_xlfn.XLOOKUP($G181,$B$4:$B$8,$C$4:$C$8)),0)=MAX($C183:$L183),_xlfn.MINIFS($C183:$L183,$C183:$L183,"&gt;0")*_xlfn.XLOOKUP($G181,$B$4:$B$8,$D$4:$D$8),IFERROR(OFFSET(J183,0,_xlfn.XLOOKUP($G181,$B$4:$B$8,$C$4:$C$8))*_xlfn.XLOOKUP($G181,$B$4:$B$8,$D$4:$D$8),0)),IFERROR(OFFSET(J183,0,_xlfn.XLOOKUP($G181,$B$4:$B$8,$E$4:$E$8))*_xlfn.XLOOKUP($G181,$B$4:$B$8,$F$4:$F$8),0),H184)))</f>
        <v>65.8</v>
      </c>
      <c r="K184" s="196">
        <f t="shared" ref="K184" ca="1" si="594">IF($I181="N",K183,IF($G181="1. In Flight",1,$G$4)*MIN(MAX($C183:$L183)*_xlfn.XLOOKUP($G181,$B$4:$B$8,$F$4:$F$8),MAX(IF(IFERROR(OFFSET(K183,0,_xlfn.XLOOKUP($G181,$B$4:$B$8,$C$4:$C$8)),0)=MAX($C183:$L183),_xlfn.MINIFS($C183:$L183,$C183:$L183,"&gt;0")*_xlfn.XLOOKUP($G181,$B$4:$B$8,$D$4:$D$8),IFERROR(OFFSET(K183,0,_xlfn.XLOOKUP($G181,$B$4:$B$8,$C$4:$C$8))*_xlfn.XLOOKUP($G181,$B$4:$B$8,$D$4:$D$8),0)),IFERROR(OFFSET(K183,0,_xlfn.XLOOKUP($G181,$B$4:$B$8,$E$4:$E$8))*_xlfn.XLOOKUP($G181,$B$4:$B$8,$F$4:$F$8),0),I184)))</f>
        <v>67.599999999999994</v>
      </c>
      <c r="L184" s="196">
        <f t="shared" ref="L184" ca="1" si="595">IF($I181="N",L183,IF($G181="1. In Flight",1,$G$4)*MIN(MAX($C183:$L183)*_xlfn.XLOOKUP($G181,$B$4:$B$8,$F$4:$F$8),MAX(IF(IFERROR(OFFSET(L183,0,_xlfn.XLOOKUP($G181,$B$4:$B$8,$C$4:$C$8)),0)=MAX($C183:$L183),_xlfn.MINIFS($C183:$L183,$C183:$L183,"&gt;0")*_xlfn.XLOOKUP($G181,$B$4:$B$8,$D$4:$D$8),IFERROR(OFFSET(L183,0,_xlfn.XLOOKUP($G181,$B$4:$B$8,$C$4:$C$8))*_xlfn.XLOOKUP($G181,$B$4:$B$8,$D$4:$D$8),0)),IFERROR(OFFSET(L183,0,_xlfn.XLOOKUP($G181,$B$4:$B$8,$E$4:$E$8))*_xlfn.XLOOKUP($G181,$B$4:$B$8,$F$4:$F$8),0),J184)))</f>
        <v>69.5</v>
      </c>
    </row>
    <row r="185" spans="1:12" ht="15" thickBot="1">
      <c r="A185" s="195" t="s">
        <v>108</v>
      </c>
      <c r="B185" s="196">
        <f>B183</f>
        <v>0</v>
      </c>
      <c r="C185" s="196">
        <f ca="1">IF($I181="N",C183,IF($G181="1. In Flight",1,$G$9)*MIN(MAX($C183:$L183)*_xlfn.XLOOKUP($G181,$B$9:$B$13,$F$9:$F$13),MAX(IF(IFERROR(OFFSET(C183,0,_xlfn.XLOOKUP($G181,$B$9:$B$13,$C$9:$C$13)),0)=MAX($C183:$L183),_xlfn.MINIFS($C183:$L183,$C183:$L183,"&gt;0")*_xlfn.XLOOKUP($G181,$B$9:$B$13,$D$9:$D$13),IFERROR(OFFSET(C183,0,_xlfn.XLOOKUP($G181,$B$9:$B$13,$C$9:$C$13))*_xlfn.XLOOKUP($G181,$B$9:$B$13,$D$9:$D$13),0)),IFERROR(OFFSET(C183,0,_xlfn.XLOOKUP($G181,$B$9:$B$13,$E$9:$E$13))*_xlfn.XLOOKUP($G181,$B$9:$B$13,$F$9:$F$13),0),A185)))</f>
        <v>0</v>
      </c>
      <c r="D185" s="196">
        <f t="shared" ref="D185" ca="1" si="596">IF($I181="N",D183,IF($G181="1. In Flight",1,$G$9)*MIN(MAX($C183:$L183)*_xlfn.XLOOKUP($G181,$B$9:$B$13,$F$9:$F$13),MAX(IF(IFERROR(OFFSET(D183,0,_xlfn.XLOOKUP($G181,$B$9:$B$13,$C$9:$C$13)),0)=MAX($C183:$L183),_xlfn.MINIFS($C183:$L183,$C183:$L183,"&gt;0")*_xlfn.XLOOKUP($G181,$B$9:$B$13,$D$9:$D$13),IFERROR(OFFSET(D183,0,_xlfn.XLOOKUP($G181,$B$9:$B$13,$C$9:$C$13))*_xlfn.XLOOKUP($G181,$B$9:$B$13,$D$9:$D$13),0)),IFERROR(OFFSET(D183,0,_xlfn.XLOOKUP($G181,$B$9:$B$13,$E$9:$E$13))*_xlfn.XLOOKUP($G181,$B$9:$B$13,$F$9:$F$13),0),B185)))</f>
        <v>0</v>
      </c>
      <c r="E185" s="196">
        <f t="shared" ref="E185" ca="1" si="597">IF($I181="N",E183,IF($G181="1. In Flight",1,$G$9)*MIN(MAX($C183:$L183)*_xlfn.XLOOKUP($G181,$B$9:$B$13,$F$9:$F$13),MAX(IF(IFERROR(OFFSET(E183,0,_xlfn.XLOOKUP($G181,$B$9:$B$13,$C$9:$C$13)),0)=MAX($C183:$L183),_xlfn.MINIFS($C183:$L183,$C183:$L183,"&gt;0")*_xlfn.XLOOKUP($G181,$B$9:$B$13,$D$9:$D$13),IFERROR(OFFSET(E183,0,_xlfn.XLOOKUP($G181,$B$9:$B$13,$C$9:$C$13))*_xlfn.XLOOKUP($G181,$B$9:$B$13,$D$9:$D$13),0)),IFERROR(OFFSET(E183,0,_xlfn.XLOOKUP($G181,$B$9:$B$13,$E$9:$E$13))*_xlfn.XLOOKUP($G181,$B$9:$B$13,$F$9:$F$13),0),C185)))</f>
        <v>16.899999999999999</v>
      </c>
      <c r="F185" s="196">
        <f t="shared" ref="F185" ca="1" si="598">IF($I181="N",F183,IF($G181="1. In Flight",1,$G$9)*MIN(MAX($C183:$L183)*_xlfn.XLOOKUP($G181,$B$9:$B$13,$F$9:$F$13),MAX(IF(IFERROR(OFFSET(F183,0,_xlfn.XLOOKUP($G181,$B$9:$B$13,$C$9:$C$13)),0)=MAX($C183:$L183),_xlfn.MINIFS($C183:$L183,$C183:$L183,"&gt;0")*_xlfn.XLOOKUP($G181,$B$9:$B$13,$D$9:$D$13),IFERROR(OFFSET(F183,0,_xlfn.XLOOKUP($G181,$B$9:$B$13,$C$9:$C$13))*_xlfn.XLOOKUP($G181,$B$9:$B$13,$D$9:$D$13),0)),IFERROR(OFFSET(F183,0,_xlfn.XLOOKUP($G181,$B$9:$B$13,$E$9:$E$13))*_xlfn.XLOOKUP($G181,$B$9:$B$13,$F$9:$F$13),0),D185)))</f>
        <v>19.3</v>
      </c>
      <c r="G185" s="196">
        <f t="shared" ref="G185" ca="1" si="599">IF($I181="N",G183,IF($G181="1. In Flight",1,$G$9)*MIN(MAX($C183:$L183)*_xlfn.XLOOKUP($G181,$B$9:$B$13,$F$9:$F$13),MAX(IF(IFERROR(OFFSET(G183,0,_xlfn.XLOOKUP($G181,$B$9:$B$13,$C$9:$C$13)),0)=MAX($C183:$L183),_xlfn.MINIFS($C183:$L183,$C183:$L183,"&gt;0")*_xlfn.XLOOKUP($G181,$B$9:$B$13,$D$9:$D$13),IFERROR(OFFSET(G183,0,_xlfn.XLOOKUP($G181,$B$9:$B$13,$C$9:$C$13))*_xlfn.XLOOKUP($G181,$B$9:$B$13,$D$9:$D$13),0)),IFERROR(OFFSET(G183,0,_xlfn.XLOOKUP($G181,$B$9:$B$13,$E$9:$E$13))*_xlfn.XLOOKUP($G181,$B$9:$B$13,$F$9:$F$13),0),E185)))</f>
        <v>23</v>
      </c>
      <c r="H185" s="196">
        <f t="shared" ref="H185" ca="1" si="600">IF($I181="N",H183,IF($G181="1. In Flight",1,$G$9)*MIN(MAX($C183:$L183)*_xlfn.XLOOKUP($G181,$B$9:$B$13,$F$9:$F$13),MAX(IF(IFERROR(OFFSET(H183,0,_xlfn.XLOOKUP($G181,$B$9:$B$13,$C$9:$C$13)),0)=MAX($C183:$L183),_xlfn.MINIFS($C183:$L183,$C183:$L183,"&gt;0")*_xlfn.XLOOKUP($G181,$B$9:$B$13,$D$9:$D$13),IFERROR(OFFSET(H183,0,_xlfn.XLOOKUP($G181,$B$9:$B$13,$C$9:$C$13))*_xlfn.XLOOKUP($G181,$B$9:$B$13,$D$9:$D$13),0)),IFERROR(OFFSET(H183,0,_xlfn.XLOOKUP($G181,$B$9:$B$13,$E$9:$E$13))*_xlfn.XLOOKUP($G181,$B$9:$B$13,$F$9:$F$13),0),F185)))</f>
        <v>37.4</v>
      </c>
      <c r="I185" s="196">
        <f t="shared" ref="I185" ca="1" si="601">IF($I181="N",I183,IF($G181="1. In Flight",1,$G$9)*MIN(MAX($C183:$L183)*_xlfn.XLOOKUP($G181,$B$9:$B$13,$F$9:$F$13),MAX(IF(IFERROR(OFFSET(I183,0,_xlfn.XLOOKUP($G181,$B$9:$B$13,$C$9:$C$13)),0)=MAX($C183:$L183),_xlfn.MINIFS($C183:$L183,$C183:$L183,"&gt;0")*_xlfn.XLOOKUP($G181,$B$9:$B$13,$D$9:$D$13),IFERROR(OFFSET(I183,0,_xlfn.XLOOKUP($G181,$B$9:$B$13,$C$9:$C$13))*_xlfn.XLOOKUP($G181,$B$9:$B$13,$D$9:$D$13),0)),IFERROR(OFFSET(I183,0,_xlfn.XLOOKUP($G181,$B$9:$B$13,$E$9:$E$13))*_xlfn.XLOOKUP($G181,$B$9:$B$13,$F$9:$F$13),0),G185)))</f>
        <v>51.9</v>
      </c>
      <c r="J185" s="196">
        <f t="shared" ref="J185" ca="1" si="602">IF($I181="N",J183,IF($G181="1. In Flight",1,$G$9)*MIN(MAX($C183:$L183)*_xlfn.XLOOKUP($G181,$B$9:$B$13,$F$9:$F$13),MAX(IF(IFERROR(OFFSET(J183,0,_xlfn.XLOOKUP($G181,$B$9:$B$13,$C$9:$C$13)),0)=MAX($C183:$L183),_xlfn.MINIFS($C183:$L183,$C183:$L183,"&gt;0")*_xlfn.XLOOKUP($G181,$B$9:$B$13,$D$9:$D$13),IFERROR(OFFSET(J183,0,_xlfn.XLOOKUP($G181,$B$9:$B$13,$C$9:$C$13))*_xlfn.XLOOKUP($G181,$B$9:$B$13,$D$9:$D$13),0)),IFERROR(OFFSET(J183,0,_xlfn.XLOOKUP($G181,$B$9:$B$13,$E$9:$E$13))*_xlfn.XLOOKUP($G181,$B$9:$B$13,$F$9:$F$13),0),H185)))</f>
        <v>65.8</v>
      </c>
      <c r="K185" s="196">
        <f t="shared" ref="K185" ca="1" si="603">IF($I181="N",K183,IF($G181="1. In Flight",1,$G$9)*MIN(MAX($C183:$L183)*_xlfn.XLOOKUP($G181,$B$9:$B$13,$F$9:$F$13),MAX(IF(IFERROR(OFFSET(K183,0,_xlfn.XLOOKUP($G181,$B$9:$B$13,$C$9:$C$13)),0)=MAX($C183:$L183),_xlfn.MINIFS($C183:$L183,$C183:$L183,"&gt;0")*_xlfn.XLOOKUP($G181,$B$9:$B$13,$D$9:$D$13),IFERROR(OFFSET(K183,0,_xlfn.XLOOKUP($G181,$B$9:$B$13,$C$9:$C$13))*_xlfn.XLOOKUP($G181,$B$9:$B$13,$D$9:$D$13),0)),IFERROR(OFFSET(K183,0,_xlfn.XLOOKUP($G181,$B$9:$B$13,$E$9:$E$13))*_xlfn.XLOOKUP($G181,$B$9:$B$13,$F$9:$F$13),0),I185)))</f>
        <v>67.599999999999994</v>
      </c>
      <c r="L185" s="196">
        <f t="shared" ref="L185" ca="1" si="604">IF($I181="N",L183,IF($G181="1. In Flight",1,$G$9)*MIN(MAX($C183:$L183)*_xlfn.XLOOKUP($G181,$B$9:$B$13,$F$9:$F$13),MAX(IF(IFERROR(OFFSET(L183,0,_xlfn.XLOOKUP($G181,$B$9:$B$13,$C$9:$C$13)),0)=MAX($C183:$L183),_xlfn.MINIFS($C183:$L183,$C183:$L183,"&gt;0")*_xlfn.XLOOKUP($G181,$B$9:$B$13,$D$9:$D$13),IFERROR(OFFSET(L183,0,_xlfn.XLOOKUP($G181,$B$9:$B$13,$C$9:$C$13))*_xlfn.XLOOKUP($G181,$B$9:$B$13,$D$9:$D$13),0)),IFERROR(OFFSET(L183,0,_xlfn.XLOOKUP($G181,$B$9:$B$13,$E$9:$E$13))*_xlfn.XLOOKUP($G181,$B$9:$B$13,$F$9:$F$13),0),J185)))</f>
        <v>69.5</v>
      </c>
    </row>
    <row r="186" spans="1:12" ht="15" thickBot="1">
      <c r="A186" s="197" t="s">
        <v>109</v>
      </c>
      <c r="B186" s="198">
        <f>B183</f>
        <v>0</v>
      </c>
      <c r="C186" s="198">
        <f ca="1">IF($I181="N",C183,IF($G181="1. In Flight",1,$G$14)*MIN(MAX($C183:$L183)*_xlfn.XLOOKUP($G181,$B$14:$B$18,$F$14:$F$18),MAX(IF(IFERROR(OFFSET(C183,0,_xlfn.XLOOKUP($G181,$B$14:$B$18,$C$14:$C$18)),0)=MAX($C183:$L183),_xlfn.MINIFS($C183:$L183,$C183:$L183,"&gt;0")*_xlfn.XLOOKUP($G181,$B$14:$B$18,$D$14:$D$18),IFERROR(OFFSET(C183,0,_xlfn.XLOOKUP($G181,$B$14:$B$18,$C$14:$C$18))*_xlfn.XLOOKUP($G181,$B$14:$B$18,$D$14:$D$18),0)),IFERROR(OFFSET(C183,0,_xlfn.XLOOKUP($G181,$B$14:$B$18,$E$14:$E$18))*_xlfn.XLOOKUP($G181,$B$14:$B$18,$F$14:$F$18),0),A186)))</f>
        <v>0</v>
      </c>
      <c r="D186" s="198">
        <f t="shared" ref="D186" ca="1" si="605">IF($I181="N",D183,IF($G181="1. In Flight",1,$G$14)*MIN(MAX($C183:$L183)*_xlfn.XLOOKUP($G181,$B$14:$B$18,$F$14:$F$18),MAX(IF(IFERROR(OFFSET(D183,0,_xlfn.XLOOKUP($G181,$B$14:$B$18,$C$14:$C$18)),0)=MAX($C183:$L183),_xlfn.MINIFS($C183:$L183,$C183:$L183,"&gt;0")*_xlfn.XLOOKUP($G181,$B$14:$B$18,$D$14:$D$18),IFERROR(OFFSET(D183,0,_xlfn.XLOOKUP($G181,$B$14:$B$18,$C$14:$C$18))*_xlfn.XLOOKUP($G181,$B$14:$B$18,$D$14:$D$18),0)),IFERROR(OFFSET(D183,0,_xlfn.XLOOKUP($G181,$B$14:$B$18,$E$14:$E$18))*_xlfn.XLOOKUP($G181,$B$14:$B$18,$F$14:$F$18),0),B186)))</f>
        <v>0</v>
      </c>
      <c r="E186" s="198">
        <f t="shared" ref="E186" ca="1" si="606">IF($I181="N",E183,IF($G181="1. In Flight",1,$G$14)*MIN(MAX($C183:$L183)*_xlfn.XLOOKUP($G181,$B$14:$B$18,$F$14:$F$18),MAX(IF(IFERROR(OFFSET(E183,0,_xlfn.XLOOKUP($G181,$B$14:$B$18,$C$14:$C$18)),0)=MAX($C183:$L183),_xlfn.MINIFS($C183:$L183,$C183:$L183,"&gt;0")*_xlfn.XLOOKUP($G181,$B$14:$B$18,$D$14:$D$18),IFERROR(OFFSET(E183,0,_xlfn.XLOOKUP($G181,$B$14:$B$18,$C$14:$C$18))*_xlfn.XLOOKUP($G181,$B$14:$B$18,$D$14:$D$18),0)),IFERROR(OFFSET(E183,0,_xlfn.XLOOKUP($G181,$B$14:$B$18,$E$14:$E$18))*_xlfn.XLOOKUP($G181,$B$14:$B$18,$F$14:$F$18),0),C186)))</f>
        <v>16.899999999999999</v>
      </c>
      <c r="F186" s="198">
        <f t="shared" ref="F186" ca="1" si="607">IF($I181="N",F183,IF($G181="1. In Flight",1,$G$14)*MIN(MAX($C183:$L183)*_xlfn.XLOOKUP($G181,$B$14:$B$18,$F$14:$F$18),MAX(IF(IFERROR(OFFSET(F183,0,_xlfn.XLOOKUP($G181,$B$14:$B$18,$C$14:$C$18)),0)=MAX($C183:$L183),_xlfn.MINIFS($C183:$L183,$C183:$L183,"&gt;0")*_xlfn.XLOOKUP($G181,$B$14:$B$18,$D$14:$D$18),IFERROR(OFFSET(F183,0,_xlfn.XLOOKUP($G181,$B$14:$B$18,$C$14:$C$18))*_xlfn.XLOOKUP($G181,$B$14:$B$18,$D$14:$D$18),0)),IFERROR(OFFSET(F183,0,_xlfn.XLOOKUP($G181,$B$14:$B$18,$E$14:$E$18))*_xlfn.XLOOKUP($G181,$B$14:$B$18,$F$14:$F$18),0),D186)))</f>
        <v>19.3</v>
      </c>
      <c r="G186" s="198">
        <f t="shared" ref="G186" ca="1" si="608">IF($I181="N",G183,IF($G181="1. In Flight",1,$G$14)*MIN(MAX($C183:$L183)*_xlfn.XLOOKUP($G181,$B$14:$B$18,$F$14:$F$18),MAX(IF(IFERROR(OFFSET(G183,0,_xlfn.XLOOKUP($G181,$B$14:$B$18,$C$14:$C$18)),0)=MAX($C183:$L183),_xlfn.MINIFS($C183:$L183,$C183:$L183,"&gt;0")*_xlfn.XLOOKUP($G181,$B$14:$B$18,$D$14:$D$18),IFERROR(OFFSET(G183,0,_xlfn.XLOOKUP($G181,$B$14:$B$18,$C$14:$C$18))*_xlfn.XLOOKUP($G181,$B$14:$B$18,$D$14:$D$18),0)),IFERROR(OFFSET(G183,0,_xlfn.XLOOKUP($G181,$B$14:$B$18,$E$14:$E$18))*_xlfn.XLOOKUP($G181,$B$14:$B$18,$F$14:$F$18),0),E186)))</f>
        <v>23</v>
      </c>
      <c r="H186" s="198">
        <f t="shared" ref="H186" ca="1" si="609">IF($I181="N",H183,IF($G181="1. In Flight",1,$G$14)*MIN(MAX($C183:$L183)*_xlfn.XLOOKUP($G181,$B$14:$B$18,$F$14:$F$18),MAX(IF(IFERROR(OFFSET(H183,0,_xlfn.XLOOKUP($G181,$B$14:$B$18,$C$14:$C$18)),0)=MAX($C183:$L183),_xlfn.MINIFS($C183:$L183,$C183:$L183,"&gt;0")*_xlfn.XLOOKUP($G181,$B$14:$B$18,$D$14:$D$18),IFERROR(OFFSET(H183,0,_xlfn.XLOOKUP($G181,$B$14:$B$18,$C$14:$C$18))*_xlfn.XLOOKUP($G181,$B$14:$B$18,$D$14:$D$18),0)),IFERROR(OFFSET(H183,0,_xlfn.XLOOKUP($G181,$B$14:$B$18,$E$14:$E$18))*_xlfn.XLOOKUP($G181,$B$14:$B$18,$F$14:$F$18),0),F186)))</f>
        <v>37.4</v>
      </c>
      <c r="I186" s="198">
        <f t="shared" ref="I186" ca="1" si="610">IF($I181="N",I183,IF($G181="1. In Flight",1,$G$14)*MIN(MAX($C183:$L183)*_xlfn.XLOOKUP($G181,$B$14:$B$18,$F$14:$F$18),MAX(IF(IFERROR(OFFSET(I183,0,_xlfn.XLOOKUP($G181,$B$14:$B$18,$C$14:$C$18)),0)=MAX($C183:$L183),_xlfn.MINIFS($C183:$L183,$C183:$L183,"&gt;0")*_xlfn.XLOOKUP($G181,$B$14:$B$18,$D$14:$D$18),IFERROR(OFFSET(I183,0,_xlfn.XLOOKUP($G181,$B$14:$B$18,$C$14:$C$18))*_xlfn.XLOOKUP($G181,$B$14:$B$18,$D$14:$D$18),0)),IFERROR(OFFSET(I183,0,_xlfn.XLOOKUP($G181,$B$14:$B$18,$E$14:$E$18))*_xlfn.XLOOKUP($G181,$B$14:$B$18,$F$14:$F$18),0),G186)))</f>
        <v>51.9</v>
      </c>
      <c r="J186" s="198">
        <f t="shared" ref="J186" ca="1" si="611">IF($I181="N",J183,IF($G181="1. In Flight",1,$G$14)*MIN(MAX($C183:$L183)*_xlfn.XLOOKUP($G181,$B$14:$B$18,$F$14:$F$18),MAX(IF(IFERROR(OFFSET(J183,0,_xlfn.XLOOKUP($G181,$B$14:$B$18,$C$14:$C$18)),0)=MAX($C183:$L183),_xlfn.MINIFS($C183:$L183,$C183:$L183,"&gt;0")*_xlfn.XLOOKUP($G181,$B$14:$B$18,$D$14:$D$18),IFERROR(OFFSET(J183,0,_xlfn.XLOOKUP($G181,$B$14:$B$18,$C$14:$C$18))*_xlfn.XLOOKUP($G181,$B$14:$B$18,$D$14:$D$18),0)),IFERROR(OFFSET(J183,0,_xlfn.XLOOKUP($G181,$B$14:$B$18,$E$14:$E$18))*_xlfn.XLOOKUP($G181,$B$14:$B$18,$F$14:$F$18),0),H186)))</f>
        <v>65.8</v>
      </c>
      <c r="K186" s="198">
        <f t="shared" ref="K186" ca="1" si="612">IF($I181="N",K183,IF($G181="1. In Flight",1,$G$14)*MIN(MAX($C183:$L183)*_xlfn.XLOOKUP($G181,$B$14:$B$18,$F$14:$F$18),MAX(IF(IFERROR(OFFSET(K183,0,_xlfn.XLOOKUP($G181,$B$14:$B$18,$C$14:$C$18)),0)=MAX($C183:$L183),_xlfn.MINIFS($C183:$L183,$C183:$L183,"&gt;0")*_xlfn.XLOOKUP($G181,$B$14:$B$18,$D$14:$D$18),IFERROR(OFFSET(K183,0,_xlfn.XLOOKUP($G181,$B$14:$B$18,$C$14:$C$18))*_xlfn.XLOOKUP($G181,$B$14:$B$18,$D$14:$D$18),0)),IFERROR(OFFSET(K183,0,_xlfn.XLOOKUP($G181,$B$14:$B$18,$E$14:$E$18))*_xlfn.XLOOKUP($G181,$B$14:$B$18,$F$14:$F$18),0),I186)))</f>
        <v>67.599999999999994</v>
      </c>
      <c r="L186" s="198">
        <f t="shared" ref="L186" ca="1" si="613">IF($I181="N",L183,IF($G181="1. In Flight",1,$G$14)*MIN(MAX($C183:$L183)*_xlfn.XLOOKUP($G181,$B$14:$B$18,$F$14:$F$18),MAX(IF(IFERROR(OFFSET(L183,0,_xlfn.XLOOKUP($G181,$B$14:$B$18,$C$14:$C$18)),0)=MAX($C183:$L183),_xlfn.MINIFS($C183:$L183,$C183:$L183,"&gt;0")*_xlfn.XLOOKUP($G181,$B$14:$B$18,$D$14:$D$18),IFERROR(OFFSET(L183,0,_xlfn.XLOOKUP($G181,$B$14:$B$18,$C$14:$C$18))*_xlfn.XLOOKUP($G181,$B$14:$B$18,$D$14:$D$18),0)),IFERROR(OFFSET(L183,0,_xlfn.XLOOKUP($G181,$B$14:$B$18,$E$14:$E$18))*_xlfn.XLOOKUP($G181,$B$14:$B$18,$F$14:$F$18),0),J186)))</f>
        <v>69.5</v>
      </c>
    </row>
    <row r="187" spans="1:12" ht="15" thickTop="1"/>
    <row r="188" spans="1:12" ht="15" thickBot="1">
      <c r="A188" s="231">
        <f>_xlfn.XLOOKUP(F188,FEED!D:D,FEED!E:E,FALSE)</f>
        <v>0</v>
      </c>
      <c r="B188" s="232"/>
      <c r="C188" s="188" t="s">
        <v>110</v>
      </c>
      <c r="D188" s="189"/>
      <c r="E188" s="189"/>
      <c r="F188" s="189" t="s">
        <v>58</v>
      </c>
      <c r="G188" s="189" t="str">
        <f>IFERROR(_xlfn.XLOOKUP(F188,FEED!$D:$D,FEED!$S:$S),$B$8)</f>
        <v>1. In Flight</v>
      </c>
      <c r="H188" s="189" t="str">
        <f>IFERROR(_xlfn.XLOOKUP(F188,FEED!$D:$D,FEED!$Y:$Y),"Major Load")</f>
        <v>Data Centre</v>
      </c>
      <c r="I188" s="189" t="str">
        <f>IFERROR(_xlfn.XLOOKUP(F188,FEED!$D:$D,FEED!$C:$C),"N")</f>
        <v>Y</v>
      </c>
      <c r="J188" s="190"/>
      <c r="K188" s="190"/>
      <c r="L188" s="190"/>
    </row>
    <row r="189" spans="1:12" ht="15" thickBot="1">
      <c r="A189" s="191" t="str">
        <f>A182</f>
        <v>Uptake Scenario</v>
      </c>
      <c r="B189" s="192">
        <f>B182</f>
        <v>2023</v>
      </c>
      <c r="C189" s="192">
        <f t="shared" ref="C189:L189" si="614">C182</f>
        <v>2024</v>
      </c>
      <c r="D189" s="192">
        <f t="shared" si="614"/>
        <v>2025</v>
      </c>
      <c r="E189" s="192">
        <f t="shared" si="614"/>
        <v>2026</v>
      </c>
      <c r="F189" s="192">
        <f t="shared" si="614"/>
        <v>2027</v>
      </c>
      <c r="G189" s="192">
        <f t="shared" si="614"/>
        <v>2028</v>
      </c>
      <c r="H189" s="192">
        <f t="shared" si="614"/>
        <v>2029</v>
      </c>
      <c r="I189" s="192">
        <f t="shared" si="614"/>
        <v>2030</v>
      </c>
      <c r="J189" s="192">
        <f t="shared" si="614"/>
        <v>2031</v>
      </c>
      <c r="K189" s="192">
        <f t="shared" si="614"/>
        <v>2032</v>
      </c>
      <c r="L189" s="192">
        <f t="shared" si="614"/>
        <v>2033</v>
      </c>
    </row>
    <row r="190" spans="1:12" ht="15.6" thickTop="1" thickBot="1">
      <c r="A190" s="193" t="s">
        <v>111</v>
      </c>
      <c r="B190" s="194">
        <v>0</v>
      </c>
      <c r="C190" s="194">
        <f>SUMIF(FEED!$D:$D,$F188,FEED!F:F)+B190</f>
        <v>15</v>
      </c>
      <c r="D190" s="194">
        <f>SUMIF(FEED!$D:$D,$F188,FEED!G:G)+C190</f>
        <v>15</v>
      </c>
      <c r="E190" s="194">
        <f>SUMIF(FEED!$D:$D,$F188,FEED!H:H)+D190</f>
        <v>15</v>
      </c>
      <c r="F190" s="194">
        <f>SUMIF(FEED!$D:$D,$F188,FEED!I:I)+E190</f>
        <v>15</v>
      </c>
      <c r="G190" s="194">
        <f>SUMIF(FEED!$D:$D,$F188,FEED!J:J)+F190</f>
        <v>15</v>
      </c>
      <c r="H190" s="194">
        <f>SUMIF(FEED!$D:$D,$F188,FEED!K:K)+G190</f>
        <v>15</v>
      </c>
      <c r="I190" s="194">
        <f>SUMIF(FEED!$D:$D,$F188,FEED!L:L)+H190</f>
        <v>15</v>
      </c>
      <c r="J190" s="194">
        <f>SUMIF(FEED!$D:$D,$F188,FEED!M:M)+I190</f>
        <v>15</v>
      </c>
      <c r="K190" s="194">
        <f>SUMIF(FEED!$D:$D,$F188,FEED!N:N)+J190</f>
        <v>15</v>
      </c>
      <c r="L190" s="194">
        <f>SUMIF(FEED!$D:$D,$F188,FEED!O:O)+K190</f>
        <v>15</v>
      </c>
    </row>
    <row r="191" spans="1:12" ht="15" thickBot="1">
      <c r="A191" s="195" t="s">
        <v>107</v>
      </c>
      <c r="B191" s="196">
        <f>B190</f>
        <v>0</v>
      </c>
      <c r="C191" s="196">
        <f ca="1">IF($I188="N",C190,IF($G188="1. In Flight",1,$G$4)*MIN(MAX($C190:$L190)*_xlfn.XLOOKUP($G188,$B$4:$B$8,$F$4:$F$8),MAX(IF(IFERROR(OFFSET(C190,0,_xlfn.XLOOKUP($G188,$B$4:$B$8,$C$4:$C$8)),0)=MAX($C190:$L190),_xlfn.MINIFS($C190:$L190,$C190:$L190,"&gt;0")*_xlfn.XLOOKUP($G188,$B$4:$B$8,$D$4:$D$8),IFERROR(OFFSET(C190,0,_xlfn.XLOOKUP($G188,$B$4:$B$8,$C$4:$C$8))*_xlfn.XLOOKUP($G188,$B$4:$B$8,$D$4:$D$8),0)),IFERROR(OFFSET(C190,0,_xlfn.XLOOKUP($G188,$B$4:$B$8,$E$4:$E$8))*_xlfn.XLOOKUP($G188,$B$4:$B$8,$F$4:$F$8),0),A191)))</f>
        <v>0</v>
      </c>
      <c r="D191" s="196">
        <f t="shared" ref="D191" ca="1" si="615">IF($I188="N",D190,IF($G188="1. In Flight",1,$G$4)*MIN(MAX($C190:$L190)*_xlfn.XLOOKUP($G188,$B$4:$B$8,$F$4:$F$8),MAX(IF(IFERROR(OFFSET(D190,0,_xlfn.XLOOKUP($G188,$B$4:$B$8,$C$4:$C$8)),0)=MAX($C190:$L190),_xlfn.MINIFS($C190:$L190,$C190:$L190,"&gt;0")*_xlfn.XLOOKUP($G188,$B$4:$B$8,$D$4:$D$8),IFERROR(OFFSET(D190,0,_xlfn.XLOOKUP($G188,$B$4:$B$8,$C$4:$C$8))*_xlfn.XLOOKUP($G188,$B$4:$B$8,$D$4:$D$8),0)),IFERROR(OFFSET(D190,0,_xlfn.XLOOKUP($G188,$B$4:$B$8,$E$4:$E$8))*_xlfn.XLOOKUP($G188,$B$4:$B$8,$F$4:$F$8),0),B191)))</f>
        <v>10.5</v>
      </c>
      <c r="E191" s="196">
        <f t="shared" ref="E191" ca="1" si="616">IF($I188="N",E190,IF($G188="1. In Flight",1,$G$4)*MIN(MAX($C190:$L190)*_xlfn.XLOOKUP($G188,$B$4:$B$8,$F$4:$F$8),MAX(IF(IFERROR(OFFSET(E190,0,_xlfn.XLOOKUP($G188,$B$4:$B$8,$C$4:$C$8)),0)=MAX($C190:$L190),_xlfn.MINIFS($C190:$L190,$C190:$L190,"&gt;0")*_xlfn.XLOOKUP($G188,$B$4:$B$8,$D$4:$D$8),IFERROR(OFFSET(E190,0,_xlfn.XLOOKUP($G188,$B$4:$B$8,$C$4:$C$8))*_xlfn.XLOOKUP($G188,$B$4:$B$8,$D$4:$D$8),0)),IFERROR(OFFSET(E190,0,_xlfn.XLOOKUP($G188,$B$4:$B$8,$E$4:$E$8))*_xlfn.XLOOKUP($G188,$B$4:$B$8,$F$4:$F$8),0),C191)))</f>
        <v>10.5</v>
      </c>
      <c r="F191" s="196">
        <f t="shared" ref="F191" ca="1" si="617">IF($I188="N",F190,IF($G188="1. In Flight",1,$G$4)*MIN(MAX($C190:$L190)*_xlfn.XLOOKUP($G188,$B$4:$B$8,$F$4:$F$8),MAX(IF(IFERROR(OFFSET(F190,0,_xlfn.XLOOKUP($G188,$B$4:$B$8,$C$4:$C$8)),0)=MAX($C190:$L190),_xlfn.MINIFS($C190:$L190,$C190:$L190,"&gt;0")*_xlfn.XLOOKUP($G188,$B$4:$B$8,$D$4:$D$8),IFERROR(OFFSET(F190,0,_xlfn.XLOOKUP($G188,$B$4:$B$8,$C$4:$C$8))*_xlfn.XLOOKUP($G188,$B$4:$B$8,$D$4:$D$8),0)),IFERROR(OFFSET(F190,0,_xlfn.XLOOKUP($G188,$B$4:$B$8,$E$4:$E$8))*_xlfn.XLOOKUP($G188,$B$4:$B$8,$F$4:$F$8),0),D191)))</f>
        <v>10.5</v>
      </c>
      <c r="G191" s="196">
        <f t="shared" ref="G191" ca="1" si="618">IF($I188="N",G190,IF($G188="1. In Flight",1,$G$4)*MIN(MAX($C190:$L190)*_xlfn.XLOOKUP($G188,$B$4:$B$8,$F$4:$F$8),MAX(IF(IFERROR(OFFSET(G190,0,_xlfn.XLOOKUP($G188,$B$4:$B$8,$C$4:$C$8)),0)=MAX($C190:$L190),_xlfn.MINIFS($C190:$L190,$C190:$L190,"&gt;0")*_xlfn.XLOOKUP($G188,$B$4:$B$8,$D$4:$D$8),IFERROR(OFFSET(G190,0,_xlfn.XLOOKUP($G188,$B$4:$B$8,$C$4:$C$8))*_xlfn.XLOOKUP($G188,$B$4:$B$8,$D$4:$D$8),0)),IFERROR(OFFSET(G190,0,_xlfn.XLOOKUP($G188,$B$4:$B$8,$E$4:$E$8))*_xlfn.XLOOKUP($G188,$B$4:$B$8,$F$4:$F$8),0),E191)))</f>
        <v>10.5</v>
      </c>
      <c r="H191" s="196">
        <f t="shared" ref="H191" ca="1" si="619">IF($I188="N",H190,IF($G188="1. In Flight",1,$G$4)*MIN(MAX($C190:$L190)*_xlfn.XLOOKUP($G188,$B$4:$B$8,$F$4:$F$8),MAX(IF(IFERROR(OFFSET(H190,0,_xlfn.XLOOKUP($G188,$B$4:$B$8,$C$4:$C$8)),0)=MAX($C190:$L190),_xlfn.MINIFS($C190:$L190,$C190:$L190,"&gt;0")*_xlfn.XLOOKUP($G188,$B$4:$B$8,$D$4:$D$8),IFERROR(OFFSET(H190,0,_xlfn.XLOOKUP($G188,$B$4:$B$8,$C$4:$C$8))*_xlfn.XLOOKUP($G188,$B$4:$B$8,$D$4:$D$8),0)),IFERROR(OFFSET(H190,0,_xlfn.XLOOKUP($G188,$B$4:$B$8,$E$4:$E$8))*_xlfn.XLOOKUP($G188,$B$4:$B$8,$F$4:$F$8),0),F191)))</f>
        <v>10.5</v>
      </c>
      <c r="I191" s="196">
        <f t="shared" ref="I191" ca="1" si="620">IF($I188="N",I190,IF($G188="1. In Flight",1,$G$4)*MIN(MAX($C190:$L190)*_xlfn.XLOOKUP($G188,$B$4:$B$8,$F$4:$F$8),MAX(IF(IFERROR(OFFSET(I190,0,_xlfn.XLOOKUP($G188,$B$4:$B$8,$C$4:$C$8)),0)=MAX($C190:$L190),_xlfn.MINIFS($C190:$L190,$C190:$L190,"&gt;0")*_xlfn.XLOOKUP($G188,$B$4:$B$8,$D$4:$D$8),IFERROR(OFFSET(I190,0,_xlfn.XLOOKUP($G188,$B$4:$B$8,$C$4:$C$8))*_xlfn.XLOOKUP($G188,$B$4:$B$8,$D$4:$D$8),0)),IFERROR(OFFSET(I190,0,_xlfn.XLOOKUP($G188,$B$4:$B$8,$E$4:$E$8))*_xlfn.XLOOKUP($G188,$B$4:$B$8,$F$4:$F$8),0),G191)))</f>
        <v>10.5</v>
      </c>
      <c r="J191" s="196">
        <f t="shared" ref="J191" ca="1" si="621">IF($I188="N",J190,IF($G188="1. In Flight",1,$G$4)*MIN(MAX($C190:$L190)*_xlfn.XLOOKUP($G188,$B$4:$B$8,$F$4:$F$8),MAX(IF(IFERROR(OFFSET(J190,0,_xlfn.XLOOKUP($G188,$B$4:$B$8,$C$4:$C$8)),0)=MAX($C190:$L190),_xlfn.MINIFS($C190:$L190,$C190:$L190,"&gt;0")*_xlfn.XLOOKUP($G188,$B$4:$B$8,$D$4:$D$8),IFERROR(OFFSET(J190,0,_xlfn.XLOOKUP($G188,$B$4:$B$8,$C$4:$C$8))*_xlfn.XLOOKUP($G188,$B$4:$B$8,$D$4:$D$8),0)),IFERROR(OFFSET(J190,0,_xlfn.XLOOKUP($G188,$B$4:$B$8,$E$4:$E$8))*_xlfn.XLOOKUP($G188,$B$4:$B$8,$F$4:$F$8),0),H191)))</f>
        <v>10.5</v>
      </c>
      <c r="K191" s="196">
        <f t="shared" ref="K191" ca="1" si="622">IF($I188="N",K190,IF($G188="1. In Flight",1,$G$4)*MIN(MAX($C190:$L190)*_xlfn.XLOOKUP($G188,$B$4:$B$8,$F$4:$F$8),MAX(IF(IFERROR(OFFSET(K190,0,_xlfn.XLOOKUP($G188,$B$4:$B$8,$C$4:$C$8)),0)=MAX($C190:$L190),_xlfn.MINIFS($C190:$L190,$C190:$L190,"&gt;0")*_xlfn.XLOOKUP($G188,$B$4:$B$8,$D$4:$D$8),IFERROR(OFFSET(K190,0,_xlfn.XLOOKUP($G188,$B$4:$B$8,$C$4:$C$8))*_xlfn.XLOOKUP($G188,$B$4:$B$8,$D$4:$D$8),0)),IFERROR(OFFSET(K190,0,_xlfn.XLOOKUP($G188,$B$4:$B$8,$E$4:$E$8))*_xlfn.XLOOKUP($G188,$B$4:$B$8,$F$4:$F$8),0),I191)))</f>
        <v>10.5</v>
      </c>
      <c r="L191" s="196">
        <f t="shared" ref="L191" ca="1" si="623">IF($I188="N",L190,IF($G188="1. In Flight",1,$G$4)*MIN(MAX($C190:$L190)*_xlfn.XLOOKUP($G188,$B$4:$B$8,$F$4:$F$8),MAX(IF(IFERROR(OFFSET(L190,0,_xlfn.XLOOKUP($G188,$B$4:$B$8,$C$4:$C$8)),0)=MAX($C190:$L190),_xlfn.MINIFS($C190:$L190,$C190:$L190,"&gt;0")*_xlfn.XLOOKUP($G188,$B$4:$B$8,$D$4:$D$8),IFERROR(OFFSET(L190,0,_xlfn.XLOOKUP($G188,$B$4:$B$8,$C$4:$C$8))*_xlfn.XLOOKUP($G188,$B$4:$B$8,$D$4:$D$8),0)),IFERROR(OFFSET(L190,0,_xlfn.XLOOKUP($G188,$B$4:$B$8,$E$4:$E$8))*_xlfn.XLOOKUP($G188,$B$4:$B$8,$F$4:$F$8),0),J191)))</f>
        <v>10.5</v>
      </c>
    </row>
    <row r="192" spans="1:12" ht="15" thickBot="1">
      <c r="A192" s="195" t="s">
        <v>108</v>
      </c>
      <c r="B192" s="196">
        <f>B190</f>
        <v>0</v>
      </c>
      <c r="C192" s="196">
        <f ca="1">IF($I188="N",C190,IF($G188="1. In Flight",1,$G$9)*MIN(MAX($C190:$L190)*_xlfn.XLOOKUP($G188,$B$9:$B$13,$F$9:$F$13),MAX(IF(IFERROR(OFFSET(C190,0,_xlfn.XLOOKUP($G188,$B$9:$B$13,$C$9:$C$13)),0)=MAX($C190:$L190),_xlfn.MINIFS($C190:$L190,$C190:$L190,"&gt;0")*_xlfn.XLOOKUP($G188,$B$9:$B$13,$D$9:$D$13),IFERROR(OFFSET(C190,0,_xlfn.XLOOKUP($G188,$B$9:$B$13,$C$9:$C$13))*_xlfn.XLOOKUP($G188,$B$9:$B$13,$D$9:$D$13),0)),IFERROR(OFFSET(C190,0,_xlfn.XLOOKUP($G188,$B$9:$B$13,$E$9:$E$13))*_xlfn.XLOOKUP($G188,$B$9:$B$13,$F$9:$F$13),0),A192)))</f>
        <v>0</v>
      </c>
      <c r="D192" s="196">
        <f t="shared" ref="D192" ca="1" si="624">IF($I188="N",D190,IF($G188="1. In Flight",1,$G$9)*MIN(MAX($C190:$L190)*_xlfn.XLOOKUP($G188,$B$9:$B$13,$F$9:$F$13),MAX(IF(IFERROR(OFFSET(D190,0,_xlfn.XLOOKUP($G188,$B$9:$B$13,$C$9:$C$13)),0)=MAX($C190:$L190),_xlfn.MINIFS($C190:$L190,$C190:$L190,"&gt;0")*_xlfn.XLOOKUP($G188,$B$9:$B$13,$D$9:$D$13),IFERROR(OFFSET(D190,0,_xlfn.XLOOKUP($G188,$B$9:$B$13,$C$9:$C$13))*_xlfn.XLOOKUP($G188,$B$9:$B$13,$D$9:$D$13),0)),IFERROR(OFFSET(D190,0,_xlfn.XLOOKUP($G188,$B$9:$B$13,$E$9:$E$13))*_xlfn.XLOOKUP($G188,$B$9:$B$13,$F$9:$F$13),0),B192)))</f>
        <v>0</v>
      </c>
      <c r="E192" s="196">
        <f t="shared" ref="E192" ca="1" si="625">IF($I188="N",E190,IF($G188="1. In Flight",1,$G$9)*MIN(MAX($C190:$L190)*_xlfn.XLOOKUP($G188,$B$9:$B$13,$F$9:$F$13),MAX(IF(IFERROR(OFFSET(E190,0,_xlfn.XLOOKUP($G188,$B$9:$B$13,$C$9:$C$13)),0)=MAX($C190:$L190),_xlfn.MINIFS($C190:$L190,$C190:$L190,"&gt;0")*_xlfn.XLOOKUP($G188,$B$9:$B$13,$D$9:$D$13),IFERROR(OFFSET(E190,0,_xlfn.XLOOKUP($G188,$B$9:$B$13,$C$9:$C$13))*_xlfn.XLOOKUP($G188,$B$9:$B$13,$D$9:$D$13),0)),IFERROR(OFFSET(E190,0,_xlfn.XLOOKUP($G188,$B$9:$B$13,$E$9:$E$13))*_xlfn.XLOOKUP($G188,$B$9:$B$13,$F$9:$F$13),0),C192)))</f>
        <v>9</v>
      </c>
      <c r="F192" s="196">
        <f t="shared" ref="F192" ca="1" si="626">IF($I188="N",F190,IF($G188="1. In Flight",1,$G$9)*MIN(MAX($C190:$L190)*_xlfn.XLOOKUP($G188,$B$9:$B$13,$F$9:$F$13),MAX(IF(IFERROR(OFFSET(F190,0,_xlfn.XLOOKUP($G188,$B$9:$B$13,$C$9:$C$13)),0)=MAX($C190:$L190),_xlfn.MINIFS($C190:$L190,$C190:$L190,"&gt;0")*_xlfn.XLOOKUP($G188,$B$9:$B$13,$D$9:$D$13),IFERROR(OFFSET(F190,0,_xlfn.XLOOKUP($G188,$B$9:$B$13,$C$9:$C$13))*_xlfn.XLOOKUP($G188,$B$9:$B$13,$D$9:$D$13),0)),IFERROR(OFFSET(F190,0,_xlfn.XLOOKUP($G188,$B$9:$B$13,$E$9:$E$13))*_xlfn.XLOOKUP($G188,$B$9:$B$13,$F$9:$F$13),0),D192)))</f>
        <v>9</v>
      </c>
      <c r="G192" s="196">
        <f t="shared" ref="G192" ca="1" si="627">IF($I188="N",G190,IF($G188="1. In Flight",1,$G$9)*MIN(MAX($C190:$L190)*_xlfn.XLOOKUP($G188,$B$9:$B$13,$F$9:$F$13),MAX(IF(IFERROR(OFFSET(G190,0,_xlfn.XLOOKUP($G188,$B$9:$B$13,$C$9:$C$13)),0)=MAX($C190:$L190),_xlfn.MINIFS($C190:$L190,$C190:$L190,"&gt;0")*_xlfn.XLOOKUP($G188,$B$9:$B$13,$D$9:$D$13),IFERROR(OFFSET(G190,0,_xlfn.XLOOKUP($G188,$B$9:$B$13,$C$9:$C$13))*_xlfn.XLOOKUP($G188,$B$9:$B$13,$D$9:$D$13),0)),IFERROR(OFFSET(G190,0,_xlfn.XLOOKUP($G188,$B$9:$B$13,$E$9:$E$13))*_xlfn.XLOOKUP($G188,$B$9:$B$13,$F$9:$F$13),0),E192)))</f>
        <v>9</v>
      </c>
      <c r="H192" s="196">
        <f t="shared" ref="H192" ca="1" si="628">IF($I188="N",H190,IF($G188="1. In Flight",1,$G$9)*MIN(MAX($C190:$L190)*_xlfn.XLOOKUP($G188,$B$9:$B$13,$F$9:$F$13),MAX(IF(IFERROR(OFFSET(H190,0,_xlfn.XLOOKUP($G188,$B$9:$B$13,$C$9:$C$13)),0)=MAX($C190:$L190),_xlfn.MINIFS($C190:$L190,$C190:$L190,"&gt;0")*_xlfn.XLOOKUP($G188,$B$9:$B$13,$D$9:$D$13),IFERROR(OFFSET(H190,0,_xlfn.XLOOKUP($G188,$B$9:$B$13,$C$9:$C$13))*_xlfn.XLOOKUP($G188,$B$9:$B$13,$D$9:$D$13),0)),IFERROR(OFFSET(H190,0,_xlfn.XLOOKUP($G188,$B$9:$B$13,$E$9:$E$13))*_xlfn.XLOOKUP($G188,$B$9:$B$13,$F$9:$F$13),0),F192)))</f>
        <v>9</v>
      </c>
      <c r="I192" s="196">
        <f t="shared" ref="I192" ca="1" si="629">IF($I188="N",I190,IF($G188="1. In Flight",1,$G$9)*MIN(MAX($C190:$L190)*_xlfn.XLOOKUP($G188,$B$9:$B$13,$F$9:$F$13),MAX(IF(IFERROR(OFFSET(I190,0,_xlfn.XLOOKUP($G188,$B$9:$B$13,$C$9:$C$13)),0)=MAX($C190:$L190),_xlfn.MINIFS($C190:$L190,$C190:$L190,"&gt;0")*_xlfn.XLOOKUP($G188,$B$9:$B$13,$D$9:$D$13),IFERROR(OFFSET(I190,0,_xlfn.XLOOKUP($G188,$B$9:$B$13,$C$9:$C$13))*_xlfn.XLOOKUP($G188,$B$9:$B$13,$D$9:$D$13),0)),IFERROR(OFFSET(I190,0,_xlfn.XLOOKUP($G188,$B$9:$B$13,$E$9:$E$13))*_xlfn.XLOOKUP($G188,$B$9:$B$13,$F$9:$F$13),0),G192)))</f>
        <v>9</v>
      </c>
      <c r="J192" s="196">
        <f t="shared" ref="J192" ca="1" si="630">IF($I188="N",J190,IF($G188="1. In Flight",1,$G$9)*MIN(MAX($C190:$L190)*_xlfn.XLOOKUP($G188,$B$9:$B$13,$F$9:$F$13),MAX(IF(IFERROR(OFFSET(J190,0,_xlfn.XLOOKUP($G188,$B$9:$B$13,$C$9:$C$13)),0)=MAX($C190:$L190),_xlfn.MINIFS($C190:$L190,$C190:$L190,"&gt;0")*_xlfn.XLOOKUP($G188,$B$9:$B$13,$D$9:$D$13),IFERROR(OFFSET(J190,0,_xlfn.XLOOKUP($G188,$B$9:$B$13,$C$9:$C$13))*_xlfn.XLOOKUP($G188,$B$9:$B$13,$D$9:$D$13),0)),IFERROR(OFFSET(J190,0,_xlfn.XLOOKUP($G188,$B$9:$B$13,$E$9:$E$13))*_xlfn.XLOOKUP($G188,$B$9:$B$13,$F$9:$F$13),0),H192)))</f>
        <v>9</v>
      </c>
      <c r="K192" s="196">
        <f t="shared" ref="K192" ca="1" si="631">IF($I188="N",K190,IF($G188="1. In Flight",1,$G$9)*MIN(MAX($C190:$L190)*_xlfn.XLOOKUP($G188,$B$9:$B$13,$F$9:$F$13),MAX(IF(IFERROR(OFFSET(K190,0,_xlfn.XLOOKUP($G188,$B$9:$B$13,$C$9:$C$13)),0)=MAX($C190:$L190),_xlfn.MINIFS($C190:$L190,$C190:$L190,"&gt;0")*_xlfn.XLOOKUP($G188,$B$9:$B$13,$D$9:$D$13),IFERROR(OFFSET(K190,0,_xlfn.XLOOKUP($G188,$B$9:$B$13,$C$9:$C$13))*_xlfn.XLOOKUP($G188,$B$9:$B$13,$D$9:$D$13),0)),IFERROR(OFFSET(K190,0,_xlfn.XLOOKUP($G188,$B$9:$B$13,$E$9:$E$13))*_xlfn.XLOOKUP($G188,$B$9:$B$13,$F$9:$F$13),0),I192)))</f>
        <v>9</v>
      </c>
      <c r="L192" s="196">
        <f t="shared" ref="L192" ca="1" si="632">IF($I188="N",L190,IF($G188="1. In Flight",1,$G$9)*MIN(MAX($C190:$L190)*_xlfn.XLOOKUP($G188,$B$9:$B$13,$F$9:$F$13),MAX(IF(IFERROR(OFFSET(L190,0,_xlfn.XLOOKUP($G188,$B$9:$B$13,$C$9:$C$13)),0)=MAX($C190:$L190),_xlfn.MINIFS($C190:$L190,$C190:$L190,"&gt;0")*_xlfn.XLOOKUP($G188,$B$9:$B$13,$D$9:$D$13),IFERROR(OFFSET(L190,0,_xlfn.XLOOKUP($G188,$B$9:$B$13,$C$9:$C$13))*_xlfn.XLOOKUP($G188,$B$9:$B$13,$D$9:$D$13),0)),IFERROR(OFFSET(L190,0,_xlfn.XLOOKUP($G188,$B$9:$B$13,$E$9:$E$13))*_xlfn.XLOOKUP($G188,$B$9:$B$13,$F$9:$F$13),0),J192)))</f>
        <v>9</v>
      </c>
    </row>
    <row r="193" spans="1:12" ht="15" thickBot="1">
      <c r="A193" s="197" t="s">
        <v>109</v>
      </c>
      <c r="B193" s="198">
        <f>B190</f>
        <v>0</v>
      </c>
      <c r="C193" s="198">
        <f ca="1">IF($I188="N",C190,IF($G188="1. In Flight",1,$G$14)*MIN(MAX($C190:$L190)*_xlfn.XLOOKUP($G188,$B$14:$B$18,$F$14:$F$18),MAX(IF(IFERROR(OFFSET(C190,0,_xlfn.XLOOKUP($G188,$B$14:$B$18,$C$14:$C$18)),0)=MAX($C190:$L190),_xlfn.MINIFS($C190:$L190,$C190:$L190,"&gt;0")*_xlfn.XLOOKUP($G188,$B$14:$B$18,$D$14:$D$18),IFERROR(OFFSET(C190,0,_xlfn.XLOOKUP($G188,$B$14:$B$18,$C$14:$C$18))*_xlfn.XLOOKUP($G188,$B$14:$B$18,$D$14:$D$18),0)),IFERROR(OFFSET(C190,0,_xlfn.XLOOKUP($G188,$B$14:$B$18,$E$14:$E$18))*_xlfn.XLOOKUP($G188,$B$14:$B$18,$F$14:$F$18),0),A193)))</f>
        <v>15</v>
      </c>
      <c r="D193" s="198">
        <f t="shared" ref="D193" ca="1" si="633">IF($I188="N",D190,IF($G188="1. In Flight",1,$G$14)*MIN(MAX($C190:$L190)*_xlfn.XLOOKUP($G188,$B$14:$B$18,$F$14:$F$18),MAX(IF(IFERROR(OFFSET(D190,0,_xlfn.XLOOKUP($G188,$B$14:$B$18,$C$14:$C$18)),0)=MAX($C190:$L190),_xlfn.MINIFS($C190:$L190,$C190:$L190,"&gt;0")*_xlfn.XLOOKUP($G188,$B$14:$B$18,$D$14:$D$18),IFERROR(OFFSET(D190,0,_xlfn.XLOOKUP($G188,$B$14:$B$18,$C$14:$C$18))*_xlfn.XLOOKUP($G188,$B$14:$B$18,$D$14:$D$18),0)),IFERROR(OFFSET(D190,0,_xlfn.XLOOKUP($G188,$B$14:$B$18,$E$14:$E$18))*_xlfn.XLOOKUP($G188,$B$14:$B$18,$F$14:$F$18),0),B193)))</f>
        <v>15</v>
      </c>
      <c r="E193" s="198">
        <f t="shared" ref="E193" ca="1" si="634">IF($I188="N",E190,IF($G188="1. In Flight",1,$G$14)*MIN(MAX($C190:$L190)*_xlfn.XLOOKUP($G188,$B$14:$B$18,$F$14:$F$18),MAX(IF(IFERROR(OFFSET(E190,0,_xlfn.XLOOKUP($G188,$B$14:$B$18,$C$14:$C$18)),0)=MAX($C190:$L190),_xlfn.MINIFS($C190:$L190,$C190:$L190,"&gt;0")*_xlfn.XLOOKUP($G188,$B$14:$B$18,$D$14:$D$18),IFERROR(OFFSET(E190,0,_xlfn.XLOOKUP($G188,$B$14:$B$18,$C$14:$C$18))*_xlfn.XLOOKUP($G188,$B$14:$B$18,$D$14:$D$18),0)),IFERROR(OFFSET(E190,0,_xlfn.XLOOKUP($G188,$B$14:$B$18,$E$14:$E$18))*_xlfn.XLOOKUP($G188,$B$14:$B$18,$F$14:$F$18),0),C193)))</f>
        <v>15</v>
      </c>
      <c r="F193" s="198">
        <f t="shared" ref="F193" ca="1" si="635">IF($I188="N",F190,IF($G188="1. In Flight",1,$G$14)*MIN(MAX($C190:$L190)*_xlfn.XLOOKUP($G188,$B$14:$B$18,$F$14:$F$18),MAX(IF(IFERROR(OFFSET(F190,0,_xlfn.XLOOKUP($G188,$B$14:$B$18,$C$14:$C$18)),0)=MAX($C190:$L190),_xlfn.MINIFS($C190:$L190,$C190:$L190,"&gt;0")*_xlfn.XLOOKUP($G188,$B$14:$B$18,$D$14:$D$18),IFERROR(OFFSET(F190,0,_xlfn.XLOOKUP($G188,$B$14:$B$18,$C$14:$C$18))*_xlfn.XLOOKUP($G188,$B$14:$B$18,$D$14:$D$18),0)),IFERROR(OFFSET(F190,0,_xlfn.XLOOKUP($G188,$B$14:$B$18,$E$14:$E$18))*_xlfn.XLOOKUP($G188,$B$14:$B$18,$F$14:$F$18),0),D193)))</f>
        <v>15</v>
      </c>
      <c r="G193" s="198">
        <f t="shared" ref="G193" ca="1" si="636">IF($I188="N",G190,IF($G188="1. In Flight",1,$G$14)*MIN(MAX($C190:$L190)*_xlfn.XLOOKUP($G188,$B$14:$B$18,$F$14:$F$18),MAX(IF(IFERROR(OFFSET(G190,0,_xlfn.XLOOKUP($G188,$B$14:$B$18,$C$14:$C$18)),0)=MAX($C190:$L190),_xlfn.MINIFS($C190:$L190,$C190:$L190,"&gt;0")*_xlfn.XLOOKUP($G188,$B$14:$B$18,$D$14:$D$18),IFERROR(OFFSET(G190,0,_xlfn.XLOOKUP($G188,$B$14:$B$18,$C$14:$C$18))*_xlfn.XLOOKUP($G188,$B$14:$B$18,$D$14:$D$18),0)),IFERROR(OFFSET(G190,0,_xlfn.XLOOKUP($G188,$B$14:$B$18,$E$14:$E$18))*_xlfn.XLOOKUP($G188,$B$14:$B$18,$F$14:$F$18),0),E193)))</f>
        <v>15</v>
      </c>
      <c r="H193" s="198">
        <f t="shared" ref="H193" ca="1" si="637">IF($I188="N",H190,IF($G188="1. In Flight",1,$G$14)*MIN(MAX($C190:$L190)*_xlfn.XLOOKUP($G188,$B$14:$B$18,$F$14:$F$18),MAX(IF(IFERROR(OFFSET(H190,0,_xlfn.XLOOKUP($G188,$B$14:$B$18,$C$14:$C$18)),0)=MAX($C190:$L190),_xlfn.MINIFS($C190:$L190,$C190:$L190,"&gt;0")*_xlfn.XLOOKUP($G188,$B$14:$B$18,$D$14:$D$18),IFERROR(OFFSET(H190,0,_xlfn.XLOOKUP($G188,$B$14:$B$18,$C$14:$C$18))*_xlfn.XLOOKUP($G188,$B$14:$B$18,$D$14:$D$18),0)),IFERROR(OFFSET(H190,0,_xlfn.XLOOKUP($G188,$B$14:$B$18,$E$14:$E$18))*_xlfn.XLOOKUP($G188,$B$14:$B$18,$F$14:$F$18),0),F193)))</f>
        <v>15</v>
      </c>
      <c r="I193" s="198">
        <f t="shared" ref="I193" ca="1" si="638">IF($I188="N",I190,IF($G188="1. In Flight",1,$G$14)*MIN(MAX($C190:$L190)*_xlfn.XLOOKUP($G188,$B$14:$B$18,$F$14:$F$18),MAX(IF(IFERROR(OFFSET(I190,0,_xlfn.XLOOKUP($G188,$B$14:$B$18,$C$14:$C$18)),0)=MAX($C190:$L190),_xlfn.MINIFS($C190:$L190,$C190:$L190,"&gt;0")*_xlfn.XLOOKUP($G188,$B$14:$B$18,$D$14:$D$18),IFERROR(OFFSET(I190,0,_xlfn.XLOOKUP($G188,$B$14:$B$18,$C$14:$C$18))*_xlfn.XLOOKUP($G188,$B$14:$B$18,$D$14:$D$18),0)),IFERROR(OFFSET(I190,0,_xlfn.XLOOKUP($G188,$B$14:$B$18,$E$14:$E$18))*_xlfn.XLOOKUP($G188,$B$14:$B$18,$F$14:$F$18),0),G193)))</f>
        <v>15</v>
      </c>
      <c r="J193" s="198">
        <f t="shared" ref="J193" ca="1" si="639">IF($I188="N",J190,IF($G188="1. In Flight",1,$G$14)*MIN(MAX($C190:$L190)*_xlfn.XLOOKUP($G188,$B$14:$B$18,$F$14:$F$18),MAX(IF(IFERROR(OFFSET(J190,0,_xlfn.XLOOKUP($G188,$B$14:$B$18,$C$14:$C$18)),0)=MAX($C190:$L190),_xlfn.MINIFS($C190:$L190,$C190:$L190,"&gt;0")*_xlfn.XLOOKUP($G188,$B$14:$B$18,$D$14:$D$18),IFERROR(OFFSET(J190,0,_xlfn.XLOOKUP($G188,$B$14:$B$18,$C$14:$C$18))*_xlfn.XLOOKUP($G188,$B$14:$B$18,$D$14:$D$18),0)),IFERROR(OFFSET(J190,0,_xlfn.XLOOKUP($G188,$B$14:$B$18,$E$14:$E$18))*_xlfn.XLOOKUP($G188,$B$14:$B$18,$F$14:$F$18),0),H193)))</f>
        <v>15</v>
      </c>
      <c r="K193" s="198">
        <f t="shared" ref="K193" ca="1" si="640">IF($I188="N",K190,IF($G188="1. In Flight",1,$G$14)*MIN(MAX($C190:$L190)*_xlfn.XLOOKUP($G188,$B$14:$B$18,$F$14:$F$18),MAX(IF(IFERROR(OFFSET(K190,0,_xlfn.XLOOKUP($G188,$B$14:$B$18,$C$14:$C$18)),0)=MAX($C190:$L190),_xlfn.MINIFS($C190:$L190,$C190:$L190,"&gt;0")*_xlfn.XLOOKUP($G188,$B$14:$B$18,$D$14:$D$18),IFERROR(OFFSET(K190,0,_xlfn.XLOOKUP($G188,$B$14:$B$18,$C$14:$C$18))*_xlfn.XLOOKUP($G188,$B$14:$B$18,$D$14:$D$18),0)),IFERROR(OFFSET(K190,0,_xlfn.XLOOKUP($G188,$B$14:$B$18,$E$14:$E$18))*_xlfn.XLOOKUP($G188,$B$14:$B$18,$F$14:$F$18),0),I193)))</f>
        <v>15</v>
      </c>
      <c r="L193" s="198">
        <f t="shared" ref="L193" ca="1" si="641">IF($I188="N",L190,IF($G188="1. In Flight",1,$G$14)*MIN(MAX($C190:$L190)*_xlfn.XLOOKUP($G188,$B$14:$B$18,$F$14:$F$18),MAX(IF(IFERROR(OFFSET(L190,0,_xlfn.XLOOKUP($G188,$B$14:$B$18,$C$14:$C$18)),0)=MAX($C190:$L190),_xlfn.MINIFS($C190:$L190,$C190:$L190,"&gt;0")*_xlfn.XLOOKUP($G188,$B$14:$B$18,$D$14:$D$18),IFERROR(OFFSET(L190,0,_xlfn.XLOOKUP($G188,$B$14:$B$18,$C$14:$C$18))*_xlfn.XLOOKUP($G188,$B$14:$B$18,$D$14:$D$18),0)),IFERROR(OFFSET(L190,0,_xlfn.XLOOKUP($G188,$B$14:$B$18,$E$14:$E$18))*_xlfn.XLOOKUP($G188,$B$14:$B$18,$F$14:$F$18),0),J193)))</f>
        <v>15</v>
      </c>
    </row>
    <row r="194" spans="1:12" ht="15" thickTop="1"/>
    <row r="195" spans="1:12" ht="15" thickBot="1">
      <c r="A195" s="231">
        <f>_xlfn.XLOOKUP(F195,FEED!D:D,FEED!E:E,FALSE)</f>
        <v>0</v>
      </c>
      <c r="B195" s="232"/>
      <c r="C195" s="188"/>
      <c r="D195" s="200" t="s">
        <v>119</v>
      </c>
      <c r="E195" s="189" t="s">
        <v>120</v>
      </c>
      <c r="F195" s="189" t="s">
        <v>59</v>
      </c>
      <c r="G195" s="189" t="str">
        <f>IFERROR(_xlfn.XLOOKUP(F195,FEED!$D:$D,FEED!$S:$S),$B$8)</f>
        <v>1. In Flight</v>
      </c>
      <c r="H195" s="189" t="str">
        <f>IFERROR(_xlfn.XLOOKUP(F195,FEED!$D:$D,FEED!$Y:$Y),"Major Load")</f>
        <v>Data Centre</v>
      </c>
      <c r="I195" s="189" t="str">
        <f>IFERROR(_xlfn.XLOOKUP(F195,FEED!$D:$D,FEED!$C:$C),"N")</f>
        <v>N</v>
      </c>
      <c r="J195" s="190"/>
      <c r="K195" s="190"/>
      <c r="L195" s="190"/>
    </row>
    <row r="196" spans="1:12" ht="15" thickBot="1">
      <c r="A196" s="191" t="str">
        <f>A189</f>
        <v>Uptake Scenario</v>
      </c>
      <c r="B196" s="192">
        <f>B189</f>
        <v>2023</v>
      </c>
      <c r="C196" s="192">
        <f t="shared" ref="C196:L196" si="642">C189</f>
        <v>2024</v>
      </c>
      <c r="D196" s="192">
        <f t="shared" si="642"/>
        <v>2025</v>
      </c>
      <c r="E196" s="192">
        <f t="shared" si="642"/>
        <v>2026</v>
      </c>
      <c r="F196" s="192">
        <f t="shared" si="642"/>
        <v>2027</v>
      </c>
      <c r="G196" s="192">
        <f t="shared" si="642"/>
        <v>2028</v>
      </c>
      <c r="H196" s="192">
        <f t="shared" si="642"/>
        <v>2029</v>
      </c>
      <c r="I196" s="192">
        <f t="shared" si="642"/>
        <v>2030</v>
      </c>
      <c r="J196" s="192">
        <f t="shared" si="642"/>
        <v>2031</v>
      </c>
      <c r="K196" s="192">
        <f t="shared" si="642"/>
        <v>2032</v>
      </c>
      <c r="L196" s="192">
        <f t="shared" si="642"/>
        <v>2033</v>
      </c>
    </row>
    <row r="197" spans="1:12" ht="15.6" thickTop="1" thickBot="1">
      <c r="A197" s="193" t="s">
        <v>111</v>
      </c>
      <c r="B197" s="194">
        <v>0</v>
      </c>
      <c r="C197" s="194">
        <f>SUMIF(FEED!$D:$D,$F195,FEED!F:F)+B197</f>
        <v>0</v>
      </c>
      <c r="D197" s="194">
        <f>SUMIF(FEED!$D:$D,$F195,FEED!G:G)+C197</f>
        <v>3.8610520226695324</v>
      </c>
      <c r="E197" s="194">
        <f>SUMIF(FEED!$D:$D,$F195,FEED!H:H)+D197</f>
        <v>5.5014663083838187</v>
      </c>
      <c r="F197" s="194">
        <f>SUMIF(FEED!$D:$D,$F195,FEED!I:I)+E197</f>
        <v>6.7196377369552476</v>
      </c>
      <c r="G197" s="194">
        <f>SUMIF(FEED!$D:$D,$F195,FEED!J:J)+F197</f>
        <v>10.356677736955248</v>
      </c>
      <c r="H197" s="194">
        <f>SUMIF(FEED!$D:$D,$F195,FEED!K:K)+G197</f>
        <v>12.734563451240962</v>
      </c>
      <c r="I197" s="194">
        <f>SUMIF(FEED!$D:$D,$F195,FEED!L:L)+H197</f>
        <v>15.305523564588626</v>
      </c>
      <c r="J197" s="194">
        <f>SUMIF(FEED!$D:$D,$F195,FEED!M:M)+I197</f>
        <v>18.180630173930037</v>
      </c>
      <c r="K197" s="194">
        <f>SUMIF(FEED!$D:$D,$F195,FEED!N:N)+J197</f>
        <v>19.698607387140907</v>
      </c>
      <c r="L197" s="194">
        <f>SUMIF(FEED!$D:$D,$F195,FEED!O:O)+K197</f>
        <v>21.702744186046516</v>
      </c>
    </row>
    <row r="198" spans="1:12" ht="15" thickBot="1">
      <c r="A198" s="195" t="s">
        <v>107</v>
      </c>
      <c r="B198" s="196">
        <f>B197</f>
        <v>0</v>
      </c>
      <c r="C198" s="196">
        <f ca="1">IF($I195="N",C197,IF($G195="1. In Flight",1,$G$4)*MIN(MAX($C197:$L197)*_xlfn.XLOOKUP($G195,$B$4:$B$8,$F$4:$F$8),MAX(IF(IFERROR(OFFSET(C197,0,_xlfn.XLOOKUP($G195,$B$4:$B$8,$C$4:$C$8)),0)=MAX($C197:$L197),_xlfn.MINIFS($C197:$L197,$C197:$L197,"&gt;0")*_xlfn.XLOOKUP($G195,$B$4:$B$8,$D$4:$D$8),IFERROR(OFFSET(C197,0,_xlfn.XLOOKUP($G195,$B$4:$B$8,$C$4:$C$8))*_xlfn.XLOOKUP($G195,$B$4:$B$8,$D$4:$D$8),0)),IFERROR(OFFSET(C197,0,_xlfn.XLOOKUP($G195,$B$4:$B$8,$E$4:$E$8))*_xlfn.XLOOKUP($G195,$B$4:$B$8,$F$4:$F$8),0),A198)))</f>
        <v>0</v>
      </c>
      <c r="D198" s="196">
        <f t="shared" ref="D198" ca="1" si="643">IF($I195="N",D197,IF($G195="1. In Flight",1,$G$4)*MIN(MAX($C197:$L197)*_xlfn.XLOOKUP($G195,$B$4:$B$8,$F$4:$F$8),MAX(IF(IFERROR(OFFSET(D197,0,_xlfn.XLOOKUP($G195,$B$4:$B$8,$C$4:$C$8)),0)=MAX($C197:$L197),_xlfn.MINIFS($C197:$L197,$C197:$L197,"&gt;0")*_xlfn.XLOOKUP($G195,$B$4:$B$8,$D$4:$D$8),IFERROR(OFFSET(D197,0,_xlfn.XLOOKUP($G195,$B$4:$B$8,$C$4:$C$8))*_xlfn.XLOOKUP($G195,$B$4:$B$8,$D$4:$D$8),0)),IFERROR(OFFSET(D197,0,_xlfn.XLOOKUP($G195,$B$4:$B$8,$E$4:$E$8))*_xlfn.XLOOKUP($G195,$B$4:$B$8,$F$4:$F$8),0),B198)))</f>
        <v>3.8610520226695324</v>
      </c>
      <c r="E198" s="196">
        <f t="shared" ref="E198" ca="1" si="644">IF($I195="N",E197,IF($G195="1. In Flight",1,$G$4)*MIN(MAX($C197:$L197)*_xlfn.XLOOKUP($G195,$B$4:$B$8,$F$4:$F$8),MAX(IF(IFERROR(OFFSET(E197,0,_xlfn.XLOOKUP($G195,$B$4:$B$8,$C$4:$C$8)),0)=MAX($C197:$L197),_xlfn.MINIFS($C197:$L197,$C197:$L197,"&gt;0")*_xlfn.XLOOKUP($G195,$B$4:$B$8,$D$4:$D$8),IFERROR(OFFSET(E197,0,_xlfn.XLOOKUP($G195,$B$4:$B$8,$C$4:$C$8))*_xlfn.XLOOKUP($G195,$B$4:$B$8,$D$4:$D$8),0)),IFERROR(OFFSET(E197,0,_xlfn.XLOOKUP($G195,$B$4:$B$8,$E$4:$E$8))*_xlfn.XLOOKUP($G195,$B$4:$B$8,$F$4:$F$8),0),C198)))</f>
        <v>5.5014663083838187</v>
      </c>
      <c r="F198" s="196">
        <f t="shared" ref="F198" ca="1" si="645">IF($I195="N",F197,IF($G195="1. In Flight",1,$G$4)*MIN(MAX($C197:$L197)*_xlfn.XLOOKUP($G195,$B$4:$B$8,$F$4:$F$8),MAX(IF(IFERROR(OFFSET(F197,0,_xlfn.XLOOKUP($G195,$B$4:$B$8,$C$4:$C$8)),0)=MAX($C197:$L197),_xlfn.MINIFS($C197:$L197,$C197:$L197,"&gt;0")*_xlfn.XLOOKUP($G195,$B$4:$B$8,$D$4:$D$8),IFERROR(OFFSET(F197,0,_xlfn.XLOOKUP($G195,$B$4:$B$8,$C$4:$C$8))*_xlfn.XLOOKUP($G195,$B$4:$B$8,$D$4:$D$8),0)),IFERROR(OFFSET(F197,0,_xlfn.XLOOKUP($G195,$B$4:$B$8,$E$4:$E$8))*_xlfn.XLOOKUP($G195,$B$4:$B$8,$F$4:$F$8),0),D198)))</f>
        <v>6.7196377369552476</v>
      </c>
      <c r="G198" s="196">
        <f t="shared" ref="G198" ca="1" si="646">IF($I195="N",G197,IF($G195="1. In Flight",1,$G$4)*MIN(MAX($C197:$L197)*_xlfn.XLOOKUP($G195,$B$4:$B$8,$F$4:$F$8),MAX(IF(IFERROR(OFFSET(G197,0,_xlfn.XLOOKUP($G195,$B$4:$B$8,$C$4:$C$8)),0)=MAX($C197:$L197),_xlfn.MINIFS($C197:$L197,$C197:$L197,"&gt;0")*_xlfn.XLOOKUP($G195,$B$4:$B$8,$D$4:$D$8),IFERROR(OFFSET(G197,0,_xlfn.XLOOKUP($G195,$B$4:$B$8,$C$4:$C$8))*_xlfn.XLOOKUP($G195,$B$4:$B$8,$D$4:$D$8),0)),IFERROR(OFFSET(G197,0,_xlfn.XLOOKUP($G195,$B$4:$B$8,$E$4:$E$8))*_xlfn.XLOOKUP($G195,$B$4:$B$8,$F$4:$F$8),0),E198)))</f>
        <v>10.356677736955248</v>
      </c>
      <c r="H198" s="196">
        <f t="shared" ref="H198" ca="1" si="647">IF($I195="N",H197,IF($G195="1. In Flight",1,$G$4)*MIN(MAX($C197:$L197)*_xlfn.XLOOKUP($G195,$B$4:$B$8,$F$4:$F$8),MAX(IF(IFERROR(OFFSET(H197,0,_xlfn.XLOOKUP($G195,$B$4:$B$8,$C$4:$C$8)),0)=MAX($C197:$L197),_xlfn.MINIFS($C197:$L197,$C197:$L197,"&gt;0")*_xlfn.XLOOKUP($G195,$B$4:$B$8,$D$4:$D$8),IFERROR(OFFSET(H197,0,_xlfn.XLOOKUP($G195,$B$4:$B$8,$C$4:$C$8))*_xlfn.XLOOKUP($G195,$B$4:$B$8,$D$4:$D$8),0)),IFERROR(OFFSET(H197,0,_xlfn.XLOOKUP($G195,$B$4:$B$8,$E$4:$E$8))*_xlfn.XLOOKUP($G195,$B$4:$B$8,$F$4:$F$8),0),F198)))</f>
        <v>12.734563451240962</v>
      </c>
      <c r="I198" s="196">
        <f t="shared" ref="I198" ca="1" si="648">IF($I195="N",I197,IF($G195="1. In Flight",1,$G$4)*MIN(MAX($C197:$L197)*_xlfn.XLOOKUP($G195,$B$4:$B$8,$F$4:$F$8),MAX(IF(IFERROR(OFFSET(I197,0,_xlfn.XLOOKUP($G195,$B$4:$B$8,$C$4:$C$8)),0)=MAX($C197:$L197),_xlfn.MINIFS($C197:$L197,$C197:$L197,"&gt;0")*_xlfn.XLOOKUP($G195,$B$4:$B$8,$D$4:$D$8),IFERROR(OFFSET(I197,0,_xlfn.XLOOKUP($G195,$B$4:$B$8,$C$4:$C$8))*_xlfn.XLOOKUP($G195,$B$4:$B$8,$D$4:$D$8),0)),IFERROR(OFFSET(I197,0,_xlfn.XLOOKUP($G195,$B$4:$B$8,$E$4:$E$8))*_xlfn.XLOOKUP($G195,$B$4:$B$8,$F$4:$F$8),0),G198)))</f>
        <v>15.305523564588626</v>
      </c>
      <c r="J198" s="196">
        <f t="shared" ref="J198" ca="1" si="649">IF($I195="N",J197,IF($G195="1. In Flight",1,$G$4)*MIN(MAX($C197:$L197)*_xlfn.XLOOKUP($G195,$B$4:$B$8,$F$4:$F$8),MAX(IF(IFERROR(OFFSET(J197,0,_xlfn.XLOOKUP($G195,$B$4:$B$8,$C$4:$C$8)),0)=MAX($C197:$L197),_xlfn.MINIFS($C197:$L197,$C197:$L197,"&gt;0")*_xlfn.XLOOKUP($G195,$B$4:$B$8,$D$4:$D$8),IFERROR(OFFSET(J197,0,_xlfn.XLOOKUP($G195,$B$4:$B$8,$C$4:$C$8))*_xlfn.XLOOKUP($G195,$B$4:$B$8,$D$4:$D$8),0)),IFERROR(OFFSET(J197,0,_xlfn.XLOOKUP($G195,$B$4:$B$8,$E$4:$E$8))*_xlfn.XLOOKUP($G195,$B$4:$B$8,$F$4:$F$8),0),H198)))</f>
        <v>18.180630173930037</v>
      </c>
      <c r="K198" s="196">
        <f t="shared" ref="K198" ca="1" si="650">IF($I195="N",K197,IF($G195="1. In Flight",1,$G$4)*MIN(MAX($C197:$L197)*_xlfn.XLOOKUP($G195,$B$4:$B$8,$F$4:$F$8),MAX(IF(IFERROR(OFFSET(K197,0,_xlfn.XLOOKUP($G195,$B$4:$B$8,$C$4:$C$8)),0)=MAX($C197:$L197),_xlfn.MINIFS($C197:$L197,$C197:$L197,"&gt;0")*_xlfn.XLOOKUP($G195,$B$4:$B$8,$D$4:$D$8),IFERROR(OFFSET(K197,0,_xlfn.XLOOKUP($G195,$B$4:$B$8,$C$4:$C$8))*_xlfn.XLOOKUP($G195,$B$4:$B$8,$D$4:$D$8),0)),IFERROR(OFFSET(K197,0,_xlfn.XLOOKUP($G195,$B$4:$B$8,$E$4:$E$8))*_xlfn.XLOOKUP($G195,$B$4:$B$8,$F$4:$F$8),0),I198)))</f>
        <v>19.698607387140907</v>
      </c>
      <c r="L198" s="196">
        <f t="shared" ref="L198" ca="1" si="651">IF($I195="N",L197,IF($G195="1. In Flight",1,$G$4)*MIN(MAX($C197:$L197)*_xlfn.XLOOKUP($G195,$B$4:$B$8,$F$4:$F$8),MAX(IF(IFERROR(OFFSET(L197,0,_xlfn.XLOOKUP($G195,$B$4:$B$8,$C$4:$C$8)),0)=MAX($C197:$L197),_xlfn.MINIFS($C197:$L197,$C197:$L197,"&gt;0")*_xlfn.XLOOKUP($G195,$B$4:$B$8,$D$4:$D$8),IFERROR(OFFSET(L197,0,_xlfn.XLOOKUP($G195,$B$4:$B$8,$C$4:$C$8))*_xlfn.XLOOKUP($G195,$B$4:$B$8,$D$4:$D$8),0)),IFERROR(OFFSET(L197,0,_xlfn.XLOOKUP($G195,$B$4:$B$8,$E$4:$E$8))*_xlfn.XLOOKUP($G195,$B$4:$B$8,$F$4:$F$8),0),J198)))</f>
        <v>21.702744186046516</v>
      </c>
    </row>
    <row r="199" spans="1:12" ht="15" thickBot="1">
      <c r="A199" s="195" t="s">
        <v>108</v>
      </c>
      <c r="B199" s="196">
        <f>B197</f>
        <v>0</v>
      </c>
      <c r="C199" s="196">
        <f ca="1">IF($I195="N",C197,IF($G195="1. In Flight",1,$G$9)*MIN(MAX($C197:$L197)*_xlfn.XLOOKUP($G195,$B$9:$B$13,$F$9:$F$13),MAX(IF(IFERROR(OFFSET(C197,0,_xlfn.XLOOKUP($G195,$B$9:$B$13,$C$9:$C$13)),0)=MAX($C197:$L197),_xlfn.MINIFS($C197:$L197,$C197:$L197,"&gt;0")*_xlfn.XLOOKUP($G195,$B$9:$B$13,$D$9:$D$13),IFERROR(OFFSET(C197,0,_xlfn.XLOOKUP($G195,$B$9:$B$13,$C$9:$C$13))*_xlfn.XLOOKUP($G195,$B$9:$B$13,$D$9:$D$13),0)),IFERROR(OFFSET(C197,0,_xlfn.XLOOKUP($G195,$B$9:$B$13,$E$9:$E$13))*_xlfn.XLOOKUP($G195,$B$9:$B$13,$F$9:$F$13),0),A199)))</f>
        <v>0</v>
      </c>
      <c r="D199" s="196">
        <f t="shared" ref="D199" ca="1" si="652">IF($I195="N",D197,IF($G195="1. In Flight",1,$G$9)*MIN(MAX($C197:$L197)*_xlfn.XLOOKUP($G195,$B$9:$B$13,$F$9:$F$13),MAX(IF(IFERROR(OFFSET(D197,0,_xlfn.XLOOKUP($G195,$B$9:$B$13,$C$9:$C$13)),0)=MAX($C197:$L197),_xlfn.MINIFS($C197:$L197,$C197:$L197,"&gt;0")*_xlfn.XLOOKUP($G195,$B$9:$B$13,$D$9:$D$13),IFERROR(OFFSET(D197,0,_xlfn.XLOOKUP($G195,$B$9:$B$13,$C$9:$C$13))*_xlfn.XLOOKUP($G195,$B$9:$B$13,$D$9:$D$13),0)),IFERROR(OFFSET(D197,0,_xlfn.XLOOKUP($G195,$B$9:$B$13,$E$9:$E$13))*_xlfn.XLOOKUP($G195,$B$9:$B$13,$F$9:$F$13),0),B199)))</f>
        <v>3.8610520226695324</v>
      </c>
      <c r="E199" s="196">
        <f t="shared" ref="E199" ca="1" si="653">IF($I195="N",E197,IF($G195="1. In Flight",1,$G$9)*MIN(MAX($C197:$L197)*_xlfn.XLOOKUP($G195,$B$9:$B$13,$F$9:$F$13),MAX(IF(IFERROR(OFFSET(E197,0,_xlfn.XLOOKUP($G195,$B$9:$B$13,$C$9:$C$13)),0)=MAX($C197:$L197),_xlfn.MINIFS($C197:$L197,$C197:$L197,"&gt;0")*_xlfn.XLOOKUP($G195,$B$9:$B$13,$D$9:$D$13),IFERROR(OFFSET(E197,0,_xlfn.XLOOKUP($G195,$B$9:$B$13,$C$9:$C$13))*_xlfn.XLOOKUP($G195,$B$9:$B$13,$D$9:$D$13),0)),IFERROR(OFFSET(E197,0,_xlfn.XLOOKUP($G195,$B$9:$B$13,$E$9:$E$13))*_xlfn.XLOOKUP($G195,$B$9:$B$13,$F$9:$F$13),0),C199)))</f>
        <v>5.5014663083838187</v>
      </c>
      <c r="F199" s="196">
        <f t="shared" ref="F199" ca="1" si="654">IF($I195="N",F197,IF($G195="1. In Flight",1,$G$9)*MIN(MAX($C197:$L197)*_xlfn.XLOOKUP($G195,$B$9:$B$13,$F$9:$F$13),MAX(IF(IFERROR(OFFSET(F197,0,_xlfn.XLOOKUP($G195,$B$9:$B$13,$C$9:$C$13)),0)=MAX($C197:$L197),_xlfn.MINIFS($C197:$L197,$C197:$L197,"&gt;0")*_xlfn.XLOOKUP($G195,$B$9:$B$13,$D$9:$D$13),IFERROR(OFFSET(F197,0,_xlfn.XLOOKUP($G195,$B$9:$B$13,$C$9:$C$13))*_xlfn.XLOOKUP($G195,$B$9:$B$13,$D$9:$D$13),0)),IFERROR(OFFSET(F197,0,_xlfn.XLOOKUP($G195,$B$9:$B$13,$E$9:$E$13))*_xlfn.XLOOKUP($G195,$B$9:$B$13,$F$9:$F$13),0),D199)))</f>
        <v>6.7196377369552476</v>
      </c>
      <c r="G199" s="196">
        <f t="shared" ref="G199" ca="1" si="655">IF($I195="N",G197,IF($G195="1. In Flight",1,$G$9)*MIN(MAX($C197:$L197)*_xlfn.XLOOKUP($G195,$B$9:$B$13,$F$9:$F$13),MAX(IF(IFERROR(OFFSET(G197,0,_xlfn.XLOOKUP($G195,$B$9:$B$13,$C$9:$C$13)),0)=MAX($C197:$L197),_xlfn.MINIFS($C197:$L197,$C197:$L197,"&gt;0")*_xlfn.XLOOKUP($G195,$B$9:$B$13,$D$9:$D$13),IFERROR(OFFSET(G197,0,_xlfn.XLOOKUP($G195,$B$9:$B$13,$C$9:$C$13))*_xlfn.XLOOKUP($G195,$B$9:$B$13,$D$9:$D$13),0)),IFERROR(OFFSET(G197,0,_xlfn.XLOOKUP($G195,$B$9:$B$13,$E$9:$E$13))*_xlfn.XLOOKUP($G195,$B$9:$B$13,$F$9:$F$13),0),E199)))</f>
        <v>10.356677736955248</v>
      </c>
      <c r="H199" s="196">
        <f t="shared" ref="H199" ca="1" si="656">IF($I195="N",H197,IF($G195="1. In Flight",1,$G$9)*MIN(MAX($C197:$L197)*_xlfn.XLOOKUP($G195,$B$9:$B$13,$F$9:$F$13),MAX(IF(IFERROR(OFFSET(H197,0,_xlfn.XLOOKUP($G195,$B$9:$B$13,$C$9:$C$13)),0)=MAX($C197:$L197),_xlfn.MINIFS($C197:$L197,$C197:$L197,"&gt;0")*_xlfn.XLOOKUP($G195,$B$9:$B$13,$D$9:$D$13),IFERROR(OFFSET(H197,0,_xlfn.XLOOKUP($G195,$B$9:$B$13,$C$9:$C$13))*_xlfn.XLOOKUP($G195,$B$9:$B$13,$D$9:$D$13),0)),IFERROR(OFFSET(H197,0,_xlfn.XLOOKUP($G195,$B$9:$B$13,$E$9:$E$13))*_xlfn.XLOOKUP($G195,$B$9:$B$13,$F$9:$F$13),0),F199)))</f>
        <v>12.734563451240962</v>
      </c>
      <c r="I199" s="196">
        <f t="shared" ref="I199" ca="1" si="657">IF($I195="N",I197,IF($G195="1. In Flight",1,$G$9)*MIN(MAX($C197:$L197)*_xlfn.XLOOKUP($G195,$B$9:$B$13,$F$9:$F$13),MAX(IF(IFERROR(OFFSET(I197,0,_xlfn.XLOOKUP($G195,$B$9:$B$13,$C$9:$C$13)),0)=MAX($C197:$L197),_xlfn.MINIFS($C197:$L197,$C197:$L197,"&gt;0")*_xlfn.XLOOKUP($G195,$B$9:$B$13,$D$9:$D$13),IFERROR(OFFSET(I197,0,_xlfn.XLOOKUP($G195,$B$9:$B$13,$C$9:$C$13))*_xlfn.XLOOKUP($G195,$B$9:$B$13,$D$9:$D$13),0)),IFERROR(OFFSET(I197,0,_xlfn.XLOOKUP($G195,$B$9:$B$13,$E$9:$E$13))*_xlfn.XLOOKUP($G195,$B$9:$B$13,$F$9:$F$13),0),G199)))</f>
        <v>15.305523564588626</v>
      </c>
      <c r="J199" s="196">
        <f t="shared" ref="J199" ca="1" si="658">IF($I195="N",J197,IF($G195="1. In Flight",1,$G$9)*MIN(MAX($C197:$L197)*_xlfn.XLOOKUP($G195,$B$9:$B$13,$F$9:$F$13),MAX(IF(IFERROR(OFFSET(J197,0,_xlfn.XLOOKUP($G195,$B$9:$B$13,$C$9:$C$13)),0)=MAX($C197:$L197),_xlfn.MINIFS($C197:$L197,$C197:$L197,"&gt;0")*_xlfn.XLOOKUP($G195,$B$9:$B$13,$D$9:$D$13),IFERROR(OFFSET(J197,0,_xlfn.XLOOKUP($G195,$B$9:$B$13,$C$9:$C$13))*_xlfn.XLOOKUP($G195,$B$9:$B$13,$D$9:$D$13),0)),IFERROR(OFFSET(J197,0,_xlfn.XLOOKUP($G195,$B$9:$B$13,$E$9:$E$13))*_xlfn.XLOOKUP($G195,$B$9:$B$13,$F$9:$F$13),0),H199)))</f>
        <v>18.180630173930037</v>
      </c>
      <c r="K199" s="196">
        <f t="shared" ref="K199" ca="1" si="659">IF($I195="N",K197,IF($G195="1. In Flight",1,$G$9)*MIN(MAX($C197:$L197)*_xlfn.XLOOKUP($G195,$B$9:$B$13,$F$9:$F$13),MAX(IF(IFERROR(OFFSET(K197,0,_xlfn.XLOOKUP($G195,$B$9:$B$13,$C$9:$C$13)),0)=MAX($C197:$L197),_xlfn.MINIFS($C197:$L197,$C197:$L197,"&gt;0")*_xlfn.XLOOKUP($G195,$B$9:$B$13,$D$9:$D$13),IFERROR(OFFSET(K197,0,_xlfn.XLOOKUP($G195,$B$9:$B$13,$C$9:$C$13))*_xlfn.XLOOKUP($G195,$B$9:$B$13,$D$9:$D$13),0)),IFERROR(OFFSET(K197,0,_xlfn.XLOOKUP($G195,$B$9:$B$13,$E$9:$E$13))*_xlfn.XLOOKUP($G195,$B$9:$B$13,$F$9:$F$13),0),I199)))</f>
        <v>19.698607387140907</v>
      </c>
      <c r="L199" s="196">
        <f t="shared" ref="L199" ca="1" si="660">IF($I195="N",L197,IF($G195="1. In Flight",1,$G$9)*MIN(MAX($C197:$L197)*_xlfn.XLOOKUP($G195,$B$9:$B$13,$F$9:$F$13),MAX(IF(IFERROR(OFFSET(L197,0,_xlfn.XLOOKUP($G195,$B$9:$B$13,$C$9:$C$13)),0)=MAX($C197:$L197),_xlfn.MINIFS($C197:$L197,$C197:$L197,"&gt;0")*_xlfn.XLOOKUP($G195,$B$9:$B$13,$D$9:$D$13),IFERROR(OFFSET(L197,0,_xlfn.XLOOKUP($G195,$B$9:$B$13,$C$9:$C$13))*_xlfn.XLOOKUP($G195,$B$9:$B$13,$D$9:$D$13),0)),IFERROR(OFFSET(L197,0,_xlfn.XLOOKUP($G195,$B$9:$B$13,$E$9:$E$13))*_xlfn.XLOOKUP($G195,$B$9:$B$13,$F$9:$F$13),0),J199)))</f>
        <v>21.702744186046516</v>
      </c>
    </row>
    <row r="200" spans="1:12" ht="15" thickBot="1">
      <c r="A200" s="197" t="s">
        <v>109</v>
      </c>
      <c r="B200" s="198">
        <f>B197</f>
        <v>0</v>
      </c>
      <c r="C200" s="198">
        <f ca="1">IF($I195="N",C197,IF($G195="1. In Flight",1,$G$14)*MIN(MAX($C197:$L197)*_xlfn.XLOOKUP($G195,$B$14:$B$18,$F$14:$F$18),MAX(IF(IFERROR(OFFSET(C197,0,_xlfn.XLOOKUP($G195,$B$14:$B$18,$C$14:$C$18)),0)=MAX($C197:$L197),_xlfn.MINIFS($C197:$L197,$C197:$L197,"&gt;0")*_xlfn.XLOOKUP($G195,$B$14:$B$18,$D$14:$D$18),IFERROR(OFFSET(C197,0,_xlfn.XLOOKUP($G195,$B$14:$B$18,$C$14:$C$18))*_xlfn.XLOOKUP($G195,$B$14:$B$18,$D$14:$D$18),0)),IFERROR(OFFSET(C197,0,_xlfn.XLOOKUP($G195,$B$14:$B$18,$E$14:$E$18))*_xlfn.XLOOKUP($G195,$B$14:$B$18,$F$14:$F$18),0),A200)))</f>
        <v>0</v>
      </c>
      <c r="D200" s="198">
        <f t="shared" ref="D200" ca="1" si="661">IF($I195="N",D197,IF($G195="1. In Flight",1,$G$14)*MIN(MAX($C197:$L197)*_xlfn.XLOOKUP($G195,$B$14:$B$18,$F$14:$F$18),MAX(IF(IFERROR(OFFSET(D197,0,_xlfn.XLOOKUP($G195,$B$14:$B$18,$C$14:$C$18)),0)=MAX($C197:$L197),_xlfn.MINIFS($C197:$L197,$C197:$L197,"&gt;0")*_xlfn.XLOOKUP($G195,$B$14:$B$18,$D$14:$D$18),IFERROR(OFFSET(D197,0,_xlfn.XLOOKUP($G195,$B$14:$B$18,$C$14:$C$18))*_xlfn.XLOOKUP($G195,$B$14:$B$18,$D$14:$D$18),0)),IFERROR(OFFSET(D197,0,_xlfn.XLOOKUP($G195,$B$14:$B$18,$E$14:$E$18))*_xlfn.XLOOKUP($G195,$B$14:$B$18,$F$14:$F$18),0),B200)))</f>
        <v>3.8610520226695324</v>
      </c>
      <c r="E200" s="198">
        <f t="shared" ref="E200" ca="1" si="662">IF($I195="N",E197,IF($G195="1. In Flight",1,$G$14)*MIN(MAX($C197:$L197)*_xlfn.XLOOKUP($G195,$B$14:$B$18,$F$14:$F$18),MAX(IF(IFERROR(OFFSET(E197,0,_xlfn.XLOOKUP($G195,$B$14:$B$18,$C$14:$C$18)),0)=MAX($C197:$L197),_xlfn.MINIFS($C197:$L197,$C197:$L197,"&gt;0")*_xlfn.XLOOKUP($G195,$B$14:$B$18,$D$14:$D$18),IFERROR(OFFSET(E197,0,_xlfn.XLOOKUP($G195,$B$14:$B$18,$C$14:$C$18))*_xlfn.XLOOKUP($G195,$B$14:$B$18,$D$14:$D$18),0)),IFERROR(OFFSET(E197,0,_xlfn.XLOOKUP($G195,$B$14:$B$18,$E$14:$E$18))*_xlfn.XLOOKUP($G195,$B$14:$B$18,$F$14:$F$18),0),C200)))</f>
        <v>5.5014663083838187</v>
      </c>
      <c r="F200" s="198">
        <f t="shared" ref="F200" ca="1" si="663">IF($I195="N",F197,IF($G195="1. In Flight",1,$G$14)*MIN(MAX($C197:$L197)*_xlfn.XLOOKUP($G195,$B$14:$B$18,$F$14:$F$18),MAX(IF(IFERROR(OFFSET(F197,0,_xlfn.XLOOKUP($G195,$B$14:$B$18,$C$14:$C$18)),0)=MAX($C197:$L197),_xlfn.MINIFS($C197:$L197,$C197:$L197,"&gt;0")*_xlfn.XLOOKUP($G195,$B$14:$B$18,$D$14:$D$18),IFERROR(OFFSET(F197,0,_xlfn.XLOOKUP($G195,$B$14:$B$18,$C$14:$C$18))*_xlfn.XLOOKUP($G195,$B$14:$B$18,$D$14:$D$18),0)),IFERROR(OFFSET(F197,0,_xlfn.XLOOKUP($G195,$B$14:$B$18,$E$14:$E$18))*_xlfn.XLOOKUP($G195,$B$14:$B$18,$F$14:$F$18),0),D200)))</f>
        <v>6.7196377369552476</v>
      </c>
      <c r="G200" s="198">
        <f t="shared" ref="G200" ca="1" si="664">IF($I195="N",G197,IF($G195="1. In Flight",1,$G$14)*MIN(MAX($C197:$L197)*_xlfn.XLOOKUP($G195,$B$14:$B$18,$F$14:$F$18),MAX(IF(IFERROR(OFFSET(G197,0,_xlfn.XLOOKUP($G195,$B$14:$B$18,$C$14:$C$18)),0)=MAX($C197:$L197),_xlfn.MINIFS($C197:$L197,$C197:$L197,"&gt;0")*_xlfn.XLOOKUP($G195,$B$14:$B$18,$D$14:$D$18),IFERROR(OFFSET(G197,0,_xlfn.XLOOKUP($G195,$B$14:$B$18,$C$14:$C$18))*_xlfn.XLOOKUP($G195,$B$14:$B$18,$D$14:$D$18),0)),IFERROR(OFFSET(G197,0,_xlfn.XLOOKUP($G195,$B$14:$B$18,$E$14:$E$18))*_xlfn.XLOOKUP($G195,$B$14:$B$18,$F$14:$F$18),0),E200)))</f>
        <v>10.356677736955248</v>
      </c>
      <c r="H200" s="198">
        <f t="shared" ref="H200" ca="1" si="665">IF($I195="N",H197,IF($G195="1. In Flight",1,$G$14)*MIN(MAX($C197:$L197)*_xlfn.XLOOKUP($G195,$B$14:$B$18,$F$14:$F$18),MAX(IF(IFERROR(OFFSET(H197,0,_xlfn.XLOOKUP($G195,$B$14:$B$18,$C$14:$C$18)),0)=MAX($C197:$L197),_xlfn.MINIFS($C197:$L197,$C197:$L197,"&gt;0")*_xlfn.XLOOKUP($G195,$B$14:$B$18,$D$14:$D$18),IFERROR(OFFSET(H197,0,_xlfn.XLOOKUP($G195,$B$14:$B$18,$C$14:$C$18))*_xlfn.XLOOKUP($G195,$B$14:$B$18,$D$14:$D$18),0)),IFERROR(OFFSET(H197,0,_xlfn.XLOOKUP($G195,$B$14:$B$18,$E$14:$E$18))*_xlfn.XLOOKUP($G195,$B$14:$B$18,$F$14:$F$18),0),F200)))</f>
        <v>12.734563451240962</v>
      </c>
      <c r="I200" s="198">
        <f t="shared" ref="I200" ca="1" si="666">IF($I195="N",I197,IF($G195="1. In Flight",1,$G$14)*MIN(MAX($C197:$L197)*_xlfn.XLOOKUP($G195,$B$14:$B$18,$F$14:$F$18),MAX(IF(IFERROR(OFFSET(I197,0,_xlfn.XLOOKUP($G195,$B$14:$B$18,$C$14:$C$18)),0)=MAX($C197:$L197),_xlfn.MINIFS($C197:$L197,$C197:$L197,"&gt;0")*_xlfn.XLOOKUP($G195,$B$14:$B$18,$D$14:$D$18),IFERROR(OFFSET(I197,0,_xlfn.XLOOKUP($G195,$B$14:$B$18,$C$14:$C$18))*_xlfn.XLOOKUP($G195,$B$14:$B$18,$D$14:$D$18),0)),IFERROR(OFFSET(I197,0,_xlfn.XLOOKUP($G195,$B$14:$B$18,$E$14:$E$18))*_xlfn.XLOOKUP($G195,$B$14:$B$18,$F$14:$F$18),0),G200)))</f>
        <v>15.305523564588626</v>
      </c>
      <c r="J200" s="198">
        <f t="shared" ref="J200" ca="1" si="667">IF($I195="N",J197,IF($G195="1. In Flight",1,$G$14)*MIN(MAX($C197:$L197)*_xlfn.XLOOKUP($G195,$B$14:$B$18,$F$14:$F$18),MAX(IF(IFERROR(OFFSET(J197,0,_xlfn.XLOOKUP($G195,$B$14:$B$18,$C$14:$C$18)),0)=MAX($C197:$L197),_xlfn.MINIFS($C197:$L197,$C197:$L197,"&gt;0")*_xlfn.XLOOKUP($G195,$B$14:$B$18,$D$14:$D$18),IFERROR(OFFSET(J197,0,_xlfn.XLOOKUP($G195,$B$14:$B$18,$C$14:$C$18))*_xlfn.XLOOKUP($G195,$B$14:$B$18,$D$14:$D$18),0)),IFERROR(OFFSET(J197,0,_xlfn.XLOOKUP($G195,$B$14:$B$18,$E$14:$E$18))*_xlfn.XLOOKUP($G195,$B$14:$B$18,$F$14:$F$18),0),H200)))</f>
        <v>18.180630173930037</v>
      </c>
      <c r="K200" s="198">
        <f t="shared" ref="K200" ca="1" si="668">IF($I195="N",K197,IF($G195="1. In Flight",1,$G$14)*MIN(MAX($C197:$L197)*_xlfn.XLOOKUP($G195,$B$14:$B$18,$F$14:$F$18),MAX(IF(IFERROR(OFFSET(K197,0,_xlfn.XLOOKUP($G195,$B$14:$B$18,$C$14:$C$18)),0)=MAX($C197:$L197),_xlfn.MINIFS($C197:$L197,$C197:$L197,"&gt;0")*_xlfn.XLOOKUP($G195,$B$14:$B$18,$D$14:$D$18),IFERROR(OFFSET(K197,0,_xlfn.XLOOKUP($G195,$B$14:$B$18,$C$14:$C$18))*_xlfn.XLOOKUP($G195,$B$14:$B$18,$D$14:$D$18),0)),IFERROR(OFFSET(K197,0,_xlfn.XLOOKUP($G195,$B$14:$B$18,$E$14:$E$18))*_xlfn.XLOOKUP($G195,$B$14:$B$18,$F$14:$F$18),0),I200)))</f>
        <v>19.698607387140907</v>
      </c>
      <c r="L200" s="198">
        <f t="shared" ref="L200" ca="1" si="669">IF($I195="N",L197,IF($G195="1. In Flight",1,$G$14)*MIN(MAX($C197:$L197)*_xlfn.XLOOKUP($G195,$B$14:$B$18,$F$14:$F$18),MAX(IF(IFERROR(OFFSET(L197,0,_xlfn.XLOOKUP($G195,$B$14:$B$18,$C$14:$C$18)),0)=MAX($C197:$L197),_xlfn.MINIFS($C197:$L197,$C197:$L197,"&gt;0")*_xlfn.XLOOKUP($G195,$B$14:$B$18,$D$14:$D$18),IFERROR(OFFSET(L197,0,_xlfn.XLOOKUP($G195,$B$14:$B$18,$C$14:$C$18))*_xlfn.XLOOKUP($G195,$B$14:$B$18,$D$14:$D$18),0)),IFERROR(OFFSET(L197,0,_xlfn.XLOOKUP($G195,$B$14:$B$18,$E$14:$E$18))*_xlfn.XLOOKUP($G195,$B$14:$B$18,$F$14:$F$18),0),J200)))</f>
        <v>21.702744186046516</v>
      </c>
    </row>
    <row r="201" spans="1:12" ht="15" thickTop="1"/>
    <row r="202" spans="1:12" ht="15" thickBot="1">
      <c r="A202" s="231">
        <f>_xlfn.XLOOKUP(F202,FEED!D:D,FEED!E:E,FALSE)</f>
        <v>0</v>
      </c>
      <c r="B202" s="232"/>
      <c r="C202" s="188"/>
      <c r="D202" s="200" t="s">
        <v>119</v>
      </c>
      <c r="E202" s="189" t="s">
        <v>120</v>
      </c>
      <c r="F202" s="189" t="s">
        <v>60</v>
      </c>
      <c r="G202" s="189" t="str">
        <f>IFERROR(_xlfn.XLOOKUP(F202,FEED!$D:$D,FEED!$S:$S),$B$8)</f>
        <v>2. High</v>
      </c>
      <c r="H202" s="189" t="str">
        <f>IFERROR(_xlfn.XLOOKUP(F202,FEED!$D:$D,FEED!$Y:$Y),"Major Load")</f>
        <v>Data Centre</v>
      </c>
      <c r="I202" s="189" t="str">
        <f>IFERROR(_xlfn.XLOOKUP(F202,FEED!$D:$D,FEED!$C:$C),"N")</f>
        <v>Y</v>
      </c>
      <c r="J202" s="190"/>
      <c r="K202" s="190"/>
      <c r="L202" s="190"/>
    </row>
    <row r="203" spans="1:12" ht="15" thickBot="1">
      <c r="A203" s="191" t="str">
        <f>A196</f>
        <v>Uptake Scenario</v>
      </c>
      <c r="B203" s="192">
        <f>B196</f>
        <v>2023</v>
      </c>
      <c r="C203" s="192">
        <f t="shared" ref="C203:L203" si="670">C196</f>
        <v>2024</v>
      </c>
      <c r="D203" s="192">
        <f t="shared" si="670"/>
        <v>2025</v>
      </c>
      <c r="E203" s="192">
        <f t="shared" si="670"/>
        <v>2026</v>
      </c>
      <c r="F203" s="192">
        <f t="shared" si="670"/>
        <v>2027</v>
      </c>
      <c r="G203" s="192">
        <f t="shared" si="670"/>
        <v>2028</v>
      </c>
      <c r="H203" s="192">
        <f t="shared" si="670"/>
        <v>2029</v>
      </c>
      <c r="I203" s="192">
        <f t="shared" si="670"/>
        <v>2030</v>
      </c>
      <c r="J203" s="192">
        <f t="shared" si="670"/>
        <v>2031</v>
      </c>
      <c r="K203" s="192">
        <f t="shared" si="670"/>
        <v>2032</v>
      </c>
      <c r="L203" s="192">
        <f t="shared" si="670"/>
        <v>2033</v>
      </c>
    </row>
    <row r="204" spans="1:12" ht="15.6" thickTop="1" thickBot="1">
      <c r="A204" s="193" t="s">
        <v>111</v>
      </c>
      <c r="B204" s="194">
        <v>0</v>
      </c>
      <c r="C204" s="194">
        <f>SUMIF(FEED!$D:$D,$F202,FEED!F:F)+B204</f>
        <v>0</v>
      </c>
      <c r="D204" s="194">
        <f>SUMIF(FEED!$D:$D,$F202,FEED!G:G)+C204</f>
        <v>0</v>
      </c>
      <c r="E204" s="194">
        <f>SUMIF(FEED!$D:$D,$F202,FEED!H:H)+D204</f>
        <v>0</v>
      </c>
      <c r="F204" s="194">
        <f>SUMIF(FEED!$D:$D,$F202,FEED!I:I)+E204</f>
        <v>0</v>
      </c>
      <c r="G204" s="194">
        <f>SUMIF(FEED!$D:$D,$F202,FEED!J:J)+F204</f>
        <v>5.8500788222265641</v>
      </c>
      <c r="H204" s="194">
        <f>SUMIF(FEED!$D:$D,$F202,FEED!K:K)+G204</f>
        <v>8.3355550127027556</v>
      </c>
      <c r="I204" s="194">
        <f>SUMIF(FEED!$D:$D,$F202,FEED!L:L)+H204</f>
        <v>10.181269298417043</v>
      </c>
      <c r="J204" s="194">
        <f>SUMIF(FEED!$D:$D,$F202,FEED!M:M)+I204</f>
        <v>15.691935965083708</v>
      </c>
      <c r="K204" s="194">
        <f>SUMIF(FEED!$D:$D,$F202,FEED!N:N)+J204</f>
        <v>19.294793107940848</v>
      </c>
      <c r="L204" s="194">
        <f>SUMIF(FEED!$D:$D,$F202,FEED!O:O)+K204</f>
        <v>23.190187219073671</v>
      </c>
    </row>
    <row r="205" spans="1:12" ht="15" thickBot="1">
      <c r="A205" s="195" t="s">
        <v>107</v>
      </c>
      <c r="B205" s="196">
        <f>B204</f>
        <v>0</v>
      </c>
      <c r="C205" s="196">
        <f ca="1">IF($I202="N",C204,IF($G202="1. In Flight",1,$G$4)*MIN(MAX($C204:$L204)*_xlfn.XLOOKUP($G202,$B$4:$B$8,$F$4:$F$8),MAX(IF(IFERROR(OFFSET(C204,0,_xlfn.XLOOKUP($G202,$B$4:$B$8,$C$4:$C$8)),0)=MAX($C204:$L204),_xlfn.MINIFS($C204:$L204,$C204:$L204,"&gt;0")*_xlfn.XLOOKUP($G202,$B$4:$B$8,$D$4:$D$8),IFERROR(OFFSET(C204,0,_xlfn.XLOOKUP($G202,$B$4:$B$8,$C$4:$C$8))*_xlfn.XLOOKUP($G202,$B$4:$B$8,$D$4:$D$8),0)),IFERROR(OFFSET(C204,0,_xlfn.XLOOKUP($G202,$B$4:$B$8,$E$4:$E$8))*_xlfn.XLOOKUP($G202,$B$4:$B$8,$F$4:$F$8),0),A205)))</f>
        <v>0</v>
      </c>
      <c r="D205" s="196">
        <f t="shared" ref="D205" ca="1" si="671">IF($I202="N",D204,IF($G202="1. In Flight",1,$G$4)*MIN(MAX($C204:$L204)*_xlfn.XLOOKUP($G202,$B$4:$B$8,$F$4:$F$8),MAX(IF(IFERROR(OFFSET(D204,0,_xlfn.XLOOKUP($G202,$B$4:$B$8,$C$4:$C$8)),0)=MAX($C204:$L204),_xlfn.MINIFS($C204:$L204,$C204:$L204,"&gt;0")*_xlfn.XLOOKUP($G202,$B$4:$B$8,$D$4:$D$8),IFERROR(OFFSET(D204,0,_xlfn.XLOOKUP($G202,$B$4:$B$8,$C$4:$C$8))*_xlfn.XLOOKUP($G202,$B$4:$B$8,$D$4:$D$8),0)),IFERROR(OFFSET(D204,0,_xlfn.XLOOKUP($G202,$B$4:$B$8,$E$4:$E$8))*_xlfn.XLOOKUP($G202,$B$4:$B$8,$F$4:$F$8),0),B205)))</f>
        <v>0</v>
      </c>
      <c r="E205" s="196">
        <f t="shared" ref="E205" ca="1" si="672">IF($I202="N",E204,IF($G202="1. In Flight",1,$G$4)*MIN(MAX($C204:$L204)*_xlfn.XLOOKUP($G202,$B$4:$B$8,$F$4:$F$8),MAX(IF(IFERROR(OFFSET(E204,0,_xlfn.XLOOKUP($G202,$B$4:$B$8,$C$4:$C$8)),0)=MAX($C204:$L204),_xlfn.MINIFS($C204:$L204,$C204:$L204,"&gt;0")*_xlfn.XLOOKUP($G202,$B$4:$B$8,$D$4:$D$8),IFERROR(OFFSET(E204,0,_xlfn.XLOOKUP($G202,$B$4:$B$8,$C$4:$C$8))*_xlfn.XLOOKUP($G202,$B$4:$B$8,$D$4:$D$8),0)),IFERROR(OFFSET(E204,0,_xlfn.XLOOKUP($G202,$B$4:$B$8,$E$4:$E$8))*_xlfn.XLOOKUP($G202,$B$4:$B$8,$F$4:$F$8),0),C205)))</f>
        <v>0</v>
      </c>
      <c r="F205" s="196">
        <f t="shared" ref="F205" ca="1" si="673">IF($I202="N",F204,IF($G202="1. In Flight",1,$G$4)*MIN(MAX($C204:$L204)*_xlfn.XLOOKUP($G202,$B$4:$B$8,$F$4:$F$8),MAX(IF(IFERROR(OFFSET(F204,0,_xlfn.XLOOKUP($G202,$B$4:$B$8,$C$4:$C$8)),0)=MAX($C204:$L204),_xlfn.MINIFS($C204:$L204,$C204:$L204,"&gt;0")*_xlfn.XLOOKUP($G202,$B$4:$B$8,$D$4:$D$8),IFERROR(OFFSET(F204,0,_xlfn.XLOOKUP($G202,$B$4:$B$8,$C$4:$C$8))*_xlfn.XLOOKUP($G202,$B$4:$B$8,$D$4:$D$8),0)),IFERROR(OFFSET(F204,0,_xlfn.XLOOKUP($G202,$B$4:$B$8,$E$4:$E$8))*_xlfn.XLOOKUP($G202,$B$4:$B$8,$F$4:$F$8),0),D205)))</f>
        <v>0</v>
      </c>
      <c r="G205" s="196">
        <f t="shared" ref="G205" ca="1" si="674">IF($I202="N",G204,IF($G202="1. In Flight",1,$G$4)*MIN(MAX($C204:$L204)*_xlfn.XLOOKUP($G202,$B$4:$B$8,$F$4:$F$8),MAX(IF(IFERROR(OFFSET(G204,0,_xlfn.XLOOKUP($G202,$B$4:$B$8,$C$4:$C$8)),0)=MAX($C204:$L204),_xlfn.MINIFS($C204:$L204,$C204:$L204,"&gt;0")*_xlfn.XLOOKUP($G202,$B$4:$B$8,$D$4:$D$8),IFERROR(OFFSET(G204,0,_xlfn.XLOOKUP($G202,$B$4:$B$8,$C$4:$C$8))*_xlfn.XLOOKUP($G202,$B$4:$B$8,$D$4:$D$8),0)),IFERROR(OFFSET(G204,0,_xlfn.XLOOKUP($G202,$B$4:$B$8,$E$4:$E$8))*_xlfn.XLOOKUP($G202,$B$4:$B$8,$F$4:$F$8),0),E205)))</f>
        <v>0</v>
      </c>
      <c r="H205" s="196">
        <f t="shared" ref="H205" ca="1" si="675">IF($I202="N",H204,IF($G202="1. In Flight",1,$G$4)*MIN(MAX($C204:$L204)*_xlfn.XLOOKUP($G202,$B$4:$B$8,$F$4:$F$8),MAX(IF(IFERROR(OFFSET(H204,0,_xlfn.XLOOKUP($G202,$B$4:$B$8,$C$4:$C$8)),0)=MAX($C204:$L204),_xlfn.MINIFS($C204:$L204,$C204:$L204,"&gt;0")*_xlfn.XLOOKUP($G202,$B$4:$B$8,$D$4:$D$8),IFERROR(OFFSET(H204,0,_xlfn.XLOOKUP($G202,$B$4:$B$8,$C$4:$C$8))*_xlfn.XLOOKUP($G202,$B$4:$B$8,$D$4:$D$8),0)),IFERROR(OFFSET(H204,0,_xlfn.XLOOKUP($G202,$B$4:$B$8,$E$4:$E$8))*_xlfn.XLOOKUP($G202,$B$4:$B$8,$F$4:$F$8),0),F205)))</f>
        <v>0</v>
      </c>
      <c r="I205" s="196">
        <f t="shared" ref="I205" ca="1" si="676">IF($I202="N",I204,IF($G202="1. In Flight",1,$G$4)*MIN(MAX($C204:$L204)*_xlfn.XLOOKUP($G202,$B$4:$B$8,$F$4:$F$8),MAX(IF(IFERROR(OFFSET(I204,0,_xlfn.XLOOKUP($G202,$B$4:$B$8,$C$4:$C$8)),0)=MAX($C204:$L204),_xlfn.MINIFS($C204:$L204,$C204:$L204,"&gt;0")*_xlfn.XLOOKUP($G202,$B$4:$B$8,$D$4:$D$8),IFERROR(OFFSET(I204,0,_xlfn.XLOOKUP($G202,$B$4:$B$8,$C$4:$C$8))*_xlfn.XLOOKUP($G202,$B$4:$B$8,$D$4:$D$8),0)),IFERROR(OFFSET(I204,0,_xlfn.XLOOKUP($G202,$B$4:$B$8,$E$4:$E$8))*_xlfn.XLOOKUP($G202,$B$4:$B$8,$F$4:$F$8),0),G205)))</f>
        <v>2.8665386228910159</v>
      </c>
      <c r="J205" s="196">
        <f t="shared" ref="J205" ca="1" si="677">IF($I202="N",J204,IF($G202="1. In Flight",1,$G$4)*MIN(MAX($C204:$L204)*_xlfn.XLOOKUP($G202,$B$4:$B$8,$F$4:$F$8),MAX(IF(IFERROR(OFFSET(J204,0,_xlfn.XLOOKUP($G202,$B$4:$B$8,$C$4:$C$8)),0)=MAX($C204:$L204),_xlfn.MINIFS($C204:$L204,$C204:$L204,"&gt;0")*_xlfn.XLOOKUP($G202,$B$4:$B$8,$D$4:$D$8),IFERROR(OFFSET(J204,0,_xlfn.XLOOKUP($G202,$B$4:$B$8,$C$4:$C$8))*_xlfn.XLOOKUP($G202,$B$4:$B$8,$D$4:$D$8),0)),IFERROR(OFFSET(J204,0,_xlfn.XLOOKUP($G202,$B$4:$B$8,$E$4:$E$8))*_xlfn.XLOOKUP($G202,$B$4:$B$8,$F$4:$F$8),0),H205)))</f>
        <v>4.0844219562243502</v>
      </c>
      <c r="K205" s="196">
        <f t="shared" ref="K205" ca="1" si="678">IF($I202="N",K204,IF($G202="1. In Flight",1,$G$4)*MIN(MAX($C204:$L204)*_xlfn.XLOOKUP($G202,$B$4:$B$8,$F$4:$F$8),MAX(IF(IFERROR(OFFSET(K204,0,_xlfn.XLOOKUP($G202,$B$4:$B$8,$C$4:$C$8)),0)=MAX($C204:$L204),_xlfn.MINIFS($C204:$L204,$C204:$L204,"&gt;0")*_xlfn.XLOOKUP($G202,$B$4:$B$8,$D$4:$D$8),IFERROR(OFFSET(K204,0,_xlfn.XLOOKUP($G202,$B$4:$B$8,$C$4:$C$8))*_xlfn.XLOOKUP($G202,$B$4:$B$8,$D$4:$D$8),0)),IFERROR(OFFSET(K204,0,_xlfn.XLOOKUP($G202,$B$4:$B$8,$E$4:$E$8))*_xlfn.XLOOKUP($G202,$B$4:$B$8,$F$4:$F$8),0),I205)))</f>
        <v>4.9888219562243501</v>
      </c>
      <c r="L205" s="196">
        <f t="shared" ref="L205" ca="1" si="679">IF($I202="N",L204,IF($G202="1. In Flight",1,$G$4)*MIN(MAX($C204:$L204)*_xlfn.XLOOKUP($G202,$B$4:$B$8,$F$4:$F$8),MAX(IF(IFERROR(OFFSET(L204,0,_xlfn.XLOOKUP($G202,$B$4:$B$8,$C$4:$C$8)),0)=MAX($C204:$L204),_xlfn.MINIFS($C204:$L204,$C204:$L204,"&gt;0")*_xlfn.XLOOKUP($G202,$B$4:$B$8,$D$4:$D$8),IFERROR(OFFSET(L204,0,_xlfn.XLOOKUP($G202,$B$4:$B$8,$C$4:$C$8))*_xlfn.XLOOKUP($G202,$B$4:$B$8,$D$4:$D$8),0)),IFERROR(OFFSET(L204,0,_xlfn.XLOOKUP($G202,$B$4:$B$8,$E$4:$E$8))*_xlfn.XLOOKUP($G202,$B$4:$B$8,$F$4:$F$8),0),J205)))</f>
        <v>7.6890486228910158</v>
      </c>
    </row>
    <row r="206" spans="1:12" ht="15" thickBot="1">
      <c r="A206" s="195" t="s">
        <v>108</v>
      </c>
      <c r="B206" s="196">
        <f>B204</f>
        <v>0</v>
      </c>
      <c r="C206" s="196">
        <f ca="1">IF($I202="N",C204,IF($G202="1. In Flight",1,$G$9)*MIN(MAX($C204:$L204)*_xlfn.XLOOKUP($G202,$B$9:$B$13,$F$9:$F$13),MAX(IF(IFERROR(OFFSET(C204,0,_xlfn.XLOOKUP($G202,$B$9:$B$13,$C$9:$C$13)),0)=MAX($C204:$L204),_xlfn.MINIFS($C204:$L204,$C204:$L204,"&gt;0")*_xlfn.XLOOKUP($G202,$B$9:$B$13,$D$9:$D$13),IFERROR(OFFSET(C204,0,_xlfn.XLOOKUP($G202,$B$9:$B$13,$C$9:$C$13))*_xlfn.XLOOKUP($G202,$B$9:$B$13,$D$9:$D$13),0)),IFERROR(OFFSET(C204,0,_xlfn.XLOOKUP($G202,$B$9:$B$13,$E$9:$E$13))*_xlfn.XLOOKUP($G202,$B$9:$B$13,$F$9:$F$13),0),A206)))</f>
        <v>0</v>
      </c>
      <c r="D206" s="196">
        <f t="shared" ref="D206" ca="1" si="680">IF($I202="N",D204,IF($G202="1. In Flight",1,$G$9)*MIN(MAX($C204:$L204)*_xlfn.XLOOKUP($G202,$B$9:$B$13,$F$9:$F$13),MAX(IF(IFERROR(OFFSET(D204,0,_xlfn.XLOOKUP($G202,$B$9:$B$13,$C$9:$C$13)),0)=MAX($C204:$L204),_xlfn.MINIFS($C204:$L204,$C204:$L204,"&gt;0")*_xlfn.XLOOKUP($G202,$B$9:$B$13,$D$9:$D$13),IFERROR(OFFSET(D204,0,_xlfn.XLOOKUP($G202,$B$9:$B$13,$C$9:$C$13))*_xlfn.XLOOKUP($G202,$B$9:$B$13,$D$9:$D$13),0)),IFERROR(OFFSET(D204,0,_xlfn.XLOOKUP($G202,$B$9:$B$13,$E$9:$E$13))*_xlfn.XLOOKUP($G202,$B$9:$B$13,$F$9:$F$13),0),B206)))</f>
        <v>0</v>
      </c>
      <c r="E206" s="196">
        <f t="shared" ref="E206" ca="1" si="681">IF($I202="N",E204,IF($G202="1. In Flight",1,$G$9)*MIN(MAX($C204:$L204)*_xlfn.XLOOKUP($G202,$B$9:$B$13,$F$9:$F$13),MAX(IF(IFERROR(OFFSET(E204,0,_xlfn.XLOOKUP($G202,$B$9:$B$13,$C$9:$C$13)),0)=MAX($C204:$L204),_xlfn.MINIFS($C204:$L204,$C204:$L204,"&gt;0")*_xlfn.XLOOKUP($G202,$B$9:$B$13,$D$9:$D$13),IFERROR(OFFSET(E204,0,_xlfn.XLOOKUP($G202,$B$9:$B$13,$C$9:$C$13))*_xlfn.XLOOKUP($G202,$B$9:$B$13,$D$9:$D$13),0)),IFERROR(OFFSET(E204,0,_xlfn.XLOOKUP($G202,$B$9:$B$13,$E$9:$E$13))*_xlfn.XLOOKUP($G202,$B$9:$B$13,$F$9:$F$13),0),C206)))</f>
        <v>0</v>
      </c>
      <c r="F206" s="196">
        <f t="shared" ref="F206" ca="1" si="682">IF($I202="N",F204,IF($G202="1. In Flight",1,$G$9)*MIN(MAX($C204:$L204)*_xlfn.XLOOKUP($G202,$B$9:$B$13,$F$9:$F$13),MAX(IF(IFERROR(OFFSET(F204,0,_xlfn.XLOOKUP($G202,$B$9:$B$13,$C$9:$C$13)),0)=MAX($C204:$L204),_xlfn.MINIFS($C204:$L204,$C204:$L204,"&gt;0")*_xlfn.XLOOKUP($G202,$B$9:$B$13,$D$9:$D$13),IFERROR(OFFSET(F204,0,_xlfn.XLOOKUP($G202,$B$9:$B$13,$C$9:$C$13))*_xlfn.XLOOKUP($G202,$B$9:$B$13,$D$9:$D$13),0)),IFERROR(OFFSET(F204,0,_xlfn.XLOOKUP($G202,$B$9:$B$13,$E$9:$E$13))*_xlfn.XLOOKUP($G202,$B$9:$B$13,$F$9:$F$13),0),D206)))</f>
        <v>0</v>
      </c>
      <c r="G206" s="196">
        <f t="shared" ref="G206" ca="1" si="683">IF($I202="N",G204,IF($G202="1. In Flight",1,$G$9)*MIN(MAX($C204:$L204)*_xlfn.XLOOKUP($G202,$B$9:$B$13,$F$9:$F$13),MAX(IF(IFERROR(OFFSET(G204,0,_xlfn.XLOOKUP($G202,$B$9:$B$13,$C$9:$C$13)),0)=MAX($C204:$L204),_xlfn.MINIFS($C204:$L204,$C204:$L204,"&gt;0")*_xlfn.XLOOKUP($G202,$B$9:$B$13,$D$9:$D$13),IFERROR(OFFSET(G204,0,_xlfn.XLOOKUP($G202,$B$9:$B$13,$C$9:$C$13))*_xlfn.XLOOKUP($G202,$B$9:$B$13,$D$9:$D$13),0)),IFERROR(OFFSET(G204,0,_xlfn.XLOOKUP($G202,$B$9:$B$13,$E$9:$E$13))*_xlfn.XLOOKUP($G202,$B$9:$B$13,$F$9:$F$13),0),E206)))</f>
        <v>0</v>
      </c>
      <c r="H206" s="196">
        <f t="shared" ref="H206" ca="1" si="684">IF($I202="N",H204,IF($G202="1. In Flight",1,$G$9)*MIN(MAX($C204:$L204)*_xlfn.XLOOKUP($G202,$B$9:$B$13,$F$9:$F$13),MAX(IF(IFERROR(OFFSET(H204,0,_xlfn.XLOOKUP($G202,$B$9:$B$13,$C$9:$C$13)),0)=MAX($C204:$L204),_xlfn.MINIFS($C204:$L204,$C204:$L204,"&gt;0")*_xlfn.XLOOKUP($G202,$B$9:$B$13,$D$9:$D$13),IFERROR(OFFSET(H204,0,_xlfn.XLOOKUP($G202,$B$9:$B$13,$C$9:$C$13))*_xlfn.XLOOKUP($G202,$B$9:$B$13,$D$9:$D$13),0)),IFERROR(OFFSET(H204,0,_xlfn.XLOOKUP($G202,$B$9:$B$13,$E$9:$E$13))*_xlfn.XLOOKUP($G202,$B$9:$B$13,$F$9:$F$13),0),F206)))</f>
        <v>0</v>
      </c>
      <c r="I206" s="196">
        <f t="shared" ref="I206" ca="1" si="685">IF($I202="N",I204,IF($G202="1. In Flight",1,$G$9)*MIN(MAX($C204:$L204)*_xlfn.XLOOKUP($G202,$B$9:$B$13,$F$9:$F$13),MAX(IF(IFERROR(OFFSET(I204,0,_xlfn.XLOOKUP($G202,$B$9:$B$13,$C$9:$C$13)),0)=MAX($C204:$L204),_xlfn.MINIFS($C204:$L204,$C204:$L204,"&gt;0")*_xlfn.XLOOKUP($G202,$B$9:$B$13,$D$9:$D$13),IFERROR(OFFSET(I204,0,_xlfn.XLOOKUP($G202,$B$9:$B$13,$C$9:$C$13))*_xlfn.XLOOKUP($G202,$B$9:$B$13,$D$9:$D$13),0)),IFERROR(OFFSET(I204,0,_xlfn.XLOOKUP($G202,$B$9:$B$13,$E$9:$E$13))*_xlfn.XLOOKUP($G202,$B$9:$B$13,$F$9:$F$13),0),G206)))</f>
        <v>0</v>
      </c>
      <c r="J206" s="196">
        <f t="shared" ref="J206" ca="1" si="686">IF($I202="N",J204,IF($G202="1. In Flight",1,$G$9)*MIN(MAX($C204:$L204)*_xlfn.XLOOKUP($G202,$B$9:$B$13,$F$9:$F$13),MAX(IF(IFERROR(OFFSET(J204,0,_xlfn.XLOOKUP($G202,$B$9:$B$13,$C$9:$C$13)),0)=MAX($C204:$L204),_xlfn.MINIFS($C204:$L204,$C204:$L204,"&gt;0")*_xlfn.XLOOKUP($G202,$B$9:$B$13,$D$9:$D$13),IFERROR(OFFSET(J204,0,_xlfn.XLOOKUP($G202,$B$9:$B$13,$C$9:$C$13))*_xlfn.XLOOKUP($G202,$B$9:$B$13,$D$9:$D$13),0)),IFERROR(OFFSET(J204,0,_xlfn.XLOOKUP($G202,$B$9:$B$13,$E$9:$E$13))*_xlfn.XLOOKUP($G202,$B$9:$B$13,$F$9:$F$13),0),H206)))</f>
        <v>1.1700157644453129</v>
      </c>
      <c r="K206" s="196">
        <f t="shared" ref="K206" ca="1" si="687">IF($I202="N",K204,IF($G202="1. In Flight",1,$G$9)*MIN(MAX($C204:$L204)*_xlfn.XLOOKUP($G202,$B$9:$B$13,$F$9:$F$13),MAX(IF(IFERROR(OFFSET(K204,0,_xlfn.XLOOKUP($G202,$B$9:$B$13,$C$9:$C$13)),0)=MAX($C204:$L204),_xlfn.MINIFS($C204:$L204,$C204:$L204,"&gt;0")*_xlfn.XLOOKUP($G202,$B$9:$B$13,$D$9:$D$13),IFERROR(OFFSET(K204,0,_xlfn.XLOOKUP($G202,$B$9:$B$13,$C$9:$C$13))*_xlfn.XLOOKUP($G202,$B$9:$B$13,$D$9:$D$13),0)),IFERROR(OFFSET(K204,0,_xlfn.XLOOKUP($G202,$B$9:$B$13,$E$9:$E$13))*_xlfn.XLOOKUP($G202,$B$9:$B$13,$F$9:$F$13),0),I206)))</f>
        <v>1.6671110025405511</v>
      </c>
      <c r="L206" s="196">
        <f t="shared" ref="L206" ca="1" si="688">IF($I202="N",L204,IF($G202="1. In Flight",1,$G$9)*MIN(MAX($C204:$L204)*_xlfn.XLOOKUP($G202,$B$9:$B$13,$F$9:$F$13),MAX(IF(IFERROR(OFFSET(L204,0,_xlfn.XLOOKUP($G202,$B$9:$B$13,$C$9:$C$13)),0)=MAX($C204:$L204),_xlfn.MINIFS($C204:$L204,$C204:$L204,"&gt;0")*_xlfn.XLOOKUP($G202,$B$9:$B$13,$D$9:$D$13),IFERROR(OFFSET(L204,0,_xlfn.XLOOKUP($G202,$B$9:$B$13,$C$9:$C$13))*_xlfn.XLOOKUP($G202,$B$9:$B$13,$D$9:$D$13),0)),IFERROR(OFFSET(L204,0,_xlfn.XLOOKUP($G202,$B$9:$B$13,$E$9:$E$13))*_xlfn.XLOOKUP($G202,$B$9:$B$13,$F$9:$F$13),0),J206)))</f>
        <v>2.0362538596834088</v>
      </c>
    </row>
    <row r="207" spans="1:12" ht="15" thickBot="1">
      <c r="A207" s="197" t="s">
        <v>109</v>
      </c>
      <c r="B207" s="198">
        <f>B204</f>
        <v>0</v>
      </c>
      <c r="C207" s="198">
        <f ca="1">IF($I202="N",C204,IF($G202="1. In Flight",1,$G$14)*MIN(MAX($C204:$L204)*_xlfn.XLOOKUP($G202,$B$14:$B$18,$F$14:$F$18),MAX(IF(IFERROR(OFFSET(C204,0,_xlfn.XLOOKUP($G202,$B$14:$B$18,$C$14:$C$18)),0)=MAX($C204:$L204),_xlfn.MINIFS($C204:$L204,$C204:$L204,"&gt;0")*_xlfn.XLOOKUP($G202,$B$14:$B$18,$D$14:$D$18),IFERROR(OFFSET(C204,0,_xlfn.XLOOKUP($G202,$B$14:$B$18,$C$14:$C$18))*_xlfn.XLOOKUP($G202,$B$14:$B$18,$D$14:$D$18),0)),IFERROR(OFFSET(C204,0,_xlfn.XLOOKUP($G202,$B$14:$B$18,$E$14:$E$18))*_xlfn.XLOOKUP($G202,$B$14:$B$18,$F$14:$F$18),0),A207)))</f>
        <v>0</v>
      </c>
      <c r="D207" s="198">
        <f t="shared" ref="D207" ca="1" si="689">IF($I202="N",D204,IF($G202="1. In Flight",1,$G$14)*MIN(MAX($C204:$L204)*_xlfn.XLOOKUP($G202,$B$14:$B$18,$F$14:$F$18),MAX(IF(IFERROR(OFFSET(D204,0,_xlfn.XLOOKUP($G202,$B$14:$B$18,$C$14:$C$18)),0)=MAX($C204:$L204),_xlfn.MINIFS($C204:$L204,$C204:$L204,"&gt;0")*_xlfn.XLOOKUP($G202,$B$14:$B$18,$D$14:$D$18),IFERROR(OFFSET(D204,0,_xlfn.XLOOKUP($G202,$B$14:$B$18,$C$14:$C$18))*_xlfn.XLOOKUP($G202,$B$14:$B$18,$D$14:$D$18),0)),IFERROR(OFFSET(D204,0,_xlfn.XLOOKUP($G202,$B$14:$B$18,$E$14:$E$18))*_xlfn.XLOOKUP($G202,$B$14:$B$18,$F$14:$F$18),0),B207)))</f>
        <v>0</v>
      </c>
      <c r="E207" s="198">
        <f t="shared" ref="E207" ca="1" si="690">IF($I202="N",E204,IF($G202="1. In Flight",1,$G$14)*MIN(MAX($C204:$L204)*_xlfn.XLOOKUP($G202,$B$14:$B$18,$F$14:$F$18),MAX(IF(IFERROR(OFFSET(E204,0,_xlfn.XLOOKUP($G202,$B$14:$B$18,$C$14:$C$18)),0)=MAX($C204:$L204),_xlfn.MINIFS($C204:$L204,$C204:$L204,"&gt;0")*_xlfn.XLOOKUP($G202,$B$14:$B$18,$D$14:$D$18),IFERROR(OFFSET(E204,0,_xlfn.XLOOKUP($G202,$B$14:$B$18,$C$14:$C$18))*_xlfn.XLOOKUP($G202,$B$14:$B$18,$D$14:$D$18),0)),IFERROR(OFFSET(E204,0,_xlfn.XLOOKUP($G202,$B$14:$B$18,$E$14:$E$18))*_xlfn.XLOOKUP($G202,$B$14:$B$18,$F$14:$F$18),0),C207)))</f>
        <v>0</v>
      </c>
      <c r="F207" s="198">
        <f t="shared" ref="F207" ca="1" si="691">IF($I202="N",F204,IF($G202="1. In Flight",1,$G$14)*MIN(MAX($C204:$L204)*_xlfn.XLOOKUP($G202,$B$14:$B$18,$F$14:$F$18),MAX(IF(IFERROR(OFFSET(F204,0,_xlfn.XLOOKUP($G202,$B$14:$B$18,$C$14:$C$18)),0)=MAX($C204:$L204),_xlfn.MINIFS($C204:$L204,$C204:$L204,"&gt;0")*_xlfn.XLOOKUP($G202,$B$14:$B$18,$D$14:$D$18),IFERROR(OFFSET(F204,0,_xlfn.XLOOKUP($G202,$B$14:$B$18,$C$14:$C$18))*_xlfn.XLOOKUP($G202,$B$14:$B$18,$D$14:$D$18),0)),IFERROR(OFFSET(F204,0,_xlfn.XLOOKUP($G202,$B$14:$B$18,$E$14:$E$18))*_xlfn.XLOOKUP($G202,$B$14:$B$18,$F$14:$F$18),0),D207)))</f>
        <v>0</v>
      </c>
      <c r="G207" s="198">
        <f t="shared" ref="G207" ca="1" si="692">IF($I202="N",G204,IF($G202="1. In Flight",1,$G$14)*MIN(MAX($C204:$L204)*_xlfn.XLOOKUP($G202,$B$14:$B$18,$F$14:$F$18),MAX(IF(IFERROR(OFFSET(G204,0,_xlfn.XLOOKUP($G202,$B$14:$B$18,$C$14:$C$18)),0)=MAX($C204:$L204),_xlfn.MINIFS($C204:$L204,$C204:$L204,"&gt;0")*_xlfn.XLOOKUP($G202,$B$14:$B$18,$D$14:$D$18),IFERROR(OFFSET(G204,0,_xlfn.XLOOKUP($G202,$B$14:$B$18,$C$14:$C$18))*_xlfn.XLOOKUP($G202,$B$14:$B$18,$D$14:$D$18),0)),IFERROR(OFFSET(G204,0,_xlfn.XLOOKUP($G202,$B$14:$B$18,$E$14:$E$18))*_xlfn.XLOOKUP($G202,$B$14:$B$18,$F$14:$F$18),0),E207)))</f>
        <v>0</v>
      </c>
      <c r="H207" s="198">
        <f t="shared" ref="H207" ca="1" si="693">IF($I202="N",H204,IF($G202="1. In Flight",1,$G$14)*MIN(MAX($C204:$L204)*_xlfn.XLOOKUP($G202,$B$14:$B$18,$F$14:$F$18),MAX(IF(IFERROR(OFFSET(H204,0,_xlfn.XLOOKUP($G202,$B$14:$B$18,$C$14:$C$18)),0)=MAX($C204:$L204),_xlfn.MINIFS($C204:$L204,$C204:$L204,"&gt;0")*_xlfn.XLOOKUP($G202,$B$14:$B$18,$D$14:$D$18),IFERROR(OFFSET(H204,0,_xlfn.XLOOKUP($G202,$B$14:$B$18,$C$14:$C$18))*_xlfn.XLOOKUP($G202,$B$14:$B$18,$D$14:$D$18),0)),IFERROR(OFFSET(H204,0,_xlfn.XLOOKUP($G202,$B$14:$B$18,$E$14:$E$18))*_xlfn.XLOOKUP($G202,$B$14:$B$18,$F$14:$F$18),0),F207)))</f>
        <v>4.212056752003126</v>
      </c>
      <c r="I207" s="198">
        <f t="shared" ref="I207" ca="1" si="694">IF($I202="N",I204,IF($G202="1. In Flight",1,$G$14)*MIN(MAX($C204:$L204)*_xlfn.XLOOKUP($G202,$B$14:$B$18,$F$14:$F$18),MAX(IF(IFERROR(OFFSET(I204,0,_xlfn.XLOOKUP($G202,$B$14:$B$18,$C$14:$C$18)),0)=MAX($C204:$L204),_xlfn.MINIFS($C204:$L204,$C204:$L204,"&gt;0")*_xlfn.XLOOKUP($G202,$B$14:$B$18,$D$14:$D$18),IFERROR(OFFSET(I204,0,_xlfn.XLOOKUP($G202,$B$14:$B$18,$C$14:$C$18))*_xlfn.XLOOKUP($G202,$B$14:$B$18,$D$14:$D$18),0)),IFERROR(OFFSET(I204,0,_xlfn.XLOOKUP($G202,$B$14:$B$18,$E$14:$E$18))*_xlfn.XLOOKUP($G202,$B$14:$B$18,$F$14:$F$18),0),G207)))</f>
        <v>6.001599609145984</v>
      </c>
      <c r="J207" s="198">
        <f t="shared" ref="J207" ca="1" si="695">IF($I202="N",J204,IF($G202="1. In Flight",1,$G$14)*MIN(MAX($C204:$L204)*_xlfn.XLOOKUP($G202,$B$14:$B$18,$F$14:$F$18),MAX(IF(IFERROR(OFFSET(J204,0,_xlfn.XLOOKUP($G202,$B$14:$B$18,$C$14:$C$18)),0)=MAX($C204:$L204),_xlfn.MINIFS($C204:$L204,$C204:$L204,"&gt;0")*_xlfn.XLOOKUP($G202,$B$14:$B$18,$D$14:$D$18),IFERROR(OFFSET(J204,0,_xlfn.XLOOKUP($G202,$B$14:$B$18,$C$14:$C$18))*_xlfn.XLOOKUP($G202,$B$14:$B$18,$D$14:$D$18),0)),IFERROR(OFFSET(J204,0,_xlfn.XLOOKUP($G202,$B$14:$B$18,$E$14:$E$18))*_xlfn.XLOOKUP($G202,$B$14:$B$18,$F$14:$F$18),0),H207)))</f>
        <v>7.3305138948602719</v>
      </c>
      <c r="K207" s="198">
        <f t="shared" ref="K207" ca="1" si="696">IF($I202="N",K204,IF($G202="1. In Flight",1,$G$14)*MIN(MAX($C204:$L204)*_xlfn.XLOOKUP($G202,$B$14:$B$18,$F$14:$F$18),MAX(IF(IFERROR(OFFSET(K204,0,_xlfn.XLOOKUP($G202,$B$14:$B$18,$C$14:$C$18)),0)=MAX($C204:$L204),_xlfn.MINIFS($C204:$L204,$C204:$L204,"&gt;0")*_xlfn.XLOOKUP($G202,$B$14:$B$18,$D$14:$D$18),IFERROR(OFFSET(K204,0,_xlfn.XLOOKUP($G202,$B$14:$B$18,$C$14:$C$18))*_xlfn.XLOOKUP($G202,$B$14:$B$18,$D$14:$D$18),0)),IFERROR(OFFSET(K204,0,_xlfn.XLOOKUP($G202,$B$14:$B$18,$E$14:$E$18))*_xlfn.XLOOKUP($G202,$B$14:$B$18,$F$14:$F$18),0),I207)))</f>
        <v>11.298193894860271</v>
      </c>
      <c r="L207" s="198">
        <f t="shared" ref="L207" ca="1" si="697">IF($I202="N",L204,IF($G202="1. In Flight",1,$G$14)*MIN(MAX($C204:$L204)*_xlfn.XLOOKUP($G202,$B$14:$B$18,$F$14:$F$18),MAX(IF(IFERROR(OFFSET(L204,0,_xlfn.XLOOKUP($G202,$B$14:$B$18,$C$14:$C$18)),0)=MAX($C204:$L204),_xlfn.MINIFS($C204:$L204,$C204:$L204,"&gt;0")*_xlfn.XLOOKUP($G202,$B$14:$B$18,$D$14:$D$18),IFERROR(OFFSET(L204,0,_xlfn.XLOOKUP($G202,$B$14:$B$18,$C$14:$C$18))*_xlfn.XLOOKUP($G202,$B$14:$B$18,$D$14:$D$18),0)),IFERROR(OFFSET(L204,0,_xlfn.XLOOKUP($G202,$B$14:$B$18,$E$14:$E$18))*_xlfn.XLOOKUP($G202,$B$14:$B$18,$F$14:$F$18),0),J207)))</f>
        <v>13.892251037717411</v>
      </c>
    </row>
    <row r="208" spans="1:12" ht="15" thickTop="1"/>
    <row r="209" spans="1:12" ht="15" thickBot="1">
      <c r="A209" s="231">
        <f>_xlfn.XLOOKUP(F209,FEED!D:D,FEED!E:E,FALSE)</f>
        <v>0</v>
      </c>
      <c r="B209" s="232"/>
      <c r="C209" s="188"/>
      <c r="D209" s="200" t="s">
        <v>119</v>
      </c>
      <c r="E209" s="189" t="s">
        <v>120</v>
      </c>
      <c r="F209" s="189" t="s">
        <v>63</v>
      </c>
      <c r="G209" s="189" t="str">
        <f>IFERROR(_xlfn.XLOOKUP(F209,FEED!$D:$D,FEED!$S:$S),$B$8)</f>
        <v>3. Medium</v>
      </c>
      <c r="H209" s="189" t="str">
        <f>IFERROR(_xlfn.XLOOKUP(F209,FEED!$D:$D,FEED!$Y:$Y),"Major Load")</f>
        <v>Data Centre</v>
      </c>
      <c r="I209" s="189" t="str">
        <f>IFERROR(_xlfn.XLOOKUP(F209,FEED!$D:$D,FEED!$C:$C),"N")</f>
        <v>Y</v>
      </c>
      <c r="J209" s="190"/>
      <c r="K209" s="190"/>
      <c r="L209" s="190"/>
    </row>
    <row r="210" spans="1:12" ht="15" thickBot="1">
      <c r="A210" s="191" t="str">
        <f t="shared" ref="A210" si="698">A357</f>
        <v>Uptake Scenario</v>
      </c>
      <c r="B210" s="192">
        <f>B203</f>
        <v>2023</v>
      </c>
      <c r="C210" s="192">
        <f t="shared" ref="C210:L210" si="699">C203</f>
        <v>2024</v>
      </c>
      <c r="D210" s="192">
        <f t="shared" si="699"/>
        <v>2025</v>
      </c>
      <c r="E210" s="192">
        <f t="shared" si="699"/>
        <v>2026</v>
      </c>
      <c r="F210" s="192">
        <f t="shared" si="699"/>
        <v>2027</v>
      </c>
      <c r="G210" s="192">
        <f t="shared" si="699"/>
        <v>2028</v>
      </c>
      <c r="H210" s="192">
        <f t="shared" si="699"/>
        <v>2029</v>
      </c>
      <c r="I210" s="192">
        <f t="shared" si="699"/>
        <v>2030</v>
      </c>
      <c r="J210" s="192">
        <f t="shared" si="699"/>
        <v>2031</v>
      </c>
      <c r="K210" s="192">
        <f t="shared" si="699"/>
        <v>2032</v>
      </c>
      <c r="L210" s="192">
        <f t="shared" si="699"/>
        <v>2033</v>
      </c>
    </row>
    <row r="211" spans="1:12" ht="15.6" thickTop="1" thickBot="1">
      <c r="A211" s="193" t="s">
        <v>113</v>
      </c>
      <c r="B211" s="194">
        <v>0</v>
      </c>
      <c r="C211" s="194">
        <f>SUMIF(FEED!$D:$D,$F209,FEED!F:F)+B211</f>
        <v>0</v>
      </c>
      <c r="D211" s="194">
        <f>SUMIF(FEED!$D:$D,$F209,FEED!G:G)+C211</f>
        <v>0</v>
      </c>
      <c r="E211" s="194">
        <f>SUMIF(FEED!$D:$D,$F209,FEED!H:H)+D211</f>
        <v>0</v>
      </c>
      <c r="F211" s="194">
        <f>SUMIF(FEED!$D:$D,$F209,FEED!I:I)+E211</f>
        <v>0</v>
      </c>
      <c r="G211" s="194">
        <f>SUMIF(FEED!$D:$D,$F209,FEED!J:J)+F211</f>
        <v>0</v>
      </c>
      <c r="H211" s="194">
        <f>SUMIF(FEED!$D:$D,$F209,FEED!K:K)+G211</f>
        <v>0</v>
      </c>
      <c r="I211" s="194">
        <f>SUMIF(FEED!$D:$D,$F209,FEED!L:L)+H211</f>
        <v>11.700157644453128</v>
      </c>
      <c r="J211" s="194">
        <f>SUMIF(FEED!$D:$D,$F209,FEED!M:M)+I211</f>
        <v>16.671110025405511</v>
      </c>
      <c r="K211" s="194">
        <f>SUMIF(FEED!$D:$D,$F209,FEED!N:N)+J211</f>
        <v>20.362538596834085</v>
      </c>
      <c r="L211" s="194">
        <f>SUMIF(FEED!$D:$D,$F209,FEED!O:O)+K211</f>
        <v>31.383871930167416</v>
      </c>
    </row>
    <row r="212" spans="1:12" ht="15" thickBot="1">
      <c r="A212" s="195" t="s">
        <v>107</v>
      </c>
      <c r="B212" s="196">
        <f>B211</f>
        <v>0</v>
      </c>
      <c r="C212" s="196">
        <f ca="1">IF($I209="N",C211,IF($G209="1. In Flight",1,$G$4)*MIN(MAX($C211:$L211)*_xlfn.XLOOKUP($G209,$B$4:$B$8,$F$4:$F$8),MAX(IF(IFERROR(OFFSET(C211,0,_xlfn.XLOOKUP($G209,$B$4:$B$8,$C$4:$C$8)),0)=MAX($C211:$L211),_xlfn.MINIFS($C211:$L211,$C211:$L211,"&gt;0")*_xlfn.XLOOKUP($G209,$B$4:$B$8,$D$4:$D$8),IFERROR(OFFSET(C211,0,_xlfn.XLOOKUP($G209,$B$4:$B$8,$C$4:$C$8))*_xlfn.XLOOKUP($G209,$B$4:$B$8,$D$4:$D$8),0)),IFERROR(OFFSET(C211,0,_xlfn.XLOOKUP($G209,$B$4:$B$8,$E$4:$E$8))*_xlfn.XLOOKUP($G209,$B$4:$B$8,$F$4:$F$8),0),A212)))</f>
        <v>0</v>
      </c>
      <c r="D212" s="196">
        <f t="shared" ref="D212" ca="1" si="700">IF($I209="N",D211,IF($G209="1. In Flight",1,$G$4)*MIN(MAX($C211:$L211)*_xlfn.XLOOKUP($G209,$B$4:$B$8,$F$4:$F$8),MAX(IF(IFERROR(OFFSET(D211,0,_xlfn.XLOOKUP($G209,$B$4:$B$8,$C$4:$C$8)),0)=MAX($C211:$L211),_xlfn.MINIFS($C211:$L211,$C211:$L211,"&gt;0")*_xlfn.XLOOKUP($G209,$B$4:$B$8,$D$4:$D$8),IFERROR(OFFSET(D211,0,_xlfn.XLOOKUP($G209,$B$4:$B$8,$C$4:$C$8))*_xlfn.XLOOKUP($G209,$B$4:$B$8,$D$4:$D$8),0)),IFERROR(OFFSET(D211,0,_xlfn.XLOOKUP($G209,$B$4:$B$8,$E$4:$E$8))*_xlfn.XLOOKUP($G209,$B$4:$B$8,$F$4:$F$8),0),B212)))</f>
        <v>0</v>
      </c>
      <c r="E212" s="196">
        <f t="shared" ref="E212" ca="1" si="701">IF($I209="N",E211,IF($G209="1. In Flight",1,$G$4)*MIN(MAX($C211:$L211)*_xlfn.XLOOKUP($G209,$B$4:$B$8,$F$4:$F$8),MAX(IF(IFERROR(OFFSET(E211,0,_xlfn.XLOOKUP($G209,$B$4:$B$8,$C$4:$C$8)),0)=MAX($C211:$L211),_xlfn.MINIFS($C211:$L211,$C211:$L211,"&gt;0")*_xlfn.XLOOKUP($G209,$B$4:$B$8,$D$4:$D$8),IFERROR(OFFSET(E211,0,_xlfn.XLOOKUP($G209,$B$4:$B$8,$C$4:$C$8))*_xlfn.XLOOKUP($G209,$B$4:$B$8,$D$4:$D$8),0)),IFERROR(OFFSET(E211,0,_xlfn.XLOOKUP($G209,$B$4:$B$8,$E$4:$E$8))*_xlfn.XLOOKUP($G209,$B$4:$B$8,$F$4:$F$8),0),C212)))</f>
        <v>0</v>
      </c>
      <c r="F212" s="196">
        <f t="shared" ref="F212" ca="1" si="702">IF($I209="N",F211,IF($G209="1. In Flight",1,$G$4)*MIN(MAX($C211:$L211)*_xlfn.XLOOKUP($G209,$B$4:$B$8,$F$4:$F$8),MAX(IF(IFERROR(OFFSET(F211,0,_xlfn.XLOOKUP($G209,$B$4:$B$8,$C$4:$C$8)),0)=MAX($C211:$L211),_xlfn.MINIFS($C211:$L211,$C211:$L211,"&gt;0")*_xlfn.XLOOKUP($G209,$B$4:$B$8,$D$4:$D$8),IFERROR(OFFSET(F211,0,_xlfn.XLOOKUP($G209,$B$4:$B$8,$C$4:$C$8))*_xlfn.XLOOKUP($G209,$B$4:$B$8,$D$4:$D$8),0)),IFERROR(OFFSET(F211,0,_xlfn.XLOOKUP($G209,$B$4:$B$8,$E$4:$E$8))*_xlfn.XLOOKUP($G209,$B$4:$B$8,$F$4:$F$8),0),D212)))</f>
        <v>0</v>
      </c>
      <c r="G212" s="196">
        <f t="shared" ref="G212" ca="1" si="703">IF($I209="N",G211,IF($G209="1. In Flight",1,$G$4)*MIN(MAX($C211:$L211)*_xlfn.XLOOKUP($G209,$B$4:$B$8,$F$4:$F$8),MAX(IF(IFERROR(OFFSET(G211,0,_xlfn.XLOOKUP($G209,$B$4:$B$8,$C$4:$C$8)),0)=MAX($C211:$L211),_xlfn.MINIFS($C211:$L211,$C211:$L211,"&gt;0")*_xlfn.XLOOKUP($G209,$B$4:$B$8,$D$4:$D$8),IFERROR(OFFSET(G211,0,_xlfn.XLOOKUP($G209,$B$4:$B$8,$C$4:$C$8))*_xlfn.XLOOKUP($G209,$B$4:$B$8,$D$4:$D$8),0)),IFERROR(OFFSET(G211,0,_xlfn.XLOOKUP($G209,$B$4:$B$8,$E$4:$E$8))*_xlfn.XLOOKUP($G209,$B$4:$B$8,$F$4:$F$8),0),E212)))</f>
        <v>0</v>
      </c>
      <c r="H212" s="196">
        <f t="shared" ref="H212" ca="1" si="704">IF($I209="N",H211,IF($G209="1. In Flight",1,$G$4)*MIN(MAX($C211:$L211)*_xlfn.XLOOKUP($G209,$B$4:$B$8,$F$4:$F$8),MAX(IF(IFERROR(OFFSET(H211,0,_xlfn.XLOOKUP($G209,$B$4:$B$8,$C$4:$C$8)),0)=MAX($C211:$L211),_xlfn.MINIFS($C211:$L211,$C211:$L211,"&gt;0")*_xlfn.XLOOKUP($G209,$B$4:$B$8,$D$4:$D$8),IFERROR(OFFSET(H211,0,_xlfn.XLOOKUP($G209,$B$4:$B$8,$C$4:$C$8))*_xlfn.XLOOKUP($G209,$B$4:$B$8,$D$4:$D$8),0)),IFERROR(OFFSET(H211,0,_xlfn.XLOOKUP($G209,$B$4:$B$8,$E$4:$E$8))*_xlfn.XLOOKUP($G209,$B$4:$B$8,$F$4:$F$8),0),F212)))</f>
        <v>0</v>
      </c>
      <c r="I212" s="196">
        <f t="shared" ref="I212" ca="1" si="705">IF($I209="N",I211,IF($G209="1. In Flight",1,$G$4)*MIN(MAX($C211:$L211)*_xlfn.XLOOKUP($G209,$B$4:$B$8,$F$4:$F$8),MAX(IF(IFERROR(OFFSET(I211,0,_xlfn.XLOOKUP($G209,$B$4:$B$8,$C$4:$C$8)),0)=MAX($C211:$L211),_xlfn.MINIFS($C211:$L211,$C211:$L211,"&gt;0")*_xlfn.XLOOKUP($G209,$B$4:$B$8,$D$4:$D$8),IFERROR(OFFSET(I211,0,_xlfn.XLOOKUP($G209,$B$4:$B$8,$C$4:$C$8))*_xlfn.XLOOKUP($G209,$B$4:$B$8,$D$4:$D$8),0)),IFERROR(OFFSET(I211,0,_xlfn.XLOOKUP($G209,$B$4:$B$8,$E$4:$E$8))*_xlfn.XLOOKUP($G209,$B$4:$B$8,$F$4:$F$8),0),G212)))</f>
        <v>0</v>
      </c>
      <c r="J212" s="196">
        <f t="shared" ref="J212" ca="1" si="706">IF($I209="N",J211,IF($G209="1. In Flight",1,$G$4)*MIN(MAX($C211:$L211)*_xlfn.XLOOKUP($G209,$B$4:$B$8,$F$4:$F$8),MAX(IF(IFERROR(OFFSET(J211,0,_xlfn.XLOOKUP($G209,$B$4:$B$8,$C$4:$C$8)),0)=MAX($C211:$L211),_xlfn.MINIFS($C211:$L211,$C211:$L211,"&gt;0")*_xlfn.XLOOKUP($G209,$B$4:$B$8,$D$4:$D$8),IFERROR(OFFSET(J211,0,_xlfn.XLOOKUP($G209,$B$4:$B$8,$C$4:$C$8))*_xlfn.XLOOKUP($G209,$B$4:$B$8,$D$4:$D$8),0)),IFERROR(OFFSET(J211,0,_xlfn.XLOOKUP($G209,$B$4:$B$8,$E$4:$E$8))*_xlfn.XLOOKUP($G209,$B$4:$B$8,$F$4:$F$8),0),H212)))</f>
        <v>0</v>
      </c>
      <c r="K212" s="196">
        <f t="shared" ref="K212" ca="1" si="707">IF($I209="N",K211,IF($G209="1. In Flight",1,$G$4)*MIN(MAX($C211:$L211)*_xlfn.XLOOKUP($G209,$B$4:$B$8,$F$4:$F$8),MAX(IF(IFERROR(OFFSET(K211,0,_xlfn.XLOOKUP($G209,$B$4:$B$8,$C$4:$C$8)),0)=MAX($C211:$L211),_xlfn.MINIFS($C211:$L211,$C211:$L211,"&gt;0")*_xlfn.XLOOKUP($G209,$B$4:$B$8,$D$4:$D$8),IFERROR(OFFSET(K211,0,_xlfn.XLOOKUP($G209,$B$4:$B$8,$C$4:$C$8))*_xlfn.XLOOKUP($G209,$B$4:$B$8,$D$4:$D$8),0)),IFERROR(OFFSET(K211,0,_xlfn.XLOOKUP($G209,$B$4:$B$8,$E$4:$E$8))*_xlfn.XLOOKUP($G209,$B$4:$B$8,$F$4:$F$8),0),I212)))</f>
        <v>0</v>
      </c>
      <c r="L212" s="196">
        <f t="shared" ref="L212" ca="1" si="708">IF($I209="N",L211,IF($G209="1. In Flight",1,$G$4)*MIN(MAX($C211:$L211)*_xlfn.XLOOKUP($G209,$B$4:$B$8,$F$4:$F$8),MAX(IF(IFERROR(OFFSET(L211,0,_xlfn.XLOOKUP($G209,$B$4:$B$8,$C$4:$C$8)),0)=MAX($C211:$L211),_xlfn.MINIFS($C211:$L211,$C211:$L211,"&gt;0")*_xlfn.XLOOKUP($G209,$B$4:$B$8,$D$4:$D$8),IFERROR(OFFSET(L211,0,_xlfn.XLOOKUP($G209,$B$4:$B$8,$C$4:$C$8))*_xlfn.XLOOKUP($G209,$B$4:$B$8,$D$4:$D$8),0)),IFERROR(OFFSET(L211,0,_xlfn.XLOOKUP($G209,$B$4:$B$8,$E$4:$E$8))*_xlfn.XLOOKUP($G209,$B$4:$B$8,$F$4:$F$8),0),J212)))</f>
        <v>4.0950551755585947</v>
      </c>
    </row>
    <row r="213" spans="1:12" ht="15" thickBot="1">
      <c r="A213" s="195" t="s">
        <v>108</v>
      </c>
      <c r="B213" s="196">
        <f>B211</f>
        <v>0</v>
      </c>
      <c r="C213" s="196">
        <f ca="1">IF($I209="N",C211,IF($G209="1. In Flight",1,$G$9)*MIN(MAX($C211:$L211)*_xlfn.XLOOKUP($G209,$B$9:$B$13,$F$9:$F$13),MAX(IF(IFERROR(OFFSET(C211,0,_xlfn.XLOOKUP($G209,$B$9:$B$13,$C$9:$C$13)),0)=MAX($C211:$L211),_xlfn.MINIFS($C211:$L211,$C211:$L211,"&gt;0")*_xlfn.XLOOKUP($G209,$B$9:$B$13,$D$9:$D$13),IFERROR(OFFSET(C211,0,_xlfn.XLOOKUP($G209,$B$9:$B$13,$C$9:$C$13))*_xlfn.XLOOKUP($G209,$B$9:$B$13,$D$9:$D$13),0)),IFERROR(OFFSET(C211,0,_xlfn.XLOOKUP($G209,$B$9:$B$13,$E$9:$E$13))*_xlfn.XLOOKUP($G209,$B$9:$B$13,$F$9:$F$13),0),A213)))</f>
        <v>0</v>
      </c>
      <c r="D213" s="196">
        <f t="shared" ref="D213" ca="1" si="709">IF($I209="N",D211,IF($G209="1. In Flight",1,$G$9)*MIN(MAX($C211:$L211)*_xlfn.XLOOKUP($G209,$B$9:$B$13,$F$9:$F$13),MAX(IF(IFERROR(OFFSET(D211,0,_xlfn.XLOOKUP($G209,$B$9:$B$13,$C$9:$C$13)),0)=MAX($C211:$L211),_xlfn.MINIFS($C211:$L211,$C211:$L211,"&gt;0")*_xlfn.XLOOKUP($G209,$B$9:$B$13,$D$9:$D$13),IFERROR(OFFSET(D211,0,_xlfn.XLOOKUP($G209,$B$9:$B$13,$C$9:$C$13))*_xlfn.XLOOKUP($G209,$B$9:$B$13,$D$9:$D$13),0)),IFERROR(OFFSET(D211,0,_xlfn.XLOOKUP($G209,$B$9:$B$13,$E$9:$E$13))*_xlfn.XLOOKUP($G209,$B$9:$B$13,$F$9:$F$13),0),B213)))</f>
        <v>0</v>
      </c>
      <c r="E213" s="196">
        <f t="shared" ref="E213" ca="1" si="710">IF($I209="N",E211,IF($G209="1. In Flight",1,$G$9)*MIN(MAX($C211:$L211)*_xlfn.XLOOKUP($G209,$B$9:$B$13,$F$9:$F$13),MAX(IF(IFERROR(OFFSET(E211,0,_xlfn.XLOOKUP($G209,$B$9:$B$13,$C$9:$C$13)),0)=MAX($C211:$L211),_xlfn.MINIFS($C211:$L211,$C211:$L211,"&gt;0")*_xlfn.XLOOKUP($G209,$B$9:$B$13,$D$9:$D$13),IFERROR(OFFSET(E211,0,_xlfn.XLOOKUP($G209,$B$9:$B$13,$C$9:$C$13))*_xlfn.XLOOKUP($G209,$B$9:$B$13,$D$9:$D$13),0)),IFERROR(OFFSET(E211,0,_xlfn.XLOOKUP($G209,$B$9:$B$13,$E$9:$E$13))*_xlfn.XLOOKUP($G209,$B$9:$B$13,$F$9:$F$13),0),C213)))</f>
        <v>0</v>
      </c>
      <c r="F213" s="196">
        <f t="shared" ref="F213" ca="1" si="711">IF($I209="N",F211,IF($G209="1. In Flight",1,$G$9)*MIN(MAX($C211:$L211)*_xlfn.XLOOKUP($G209,$B$9:$B$13,$F$9:$F$13),MAX(IF(IFERROR(OFFSET(F211,0,_xlfn.XLOOKUP($G209,$B$9:$B$13,$C$9:$C$13)),0)=MAX($C211:$L211),_xlfn.MINIFS($C211:$L211,$C211:$L211,"&gt;0")*_xlfn.XLOOKUP($G209,$B$9:$B$13,$D$9:$D$13),IFERROR(OFFSET(F211,0,_xlfn.XLOOKUP($G209,$B$9:$B$13,$C$9:$C$13))*_xlfn.XLOOKUP($G209,$B$9:$B$13,$D$9:$D$13),0)),IFERROR(OFFSET(F211,0,_xlfn.XLOOKUP($G209,$B$9:$B$13,$E$9:$E$13))*_xlfn.XLOOKUP($G209,$B$9:$B$13,$F$9:$F$13),0),D213)))</f>
        <v>0</v>
      </c>
      <c r="G213" s="196">
        <f t="shared" ref="G213" ca="1" si="712">IF($I209="N",G211,IF($G209="1. In Flight",1,$G$9)*MIN(MAX($C211:$L211)*_xlfn.XLOOKUP($G209,$B$9:$B$13,$F$9:$F$13),MAX(IF(IFERROR(OFFSET(G211,0,_xlfn.XLOOKUP($G209,$B$9:$B$13,$C$9:$C$13)),0)=MAX($C211:$L211),_xlfn.MINIFS($C211:$L211,$C211:$L211,"&gt;0")*_xlfn.XLOOKUP($G209,$B$9:$B$13,$D$9:$D$13),IFERROR(OFFSET(G211,0,_xlfn.XLOOKUP($G209,$B$9:$B$13,$C$9:$C$13))*_xlfn.XLOOKUP($G209,$B$9:$B$13,$D$9:$D$13),0)),IFERROR(OFFSET(G211,0,_xlfn.XLOOKUP($G209,$B$9:$B$13,$E$9:$E$13))*_xlfn.XLOOKUP($G209,$B$9:$B$13,$F$9:$F$13),0),E213)))</f>
        <v>0</v>
      </c>
      <c r="H213" s="196">
        <f t="shared" ref="H213" ca="1" si="713">IF($I209="N",H211,IF($G209="1. In Flight",1,$G$9)*MIN(MAX($C211:$L211)*_xlfn.XLOOKUP($G209,$B$9:$B$13,$F$9:$F$13),MAX(IF(IFERROR(OFFSET(H211,0,_xlfn.XLOOKUP($G209,$B$9:$B$13,$C$9:$C$13)),0)=MAX($C211:$L211),_xlfn.MINIFS($C211:$L211,$C211:$L211,"&gt;0")*_xlfn.XLOOKUP($G209,$B$9:$B$13,$D$9:$D$13),IFERROR(OFFSET(H211,0,_xlfn.XLOOKUP($G209,$B$9:$B$13,$C$9:$C$13))*_xlfn.XLOOKUP($G209,$B$9:$B$13,$D$9:$D$13),0)),IFERROR(OFFSET(H211,0,_xlfn.XLOOKUP($G209,$B$9:$B$13,$E$9:$E$13))*_xlfn.XLOOKUP($G209,$B$9:$B$13,$F$9:$F$13),0),F213)))</f>
        <v>0</v>
      </c>
      <c r="I213" s="196">
        <f t="shared" ref="I213" ca="1" si="714">IF($I209="N",I211,IF($G209="1. In Flight",1,$G$9)*MIN(MAX($C211:$L211)*_xlfn.XLOOKUP($G209,$B$9:$B$13,$F$9:$F$13),MAX(IF(IFERROR(OFFSET(I211,0,_xlfn.XLOOKUP($G209,$B$9:$B$13,$C$9:$C$13)),0)=MAX($C211:$L211),_xlfn.MINIFS($C211:$L211,$C211:$L211,"&gt;0")*_xlfn.XLOOKUP($G209,$B$9:$B$13,$D$9:$D$13),IFERROR(OFFSET(I211,0,_xlfn.XLOOKUP($G209,$B$9:$B$13,$C$9:$C$13))*_xlfn.XLOOKUP($G209,$B$9:$B$13,$D$9:$D$13),0)),IFERROR(OFFSET(I211,0,_xlfn.XLOOKUP($G209,$B$9:$B$13,$E$9:$E$13))*_xlfn.XLOOKUP($G209,$B$9:$B$13,$F$9:$F$13),0),G213)))</f>
        <v>0</v>
      </c>
      <c r="J213" s="196">
        <f t="shared" ref="J213" ca="1" si="715">IF($I209="N",J211,IF($G209="1. In Flight",1,$G$9)*MIN(MAX($C211:$L211)*_xlfn.XLOOKUP($G209,$B$9:$B$13,$F$9:$F$13),MAX(IF(IFERROR(OFFSET(J211,0,_xlfn.XLOOKUP($G209,$B$9:$B$13,$C$9:$C$13)),0)=MAX($C211:$L211),_xlfn.MINIFS($C211:$L211,$C211:$L211,"&gt;0")*_xlfn.XLOOKUP($G209,$B$9:$B$13,$D$9:$D$13),IFERROR(OFFSET(J211,0,_xlfn.XLOOKUP($G209,$B$9:$B$13,$C$9:$C$13))*_xlfn.XLOOKUP($G209,$B$9:$B$13,$D$9:$D$13),0)),IFERROR(OFFSET(J211,0,_xlfn.XLOOKUP($G209,$B$9:$B$13,$E$9:$E$13))*_xlfn.XLOOKUP($G209,$B$9:$B$13,$F$9:$F$13),0),H213)))</f>
        <v>0</v>
      </c>
      <c r="K213" s="196">
        <f t="shared" ref="K213" ca="1" si="716">IF($I209="N",K211,IF($G209="1. In Flight",1,$G$9)*MIN(MAX($C211:$L211)*_xlfn.XLOOKUP($G209,$B$9:$B$13,$F$9:$F$13),MAX(IF(IFERROR(OFFSET(K211,0,_xlfn.XLOOKUP($G209,$B$9:$B$13,$C$9:$C$13)),0)=MAX($C211:$L211),_xlfn.MINIFS($C211:$L211,$C211:$L211,"&gt;0")*_xlfn.XLOOKUP($G209,$B$9:$B$13,$D$9:$D$13),IFERROR(OFFSET(K211,0,_xlfn.XLOOKUP($G209,$B$9:$B$13,$C$9:$C$13))*_xlfn.XLOOKUP($G209,$B$9:$B$13,$D$9:$D$13),0)),IFERROR(OFFSET(K211,0,_xlfn.XLOOKUP($G209,$B$9:$B$13,$E$9:$E$13))*_xlfn.XLOOKUP($G209,$B$9:$B$13,$F$9:$F$13),0),I213)))</f>
        <v>0</v>
      </c>
      <c r="L213" s="196">
        <f t="shared" ref="L213" ca="1" si="717">IF($I209="N",L211,IF($G209="1. In Flight",1,$G$9)*MIN(MAX($C211:$L211)*_xlfn.XLOOKUP($G209,$B$9:$B$13,$F$9:$F$13),MAX(IF(IFERROR(OFFSET(L211,0,_xlfn.XLOOKUP($G209,$B$9:$B$13,$C$9:$C$13)),0)=MAX($C211:$L211),_xlfn.MINIFS($C211:$L211,$C211:$L211,"&gt;0")*_xlfn.XLOOKUP($G209,$B$9:$B$13,$D$9:$D$13),IFERROR(OFFSET(L211,0,_xlfn.XLOOKUP($G209,$B$9:$B$13,$C$9:$C$13))*_xlfn.XLOOKUP($G209,$B$9:$B$13,$D$9:$D$13),0)),IFERROR(OFFSET(L211,0,_xlfn.XLOOKUP($G209,$B$9:$B$13,$E$9:$E$13))*_xlfn.XLOOKUP($G209,$B$9:$B$13,$F$9:$F$13),0),J213)))</f>
        <v>0</v>
      </c>
    </row>
    <row r="214" spans="1:12" ht="15" thickBot="1">
      <c r="A214" s="197" t="s">
        <v>109</v>
      </c>
      <c r="B214" s="198">
        <f>B211</f>
        <v>0</v>
      </c>
      <c r="C214" s="198">
        <f ca="1">IF($I209="N",C211,IF($G209="1. In Flight",1,$G$14)*MIN(MAX($C211:$L211)*_xlfn.XLOOKUP($G209,$B$14:$B$18,$F$14:$F$18),MAX(IF(IFERROR(OFFSET(C211,0,_xlfn.XLOOKUP($G209,$B$14:$B$18,$C$14:$C$18)),0)=MAX($C211:$L211),_xlfn.MINIFS($C211:$L211,$C211:$L211,"&gt;0")*_xlfn.XLOOKUP($G209,$B$14:$B$18,$D$14:$D$18),IFERROR(OFFSET(C211,0,_xlfn.XLOOKUP($G209,$B$14:$B$18,$C$14:$C$18))*_xlfn.XLOOKUP($G209,$B$14:$B$18,$D$14:$D$18),0)),IFERROR(OFFSET(C211,0,_xlfn.XLOOKUP($G209,$B$14:$B$18,$E$14:$E$18))*_xlfn.XLOOKUP($G209,$B$14:$B$18,$F$14:$F$18),0),A214)))</f>
        <v>0</v>
      </c>
      <c r="D214" s="198">
        <f t="shared" ref="D214" ca="1" si="718">IF($I209="N",D211,IF($G209="1. In Flight",1,$G$14)*MIN(MAX($C211:$L211)*_xlfn.XLOOKUP($G209,$B$14:$B$18,$F$14:$F$18),MAX(IF(IFERROR(OFFSET(D211,0,_xlfn.XLOOKUP($G209,$B$14:$B$18,$C$14:$C$18)),0)=MAX($C211:$L211),_xlfn.MINIFS($C211:$L211,$C211:$L211,"&gt;0")*_xlfn.XLOOKUP($G209,$B$14:$B$18,$D$14:$D$18),IFERROR(OFFSET(D211,0,_xlfn.XLOOKUP($G209,$B$14:$B$18,$C$14:$C$18))*_xlfn.XLOOKUP($G209,$B$14:$B$18,$D$14:$D$18),0)),IFERROR(OFFSET(D211,0,_xlfn.XLOOKUP($G209,$B$14:$B$18,$E$14:$E$18))*_xlfn.XLOOKUP($G209,$B$14:$B$18,$F$14:$F$18),0),B214)))</f>
        <v>0</v>
      </c>
      <c r="E214" s="198">
        <f t="shared" ref="E214" ca="1" si="719">IF($I209="N",E211,IF($G209="1. In Flight",1,$G$14)*MIN(MAX($C211:$L211)*_xlfn.XLOOKUP($G209,$B$14:$B$18,$F$14:$F$18),MAX(IF(IFERROR(OFFSET(E211,0,_xlfn.XLOOKUP($G209,$B$14:$B$18,$C$14:$C$18)),0)=MAX($C211:$L211),_xlfn.MINIFS($C211:$L211,$C211:$L211,"&gt;0")*_xlfn.XLOOKUP($G209,$B$14:$B$18,$D$14:$D$18),IFERROR(OFFSET(E211,0,_xlfn.XLOOKUP($G209,$B$14:$B$18,$C$14:$C$18))*_xlfn.XLOOKUP($G209,$B$14:$B$18,$D$14:$D$18),0)),IFERROR(OFFSET(E211,0,_xlfn.XLOOKUP($G209,$B$14:$B$18,$E$14:$E$18))*_xlfn.XLOOKUP($G209,$B$14:$B$18,$F$14:$F$18),0),C214)))</f>
        <v>0</v>
      </c>
      <c r="F214" s="198">
        <f t="shared" ref="F214" ca="1" si="720">IF($I209="N",F211,IF($G209="1. In Flight",1,$G$14)*MIN(MAX($C211:$L211)*_xlfn.XLOOKUP($G209,$B$14:$B$18,$F$14:$F$18),MAX(IF(IFERROR(OFFSET(F211,0,_xlfn.XLOOKUP($G209,$B$14:$B$18,$C$14:$C$18)),0)=MAX($C211:$L211),_xlfn.MINIFS($C211:$L211,$C211:$L211,"&gt;0")*_xlfn.XLOOKUP($G209,$B$14:$B$18,$D$14:$D$18),IFERROR(OFFSET(F211,0,_xlfn.XLOOKUP($G209,$B$14:$B$18,$C$14:$C$18))*_xlfn.XLOOKUP($G209,$B$14:$B$18,$D$14:$D$18),0)),IFERROR(OFFSET(F211,0,_xlfn.XLOOKUP($G209,$B$14:$B$18,$E$14:$E$18))*_xlfn.XLOOKUP($G209,$B$14:$B$18,$F$14:$F$18),0),D214)))</f>
        <v>0</v>
      </c>
      <c r="G214" s="198">
        <f t="shared" ref="G214" ca="1" si="721">IF($I209="N",G211,IF($G209="1. In Flight",1,$G$14)*MIN(MAX($C211:$L211)*_xlfn.XLOOKUP($G209,$B$14:$B$18,$F$14:$F$18),MAX(IF(IFERROR(OFFSET(G211,0,_xlfn.XLOOKUP($G209,$B$14:$B$18,$C$14:$C$18)),0)=MAX($C211:$L211),_xlfn.MINIFS($C211:$L211,$C211:$L211,"&gt;0")*_xlfn.XLOOKUP($G209,$B$14:$B$18,$D$14:$D$18),IFERROR(OFFSET(G211,0,_xlfn.XLOOKUP($G209,$B$14:$B$18,$C$14:$C$18))*_xlfn.XLOOKUP($G209,$B$14:$B$18,$D$14:$D$18),0)),IFERROR(OFFSET(G211,0,_xlfn.XLOOKUP($G209,$B$14:$B$18,$E$14:$E$18))*_xlfn.XLOOKUP($G209,$B$14:$B$18,$F$14:$F$18),0),E214)))</f>
        <v>0</v>
      </c>
      <c r="H214" s="198">
        <f t="shared" ref="H214" ca="1" si="722">IF($I209="N",H211,IF($G209="1. In Flight",1,$G$14)*MIN(MAX($C211:$L211)*_xlfn.XLOOKUP($G209,$B$14:$B$18,$F$14:$F$18),MAX(IF(IFERROR(OFFSET(H211,0,_xlfn.XLOOKUP($G209,$B$14:$B$18,$C$14:$C$18)),0)=MAX($C211:$L211),_xlfn.MINIFS($C211:$L211,$C211:$L211,"&gt;0")*_xlfn.XLOOKUP($G209,$B$14:$B$18,$D$14:$D$18),IFERROR(OFFSET(H211,0,_xlfn.XLOOKUP($G209,$B$14:$B$18,$C$14:$C$18))*_xlfn.XLOOKUP($G209,$B$14:$B$18,$D$14:$D$18),0)),IFERROR(OFFSET(H211,0,_xlfn.XLOOKUP($G209,$B$14:$B$18,$E$14:$E$18))*_xlfn.XLOOKUP($G209,$B$14:$B$18,$F$14:$F$18),0),F214)))</f>
        <v>0</v>
      </c>
      <c r="I214" s="198">
        <f t="shared" ref="I214" ca="1" si="723">IF($I209="N",I211,IF($G209="1. In Flight",1,$G$14)*MIN(MAX($C211:$L211)*_xlfn.XLOOKUP($G209,$B$14:$B$18,$F$14:$F$18),MAX(IF(IFERROR(OFFSET(I211,0,_xlfn.XLOOKUP($G209,$B$14:$B$18,$C$14:$C$18)),0)=MAX($C211:$L211),_xlfn.MINIFS($C211:$L211,$C211:$L211,"&gt;0")*_xlfn.XLOOKUP($G209,$B$14:$B$18,$D$14:$D$18),IFERROR(OFFSET(I211,0,_xlfn.XLOOKUP($G209,$B$14:$B$18,$C$14:$C$18))*_xlfn.XLOOKUP($G209,$B$14:$B$18,$D$14:$D$18),0)),IFERROR(OFFSET(I211,0,_xlfn.XLOOKUP($G209,$B$14:$B$18,$E$14:$E$18))*_xlfn.XLOOKUP($G209,$B$14:$B$18,$F$14:$F$18),0),G214)))</f>
        <v>0</v>
      </c>
      <c r="J214" s="198">
        <f t="shared" ref="J214" ca="1" si="724">IF($I209="N",J211,IF($G209="1. In Flight",1,$G$14)*MIN(MAX($C211:$L211)*_xlfn.XLOOKUP($G209,$B$14:$B$18,$F$14:$F$18),MAX(IF(IFERROR(OFFSET(J211,0,_xlfn.XLOOKUP($G209,$B$14:$B$18,$C$14:$C$18)),0)=MAX($C211:$L211),_xlfn.MINIFS($C211:$L211,$C211:$L211,"&gt;0")*_xlfn.XLOOKUP($G209,$B$14:$B$18,$D$14:$D$18),IFERROR(OFFSET(J211,0,_xlfn.XLOOKUP($G209,$B$14:$B$18,$C$14:$C$18))*_xlfn.XLOOKUP($G209,$B$14:$B$18,$D$14:$D$18),0)),IFERROR(OFFSET(J211,0,_xlfn.XLOOKUP($G209,$B$14:$B$18,$E$14:$E$18))*_xlfn.XLOOKUP($G209,$B$14:$B$18,$F$14:$F$18),0),H214)))</f>
        <v>0</v>
      </c>
      <c r="K214" s="198">
        <f t="shared" ref="K214" ca="1" si="725">IF($I209="N",K211,IF($G209="1. In Flight",1,$G$14)*MIN(MAX($C211:$L211)*_xlfn.XLOOKUP($G209,$B$14:$B$18,$F$14:$F$18),MAX(IF(IFERROR(OFFSET(K211,0,_xlfn.XLOOKUP($G209,$B$14:$B$18,$C$14:$C$18)),0)=MAX($C211:$L211),_xlfn.MINIFS($C211:$L211,$C211:$L211,"&gt;0")*_xlfn.XLOOKUP($G209,$B$14:$B$18,$D$14:$D$18),IFERROR(OFFSET(K211,0,_xlfn.XLOOKUP($G209,$B$14:$B$18,$C$14:$C$18))*_xlfn.XLOOKUP($G209,$B$14:$B$18,$D$14:$D$18),0)),IFERROR(OFFSET(K211,0,_xlfn.XLOOKUP($G209,$B$14:$B$18,$E$14:$E$18))*_xlfn.XLOOKUP($G209,$B$14:$B$18,$F$14:$F$18),0),I214)))</f>
        <v>6.3180851280046895</v>
      </c>
      <c r="L214" s="198">
        <f t="shared" ref="L214" ca="1" si="726">IF($I209="N",L211,IF($G209="1. In Flight",1,$G$14)*MIN(MAX($C211:$L211)*_xlfn.XLOOKUP($G209,$B$14:$B$18,$F$14:$F$18),MAX(IF(IFERROR(OFFSET(L211,0,_xlfn.XLOOKUP($G209,$B$14:$B$18,$C$14:$C$18)),0)=MAX($C211:$L211),_xlfn.MINIFS($C211:$L211,$C211:$L211,"&gt;0")*_xlfn.XLOOKUP($G209,$B$14:$B$18,$D$14:$D$18),IFERROR(OFFSET(L211,0,_xlfn.XLOOKUP($G209,$B$14:$B$18,$C$14:$C$18))*_xlfn.XLOOKUP($G209,$B$14:$B$18,$D$14:$D$18),0)),IFERROR(OFFSET(L211,0,_xlfn.XLOOKUP($G209,$B$14:$B$18,$E$14:$E$18))*_xlfn.XLOOKUP($G209,$B$14:$B$18,$F$14:$F$18),0),J214)))</f>
        <v>9.002399413718976</v>
      </c>
    </row>
    <row r="215" spans="1:12" ht="15" thickTop="1"/>
    <row r="216" spans="1:12" ht="15" thickBot="1">
      <c r="A216" s="231">
        <f>_xlfn.XLOOKUP(F216,FEED!D:D,FEED!E:E,FALSE)</f>
        <v>0</v>
      </c>
      <c r="B216" s="232"/>
      <c r="C216" s="188"/>
      <c r="D216" s="200" t="s">
        <v>127</v>
      </c>
      <c r="E216" s="200" t="s">
        <v>123</v>
      </c>
      <c r="F216" s="189" t="s">
        <v>68</v>
      </c>
      <c r="G216" s="189" t="str">
        <f>IFERROR(_xlfn.XLOOKUP(F216,FEED!$D:$D,FEED!$S:$S),$B$8)</f>
        <v>1. In Flight</v>
      </c>
      <c r="H216" s="189" t="str">
        <f>IFERROR(_xlfn.XLOOKUP(F216,FEED!$D:$D,FEED!$Y:$Y),"Major Load")</f>
        <v>Data Centre</v>
      </c>
      <c r="I216" s="189" t="str">
        <f>IFERROR(_xlfn.XLOOKUP(F216,FEED!$D:$D,FEED!$C:$C),"N")</f>
        <v>Y</v>
      </c>
      <c r="J216" s="190"/>
      <c r="K216" s="190"/>
      <c r="L216" s="190"/>
    </row>
    <row r="217" spans="1:12" ht="15" thickBot="1">
      <c r="A217" s="191" t="str">
        <f t="shared" ref="A217" si="727">A238</f>
        <v>Uptake Scenario</v>
      </c>
      <c r="B217" s="192">
        <f>B210</f>
        <v>2023</v>
      </c>
      <c r="C217" s="192">
        <f t="shared" ref="C217:L217" si="728">C210</f>
        <v>2024</v>
      </c>
      <c r="D217" s="192">
        <f t="shared" si="728"/>
        <v>2025</v>
      </c>
      <c r="E217" s="192">
        <f t="shared" si="728"/>
        <v>2026</v>
      </c>
      <c r="F217" s="192">
        <f t="shared" si="728"/>
        <v>2027</v>
      </c>
      <c r="G217" s="192">
        <f t="shared" si="728"/>
        <v>2028</v>
      </c>
      <c r="H217" s="192">
        <f t="shared" si="728"/>
        <v>2029</v>
      </c>
      <c r="I217" s="192">
        <f t="shared" si="728"/>
        <v>2030</v>
      </c>
      <c r="J217" s="192">
        <f t="shared" si="728"/>
        <v>2031</v>
      </c>
      <c r="K217" s="192">
        <f t="shared" si="728"/>
        <v>2032</v>
      </c>
      <c r="L217" s="192">
        <f t="shared" si="728"/>
        <v>2033</v>
      </c>
    </row>
    <row r="218" spans="1:12" ht="15.6" thickTop="1" thickBot="1">
      <c r="A218" s="193" t="s">
        <v>111</v>
      </c>
      <c r="B218" s="194">
        <v>0</v>
      </c>
      <c r="C218" s="194">
        <f>SUMIF(FEED!$D:$D,$F216,FEED!F:F)+B218</f>
        <v>0</v>
      </c>
      <c r="D218" s="194">
        <f>SUMIF(FEED!$D:$D,$F216,FEED!G:G)+C218</f>
        <v>0</v>
      </c>
      <c r="E218" s="194">
        <f>SUMIF(FEED!$D:$D,$F216,FEED!H:H)+D218</f>
        <v>0</v>
      </c>
      <c r="F218" s="194">
        <f>SUMIF(FEED!$D:$D,$F216,FEED!I:I)+E218</f>
        <v>8.7751182333398461</v>
      </c>
      <c r="G218" s="194">
        <f>SUMIF(FEED!$D:$D,$F216,FEED!J:J)+F218</f>
        <v>12.503332519054133</v>
      </c>
      <c r="H218" s="194">
        <f>SUMIF(FEED!$D:$D,$F216,FEED!K:K)+G218</f>
        <v>15.271903947625564</v>
      </c>
      <c r="I218" s="194">
        <f>SUMIF(FEED!$D:$D,$F216,FEED!L:L)+H218</f>
        <v>23.537903947625566</v>
      </c>
      <c r="J218" s="194">
        <f>SUMIF(FEED!$D:$D,$F216,FEED!M:M)+I218</f>
        <v>28.942189661911279</v>
      </c>
      <c r="K218" s="194">
        <f>SUMIF(FEED!$D:$D,$F216,FEED!N:N)+J218</f>
        <v>34.785280828610517</v>
      </c>
      <c r="L218" s="194">
        <f>SUMIF(FEED!$D:$D,$F216,FEED!O:O)+K218</f>
        <v>41.319614031659178</v>
      </c>
    </row>
    <row r="219" spans="1:12" ht="15" thickBot="1">
      <c r="A219" s="195" t="s">
        <v>107</v>
      </c>
      <c r="B219" s="196">
        <f>B218</f>
        <v>0</v>
      </c>
      <c r="C219" s="196">
        <f ca="1">IF($I216="N",C218,IF($G216="1. In Flight",1,$G$4)*MIN(MAX($C218:$L218)*_xlfn.XLOOKUP($G216,$B$4:$B$8,$F$4:$F$8),MAX(IF(IFERROR(OFFSET(C218,0,_xlfn.XLOOKUP($G216,$B$4:$B$8,$C$4:$C$8)),0)=MAX($C218:$L218),_xlfn.MINIFS($C218:$L218,$C218:$L218,"&gt;0")*_xlfn.XLOOKUP($G216,$B$4:$B$8,$D$4:$D$8),IFERROR(OFFSET(C218,0,_xlfn.XLOOKUP($G216,$B$4:$B$8,$C$4:$C$8))*_xlfn.XLOOKUP($G216,$B$4:$B$8,$D$4:$D$8),0)),IFERROR(OFFSET(C218,0,_xlfn.XLOOKUP($G216,$B$4:$B$8,$E$4:$E$8))*_xlfn.XLOOKUP($G216,$B$4:$B$8,$F$4:$F$8),0),A219)))</f>
        <v>0</v>
      </c>
      <c r="D219" s="196">
        <f t="shared" ref="D219" ca="1" si="729">IF($I216="N",D218,IF($G216="1. In Flight",1,$G$4)*MIN(MAX($C218:$L218)*_xlfn.XLOOKUP($G216,$B$4:$B$8,$F$4:$F$8),MAX(IF(IFERROR(OFFSET(D218,0,_xlfn.XLOOKUP($G216,$B$4:$B$8,$C$4:$C$8)),0)=MAX($C218:$L218),_xlfn.MINIFS($C218:$L218,$C218:$L218,"&gt;0")*_xlfn.XLOOKUP($G216,$B$4:$B$8,$D$4:$D$8),IFERROR(OFFSET(D218,0,_xlfn.XLOOKUP($G216,$B$4:$B$8,$C$4:$C$8))*_xlfn.XLOOKUP($G216,$B$4:$B$8,$D$4:$D$8),0)),IFERROR(OFFSET(D218,0,_xlfn.XLOOKUP($G216,$B$4:$B$8,$E$4:$E$8))*_xlfn.XLOOKUP($G216,$B$4:$B$8,$F$4:$F$8),0),B219)))</f>
        <v>0</v>
      </c>
      <c r="E219" s="196">
        <f t="shared" ref="E219" ca="1" si="730">IF($I216="N",E218,IF($G216="1. In Flight",1,$G$4)*MIN(MAX($C218:$L218)*_xlfn.XLOOKUP($G216,$B$4:$B$8,$F$4:$F$8),MAX(IF(IFERROR(OFFSET(E218,0,_xlfn.XLOOKUP($G216,$B$4:$B$8,$C$4:$C$8)),0)=MAX($C218:$L218),_xlfn.MINIFS($C218:$L218,$C218:$L218,"&gt;0")*_xlfn.XLOOKUP($G216,$B$4:$B$8,$D$4:$D$8),IFERROR(OFFSET(E218,0,_xlfn.XLOOKUP($G216,$B$4:$B$8,$C$4:$C$8))*_xlfn.XLOOKUP($G216,$B$4:$B$8,$D$4:$D$8),0)),IFERROR(OFFSET(E218,0,_xlfn.XLOOKUP($G216,$B$4:$B$8,$E$4:$E$8))*_xlfn.XLOOKUP($G216,$B$4:$B$8,$F$4:$F$8),0),C219)))</f>
        <v>0</v>
      </c>
      <c r="F219" s="196">
        <f t="shared" ref="F219" ca="1" si="731">IF($I216="N",F218,IF($G216="1. In Flight",1,$G$4)*MIN(MAX($C218:$L218)*_xlfn.XLOOKUP($G216,$B$4:$B$8,$F$4:$F$8),MAX(IF(IFERROR(OFFSET(F218,0,_xlfn.XLOOKUP($G216,$B$4:$B$8,$C$4:$C$8)),0)=MAX($C218:$L218),_xlfn.MINIFS($C218:$L218,$C218:$L218,"&gt;0")*_xlfn.XLOOKUP($G216,$B$4:$B$8,$D$4:$D$8),IFERROR(OFFSET(F218,0,_xlfn.XLOOKUP($G216,$B$4:$B$8,$C$4:$C$8))*_xlfn.XLOOKUP($G216,$B$4:$B$8,$D$4:$D$8),0)),IFERROR(OFFSET(F218,0,_xlfn.XLOOKUP($G216,$B$4:$B$8,$E$4:$E$8))*_xlfn.XLOOKUP($G216,$B$4:$B$8,$F$4:$F$8),0),D219)))</f>
        <v>0</v>
      </c>
      <c r="G219" s="196">
        <f t="shared" ref="G219" ca="1" si="732">IF($I216="N",G218,IF($G216="1. In Flight",1,$G$4)*MIN(MAX($C218:$L218)*_xlfn.XLOOKUP($G216,$B$4:$B$8,$F$4:$F$8),MAX(IF(IFERROR(OFFSET(G218,0,_xlfn.XLOOKUP($G216,$B$4:$B$8,$C$4:$C$8)),0)=MAX($C218:$L218),_xlfn.MINIFS($C218:$L218,$C218:$L218,"&gt;0")*_xlfn.XLOOKUP($G216,$B$4:$B$8,$D$4:$D$8),IFERROR(OFFSET(G218,0,_xlfn.XLOOKUP($G216,$B$4:$B$8,$C$4:$C$8))*_xlfn.XLOOKUP($G216,$B$4:$B$8,$D$4:$D$8),0)),IFERROR(OFFSET(G218,0,_xlfn.XLOOKUP($G216,$B$4:$B$8,$E$4:$E$8))*_xlfn.XLOOKUP($G216,$B$4:$B$8,$F$4:$F$8),0),E219)))</f>
        <v>7.8976064100058618</v>
      </c>
      <c r="H219" s="196">
        <f t="shared" ref="H219" ca="1" si="733">IF($I216="N",H218,IF($G216="1. In Flight",1,$G$4)*MIN(MAX($C218:$L218)*_xlfn.XLOOKUP($G216,$B$4:$B$8,$F$4:$F$8),MAX(IF(IFERROR(OFFSET(H218,0,_xlfn.XLOOKUP($G216,$B$4:$B$8,$C$4:$C$8)),0)=MAX($C218:$L218),_xlfn.MINIFS($C218:$L218,$C218:$L218,"&gt;0")*_xlfn.XLOOKUP($G216,$B$4:$B$8,$D$4:$D$8),IFERROR(OFFSET(H218,0,_xlfn.XLOOKUP($G216,$B$4:$B$8,$C$4:$C$8))*_xlfn.XLOOKUP($G216,$B$4:$B$8,$D$4:$D$8),0)),IFERROR(OFFSET(H218,0,_xlfn.XLOOKUP($G216,$B$4:$B$8,$E$4:$E$8))*_xlfn.XLOOKUP($G216,$B$4:$B$8,$F$4:$F$8),0),F219)))</f>
        <v>11.25299926714872</v>
      </c>
      <c r="I219" s="196">
        <f t="shared" ref="I219" ca="1" si="734">IF($I216="N",I218,IF($G216="1. In Flight",1,$G$4)*MIN(MAX($C218:$L218)*_xlfn.XLOOKUP($G216,$B$4:$B$8,$F$4:$F$8),MAX(IF(IFERROR(OFFSET(I218,0,_xlfn.XLOOKUP($G216,$B$4:$B$8,$C$4:$C$8)),0)=MAX($C218:$L218),_xlfn.MINIFS($C218:$L218,$C218:$L218,"&gt;0")*_xlfn.XLOOKUP($G216,$B$4:$B$8,$D$4:$D$8),IFERROR(OFFSET(I218,0,_xlfn.XLOOKUP($G216,$B$4:$B$8,$C$4:$C$8))*_xlfn.XLOOKUP($G216,$B$4:$B$8,$D$4:$D$8),0)),IFERROR(OFFSET(I218,0,_xlfn.XLOOKUP($G216,$B$4:$B$8,$E$4:$E$8))*_xlfn.XLOOKUP($G216,$B$4:$B$8,$F$4:$F$8),0),G219)))</f>
        <v>13.744713552863008</v>
      </c>
      <c r="J219" s="196">
        <f t="shared" ref="J219" ca="1" si="735">IF($I216="N",J218,IF($G216="1. In Flight",1,$G$4)*MIN(MAX($C218:$L218)*_xlfn.XLOOKUP($G216,$B$4:$B$8,$F$4:$F$8),MAX(IF(IFERROR(OFFSET(J218,0,_xlfn.XLOOKUP($G216,$B$4:$B$8,$C$4:$C$8)),0)=MAX($C218:$L218),_xlfn.MINIFS($C218:$L218,$C218:$L218,"&gt;0")*_xlfn.XLOOKUP($G216,$B$4:$B$8,$D$4:$D$8),IFERROR(OFFSET(J218,0,_xlfn.XLOOKUP($G216,$B$4:$B$8,$C$4:$C$8))*_xlfn.XLOOKUP($G216,$B$4:$B$8,$D$4:$D$8),0)),IFERROR(OFFSET(J218,0,_xlfn.XLOOKUP($G216,$B$4:$B$8,$E$4:$E$8))*_xlfn.XLOOKUP($G216,$B$4:$B$8,$F$4:$F$8),0),H219)))</f>
        <v>21.18411355286301</v>
      </c>
      <c r="K219" s="196">
        <f t="shared" ref="K219" ca="1" si="736">IF($I216="N",K218,IF($G216="1. In Flight",1,$G$4)*MIN(MAX($C218:$L218)*_xlfn.XLOOKUP($G216,$B$4:$B$8,$F$4:$F$8),MAX(IF(IFERROR(OFFSET(K218,0,_xlfn.XLOOKUP($G216,$B$4:$B$8,$C$4:$C$8)),0)=MAX($C218:$L218),_xlfn.MINIFS($C218:$L218,$C218:$L218,"&gt;0")*_xlfn.XLOOKUP($G216,$B$4:$B$8,$D$4:$D$8),IFERROR(OFFSET(K218,0,_xlfn.XLOOKUP($G216,$B$4:$B$8,$C$4:$C$8))*_xlfn.XLOOKUP($G216,$B$4:$B$8,$D$4:$D$8),0)),IFERROR(OFFSET(K218,0,_xlfn.XLOOKUP($G216,$B$4:$B$8,$E$4:$E$8))*_xlfn.XLOOKUP($G216,$B$4:$B$8,$F$4:$F$8),0),I219)))</f>
        <v>26.047970695720153</v>
      </c>
      <c r="L219" s="196">
        <f t="shared" ref="L219" ca="1" si="737">IF($I216="N",L218,IF($G216="1. In Flight",1,$G$4)*MIN(MAX($C218:$L218)*_xlfn.XLOOKUP($G216,$B$4:$B$8,$F$4:$F$8),MAX(IF(IFERROR(OFFSET(L218,0,_xlfn.XLOOKUP($G216,$B$4:$B$8,$C$4:$C$8)),0)=MAX($C218:$L218),_xlfn.MINIFS($C218:$L218,$C218:$L218,"&gt;0")*_xlfn.XLOOKUP($G216,$B$4:$B$8,$D$4:$D$8),IFERROR(OFFSET(L218,0,_xlfn.XLOOKUP($G216,$B$4:$B$8,$C$4:$C$8))*_xlfn.XLOOKUP($G216,$B$4:$B$8,$D$4:$D$8),0)),IFERROR(OFFSET(L218,0,_xlfn.XLOOKUP($G216,$B$4:$B$8,$E$4:$E$8))*_xlfn.XLOOKUP($G216,$B$4:$B$8,$F$4:$F$8),0),J219)))</f>
        <v>28.923729822161423</v>
      </c>
    </row>
    <row r="220" spans="1:12" ht="15" thickBot="1">
      <c r="A220" s="195" t="s">
        <v>108</v>
      </c>
      <c r="B220" s="196">
        <f>B218</f>
        <v>0</v>
      </c>
      <c r="C220" s="196">
        <f ca="1">IF($I216="N",C218,IF($G216="1. In Flight",1,$G$9)*MIN(MAX($C218:$L218)*_xlfn.XLOOKUP($G216,$B$9:$B$13,$F$9:$F$13),MAX(IF(IFERROR(OFFSET(C218,0,_xlfn.XLOOKUP($G216,$B$9:$B$13,$C$9:$C$13)),0)=MAX($C218:$L218),_xlfn.MINIFS($C218:$L218,$C218:$L218,"&gt;0")*_xlfn.XLOOKUP($G216,$B$9:$B$13,$D$9:$D$13),IFERROR(OFFSET(C218,0,_xlfn.XLOOKUP($G216,$B$9:$B$13,$C$9:$C$13))*_xlfn.XLOOKUP($G216,$B$9:$B$13,$D$9:$D$13),0)),IFERROR(OFFSET(C218,0,_xlfn.XLOOKUP($G216,$B$9:$B$13,$E$9:$E$13))*_xlfn.XLOOKUP($G216,$B$9:$B$13,$F$9:$F$13),0),A220)))</f>
        <v>0</v>
      </c>
      <c r="D220" s="196">
        <f t="shared" ref="D220" ca="1" si="738">IF($I216="N",D218,IF($G216="1. In Flight",1,$G$9)*MIN(MAX($C218:$L218)*_xlfn.XLOOKUP($G216,$B$9:$B$13,$F$9:$F$13),MAX(IF(IFERROR(OFFSET(D218,0,_xlfn.XLOOKUP($G216,$B$9:$B$13,$C$9:$C$13)),0)=MAX($C218:$L218),_xlfn.MINIFS($C218:$L218,$C218:$L218,"&gt;0")*_xlfn.XLOOKUP($G216,$B$9:$B$13,$D$9:$D$13),IFERROR(OFFSET(D218,0,_xlfn.XLOOKUP($G216,$B$9:$B$13,$C$9:$C$13))*_xlfn.XLOOKUP($G216,$B$9:$B$13,$D$9:$D$13),0)),IFERROR(OFFSET(D218,0,_xlfn.XLOOKUP($G216,$B$9:$B$13,$E$9:$E$13))*_xlfn.XLOOKUP($G216,$B$9:$B$13,$F$9:$F$13),0),B220)))</f>
        <v>0</v>
      </c>
      <c r="E220" s="196">
        <f t="shared" ref="E220" ca="1" si="739">IF($I216="N",E218,IF($G216="1. In Flight",1,$G$9)*MIN(MAX($C218:$L218)*_xlfn.XLOOKUP($G216,$B$9:$B$13,$F$9:$F$13),MAX(IF(IFERROR(OFFSET(E218,0,_xlfn.XLOOKUP($G216,$B$9:$B$13,$C$9:$C$13)),0)=MAX($C218:$L218),_xlfn.MINIFS($C218:$L218,$C218:$L218,"&gt;0")*_xlfn.XLOOKUP($G216,$B$9:$B$13,$D$9:$D$13),IFERROR(OFFSET(E218,0,_xlfn.XLOOKUP($G216,$B$9:$B$13,$C$9:$C$13))*_xlfn.XLOOKUP($G216,$B$9:$B$13,$D$9:$D$13),0)),IFERROR(OFFSET(E218,0,_xlfn.XLOOKUP($G216,$B$9:$B$13,$E$9:$E$13))*_xlfn.XLOOKUP($G216,$B$9:$B$13,$F$9:$F$13),0),C220)))</f>
        <v>0</v>
      </c>
      <c r="F220" s="196">
        <f t="shared" ref="F220" ca="1" si="740">IF($I216="N",F218,IF($G216="1. In Flight",1,$G$9)*MIN(MAX($C218:$L218)*_xlfn.XLOOKUP($G216,$B$9:$B$13,$F$9:$F$13),MAX(IF(IFERROR(OFFSET(F218,0,_xlfn.XLOOKUP($G216,$B$9:$B$13,$C$9:$C$13)),0)=MAX($C218:$L218),_xlfn.MINIFS($C218:$L218,$C218:$L218,"&gt;0")*_xlfn.XLOOKUP($G216,$B$9:$B$13,$D$9:$D$13),IFERROR(OFFSET(F218,0,_xlfn.XLOOKUP($G216,$B$9:$B$13,$C$9:$C$13))*_xlfn.XLOOKUP($G216,$B$9:$B$13,$D$9:$D$13),0)),IFERROR(OFFSET(F218,0,_xlfn.XLOOKUP($G216,$B$9:$B$13,$E$9:$E$13))*_xlfn.XLOOKUP($G216,$B$9:$B$13,$F$9:$F$13),0),D220)))</f>
        <v>0</v>
      </c>
      <c r="G220" s="196">
        <f t="shared" ref="G220" ca="1" si="741">IF($I216="N",G218,IF($G216="1. In Flight",1,$G$9)*MIN(MAX($C218:$L218)*_xlfn.XLOOKUP($G216,$B$9:$B$13,$F$9:$F$13),MAX(IF(IFERROR(OFFSET(G218,0,_xlfn.XLOOKUP($G216,$B$9:$B$13,$C$9:$C$13)),0)=MAX($C218:$L218),_xlfn.MINIFS($C218:$L218,$C218:$L218,"&gt;0")*_xlfn.XLOOKUP($G216,$B$9:$B$13,$D$9:$D$13),IFERROR(OFFSET(G218,0,_xlfn.XLOOKUP($G216,$B$9:$B$13,$C$9:$C$13))*_xlfn.XLOOKUP($G216,$B$9:$B$13,$D$9:$D$13),0)),IFERROR(OFFSET(G218,0,_xlfn.XLOOKUP($G216,$B$9:$B$13,$E$9:$E$13))*_xlfn.XLOOKUP($G216,$B$9:$B$13,$F$9:$F$13),0),E220)))</f>
        <v>0</v>
      </c>
      <c r="H220" s="196">
        <f t="shared" ref="H220" ca="1" si="742">IF($I216="N",H218,IF($G216="1. In Flight",1,$G$9)*MIN(MAX($C218:$L218)*_xlfn.XLOOKUP($G216,$B$9:$B$13,$F$9:$F$13),MAX(IF(IFERROR(OFFSET(H218,0,_xlfn.XLOOKUP($G216,$B$9:$B$13,$C$9:$C$13)),0)=MAX($C218:$L218),_xlfn.MINIFS($C218:$L218,$C218:$L218,"&gt;0")*_xlfn.XLOOKUP($G216,$B$9:$B$13,$D$9:$D$13),IFERROR(OFFSET(H218,0,_xlfn.XLOOKUP($G216,$B$9:$B$13,$C$9:$C$13))*_xlfn.XLOOKUP($G216,$B$9:$B$13,$D$9:$D$13),0)),IFERROR(OFFSET(H218,0,_xlfn.XLOOKUP($G216,$B$9:$B$13,$E$9:$E$13))*_xlfn.XLOOKUP($G216,$B$9:$B$13,$F$9:$F$13),0),F220)))</f>
        <v>5.2650709400039073</v>
      </c>
      <c r="I220" s="196">
        <f t="shared" ref="I220" ca="1" si="743">IF($I216="N",I218,IF($G216="1. In Flight",1,$G$9)*MIN(MAX($C218:$L218)*_xlfn.XLOOKUP($G216,$B$9:$B$13,$F$9:$F$13),MAX(IF(IFERROR(OFFSET(I218,0,_xlfn.XLOOKUP($G216,$B$9:$B$13,$C$9:$C$13)),0)=MAX($C218:$L218),_xlfn.MINIFS($C218:$L218,$C218:$L218,"&gt;0")*_xlfn.XLOOKUP($G216,$B$9:$B$13,$D$9:$D$13),IFERROR(OFFSET(I218,0,_xlfn.XLOOKUP($G216,$B$9:$B$13,$C$9:$C$13))*_xlfn.XLOOKUP($G216,$B$9:$B$13,$D$9:$D$13),0)),IFERROR(OFFSET(I218,0,_xlfn.XLOOKUP($G216,$B$9:$B$13,$E$9:$E$13))*_xlfn.XLOOKUP($G216,$B$9:$B$13,$F$9:$F$13),0),G220)))</f>
        <v>7.50199951143248</v>
      </c>
      <c r="J220" s="196">
        <f t="shared" ref="J220" ca="1" si="744">IF($I216="N",J218,IF($G216="1. In Flight",1,$G$9)*MIN(MAX($C218:$L218)*_xlfn.XLOOKUP($G216,$B$9:$B$13,$F$9:$F$13),MAX(IF(IFERROR(OFFSET(J218,0,_xlfn.XLOOKUP($G216,$B$9:$B$13,$C$9:$C$13)),0)=MAX($C218:$L218),_xlfn.MINIFS($C218:$L218,$C218:$L218,"&gt;0")*_xlfn.XLOOKUP($G216,$B$9:$B$13,$D$9:$D$13),IFERROR(OFFSET(J218,0,_xlfn.XLOOKUP($G216,$B$9:$B$13,$C$9:$C$13))*_xlfn.XLOOKUP($G216,$B$9:$B$13,$D$9:$D$13),0)),IFERROR(OFFSET(J218,0,_xlfn.XLOOKUP($G216,$B$9:$B$13,$E$9:$E$13))*_xlfn.XLOOKUP($G216,$B$9:$B$13,$F$9:$F$13),0),H220)))</f>
        <v>9.1631423685753379</v>
      </c>
      <c r="K220" s="196">
        <f t="shared" ref="K220" ca="1" si="745">IF($I216="N",K218,IF($G216="1. In Flight",1,$G$9)*MIN(MAX($C218:$L218)*_xlfn.XLOOKUP($G216,$B$9:$B$13,$F$9:$F$13),MAX(IF(IFERROR(OFFSET(K218,0,_xlfn.XLOOKUP($G216,$B$9:$B$13,$C$9:$C$13)),0)=MAX($C218:$L218),_xlfn.MINIFS($C218:$L218,$C218:$L218,"&gt;0")*_xlfn.XLOOKUP($G216,$B$9:$B$13,$D$9:$D$13),IFERROR(OFFSET(K218,0,_xlfn.XLOOKUP($G216,$B$9:$B$13,$C$9:$C$13))*_xlfn.XLOOKUP($G216,$B$9:$B$13,$D$9:$D$13),0)),IFERROR(OFFSET(K218,0,_xlfn.XLOOKUP($G216,$B$9:$B$13,$E$9:$E$13))*_xlfn.XLOOKUP($G216,$B$9:$B$13,$F$9:$F$13),0),I220)))</f>
        <v>14.12274236857534</v>
      </c>
      <c r="L220" s="196">
        <f t="shared" ref="L220" ca="1" si="746">IF($I216="N",L218,IF($G216="1. In Flight",1,$G$9)*MIN(MAX($C218:$L218)*_xlfn.XLOOKUP($G216,$B$9:$B$13,$F$9:$F$13),MAX(IF(IFERROR(OFFSET(L218,0,_xlfn.XLOOKUP($G216,$B$9:$B$13,$C$9:$C$13)),0)=MAX($C218:$L218),_xlfn.MINIFS($C218:$L218,$C218:$L218,"&gt;0")*_xlfn.XLOOKUP($G216,$B$9:$B$13,$D$9:$D$13),IFERROR(OFFSET(L218,0,_xlfn.XLOOKUP($G216,$B$9:$B$13,$C$9:$C$13))*_xlfn.XLOOKUP($G216,$B$9:$B$13,$D$9:$D$13),0)),IFERROR(OFFSET(L218,0,_xlfn.XLOOKUP($G216,$B$9:$B$13,$E$9:$E$13))*_xlfn.XLOOKUP($G216,$B$9:$B$13,$F$9:$F$13),0),J220)))</f>
        <v>17.365313797146765</v>
      </c>
    </row>
    <row r="221" spans="1:12" ht="15" thickBot="1">
      <c r="A221" s="197" t="s">
        <v>109</v>
      </c>
      <c r="B221" s="198">
        <f>B218</f>
        <v>0</v>
      </c>
      <c r="C221" s="198">
        <f ca="1">IF($I216="N",C218,IF($G216="1. In Flight",1,$G$14)*MIN(MAX($C218:$L218)*_xlfn.XLOOKUP($G216,$B$14:$B$18,$F$14:$F$18),MAX(IF(IFERROR(OFFSET(C218,0,_xlfn.XLOOKUP($G216,$B$14:$B$18,$C$14:$C$18)),0)=MAX($C218:$L218),_xlfn.MINIFS($C218:$L218,$C218:$L218,"&gt;0")*_xlfn.XLOOKUP($G216,$B$14:$B$18,$D$14:$D$18),IFERROR(OFFSET(C218,0,_xlfn.XLOOKUP($G216,$B$14:$B$18,$C$14:$C$18))*_xlfn.XLOOKUP($G216,$B$14:$B$18,$D$14:$D$18),0)),IFERROR(OFFSET(C218,0,_xlfn.XLOOKUP($G216,$B$14:$B$18,$E$14:$E$18))*_xlfn.XLOOKUP($G216,$B$14:$B$18,$F$14:$F$18),0),A221)))</f>
        <v>0</v>
      </c>
      <c r="D221" s="198">
        <f t="shared" ref="D221" ca="1" si="747">IF($I216="N",D218,IF($G216="1. In Flight",1,$G$14)*MIN(MAX($C218:$L218)*_xlfn.XLOOKUP($G216,$B$14:$B$18,$F$14:$F$18),MAX(IF(IFERROR(OFFSET(D218,0,_xlfn.XLOOKUP($G216,$B$14:$B$18,$C$14:$C$18)),0)=MAX($C218:$L218),_xlfn.MINIFS($C218:$L218,$C218:$L218,"&gt;0")*_xlfn.XLOOKUP($G216,$B$14:$B$18,$D$14:$D$18),IFERROR(OFFSET(D218,0,_xlfn.XLOOKUP($G216,$B$14:$B$18,$C$14:$C$18))*_xlfn.XLOOKUP($G216,$B$14:$B$18,$D$14:$D$18),0)),IFERROR(OFFSET(D218,0,_xlfn.XLOOKUP($G216,$B$14:$B$18,$E$14:$E$18))*_xlfn.XLOOKUP($G216,$B$14:$B$18,$F$14:$F$18),0),B221)))</f>
        <v>0</v>
      </c>
      <c r="E221" s="198">
        <f t="shared" ref="E221" ca="1" si="748">IF($I216="N",E218,IF($G216="1. In Flight",1,$G$14)*MIN(MAX($C218:$L218)*_xlfn.XLOOKUP($G216,$B$14:$B$18,$F$14:$F$18),MAX(IF(IFERROR(OFFSET(E218,0,_xlfn.XLOOKUP($G216,$B$14:$B$18,$C$14:$C$18)),0)=MAX($C218:$L218),_xlfn.MINIFS($C218:$L218,$C218:$L218,"&gt;0")*_xlfn.XLOOKUP($G216,$B$14:$B$18,$D$14:$D$18),IFERROR(OFFSET(E218,0,_xlfn.XLOOKUP($G216,$B$14:$B$18,$C$14:$C$18))*_xlfn.XLOOKUP($G216,$B$14:$B$18,$D$14:$D$18),0)),IFERROR(OFFSET(E218,0,_xlfn.XLOOKUP($G216,$B$14:$B$18,$E$14:$E$18))*_xlfn.XLOOKUP($G216,$B$14:$B$18,$F$14:$F$18),0),C221)))</f>
        <v>0</v>
      </c>
      <c r="F221" s="198">
        <f t="shared" ref="F221" ca="1" si="749">IF($I216="N",F218,IF($G216="1. In Flight",1,$G$14)*MIN(MAX($C218:$L218)*_xlfn.XLOOKUP($G216,$B$14:$B$18,$F$14:$F$18),MAX(IF(IFERROR(OFFSET(F218,0,_xlfn.XLOOKUP($G216,$B$14:$B$18,$C$14:$C$18)),0)=MAX($C218:$L218),_xlfn.MINIFS($C218:$L218,$C218:$L218,"&gt;0")*_xlfn.XLOOKUP($G216,$B$14:$B$18,$D$14:$D$18),IFERROR(OFFSET(F218,0,_xlfn.XLOOKUP($G216,$B$14:$B$18,$C$14:$C$18))*_xlfn.XLOOKUP($G216,$B$14:$B$18,$D$14:$D$18),0)),IFERROR(OFFSET(F218,0,_xlfn.XLOOKUP($G216,$B$14:$B$18,$E$14:$E$18))*_xlfn.XLOOKUP($G216,$B$14:$B$18,$F$14:$F$18),0),D221)))</f>
        <v>8.7751182333398461</v>
      </c>
      <c r="G221" s="198">
        <f t="shared" ref="G221" ca="1" si="750">IF($I216="N",G218,IF($G216="1. In Flight",1,$G$14)*MIN(MAX($C218:$L218)*_xlfn.XLOOKUP($G216,$B$14:$B$18,$F$14:$F$18),MAX(IF(IFERROR(OFFSET(G218,0,_xlfn.XLOOKUP($G216,$B$14:$B$18,$C$14:$C$18)),0)=MAX($C218:$L218),_xlfn.MINIFS($C218:$L218,$C218:$L218,"&gt;0")*_xlfn.XLOOKUP($G216,$B$14:$B$18,$D$14:$D$18),IFERROR(OFFSET(G218,0,_xlfn.XLOOKUP($G216,$B$14:$B$18,$C$14:$C$18))*_xlfn.XLOOKUP($G216,$B$14:$B$18,$D$14:$D$18),0)),IFERROR(OFFSET(G218,0,_xlfn.XLOOKUP($G216,$B$14:$B$18,$E$14:$E$18))*_xlfn.XLOOKUP($G216,$B$14:$B$18,$F$14:$F$18),0),E221)))</f>
        <v>12.503332519054133</v>
      </c>
      <c r="H221" s="198">
        <f t="shared" ref="H221" ca="1" si="751">IF($I216="N",H218,IF($G216="1. In Flight",1,$G$14)*MIN(MAX($C218:$L218)*_xlfn.XLOOKUP($G216,$B$14:$B$18,$F$14:$F$18),MAX(IF(IFERROR(OFFSET(H218,0,_xlfn.XLOOKUP($G216,$B$14:$B$18,$C$14:$C$18)),0)=MAX($C218:$L218),_xlfn.MINIFS($C218:$L218,$C218:$L218,"&gt;0")*_xlfn.XLOOKUP($G216,$B$14:$B$18,$D$14:$D$18),IFERROR(OFFSET(H218,0,_xlfn.XLOOKUP($G216,$B$14:$B$18,$C$14:$C$18))*_xlfn.XLOOKUP($G216,$B$14:$B$18,$D$14:$D$18),0)),IFERROR(OFFSET(H218,0,_xlfn.XLOOKUP($G216,$B$14:$B$18,$E$14:$E$18))*_xlfn.XLOOKUP($G216,$B$14:$B$18,$F$14:$F$18),0),F221)))</f>
        <v>15.271903947625564</v>
      </c>
      <c r="I221" s="198">
        <f t="shared" ref="I221" ca="1" si="752">IF($I216="N",I218,IF($G216="1. In Flight",1,$G$14)*MIN(MAX($C218:$L218)*_xlfn.XLOOKUP($G216,$B$14:$B$18,$F$14:$F$18),MAX(IF(IFERROR(OFFSET(I218,0,_xlfn.XLOOKUP($G216,$B$14:$B$18,$C$14:$C$18)),0)=MAX($C218:$L218),_xlfn.MINIFS($C218:$L218,$C218:$L218,"&gt;0")*_xlfn.XLOOKUP($G216,$B$14:$B$18,$D$14:$D$18),IFERROR(OFFSET(I218,0,_xlfn.XLOOKUP($G216,$B$14:$B$18,$C$14:$C$18))*_xlfn.XLOOKUP($G216,$B$14:$B$18,$D$14:$D$18),0)),IFERROR(OFFSET(I218,0,_xlfn.XLOOKUP($G216,$B$14:$B$18,$E$14:$E$18))*_xlfn.XLOOKUP($G216,$B$14:$B$18,$F$14:$F$18),0),G221)))</f>
        <v>23.537903947625566</v>
      </c>
      <c r="J221" s="198">
        <f t="shared" ref="J221" ca="1" si="753">IF($I216="N",J218,IF($G216="1. In Flight",1,$G$14)*MIN(MAX($C218:$L218)*_xlfn.XLOOKUP($G216,$B$14:$B$18,$F$14:$F$18),MAX(IF(IFERROR(OFFSET(J218,0,_xlfn.XLOOKUP($G216,$B$14:$B$18,$C$14:$C$18)),0)=MAX($C218:$L218),_xlfn.MINIFS($C218:$L218,$C218:$L218,"&gt;0")*_xlfn.XLOOKUP($G216,$B$14:$B$18,$D$14:$D$18),IFERROR(OFFSET(J218,0,_xlfn.XLOOKUP($G216,$B$14:$B$18,$C$14:$C$18))*_xlfn.XLOOKUP($G216,$B$14:$B$18,$D$14:$D$18),0)),IFERROR(OFFSET(J218,0,_xlfn.XLOOKUP($G216,$B$14:$B$18,$E$14:$E$18))*_xlfn.XLOOKUP($G216,$B$14:$B$18,$F$14:$F$18),0),H221)))</f>
        <v>28.942189661911279</v>
      </c>
      <c r="K221" s="198">
        <f t="shared" ref="K221" ca="1" si="754">IF($I216="N",K218,IF($G216="1. In Flight",1,$G$14)*MIN(MAX($C218:$L218)*_xlfn.XLOOKUP($G216,$B$14:$B$18,$F$14:$F$18),MAX(IF(IFERROR(OFFSET(K218,0,_xlfn.XLOOKUP($G216,$B$14:$B$18,$C$14:$C$18)),0)=MAX($C218:$L218),_xlfn.MINIFS($C218:$L218,$C218:$L218,"&gt;0")*_xlfn.XLOOKUP($G216,$B$14:$B$18,$D$14:$D$18),IFERROR(OFFSET(K218,0,_xlfn.XLOOKUP($G216,$B$14:$B$18,$C$14:$C$18))*_xlfn.XLOOKUP($G216,$B$14:$B$18,$D$14:$D$18),0)),IFERROR(OFFSET(K218,0,_xlfn.XLOOKUP($G216,$B$14:$B$18,$E$14:$E$18))*_xlfn.XLOOKUP($G216,$B$14:$B$18,$F$14:$F$18),0),I221)))</f>
        <v>34.785280828610517</v>
      </c>
      <c r="L221" s="198">
        <f t="shared" ref="L221" ca="1" si="755">IF($I216="N",L218,IF($G216="1. In Flight",1,$G$14)*MIN(MAX($C218:$L218)*_xlfn.XLOOKUP($G216,$B$14:$B$18,$F$14:$F$18),MAX(IF(IFERROR(OFFSET(L218,0,_xlfn.XLOOKUP($G216,$B$14:$B$18,$C$14:$C$18)),0)=MAX($C218:$L218),_xlfn.MINIFS($C218:$L218,$C218:$L218,"&gt;0")*_xlfn.XLOOKUP($G216,$B$14:$B$18,$D$14:$D$18),IFERROR(OFFSET(L218,0,_xlfn.XLOOKUP($G216,$B$14:$B$18,$C$14:$C$18))*_xlfn.XLOOKUP($G216,$B$14:$B$18,$D$14:$D$18),0)),IFERROR(OFFSET(L218,0,_xlfn.XLOOKUP($G216,$B$14:$B$18,$E$14:$E$18))*_xlfn.XLOOKUP($G216,$B$14:$B$18,$F$14:$F$18),0),J221)))</f>
        <v>28.942189661911279</v>
      </c>
    </row>
    <row r="222" spans="1:12" ht="15" thickTop="1"/>
    <row r="223" spans="1:12" ht="15" thickBot="1">
      <c r="A223" s="231">
        <f>_xlfn.XLOOKUP(F223,FEED!D:D,FEED!E:E,FALSE)</f>
        <v>0</v>
      </c>
      <c r="B223" s="232"/>
      <c r="C223" s="188"/>
      <c r="D223" s="200" t="s">
        <v>127</v>
      </c>
      <c r="E223" s="200" t="s">
        <v>123</v>
      </c>
      <c r="F223" s="189" t="s">
        <v>69</v>
      </c>
      <c r="G223" s="189" t="str">
        <f>IFERROR(_xlfn.XLOOKUP(F223,FEED!$D:$D,FEED!$S:$S),$B$8)</f>
        <v>4. Low</v>
      </c>
      <c r="H223" s="189" t="str">
        <f>IFERROR(_xlfn.XLOOKUP(F223,FEED!$D:$D,FEED!$Y:$Y),"Major Load")</f>
        <v>Data Centre</v>
      </c>
      <c r="I223" s="189" t="str">
        <f>IFERROR(_xlfn.XLOOKUP(F223,FEED!$D:$D,FEED!$C:$C),"N")</f>
        <v>Y</v>
      </c>
      <c r="J223" s="190"/>
      <c r="K223" s="190"/>
      <c r="L223" s="190"/>
    </row>
    <row r="224" spans="1:12" ht="15" thickBot="1">
      <c r="A224" s="191" t="str">
        <f t="shared" ref="A224" si="756">A301</f>
        <v>Uptake Scenario</v>
      </c>
      <c r="B224" s="192">
        <f>B217</f>
        <v>2023</v>
      </c>
      <c r="C224" s="192">
        <f t="shared" ref="C224:L224" si="757">C217</f>
        <v>2024</v>
      </c>
      <c r="D224" s="192">
        <f t="shared" si="757"/>
        <v>2025</v>
      </c>
      <c r="E224" s="192">
        <f t="shared" si="757"/>
        <v>2026</v>
      </c>
      <c r="F224" s="192">
        <f t="shared" si="757"/>
        <v>2027</v>
      </c>
      <c r="G224" s="192">
        <f t="shared" si="757"/>
        <v>2028</v>
      </c>
      <c r="H224" s="192">
        <f t="shared" si="757"/>
        <v>2029</v>
      </c>
      <c r="I224" s="192">
        <f t="shared" si="757"/>
        <v>2030</v>
      </c>
      <c r="J224" s="192">
        <f t="shared" si="757"/>
        <v>2031</v>
      </c>
      <c r="K224" s="192">
        <f t="shared" si="757"/>
        <v>2032</v>
      </c>
      <c r="L224" s="192">
        <f t="shared" si="757"/>
        <v>2033</v>
      </c>
    </row>
    <row r="225" spans="1:12" ht="15.6" thickTop="1" thickBot="1">
      <c r="A225" s="193" t="s">
        <v>111</v>
      </c>
      <c r="B225" s="194">
        <v>0</v>
      </c>
      <c r="C225" s="194">
        <f>SUMIF(FEED!$D:$D,$F223,FEED!F:F)+B225</f>
        <v>0</v>
      </c>
      <c r="D225" s="194">
        <f>SUMIF(FEED!$D:$D,$F223,FEED!G:G)+C225</f>
        <v>0</v>
      </c>
      <c r="E225" s="194">
        <f>SUMIF(FEED!$D:$D,$F223,FEED!H:H)+D225</f>
        <v>0</v>
      </c>
      <c r="F225" s="194">
        <f>SUMIF(FEED!$D:$D,$F223,FEED!I:I)+E225</f>
        <v>0</v>
      </c>
      <c r="G225" s="194">
        <f>SUMIF(FEED!$D:$D,$F223,FEED!J:J)+F225</f>
        <v>3.0420409875578134</v>
      </c>
      <c r="H225" s="194">
        <f>SUMIF(FEED!$D:$D,$F223,FEED!K:K)+G225</f>
        <v>4.3344886066054329</v>
      </c>
      <c r="I225" s="194">
        <f>SUMIF(FEED!$D:$D,$F223,FEED!L:L)+H225</f>
        <v>5.2942600351768618</v>
      </c>
      <c r="J225" s="194">
        <f>SUMIF(FEED!$D:$D,$F223,FEED!M:M)+I225</f>
        <v>8.1598067018435287</v>
      </c>
      <c r="K225" s="194">
        <f>SUMIF(FEED!$D:$D,$F223,FEED!N:N)+J225</f>
        <v>10.033292416129242</v>
      </c>
      <c r="L225" s="194">
        <f>SUMIF(FEED!$D:$D,$F223,FEED!O:O)+K225</f>
        <v>12.058897353918312</v>
      </c>
    </row>
    <row r="226" spans="1:12" ht="15" thickBot="1">
      <c r="A226" s="195" t="s">
        <v>107</v>
      </c>
      <c r="B226" s="196">
        <f>B225</f>
        <v>0</v>
      </c>
      <c r="C226" s="196">
        <f ca="1">IF($I223="N",C225,IF($G223="1. In Flight",1,$G$4)*MIN(MAX($C225:$L225)*_xlfn.XLOOKUP($G223,$B$4:$B$8,$F$4:$F$8),MAX(IF(IFERROR(OFFSET(C225,0,_xlfn.XLOOKUP($G223,$B$4:$B$8,$C$4:$C$8)),0)=MAX($C225:$L225),_xlfn.MINIFS($C225:$L225,$C225:$L225,"&gt;0")*_xlfn.XLOOKUP($G223,$B$4:$B$8,$D$4:$D$8),IFERROR(OFFSET(C225,0,_xlfn.XLOOKUP($G223,$B$4:$B$8,$C$4:$C$8))*_xlfn.XLOOKUP($G223,$B$4:$B$8,$D$4:$D$8),0)),IFERROR(OFFSET(C225,0,_xlfn.XLOOKUP($G223,$B$4:$B$8,$E$4:$E$8))*_xlfn.XLOOKUP($G223,$B$4:$B$8,$F$4:$F$8),0),A226)))</f>
        <v>0</v>
      </c>
      <c r="D226" s="196">
        <f t="shared" ref="D226" ca="1" si="758">IF($I223="N",D225,IF($G223="1. In Flight",1,$G$4)*MIN(MAX($C225:$L225)*_xlfn.XLOOKUP($G223,$B$4:$B$8,$F$4:$F$8),MAX(IF(IFERROR(OFFSET(D225,0,_xlfn.XLOOKUP($G223,$B$4:$B$8,$C$4:$C$8)),0)=MAX($C225:$L225),_xlfn.MINIFS($C225:$L225,$C225:$L225,"&gt;0")*_xlfn.XLOOKUP($G223,$B$4:$B$8,$D$4:$D$8),IFERROR(OFFSET(D225,0,_xlfn.XLOOKUP($G223,$B$4:$B$8,$C$4:$C$8))*_xlfn.XLOOKUP($G223,$B$4:$B$8,$D$4:$D$8),0)),IFERROR(OFFSET(D225,0,_xlfn.XLOOKUP($G223,$B$4:$B$8,$E$4:$E$8))*_xlfn.XLOOKUP($G223,$B$4:$B$8,$F$4:$F$8),0),B226)))</f>
        <v>0</v>
      </c>
      <c r="E226" s="196">
        <f t="shared" ref="E226" ca="1" si="759">IF($I223="N",E225,IF($G223="1. In Flight",1,$G$4)*MIN(MAX($C225:$L225)*_xlfn.XLOOKUP($G223,$B$4:$B$8,$F$4:$F$8),MAX(IF(IFERROR(OFFSET(E225,0,_xlfn.XLOOKUP($G223,$B$4:$B$8,$C$4:$C$8)),0)=MAX($C225:$L225),_xlfn.MINIFS($C225:$L225,$C225:$L225,"&gt;0")*_xlfn.XLOOKUP($G223,$B$4:$B$8,$D$4:$D$8),IFERROR(OFFSET(E225,0,_xlfn.XLOOKUP($G223,$B$4:$B$8,$C$4:$C$8))*_xlfn.XLOOKUP($G223,$B$4:$B$8,$D$4:$D$8),0)),IFERROR(OFFSET(E225,0,_xlfn.XLOOKUP($G223,$B$4:$B$8,$E$4:$E$8))*_xlfn.XLOOKUP($G223,$B$4:$B$8,$F$4:$F$8),0),C226)))</f>
        <v>0</v>
      </c>
      <c r="F226" s="196">
        <f t="shared" ref="F226" ca="1" si="760">IF($I223="N",F225,IF($G223="1. In Flight",1,$G$4)*MIN(MAX($C225:$L225)*_xlfn.XLOOKUP($G223,$B$4:$B$8,$F$4:$F$8),MAX(IF(IFERROR(OFFSET(F225,0,_xlfn.XLOOKUP($G223,$B$4:$B$8,$C$4:$C$8)),0)=MAX($C225:$L225),_xlfn.MINIFS($C225:$L225,$C225:$L225,"&gt;0")*_xlfn.XLOOKUP($G223,$B$4:$B$8,$D$4:$D$8),IFERROR(OFFSET(F225,0,_xlfn.XLOOKUP($G223,$B$4:$B$8,$C$4:$C$8))*_xlfn.XLOOKUP($G223,$B$4:$B$8,$D$4:$D$8),0)),IFERROR(OFFSET(F225,0,_xlfn.XLOOKUP($G223,$B$4:$B$8,$E$4:$E$8))*_xlfn.XLOOKUP($G223,$B$4:$B$8,$F$4:$F$8),0),D226)))</f>
        <v>0</v>
      </c>
      <c r="G226" s="196">
        <f t="shared" ref="G226" ca="1" si="761">IF($I223="N",G225,IF($G223="1. In Flight",1,$G$4)*MIN(MAX($C225:$L225)*_xlfn.XLOOKUP($G223,$B$4:$B$8,$F$4:$F$8),MAX(IF(IFERROR(OFFSET(G225,0,_xlfn.XLOOKUP($G223,$B$4:$B$8,$C$4:$C$8)),0)=MAX($C225:$L225),_xlfn.MINIFS($C225:$L225,$C225:$L225,"&gt;0")*_xlfn.XLOOKUP($G223,$B$4:$B$8,$D$4:$D$8),IFERROR(OFFSET(G225,0,_xlfn.XLOOKUP($G223,$B$4:$B$8,$C$4:$C$8))*_xlfn.XLOOKUP($G223,$B$4:$B$8,$D$4:$D$8),0)),IFERROR(OFFSET(G225,0,_xlfn.XLOOKUP($G223,$B$4:$B$8,$E$4:$E$8))*_xlfn.XLOOKUP($G223,$B$4:$B$8,$F$4:$F$8),0),E226)))</f>
        <v>0</v>
      </c>
      <c r="H226" s="196">
        <f t="shared" ref="H226" ca="1" si="762">IF($I223="N",H225,IF($G223="1. In Flight",1,$G$4)*MIN(MAX($C225:$L225)*_xlfn.XLOOKUP($G223,$B$4:$B$8,$F$4:$F$8),MAX(IF(IFERROR(OFFSET(H225,0,_xlfn.XLOOKUP($G223,$B$4:$B$8,$C$4:$C$8)),0)=MAX($C225:$L225),_xlfn.MINIFS($C225:$L225,$C225:$L225,"&gt;0")*_xlfn.XLOOKUP($G223,$B$4:$B$8,$D$4:$D$8),IFERROR(OFFSET(H225,0,_xlfn.XLOOKUP($G223,$B$4:$B$8,$C$4:$C$8))*_xlfn.XLOOKUP($G223,$B$4:$B$8,$D$4:$D$8),0)),IFERROR(OFFSET(H225,0,_xlfn.XLOOKUP($G223,$B$4:$B$8,$E$4:$E$8))*_xlfn.XLOOKUP($G223,$B$4:$B$8,$F$4:$F$8),0),F226)))</f>
        <v>0</v>
      </c>
      <c r="I226" s="196">
        <f t="shared" ref="I226" ca="1" si="763">IF($I223="N",I225,IF($G223="1. In Flight",1,$G$4)*MIN(MAX($C225:$L225)*_xlfn.XLOOKUP($G223,$B$4:$B$8,$F$4:$F$8),MAX(IF(IFERROR(OFFSET(I225,0,_xlfn.XLOOKUP($G223,$B$4:$B$8,$C$4:$C$8)),0)=MAX($C225:$L225),_xlfn.MINIFS($C225:$L225,$C225:$L225,"&gt;0")*_xlfn.XLOOKUP($G223,$B$4:$B$8,$D$4:$D$8),IFERROR(OFFSET(I225,0,_xlfn.XLOOKUP($G223,$B$4:$B$8,$C$4:$C$8))*_xlfn.XLOOKUP($G223,$B$4:$B$8,$D$4:$D$8),0)),IFERROR(OFFSET(I225,0,_xlfn.XLOOKUP($G223,$B$4:$B$8,$E$4:$E$8))*_xlfn.XLOOKUP($G223,$B$4:$B$8,$F$4:$F$8),0),G226)))</f>
        <v>0</v>
      </c>
      <c r="J226" s="196">
        <f t="shared" ref="J226" ca="1" si="764">IF($I223="N",J225,IF($G223="1. In Flight",1,$G$4)*MIN(MAX($C225:$L225)*_xlfn.XLOOKUP($G223,$B$4:$B$8,$F$4:$F$8),MAX(IF(IFERROR(OFFSET(J225,0,_xlfn.XLOOKUP($G223,$B$4:$B$8,$C$4:$C$8)),0)=MAX($C225:$L225),_xlfn.MINIFS($C225:$L225,$C225:$L225,"&gt;0")*_xlfn.XLOOKUP($G223,$B$4:$B$8,$D$4:$D$8),IFERROR(OFFSET(J225,0,_xlfn.XLOOKUP($G223,$B$4:$B$8,$C$4:$C$8))*_xlfn.XLOOKUP($G223,$B$4:$B$8,$D$4:$D$8),0)),IFERROR(OFFSET(J225,0,_xlfn.XLOOKUP($G223,$B$4:$B$8,$E$4:$E$8))*_xlfn.XLOOKUP($G223,$B$4:$B$8,$F$4:$F$8),0),H226)))</f>
        <v>0</v>
      </c>
      <c r="K226" s="196">
        <f t="shared" ref="K226" ca="1" si="765">IF($I223="N",K225,IF($G223="1. In Flight",1,$G$4)*MIN(MAX($C225:$L225)*_xlfn.XLOOKUP($G223,$B$4:$B$8,$F$4:$F$8),MAX(IF(IFERROR(OFFSET(K225,0,_xlfn.XLOOKUP($G223,$B$4:$B$8,$C$4:$C$8)),0)=MAX($C225:$L225),_xlfn.MINIFS($C225:$L225,$C225:$L225,"&gt;0")*_xlfn.XLOOKUP($G223,$B$4:$B$8,$D$4:$D$8),IFERROR(OFFSET(K225,0,_xlfn.XLOOKUP($G223,$B$4:$B$8,$C$4:$C$8))*_xlfn.XLOOKUP($G223,$B$4:$B$8,$D$4:$D$8),0)),IFERROR(OFFSET(K225,0,_xlfn.XLOOKUP($G223,$B$4:$B$8,$E$4:$E$8))*_xlfn.XLOOKUP($G223,$B$4:$B$8,$F$4:$F$8),0),I226)))</f>
        <v>0</v>
      </c>
      <c r="L226" s="196">
        <f t="shared" ref="L226" ca="1" si="766">IF($I223="N",L225,IF($G223="1. In Flight",1,$G$4)*MIN(MAX($C225:$L225)*_xlfn.XLOOKUP($G223,$B$4:$B$8,$F$4:$F$8),MAX(IF(IFERROR(OFFSET(L225,0,_xlfn.XLOOKUP($G223,$B$4:$B$8,$C$4:$C$8)),0)=MAX($C225:$L225),_xlfn.MINIFS($C225:$L225,$C225:$L225,"&gt;0")*_xlfn.XLOOKUP($G223,$B$4:$B$8,$D$4:$D$8),IFERROR(OFFSET(L225,0,_xlfn.XLOOKUP($G223,$B$4:$B$8,$C$4:$C$8))*_xlfn.XLOOKUP($G223,$B$4:$B$8,$D$4:$D$8),0)),IFERROR(OFFSET(L225,0,_xlfn.XLOOKUP($G223,$B$4:$B$8,$E$4:$E$8))*_xlfn.XLOOKUP($G223,$B$4:$B$8,$F$4:$F$8),0),J226)))</f>
        <v>0.63882860738714076</v>
      </c>
    </row>
    <row r="227" spans="1:12" ht="15" thickBot="1">
      <c r="A227" s="195" t="s">
        <v>108</v>
      </c>
      <c r="B227" s="196">
        <f>B225</f>
        <v>0</v>
      </c>
      <c r="C227" s="196">
        <f ca="1">IF($I223="N",C225,IF($G223="1. In Flight",1,$G$9)*MIN(MAX($C225:$L225)*_xlfn.XLOOKUP($G223,$B$9:$B$13,$F$9:$F$13),MAX(IF(IFERROR(OFFSET(C225,0,_xlfn.XLOOKUP($G223,$B$9:$B$13,$C$9:$C$13)),0)=MAX($C225:$L225),_xlfn.MINIFS($C225:$L225,$C225:$L225,"&gt;0")*_xlfn.XLOOKUP($G223,$B$9:$B$13,$D$9:$D$13),IFERROR(OFFSET(C225,0,_xlfn.XLOOKUP($G223,$B$9:$B$13,$C$9:$C$13))*_xlfn.XLOOKUP($G223,$B$9:$B$13,$D$9:$D$13),0)),IFERROR(OFFSET(C225,0,_xlfn.XLOOKUP($G223,$B$9:$B$13,$E$9:$E$13))*_xlfn.XLOOKUP($G223,$B$9:$B$13,$F$9:$F$13),0),A227)))</f>
        <v>0</v>
      </c>
      <c r="D227" s="196">
        <f t="shared" ref="D227" ca="1" si="767">IF($I223="N",D225,IF($G223="1. In Flight",1,$G$9)*MIN(MAX($C225:$L225)*_xlfn.XLOOKUP($G223,$B$9:$B$13,$F$9:$F$13),MAX(IF(IFERROR(OFFSET(D225,0,_xlfn.XLOOKUP($G223,$B$9:$B$13,$C$9:$C$13)),0)=MAX($C225:$L225),_xlfn.MINIFS($C225:$L225,$C225:$L225,"&gt;0")*_xlfn.XLOOKUP($G223,$B$9:$B$13,$D$9:$D$13),IFERROR(OFFSET(D225,0,_xlfn.XLOOKUP($G223,$B$9:$B$13,$C$9:$C$13))*_xlfn.XLOOKUP($G223,$B$9:$B$13,$D$9:$D$13),0)),IFERROR(OFFSET(D225,0,_xlfn.XLOOKUP($G223,$B$9:$B$13,$E$9:$E$13))*_xlfn.XLOOKUP($G223,$B$9:$B$13,$F$9:$F$13),0),B227)))</f>
        <v>0</v>
      </c>
      <c r="E227" s="196">
        <f t="shared" ref="E227" ca="1" si="768">IF($I223="N",E225,IF($G223="1. In Flight",1,$G$9)*MIN(MAX($C225:$L225)*_xlfn.XLOOKUP($G223,$B$9:$B$13,$F$9:$F$13),MAX(IF(IFERROR(OFFSET(E225,0,_xlfn.XLOOKUP($G223,$B$9:$B$13,$C$9:$C$13)),0)=MAX($C225:$L225),_xlfn.MINIFS($C225:$L225,$C225:$L225,"&gt;0")*_xlfn.XLOOKUP($G223,$B$9:$B$13,$D$9:$D$13),IFERROR(OFFSET(E225,0,_xlfn.XLOOKUP($G223,$B$9:$B$13,$C$9:$C$13))*_xlfn.XLOOKUP($G223,$B$9:$B$13,$D$9:$D$13),0)),IFERROR(OFFSET(E225,0,_xlfn.XLOOKUP($G223,$B$9:$B$13,$E$9:$E$13))*_xlfn.XLOOKUP($G223,$B$9:$B$13,$F$9:$F$13),0),C227)))</f>
        <v>0</v>
      </c>
      <c r="F227" s="196">
        <f t="shared" ref="F227" ca="1" si="769">IF($I223="N",F225,IF($G223="1. In Flight",1,$G$9)*MIN(MAX($C225:$L225)*_xlfn.XLOOKUP($G223,$B$9:$B$13,$F$9:$F$13),MAX(IF(IFERROR(OFFSET(F225,0,_xlfn.XLOOKUP($G223,$B$9:$B$13,$C$9:$C$13)),0)=MAX($C225:$L225),_xlfn.MINIFS($C225:$L225,$C225:$L225,"&gt;0")*_xlfn.XLOOKUP($G223,$B$9:$B$13,$D$9:$D$13),IFERROR(OFFSET(F225,0,_xlfn.XLOOKUP($G223,$B$9:$B$13,$C$9:$C$13))*_xlfn.XLOOKUP($G223,$B$9:$B$13,$D$9:$D$13),0)),IFERROR(OFFSET(F225,0,_xlfn.XLOOKUP($G223,$B$9:$B$13,$E$9:$E$13))*_xlfn.XLOOKUP($G223,$B$9:$B$13,$F$9:$F$13),0),D227)))</f>
        <v>0</v>
      </c>
      <c r="G227" s="196">
        <f t="shared" ref="G227" ca="1" si="770">IF($I223="N",G225,IF($G223="1. In Flight",1,$G$9)*MIN(MAX($C225:$L225)*_xlfn.XLOOKUP($G223,$B$9:$B$13,$F$9:$F$13),MAX(IF(IFERROR(OFFSET(G225,0,_xlfn.XLOOKUP($G223,$B$9:$B$13,$C$9:$C$13)),0)=MAX($C225:$L225),_xlfn.MINIFS($C225:$L225,$C225:$L225,"&gt;0")*_xlfn.XLOOKUP($G223,$B$9:$B$13,$D$9:$D$13),IFERROR(OFFSET(G225,0,_xlfn.XLOOKUP($G223,$B$9:$B$13,$C$9:$C$13))*_xlfn.XLOOKUP($G223,$B$9:$B$13,$D$9:$D$13),0)),IFERROR(OFFSET(G225,0,_xlfn.XLOOKUP($G223,$B$9:$B$13,$E$9:$E$13))*_xlfn.XLOOKUP($G223,$B$9:$B$13,$F$9:$F$13),0),E227)))</f>
        <v>0</v>
      </c>
      <c r="H227" s="196">
        <f t="shared" ref="H227" ca="1" si="771">IF($I223="N",H225,IF($G223="1. In Flight",1,$G$9)*MIN(MAX($C225:$L225)*_xlfn.XLOOKUP($G223,$B$9:$B$13,$F$9:$F$13),MAX(IF(IFERROR(OFFSET(H225,0,_xlfn.XLOOKUP($G223,$B$9:$B$13,$C$9:$C$13)),0)=MAX($C225:$L225),_xlfn.MINIFS($C225:$L225,$C225:$L225,"&gt;0")*_xlfn.XLOOKUP($G223,$B$9:$B$13,$D$9:$D$13),IFERROR(OFFSET(H225,0,_xlfn.XLOOKUP($G223,$B$9:$B$13,$C$9:$C$13))*_xlfn.XLOOKUP($G223,$B$9:$B$13,$D$9:$D$13),0)),IFERROR(OFFSET(H225,0,_xlfn.XLOOKUP($G223,$B$9:$B$13,$E$9:$E$13))*_xlfn.XLOOKUP($G223,$B$9:$B$13,$F$9:$F$13),0),F227)))</f>
        <v>0</v>
      </c>
      <c r="I227" s="196">
        <f t="shared" ref="I227" ca="1" si="772">IF($I223="N",I225,IF($G223="1. In Flight",1,$G$9)*MIN(MAX($C225:$L225)*_xlfn.XLOOKUP($G223,$B$9:$B$13,$F$9:$F$13),MAX(IF(IFERROR(OFFSET(I225,0,_xlfn.XLOOKUP($G223,$B$9:$B$13,$C$9:$C$13)),0)=MAX($C225:$L225),_xlfn.MINIFS($C225:$L225,$C225:$L225,"&gt;0")*_xlfn.XLOOKUP($G223,$B$9:$B$13,$D$9:$D$13),IFERROR(OFFSET(I225,0,_xlfn.XLOOKUP($G223,$B$9:$B$13,$C$9:$C$13))*_xlfn.XLOOKUP($G223,$B$9:$B$13,$D$9:$D$13),0)),IFERROR(OFFSET(I225,0,_xlfn.XLOOKUP($G223,$B$9:$B$13,$E$9:$E$13))*_xlfn.XLOOKUP($G223,$B$9:$B$13,$F$9:$F$13),0),G227)))</f>
        <v>0</v>
      </c>
      <c r="J227" s="196">
        <f t="shared" ref="J227" ca="1" si="773">IF($I223="N",J225,IF($G223="1. In Flight",1,$G$9)*MIN(MAX($C225:$L225)*_xlfn.XLOOKUP($G223,$B$9:$B$13,$F$9:$F$13),MAX(IF(IFERROR(OFFSET(J225,0,_xlfn.XLOOKUP($G223,$B$9:$B$13,$C$9:$C$13)),0)=MAX($C225:$L225),_xlfn.MINIFS($C225:$L225,$C225:$L225,"&gt;0")*_xlfn.XLOOKUP($G223,$B$9:$B$13,$D$9:$D$13),IFERROR(OFFSET(J225,0,_xlfn.XLOOKUP($G223,$B$9:$B$13,$C$9:$C$13))*_xlfn.XLOOKUP($G223,$B$9:$B$13,$D$9:$D$13),0)),IFERROR(OFFSET(J225,0,_xlfn.XLOOKUP($G223,$B$9:$B$13,$E$9:$E$13))*_xlfn.XLOOKUP($G223,$B$9:$B$13,$F$9:$F$13),0),H227)))</f>
        <v>0</v>
      </c>
      <c r="K227" s="196">
        <f t="shared" ref="K227" ca="1" si="774">IF($I223="N",K225,IF($G223="1. In Flight",1,$G$9)*MIN(MAX($C225:$L225)*_xlfn.XLOOKUP($G223,$B$9:$B$13,$F$9:$F$13),MAX(IF(IFERROR(OFFSET(K225,0,_xlfn.XLOOKUP($G223,$B$9:$B$13,$C$9:$C$13)),0)=MAX($C225:$L225),_xlfn.MINIFS($C225:$L225,$C225:$L225,"&gt;0")*_xlfn.XLOOKUP($G223,$B$9:$B$13,$D$9:$D$13),IFERROR(OFFSET(K225,0,_xlfn.XLOOKUP($G223,$B$9:$B$13,$C$9:$C$13))*_xlfn.XLOOKUP($G223,$B$9:$B$13,$D$9:$D$13),0)),IFERROR(OFFSET(K225,0,_xlfn.XLOOKUP($G223,$B$9:$B$13,$E$9:$E$13))*_xlfn.XLOOKUP($G223,$B$9:$B$13,$F$9:$F$13),0),I227)))</f>
        <v>0</v>
      </c>
      <c r="L227" s="196">
        <f t="shared" ref="L227" ca="1" si="775">IF($I223="N",L225,IF($G223="1. In Flight",1,$G$9)*MIN(MAX($C225:$L225)*_xlfn.XLOOKUP($G223,$B$9:$B$13,$F$9:$F$13),MAX(IF(IFERROR(OFFSET(L225,0,_xlfn.XLOOKUP($G223,$B$9:$B$13,$C$9:$C$13)),0)=MAX($C225:$L225),_xlfn.MINIFS($C225:$L225,$C225:$L225,"&gt;0")*_xlfn.XLOOKUP($G223,$B$9:$B$13,$D$9:$D$13),IFERROR(OFFSET(L225,0,_xlfn.XLOOKUP($G223,$B$9:$B$13,$C$9:$C$13))*_xlfn.XLOOKUP($G223,$B$9:$B$13,$D$9:$D$13),0)),IFERROR(OFFSET(L225,0,_xlfn.XLOOKUP($G223,$B$9:$B$13,$E$9:$E$13))*_xlfn.XLOOKUP($G223,$B$9:$B$13,$F$9:$F$13),0),J227)))</f>
        <v>0</v>
      </c>
    </row>
    <row r="228" spans="1:12" ht="15" thickBot="1">
      <c r="A228" s="197" t="s">
        <v>109</v>
      </c>
      <c r="B228" s="198">
        <f>B225</f>
        <v>0</v>
      </c>
      <c r="C228" s="198">
        <f ca="1">IF($I223="N",C225,IF($G223="1. In Flight",1,$G$14)*MIN(MAX($C225:$L225)*_xlfn.XLOOKUP($G223,$B$14:$B$18,$F$14:$F$18),MAX(IF(IFERROR(OFFSET(C225,0,_xlfn.XLOOKUP($G223,$B$14:$B$18,$C$14:$C$18)),0)=MAX($C225:$L225),_xlfn.MINIFS($C225:$L225,$C225:$L225,"&gt;0")*_xlfn.XLOOKUP($G223,$B$14:$B$18,$D$14:$D$18),IFERROR(OFFSET(C225,0,_xlfn.XLOOKUP($G223,$B$14:$B$18,$C$14:$C$18))*_xlfn.XLOOKUP($G223,$B$14:$B$18,$D$14:$D$18),0)),IFERROR(OFFSET(C225,0,_xlfn.XLOOKUP($G223,$B$14:$B$18,$E$14:$E$18))*_xlfn.XLOOKUP($G223,$B$14:$B$18,$F$14:$F$18),0),A228)))</f>
        <v>0</v>
      </c>
      <c r="D228" s="198">
        <f t="shared" ref="D228" ca="1" si="776">IF($I223="N",D225,IF($G223="1. In Flight",1,$G$14)*MIN(MAX($C225:$L225)*_xlfn.XLOOKUP($G223,$B$14:$B$18,$F$14:$F$18),MAX(IF(IFERROR(OFFSET(D225,0,_xlfn.XLOOKUP($G223,$B$14:$B$18,$C$14:$C$18)),0)=MAX($C225:$L225),_xlfn.MINIFS($C225:$L225,$C225:$L225,"&gt;0")*_xlfn.XLOOKUP($G223,$B$14:$B$18,$D$14:$D$18),IFERROR(OFFSET(D225,0,_xlfn.XLOOKUP($G223,$B$14:$B$18,$C$14:$C$18))*_xlfn.XLOOKUP($G223,$B$14:$B$18,$D$14:$D$18),0)),IFERROR(OFFSET(D225,0,_xlfn.XLOOKUP($G223,$B$14:$B$18,$E$14:$E$18))*_xlfn.XLOOKUP($G223,$B$14:$B$18,$F$14:$F$18),0),B228)))</f>
        <v>0</v>
      </c>
      <c r="E228" s="198">
        <f t="shared" ref="E228" ca="1" si="777">IF($I223="N",E225,IF($G223="1. In Flight",1,$G$14)*MIN(MAX($C225:$L225)*_xlfn.XLOOKUP($G223,$B$14:$B$18,$F$14:$F$18),MAX(IF(IFERROR(OFFSET(E225,0,_xlfn.XLOOKUP($G223,$B$14:$B$18,$C$14:$C$18)),0)=MAX($C225:$L225),_xlfn.MINIFS($C225:$L225,$C225:$L225,"&gt;0")*_xlfn.XLOOKUP($G223,$B$14:$B$18,$D$14:$D$18),IFERROR(OFFSET(E225,0,_xlfn.XLOOKUP($G223,$B$14:$B$18,$C$14:$C$18))*_xlfn.XLOOKUP($G223,$B$14:$B$18,$D$14:$D$18),0)),IFERROR(OFFSET(E225,0,_xlfn.XLOOKUP($G223,$B$14:$B$18,$E$14:$E$18))*_xlfn.XLOOKUP($G223,$B$14:$B$18,$F$14:$F$18),0),C228)))</f>
        <v>0</v>
      </c>
      <c r="F228" s="198">
        <f t="shared" ref="F228" ca="1" si="778">IF($I223="N",F225,IF($G223="1. In Flight",1,$G$14)*MIN(MAX($C225:$L225)*_xlfn.XLOOKUP($G223,$B$14:$B$18,$F$14:$F$18),MAX(IF(IFERROR(OFFSET(F225,0,_xlfn.XLOOKUP($G223,$B$14:$B$18,$C$14:$C$18)),0)=MAX($C225:$L225),_xlfn.MINIFS($C225:$L225,$C225:$L225,"&gt;0")*_xlfn.XLOOKUP($G223,$B$14:$B$18,$D$14:$D$18),IFERROR(OFFSET(F225,0,_xlfn.XLOOKUP($G223,$B$14:$B$18,$C$14:$C$18))*_xlfn.XLOOKUP($G223,$B$14:$B$18,$D$14:$D$18),0)),IFERROR(OFFSET(F225,0,_xlfn.XLOOKUP($G223,$B$14:$B$18,$E$14:$E$18))*_xlfn.XLOOKUP($G223,$B$14:$B$18,$F$14:$F$18),0),D228)))</f>
        <v>0</v>
      </c>
      <c r="G228" s="198">
        <f t="shared" ref="G228" ca="1" si="779">IF($I223="N",G225,IF($G223="1. In Flight",1,$G$14)*MIN(MAX($C225:$L225)*_xlfn.XLOOKUP($G223,$B$14:$B$18,$F$14:$F$18),MAX(IF(IFERROR(OFFSET(G225,0,_xlfn.XLOOKUP($G223,$B$14:$B$18,$C$14:$C$18)),0)=MAX($C225:$L225),_xlfn.MINIFS($C225:$L225,$C225:$L225,"&gt;0")*_xlfn.XLOOKUP($G223,$B$14:$B$18,$D$14:$D$18),IFERROR(OFFSET(G225,0,_xlfn.XLOOKUP($G223,$B$14:$B$18,$C$14:$C$18))*_xlfn.XLOOKUP($G223,$B$14:$B$18,$D$14:$D$18),0)),IFERROR(OFFSET(G225,0,_xlfn.XLOOKUP($G223,$B$14:$B$18,$E$14:$E$18))*_xlfn.XLOOKUP($G223,$B$14:$B$18,$F$14:$F$18),0),E228)))</f>
        <v>0</v>
      </c>
      <c r="H228" s="198">
        <f t="shared" ref="H228" ca="1" si="780">IF($I223="N",H225,IF($G223="1. In Flight",1,$G$14)*MIN(MAX($C225:$L225)*_xlfn.XLOOKUP($G223,$B$14:$B$18,$F$14:$F$18),MAX(IF(IFERROR(OFFSET(H225,0,_xlfn.XLOOKUP($G223,$B$14:$B$18,$C$14:$C$18)),0)=MAX($C225:$L225),_xlfn.MINIFS($C225:$L225,$C225:$L225,"&gt;0")*_xlfn.XLOOKUP($G223,$B$14:$B$18,$D$14:$D$18),IFERROR(OFFSET(H225,0,_xlfn.XLOOKUP($G223,$B$14:$B$18,$C$14:$C$18))*_xlfn.XLOOKUP($G223,$B$14:$B$18,$D$14:$D$18),0)),IFERROR(OFFSET(H225,0,_xlfn.XLOOKUP($G223,$B$14:$B$18,$E$14:$E$18))*_xlfn.XLOOKUP($G223,$B$14:$B$18,$F$14:$F$18),0),F228)))</f>
        <v>0</v>
      </c>
      <c r="I228" s="198">
        <f t="shared" ref="I228" ca="1" si="781">IF($I223="N",I225,IF($G223="1. In Flight",1,$G$14)*MIN(MAX($C225:$L225)*_xlfn.XLOOKUP($G223,$B$14:$B$18,$F$14:$F$18),MAX(IF(IFERROR(OFFSET(I225,0,_xlfn.XLOOKUP($G223,$B$14:$B$18,$C$14:$C$18)),0)=MAX($C225:$L225),_xlfn.MINIFS($C225:$L225,$C225:$L225,"&gt;0")*_xlfn.XLOOKUP($G223,$B$14:$B$18,$D$14:$D$18),IFERROR(OFFSET(I225,0,_xlfn.XLOOKUP($G223,$B$14:$B$18,$C$14:$C$18))*_xlfn.XLOOKUP($G223,$B$14:$B$18,$D$14:$D$18),0)),IFERROR(OFFSET(I225,0,_xlfn.XLOOKUP($G223,$B$14:$B$18,$E$14:$E$18))*_xlfn.XLOOKUP($G223,$B$14:$B$18,$F$14:$F$18),0),G228)))</f>
        <v>0</v>
      </c>
      <c r="J228" s="198">
        <f t="shared" ref="J228" ca="1" si="782">IF($I223="N",J225,IF($G223="1. In Flight",1,$G$14)*MIN(MAX($C225:$L225)*_xlfn.XLOOKUP($G223,$B$14:$B$18,$F$14:$F$18),MAX(IF(IFERROR(OFFSET(J225,0,_xlfn.XLOOKUP($G223,$B$14:$B$18,$C$14:$C$18)),0)=MAX($C225:$L225),_xlfn.MINIFS($C225:$L225,$C225:$L225,"&gt;0")*_xlfn.XLOOKUP($G223,$B$14:$B$18,$D$14:$D$18),IFERROR(OFFSET(J225,0,_xlfn.XLOOKUP($G223,$B$14:$B$18,$C$14:$C$18))*_xlfn.XLOOKUP($G223,$B$14:$B$18,$D$14:$D$18),0)),IFERROR(OFFSET(J225,0,_xlfn.XLOOKUP($G223,$B$14:$B$18,$E$14:$E$18))*_xlfn.XLOOKUP($G223,$B$14:$B$18,$F$14:$F$18),0),H228)))</f>
        <v>1.0951347555208129</v>
      </c>
      <c r="K228" s="198">
        <f t="shared" ref="K228" ca="1" si="783">IF($I223="N",K225,IF($G223="1. In Flight",1,$G$14)*MIN(MAX($C225:$L225)*_xlfn.XLOOKUP($G223,$B$14:$B$18,$F$14:$F$18),MAX(IF(IFERROR(OFFSET(K225,0,_xlfn.XLOOKUP($G223,$B$14:$B$18,$C$14:$C$18)),0)=MAX($C225:$L225),_xlfn.MINIFS($C225:$L225,$C225:$L225,"&gt;0")*_xlfn.XLOOKUP($G223,$B$14:$B$18,$D$14:$D$18),IFERROR(OFFSET(K225,0,_xlfn.XLOOKUP($G223,$B$14:$B$18,$C$14:$C$18))*_xlfn.XLOOKUP($G223,$B$14:$B$18,$D$14:$D$18),0)),IFERROR(OFFSET(K225,0,_xlfn.XLOOKUP($G223,$B$14:$B$18,$E$14:$E$18))*_xlfn.XLOOKUP($G223,$B$14:$B$18,$F$14:$F$18),0),I228)))</f>
        <v>1.5604158983779561</v>
      </c>
      <c r="L228" s="198">
        <f t="shared" ref="L228" ca="1" si="784">IF($I223="N",L225,IF($G223="1. In Flight",1,$G$14)*MIN(MAX($C225:$L225)*_xlfn.XLOOKUP($G223,$B$14:$B$18,$F$14:$F$18),MAX(IF(IFERROR(OFFSET(L225,0,_xlfn.XLOOKUP($G223,$B$14:$B$18,$C$14:$C$18)),0)=MAX($C225:$L225),_xlfn.MINIFS($C225:$L225,$C225:$L225,"&gt;0")*_xlfn.XLOOKUP($G223,$B$14:$B$18,$D$14:$D$18),IFERROR(OFFSET(L225,0,_xlfn.XLOOKUP($G223,$B$14:$B$18,$C$14:$C$18))*_xlfn.XLOOKUP($G223,$B$14:$B$18,$D$14:$D$18),0)),IFERROR(OFFSET(L225,0,_xlfn.XLOOKUP($G223,$B$14:$B$18,$E$14:$E$18))*_xlfn.XLOOKUP($G223,$B$14:$B$18,$F$14:$F$18),0),J228)))</f>
        <v>1.9059336126636703</v>
      </c>
    </row>
    <row r="229" spans="1:12" ht="15" thickTop="1"/>
    <row r="230" spans="1:12" ht="15" thickBot="1">
      <c r="A230" s="231">
        <f>_xlfn.XLOOKUP(F230,FEED!D:D,FEED!E:E,FALSE)</f>
        <v>0</v>
      </c>
      <c r="B230" s="232"/>
      <c r="C230" s="189"/>
      <c r="D230" s="200" t="s">
        <v>124</v>
      </c>
      <c r="E230" s="200" t="s">
        <v>125</v>
      </c>
      <c r="F230" s="189" t="s">
        <v>67</v>
      </c>
      <c r="G230" s="189" t="str">
        <f>IFERROR(_xlfn.XLOOKUP(F230,FEED!$D:$D,FEED!$S:$S),$B$8)</f>
        <v>1. In Flight</v>
      </c>
      <c r="H230" s="189" t="str">
        <f>IFERROR(_xlfn.XLOOKUP(F230,FEED!$D:$D,FEED!$Y:$Y),"Major Load")</f>
        <v>Data Centre</v>
      </c>
      <c r="I230" s="189" t="str">
        <f>IFERROR(_xlfn.XLOOKUP(F230,FEED!$D:$D,FEED!$C:$C),"N")</f>
        <v>Y</v>
      </c>
      <c r="J230" s="190"/>
      <c r="K230" s="190"/>
      <c r="L230" s="190"/>
    </row>
    <row r="231" spans="1:12" ht="15" thickBot="1">
      <c r="A231" s="191" t="str">
        <f>A217</f>
        <v>Uptake Scenario</v>
      </c>
      <c r="B231" s="192">
        <f>B217</f>
        <v>2023</v>
      </c>
      <c r="C231" s="192">
        <f t="shared" ref="C231:L231" si="785">C217</f>
        <v>2024</v>
      </c>
      <c r="D231" s="192">
        <f t="shared" si="785"/>
        <v>2025</v>
      </c>
      <c r="E231" s="192">
        <f t="shared" si="785"/>
        <v>2026</v>
      </c>
      <c r="F231" s="192">
        <f t="shared" si="785"/>
        <v>2027</v>
      </c>
      <c r="G231" s="192">
        <f t="shared" si="785"/>
        <v>2028</v>
      </c>
      <c r="H231" s="192">
        <f t="shared" si="785"/>
        <v>2029</v>
      </c>
      <c r="I231" s="192">
        <f t="shared" si="785"/>
        <v>2030</v>
      </c>
      <c r="J231" s="192">
        <f t="shared" si="785"/>
        <v>2031</v>
      </c>
      <c r="K231" s="192">
        <f t="shared" si="785"/>
        <v>2032</v>
      </c>
      <c r="L231" s="192">
        <f t="shared" si="785"/>
        <v>2033</v>
      </c>
    </row>
    <row r="232" spans="1:12" ht="15.6" thickTop="1" thickBot="1">
      <c r="A232" s="193" t="s">
        <v>111</v>
      </c>
      <c r="B232" s="194">
        <v>0</v>
      </c>
      <c r="C232" s="194">
        <f>SUMIF(FEED!$D:$D,$F230,FEED!F:F)+B232</f>
        <v>0</v>
      </c>
      <c r="D232" s="194">
        <f>SUMIF(FEED!$D:$D,$F230,FEED!G:G)+C232</f>
        <v>0</v>
      </c>
      <c r="E232" s="194">
        <f>SUMIF(FEED!$D:$D,$F230,FEED!H:H)+D232</f>
        <v>5.8500788222265641</v>
      </c>
      <c r="F232" s="194">
        <f>SUMIF(FEED!$D:$D,$F230,FEED!I:I)+E232</f>
        <v>8.3355550127027556</v>
      </c>
      <c r="G232" s="194">
        <f>SUMIF(FEED!$D:$D,$F230,FEED!J:J)+F232</f>
        <v>10.181269298417043</v>
      </c>
      <c r="H232" s="194">
        <f>SUMIF(FEED!$D:$D,$F230,FEED!K:K)+G232</f>
        <v>15.691935965083708</v>
      </c>
      <c r="I232" s="194">
        <f>SUMIF(FEED!$D:$D,$F230,FEED!L:L)+H232</f>
        <v>19.294793107940848</v>
      </c>
      <c r="J232" s="194">
        <f>SUMIF(FEED!$D:$D,$F230,FEED!M:M)+I232</f>
        <v>23.190187219073671</v>
      </c>
      <c r="K232" s="194">
        <f>SUMIF(FEED!$D:$D,$F230,FEED!N:N)+J232</f>
        <v>27.546409354439447</v>
      </c>
      <c r="L232" s="194">
        <f>SUMIF(FEED!$D:$D,$F230,FEED!O:O)+K232</f>
        <v>29.84637482900137</v>
      </c>
    </row>
    <row r="233" spans="1:12" ht="15" thickBot="1">
      <c r="A233" s="195" t="s">
        <v>107</v>
      </c>
      <c r="B233" s="196">
        <f>B232</f>
        <v>0</v>
      </c>
      <c r="C233" s="196">
        <f ca="1">IF($I230="N",C232,IF($G230="1. In Flight",1,$G$4)*MIN(MAX($C232:$L232)*_xlfn.XLOOKUP($G230,$B$4:$B$8,$F$4:$F$8),MAX(IF(IFERROR(OFFSET(C232,0,_xlfn.XLOOKUP($G230,$B$4:$B$8,$C$4:$C$8)),0)=MAX($C232:$L232),_xlfn.MINIFS($C232:$L232,$C232:$L232,"&gt;0")*_xlfn.XLOOKUP($G230,$B$4:$B$8,$D$4:$D$8),IFERROR(OFFSET(C232,0,_xlfn.XLOOKUP($G230,$B$4:$B$8,$C$4:$C$8))*_xlfn.XLOOKUP($G230,$B$4:$B$8,$D$4:$D$8),0)),IFERROR(OFFSET(C232,0,_xlfn.XLOOKUP($G230,$B$4:$B$8,$E$4:$E$8))*_xlfn.XLOOKUP($G230,$B$4:$B$8,$F$4:$F$8),0),A233)))</f>
        <v>0</v>
      </c>
      <c r="D233" s="196">
        <f t="shared" ref="D233" ca="1" si="786">IF($I230="N",D232,IF($G230="1. In Flight",1,$G$4)*MIN(MAX($C232:$L232)*_xlfn.XLOOKUP($G230,$B$4:$B$8,$F$4:$F$8),MAX(IF(IFERROR(OFFSET(D232,0,_xlfn.XLOOKUP($G230,$B$4:$B$8,$C$4:$C$8)),0)=MAX($C232:$L232),_xlfn.MINIFS($C232:$L232,$C232:$L232,"&gt;0")*_xlfn.XLOOKUP($G230,$B$4:$B$8,$D$4:$D$8),IFERROR(OFFSET(D232,0,_xlfn.XLOOKUP($G230,$B$4:$B$8,$C$4:$C$8))*_xlfn.XLOOKUP($G230,$B$4:$B$8,$D$4:$D$8),0)),IFERROR(OFFSET(D232,0,_xlfn.XLOOKUP($G230,$B$4:$B$8,$E$4:$E$8))*_xlfn.XLOOKUP($G230,$B$4:$B$8,$F$4:$F$8),0),B233)))</f>
        <v>0</v>
      </c>
      <c r="E233" s="196">
        <f t="shared" ref="E233" ca="1" si="787">IF($I230="N",E232,IF($G230="1. In Flight",1,$G$4)*MIN(MAX($C232:$L232)*_xlfn.XLOOKUP($G230,$B$4:$B$8,$F$4:$F$8),MAX(IF(IFERROR(OFFSET(E232,0,_xlfn.XLOOKUP($G230,$B$4:$B$8,$C$4:$C$8)),0)=MAX($C232:$L232),_xlfn.MINIFS($C232:$L232,$C232:$L232,"&gt;0")*_xlfn.XLOOKUP($G230,$B$4:$B$8,$D$4:$D$8),IFERROR(OFFSET(E232,0,_xlfn.XLOOKUP($G230,$B$4:$B$8,$C$4:$C$8))*_xlfn.XLOOKUP($G230,$B$4:$B$8,$D$4:$D$8),0)),IFERROR(OFFSET(E232,0,_xlfn.XLOOKUP($G230,$B$4:$B$8,$E$4:$E$8))*_xlfn.XLOOKUP($G230,$B$4:$B$8,$F$4:$F$8),0),C233)))</f>
        <v>0</v>
      </c>
      <c r="F233" s="196">
        <f t="shared" ref="F233" ca="1" si="788">IF($I230="N",F232,IF($G230="1. In Flight",1,$G$4)*MIN(MAX($C232:$L232)*_xlfn.XLOOKUP($G230,$B$4:$B$8,$F$4:$F$8),MAX(IF(IFERROR(OFFSET(F232,0,_xlfn.XLOOKUP($G230,$B$4:$B$8,$C$4:$C$8)),0)=MAX($C232:$L232),_xlfn.MINIFS($C232:$L232,$C232:$L232,"&gt;0")*_xlfn.XLOOKUP($G230,$B$4:$B$8,$D$4:$D$8),IFERROR(OFFSET(F232,0,_xlfn.XLOOKUP($G230,$B$4:$B$8,$C$4:$C$8))*_xlfn.XLOOKUP($G230,$B$4:$B$8,$D$4:$D$8),0)),IFERROR(OFFSET(F232,0,_xlfn.XLOOKUP($G230,$B$4:$B$8,$E$4:$E$8))*_xlfn.XLOOKUP($G230,$B$4:$B$8,$F$4:$F$8),0),D233)))</f>
        <v>5.2650709400039082</v>
      </c>
      <c r="G233" s="196">
        <f t="shared" ref="G233" ca="1" si="789">IF($I230="N",G232,IF($G230="1. In Flight",1,$G$4)*MIN(MAX($C232:$L232)*_xlfn.XLOOKUP($G230,$B$4:$B$8,$F$4:$F$8),MAX(IF(IFERROR(OFFSET(G232,0,_xlfn.XLOOKUP($G230,$B$4:$B$8,$C$4:$C$8)),0)=MAX($C232:$L232),_xlfn.MINIFS($C232:$L232,$C232:$L232,"&gt;0")*_xlfn.XLOOKUP($G230,$B$4:$B$8,$D$4:$D$8),IFERROR(OFFSET(G232,0,_xlfn.XLOOKUP($G230,$B$4:$B$8,$C$4:$C$8))*_xlfn.XLOOKUP($G230,$B$4:$B$8,$D$4:$D$8),0)),IFERROR(OFFSET(G232,0,_xlfn.XLOOKUP($G230,$B$4:$B$8,$E$4:$E$8))*_xlfn.XLOOKUP($G230,$B$4:$B$8,$F$4:$F$8),0),E233)))</f>
        <v>7.50199951143248</v>
      </c>
      <c r="H233" s="196">
        <f t="shared" ref="H233" ca="1" si="790">IF($I230="N",H232,IF($G230="1. In Flight",1,$G$4)*MIN(MAX($C232:$L232)*_xlfn.XLOOKUP($G230,$B$4:$B$8,$F$4:$F$8),MAX(IF(IFERROR(OFFSET(H232,0,_xlfn.XLOOKUP($G230,$B$4:$B$8,$C$4:$C$8)),0)=MAX($C232:$L232),_xlfn.MINIFS($C232:$L232,$C232:$L232,"&gt;0")*_xlfn.XLOOKUP($G230,$B$4:$B$8,$D$4:$D$8),IFERROR(OFFSET(H232,0,_xlfn.XLOOKUP($G230,$B$4:$B$8,$C$4:$C$8))*_xlfn.XLOOKUP($G230,$B$4:$B$8,$D$4:$D$8),0)),IFERROR(OFFSET(H232,0,_xlfn.XLOOKUP($G230,$B$4:$B$8,$E$4:$E$8))*_xlfn.XLOOKUP($G230,$B$4:$B$8,$F$4:$F$8),0),F233)))</f>
        <v>9.1631423685753379</v>
      </c>
      <c r="I233" s="196">
        <f t="shared" ref="I233" ca="1" si="791">IF($I230="N",I232,IF($G230="1. In Flight",1,$G$4)*MIN(MAX($C232:$L232)*_xlfn.XLOOKUP($G230,$B$4:$B$8,$F$4:$F$8),MAX(IF(IFERROR(OFFSET(I232,0,_xlfn.XLOOKUP($G230,$B$4:$B$8,$C$4:$C$8)),0)=MAX($C232:$L232),_xlfn.MINIFS($C232:$L232,$C232:$L232,"&gt;0")*_xlfn.XLOOKUP($G230,$B$4:$B$8,$D$4:$D$8),IFERROR(OFFSET(I232,0,_xlfn.XLOOKUP($G230,$B$4:$B$8,$C$4:$C$8))*_xlfn.XLOOKUP($G230,$B$4:$B$8,$D$4:$D$8),0)),IFERROR(OFFSET(I232,0,_xlfn.XLOOKUP($G230,$B$4:$B$8,$E$4:$E$8))*_xlfn.XLOOKUP($G230,$B$4:$B$8,$F$4:$F$8),0),G233)))</f>
        <v>14.122742368575338</v>
      </c>
      <c r="J233" s="196">
        <f t="shared" ref="J233" ca="1" si="792">IF($I230="N",J232,IF($G230="1. In Flight",1,$G$4)*MIN(MAX($C232:$L232)*_xlfn.XLOOKUP($G230,$B$4:$B$8,$F$4:$F$8),MAX(IF(IFERROR(OFFSET(J232,0,_xlfn.XLOOKUP($G230,$B$4:$B$8,$C$4:$C$8)),0)=MAX($C232:$L232),_xlfn.MINIFS($C232:$L232,$C232:$L232,"&gt;0")*_xlfn.XLOOKUP($G230,$B$4:$B$8,$D$4:$D$8),IFERROR(OFFSET(J232,0,_xlfn.XLOOKUP($G230,$B$4:$B$8,$C$4:$C$8))*_xlfn.XLOOKUP($G230,$B$4:$B$8,$D$4:$D$8),0)),IFERROR(OFFSET(J232,0,_xlfn.XLOOKUP($G230,$B$4:$B$8,$E$4:$E$8))*_xlfn.XLOOKUP($G230,$B$4:$B$8,$F$4:$F$8),0),H233)))</f>
        <v>17.365313797146765</v>
      </c>
      <c r="K233" s="196">
        <f t="shared" ref="K233" ca="1" si="793">IF($I230="N",K232,IF($G230="1. In Flight",1,$G$4)*MIN(MAX($C232:$L232)*_xlfn.XLOOKUP($G230,$B$4:$B$8,$F$4:$F$8),MAX(IF(IFERROR(OFFSET(K232,0,_xlfn.XLOOKUP($G230,$B$4:$B$8,$C$4:$C$8)),0)=MAX($C232:$L232),_xlfn.MINIFS($C232:$L232,$C232:$L232,"&gt;0")*_xlfn.XLOOKUP($G230,$B$4:$B$8,$D$4:$D$8),IFERROR(OFFSET(K232,0,_xlfn.XLOOKUP($G230,$B$4:$B$8,$C$4:$C$8))*_xlfn.XLOOKUP($G230,$B$4:$B$8,$D$4:$D$8),0)),IFERROR(OFFSET(K232,0,_xlfn.XLOOKUP($G230,$B$4:$B$8,$E$4:$E$8))*_xlfn.XLOOKUP($G230,$B$4:$B$8,$F$4:$F$8),0),I233)))</f>
        <v>20.871168497166305</v>
      </c>
      <c r="L233" s="196">
        <f t="shared" ref="L233" ca="1" si="794">IF($I230="N",L232,IF($G230="1. In Flight",1,$G$4)*MIN(MAX($C232:$L232)*_xlfn.XLOOKUP($G230,$B$4:$B$8,$F$4:$F$8),MAX(IF(IFERROR(OFFSET(L232,0,_xlfn.XLOOKUP($G230,$B$4:$B$8,$C$4:$C$8)),0)=MAX($C232:$L232),_xlfn.MINIFS($C232:$L232,$C232:$L232,"&gt;0")*_xlfn.XLOOKUP($G230,$B$4:$B$8,$D$4:$D$8),IFERROR(OFFSET(L232,0,_xlfn.XLOOKUP($G230,$B$4:$B$8,$C$4:$C$8))*_xlfn.XLOOKUP($G230,$B$4:$B$8,$D$4:$D$8),0)),IFERROR(OFFSET(L232,0,_xlfn.XLOOKUP($G230,$B$4:$B$8,$E$4:$E$8))*_xlfn.XLOOKUP($G230,$B$4:$B$8,$F$4:$F$8),0),J233)))</f>
        <v>20.892462380300959</v>
      </c>
    </row>
    <row r="234" spans="1:12" ht="15" thickBot="1">
      <c r="A234" s="195" t="s">
        <v>108</v>
      </c>
      <c r="B234" s="196">
        <f>B232</f>
        <v>0</v>
      </c>
      <c r="C234" s="196">
        <f ca="1">IF($I230="N",C232,IF($G230="1. In Flight",1,$G$9)*MIN(MAX($C232:$L232)*_xlfn.XLOOKUP($G230,$B$9:$B$13,$F$9:$F$13),MAX(IF(IFERROR(OFFSET(C232,0,_xlfn.XLOOKUP($G230,$B$9:$B$13,$C$9:$C$13)),0)=MAX($C232:$L232),_xlfn.MINIFS($C232:$L232,$C232:$L232,"&gt;0")*_xlfn.XLOOKUP($G230,$B$9:$B$13,$D$9:$D$13),IFERROR(OFFSET(C232,0,_xlfn.XLOOKUP($G230,$B$9:$B$13,$C$9:$C$13))*_xlfn.XLOOKUP($G230,$B$9:$B$13,$D$9:$D$13),0)),IFERROR(OFFSET(C232,0,_xlfn.XLOOKUP($G230,$B$9:$B$13,$E$9:$E$13))*_xlfn.XLOOKUP($G230,$B$9:$B$13,$F$9:$F$13),0),A234)))</f>
        <v>0</v>
      </c>
      <c r="D234" s="196">
        <f t="shared" ref="D234" ca="1" si="795">IF($I230="N",D232,IF($G230="1. In Flight",1,$G$9)*MIN(MAX($C232:$L232)*_xlfn.XLOOKUP($G230,$B$9:$B$13,$F$9:$F$13),MAX(IF(IFERROR(OFFSET(D232,0,_xlfn.XLOOKUP($G230,$B$9:$B$13,$C$9:$C$13)),0)=MAX($C232:$L232),_xlfn.MINIFS($C232:$L232,$C232:$L232,"&gt;0")*_xlfn.XLOOKUP($G230,$B$9:$B$13,$D$9:$D$13),IFERROR(OFFSET(D232,0,_xlfn.XLOOKUP($G230,$B$9:$B$13,$C$9:$C$13))*_xlfn.XLOOKUP($G230,$B$9:$B$13,$D$9:$D$13),0)),IFERROR(OFFSET(D232,0,_xlfn.XLOOKUP($G230,$B$9:$B$13,$E$9:$E$13))*_xlfn.XLOOKUP($G230,$B$9:$B$13,$F$9:$F$13),0),B234)))</f>
        <v>0</v>
      </c>
      <c r="E234" s="196">
        <f t="shared" ref="E234" ca="1" si="796">IF($I230="N",E232,IF($G230="1. In Flight",1,$G$9)*MIN(MAX($C232:$L232)*_xlfn.XLOOKUP($G230,$B$9:$B$13,$F$9:$F$13),MAX(IF(IFERROR(OFFSET(E232,0,_xlfn.XLOOKUP($G230,$B$9:$B$13,$C$9:$C$13)),0)=MAX($C232:$L232),_xlfn.MINIFS($C232:$L232,$C232:$L232,"&gt;0")*_xlfn.XLOOKUP($G230,$B$9:$B$13,$D$9:$D$13),IFERROR(OFFSET(E232,0,_xlfn.XLOOKUP($G230,$B$9:$B$13,$C$9:$C$13))*_xlfn.XLOOKUP($G230,$B$9:$B$13,$D$9:$D$13),0)),IFERROR(OFFSET(E232,0,_xlfn.XLOOKUP($G230,$B$9:$B$13,$E$9:$E$13))*_xlfn.XLOOKUP($G230,$B$9:$B$13,$F$9:$F$13),0),C234)))</f>
        <v>0</v>
      </c>
      <c r="F234" s="196">
        <f t="shared" ref="F234" ca="1" si="797">IF($I230="N",F232,IF($G230="1. In Flight",1,$G$9)*MIN(MAX($C232:$L232)*_xlfn.XLOOKUP($G230,$B$9:$B$13,$F$9:$F$13),MAX(IF(IFERROR(OFFSET(F232,0,_xlfn.XLOOKUP($G230,$B$9:$B$13,$C$9:$C$13)),0)=MAX($C232:$L232),_xlfn.MINIFS($C232:$L232,$C232:$L232,"&gt;0")*_xlfn.XLOOKUP($G230,$B$9:$B$13,$D$9:$D$13),IFERROR(OFFSET(F232,0,_xlfn.XLOOKUP($G230,$B$9:$B$13,$C$9:$C$13))*_xlfn.XLOOKUP($G230,$B$9:$B$13,$D$9:$D$13),0)),IFERROR(OFFSET(F232,0,_xlfn.XLOOKUP($G230,$B$9:$B$13,$E$9:$E$13))*_xlfn.XLOOKUP($G230,$B$9:$B$13,$F$9:$F$13),0),D234)))</f>
        <v>0</v>
      </c>
      <c r="G234" s="196">
        <f t="shared" ref="G234" ca="1" si="798">IF($I230="N",G232,IF($G230="1. In Flight",1,$G$9)*MIN(MAX($C232:$L232)*_xlfn.XLOOKUP($G230,$B$9:$B$13,$F$9:$F$13),MAX(IF(IFERROR(OFFSET(G232,0,_xlfn.XLOOKUP($G230,$B$9:$B$13,$C$9:$C$13)),0)=MAX($C232:$L232),_xlfn.MINIFS($C232:$L232,$C232:$L232,"&gt;0")*_xlfn.XLOOKUP($G230,$B$9:$B$13,$D$9:$D$13),IFERROR(OFFSET(G232,0,_xlfn.XLOOKUP($G230,$B$9:$B$13,$C$9:$C$13))*_xlfn.XLOOKUP($G230,$B$9:$B$13,$D$9:$D$13),0)),IFERROR(OFFSET(G232,0,_xlfn.XLOOKUP($G230,$B$9:$B$13,$E$9:$E$13))*_xlfn.XLOOKUP($G230,$B$9:$B$13,$F$9:$F$13),0),E234)))</f>
        <v>3.5100472933359383</v>
      </c>
      <c r="H234" s="196">
        <f t="shared" ref="H234" ca="1" si="799">IF($I230="N",H232,IF($G230="1. In Flight",1,$G$9)*MIN(MAX($C232:$L232)*_xlfn.XLOOKUP($G230,$B$9:$B$13,$F$9:$F$13),MAX(IF(IFERROR(OFFSET(H232,0,_xlfn.XLOOKUP($G230,$B$9:$B$13,$C$9:$C$13)),0)=MAX($C232:$L232),_xlfn.MINIFS($C232:$L232,$C232:$L232,"&gt;0")*_xlfn.XLOOKUP($G230,$B$9:$B$13,$D$9:$D$13),IFERROR(OFFSET(H232,0,_xlfn.XLOOKUP($G230,$B$9:$B$13,$C$9:$C$13))*_xlfn.XLOOKUP($G230,$B$9:$B$13,$D$9:$D$13),0)),IFERROR(OFFSET(H232,0,_xlfn.XLOOKUP($G230,$B$9:$B$13,$E$9:$E$13))*_xlfn.XLOOKUP($G230,$B$9:$B$13,$F$9:$F$13),0),F234)))</f>
        <v>5.0013330076216533</v>
      </c>
      <c r="I234" s="196">
        <f t="shared" ref="I234" ca="1" si="800">IF($I230="N",I232,IF($G230="1. In Flight",1,$G$9)*MIN(MAX($C232:$L232)*_xlfn.XLOOKUP($G230,$B$9:$B$13,$F$9:$F$13),MAX(IF(IFERROR(OFFSET(I232,0,_xlfn.XLOOKUP($G230,$B$9:$B$13,$C$9:$C$13)),0)=MAX($C232:$L232),_xlfn.MINIFS($C232:$L232,$C232:$L232,"&gt;0")*_xlfn.XLOOKUP($G230,$B$9:$B$13,$D$9:$D$13),IFERROR(OFFSET(I232,0,_xlfn.XLOOKUP($G230,$B$9:$B$13,$C$9:$C$13))*_xlfn.XLOOKUP($G230,$B$9:$B$13,$D$9:$D$13),0)),IFERROR(OFFSET(I232,0,_xlfn.XLOOKUP($G230,$B$9:$B$13,$E$9:$E$13))*_xlfn.XLOOKUP($G230,$B$9:$B$13,$F$9:$F$13),0),G234)))</f>
        <v>6.108761579050225</v>
      </c>
      <c r="J234" s="196">
        <f t="shared" ref="J234" ca="1" si="801">IF($I230="N",J232,IF($G230="1. In Flight",1,$G$9)*MIN(MAX($C232:$L232)*_xlfn.XLOOKUP($G230,$B$9:$B$13,$F$9:$F$13),MAX(IF(IFERROR(OFFSET(J232,0,_xlfn.XLOOKUP($G230,$B$9:$B$13,$C$9:$C$13)),0)=MAX($C232:$L232),_xlfn.MINIFS($C232:$L232,$C232:$L232,"&gt;0")*_xlfn.XLOOKUP($G230,$B$9:$B$13,$D$9:$D$13),IFERROR(OFFSET(J232,0,_xlfn.XLOOKUP($G230,$B$9:$B$13,$C$9:$C$13))*_xlfn.XLOOKUP($G230,$B$9:$B$13,$D$9:$D$13),0)),IFERROR(OFFSET(J232,0,_xlfn.XLOOKUP($G230,$B$9:$B$13,$E$9:$E$13))*_xlfn.XLOOKUP($G230,$B$9:$B$13,$F$9:$F$13),0),H234)))</f>
        <v>9.4151615790502241</v>
      </c>
      <c r="K234" s="196">
        <f t="shared" ref="K234" ca="1" si="802">IF($I230="N",K232,IF($G230="1. In Flight",1,$G$9)*MIN(MAX($C232:$L232)*_xlfn.XLOOKUP($G230,$B$9:$B$13,$F$9:$F$13),MAX(IF(IFERROR(OFFSET(K232,0,_xlfn.XLOOKUP($G230,$B$9:$B$13,$C$9:$C$13)),0)=MAX($C232:$L232),_xlfn.MINIFS($C232:$L232,$C232:$L232,"&gt;0")*_xlfn.XLOOKUP($G230,$B$9:$B$13,$D$9:$D$13),IFERROR(OFFSET(K232,0,_xlfn.XLOOKUP($G230,$B$9:$B$13,$C$9:$C$13))*_xlfn.XLOOKUP($G230,$B$9:$B$13,$D$9:$D$13),0)),IFERROR(OFFSET(K232,0,_xlfn.XLOOKUP($G230,$B$9:$B$13,$E$9:$E$13))*_xlfn.XLOOKUP($G230,$B$9:$B$13,$F$9:$F$13),0),I234)))</f>
        <v>11.576875864764508</v>
      </c>
      <c r="L234" s="196">
        <f t="shared" ref="L234" ca="1" si="803">IF($I230="N",L232,IF($G230="1. In Flight",1,$G$9)*MIN(MAX($C232:$L232)*_xlfn.XLOOKUP($G230,$B$9:$B$13,$F$9:$F$13),MAX(IF(IFERROR(OFFSET(L232,0,_xlfn.XLOOKUP($G230,$B$9:$B$13,$C$9:$C$13)),0)=MAX($C232:$L232),_xlfn.MINIFS($C232:$L232,$C232:$L232,"&gt;0")*_xlfn.XLOOKUP($G230,$B$9:$B$13,$D$9:$D$13),IFERROR(OFFSET(L232,0,_xlfn.XLOOKUP($G230,$B$9:$B$13,$C$9:$C$13))*_xlfn.XLOOKUP($G230,$B$9:$B$13,$D$9:$D$13),0)),IFERROR(OFFSET(L232,0,_xlfn.XLOOKUP($G230,$B$9:$B$13,$E$9:$E$13))*_xlfn.XLOOKUP($G230,$B$9:$B$13,$F$9:$F$13),0),J234)))</f>
        <v>13.914112331444203</v>
      </c>
    </row>
    <row r="235" spans="1:12" ht="15" thickBot="1">
      <c r="A235" s="197" t="s">
        <v>109</v>
      </c>
      <c r="B235" s="198">
        <f>B232</f>
        <v>0</v>
      </c>
      <c r="C235" s="198">
        <f ca="1">IF($I230="N",C232,IF($G230="1. In Flight",1,$G$14)*MIN(MAX($C232:$L232)*_xlfn.XLOOKUP($G230,$B$14:$B$18,$F$14:$F$18),MAX(IF(IFERROR(OFFSET(C232,0,_xlfn.XLOOKUP($G230,$B$14:$B$18,$C$14:$C$18)),0)=MAX($C232:$L232),_xlfn.MINIFS($C232:$L232,$C232:$L232,"&gt;0")*_xlfn.XLOOKUP($G230,$B$14:$B$18,$D$14:$D$18),IFERROR(OFFSET(C232,0,_xlfn.XLOOKUP($G230,$B$14:$B$18,$C$14:$C$18))*_xlfn.XLOOKUP($G230,$B$14:$B$18,$D$14:$D$18),0)),IFERROR(OFFSET(C232,0,_xlfn.XLOOKUP($G230,$B$14:$B$18,$E$14:$E$18))*_xlfn.XLOOKUP($G230,$B$14:$B$18,$F$14:$F$18),0),A235)))</f>
        <v>0</v>
      </c>
      <c r="D235" s="198">
        <f t="shared" ref="D235" ca="1" si="804">IF($I230="N",D232,IF($G230="1. In Flight",1,$G$14)*MIN(MAX($C232:$L232)*_xlfn.XLOOKUP($G230,$B$14:$B$18,$F$14:$F$18),MAX(IF(IFERROR(OFFSET(D232,0,_xlfn.XLOOKUP($G230,$B$14:$B$18,$C$14:$C$18)),0)=MAX($C232:$L232),_xlfn.MINIFS($C232:$L232,$C232:$L232,"&gt;0")*_xlfn.XLOOKUP($G230,$B$14:$B$18,$D$14:$D$18),IFERROR(OFFSET(D232,0,_xlfn.XLOOKUP($G230,$B$14:$B$18,$C$14:$C$18))*_xlfn.XLOOKUP($G230,$B$14:$B$18,$D$14:$D$18),0)),IFERROR(OFFSET(D232,0,_xlfn.XLOOKUP($G230,$B$14:$B$18,$E$14:$E$18))*_xlfn.XLOOKUP($G230,$B$14:$B$18,$F$14:$F$18),0),B235)))</f>
        <v>0</v>
      </c>
      <c r="E235" s="198">
        <f t="shared" ref="E235" ca="1" si="805">IF($I230="N",E232,IF($G230="1. In Flight",1,$G$14)*MIN(MAX($C232:$L232)*_xlfn.XLOOKUP($G230,$B$14:$B$18,$F$14:$F$18),MAX(IF(IFERROR(OFFSET(E232,0,_xlfn.XLOOKUP($G230,$B$14:$B$18,$C$14:$C$18)),0)=MAX($C232:$L232),_xlfn.MINIFS($C232:$L232,$C232:$L232,"&gt;0")*_xlfn.XLOOKUP($G230,$B$14:$B$18,$D$14:$D$18),IFERROR(OFFSET(E232,0,_xlfn.XLOOKUP($G230,$B$14:$B$18,$C$14:$C$18))*_xlfn.XLOOKUP($G230,$B$14:$B$18,$D$14:$D$18),0)),IFERROR(OFFSET(E232,0,_xlfn.XLOOKUP($G230,$B$14:$B$18,$E$14:$E$18))*_xlfn.XLOOKUP($G230,$B$14:$B$18,$F$14:$F$18),0),C235)))</f>
        <v>5.8500788222265641</v>
      </c>
      <c r="F235" s="198">
        <f t="shared" ref="F235" ca="1" si="806">IF($I230="N",F232,IF($G230="1. In Flight",1,$G$14)*MIN(MAX($C232:$L232)*_xlfn.XLOOKUP($G230,$B$14:$B$18,$F$14:$F$18),MAX(IF(IFERROR(OFFSET(F232,0,_xlfn.XLOOKUP($G230,$B$14:$B$18,$C$14:$C$18)),0)=MAX($C232:$L232),_xlfn.MINIFS($C232:$L232,$C232:$L232,"&gt;0")*_xlfn.XLOOKUP($G230,$B$14:$B$18,$D$14:$D$18),IFERROR(OFFSET(F232,0,_xlfn.XLOOKUP($G230,$B$14:$B$18,$C$14:$C$18))*_xlfn.XLOOKUP($G230,$B$14:$B$18,$D$14:$D$18),0)),IFERROR(OFFSET(F232,0,_xlfn.XLOOKUP($G230,$B$14:$B$18,$E$14:$E$18))*_xlfn.XLOOKUP($G230,$B$14:$B$18,$F$14:$F$18),0),D235)))</f>
        <v>8.3355550127027556</v>
      </c>
      <c r="G235" s="198">
        <f t="shared" ref="G235" ca="1" si="807">IF($I230="N",G232,IF($G230="1. In Flight",1,$G$14)*MIN(MAX($C232:$L232)*_xlfn.XLOOKUP($G230,$B$14:$B$18,$F$14:$F$18),MAX(IF(IFERROR(OFFSET(G232,0,_xlfn.XLOOKUP($G230,$B$14:$B$18,$C$14:$C$18)),0)=MAX($C232:$L232),_xlfn.MINIFS($C232:$L232,$C232:$L232,"&gt;0")*_xlfn.XLOOKUP($G230,$B$14:$B$18,$D$14:$D$18),IFERROR(OFFSET(G232,0,_xlfn.XLOOKUP($G230,$B$14:$B$18,$C$14:$C$18))*_xlfn.XLOOKUP($G230,$B$14:$B$18,$D$14:$D$18),0)),IFERROR(OFFSET(G232,0,_xlfn.XLOOKUP($G230,$B$14:$B$18,$E$14:$E$18))*_xlfn.XLOOKUP($G230,$B$14:$B$18,$F$14:$F$18),0),E235)))</f>
        <v>10.181269298417043</v>
      </c>
      <c r="H235" s="198">
        <f t="shared" ref="H235" ca="1" si="808">IF($I230="N",H232,IF($G230="1. In Flight",1,$G$14)*MIN(MAX($C232:$L232)*_xlfn.XLOOKUP($G230,$B$14:$B$18,$F$14:$F$18),MAX(IF(IFERROR(OFFSET(H232,0,_xlfn.XLOOKUP($G230,$B$14:$B$18,$C$14:$C$18)),0)=MAX($C232:$L232),_xlfn.MINIFS($C232:$L232,$C232:$L232,"&gt;0")*_xlfn.XLOOKUP($G230,$B$14:$B$18,$D$14:$D$18),IFERROR(OFFSET(H232,0,_xlfn.XLOOKUP($G230,$B$14:$B$18,$C$14:$C$18))*_xlfn.XLOOKUP($G230,$B$14:$B$18,$D$14:$D$18),0)),IFERROR(OFFSET(H232,0,_xlfn.XLOOKUP($G230,$B$14:$B$18,$E$14:$E$18))*_xlfn.XLOOKUP($G230,$B$14:$B$18,$F$14:$F$18),0),F235)))</f>
        <v>15.691935965083708</v>
      </c>
      <c r="I235" s="198">
        <f t="shared" ref="I235" ca="1" si="809">IF($I230="N",I232,IF($G230="1. In Flight",1,$G$14)*MIN(MAX($C232:$L232)*_xlfn.XLOOKUP($G230,$B$14:$B$18,$F$14:$F$18),MAX(IF(IFERROR(OFFSET(I232,0,_xlfn.XLOOKUP($G230,$B$14:$B$18,$C$14:$C$18)),0)=MAX($C232:$L232),_xlfn.MINIFS($C232:$L232,$C232:$L232,"&gt;0")*_xlfn.XLOOKUP($G230,$B$14:$B$18,$D$14:$D$18),IFERROR(OFFSET(I232,0,_xlfn.XLOOKUP($G230,$B$14:$B$18,$C$14:$C$18))*_xlfn.XLOOKUP($G230,$B$14:$B$18,$D$14:$D$18),0)),IFERROR(OFFSET(I232,0,_xlfn.XLOOKUP($G230,$B$14:$B$18,$E$14:$E$18))*_xlfn.XLOOKUP($G230,$B$14:$B$18,$F$14:$F$18),0),G235)))</f>
        <v>19.294793107940848</v>
      </c>
      <c r="J235" s="198">
        <f t="shared" ref="J235" ca="1" si="810">IF($I230="N",J232,IF($G230="1. In Flight",1,$G$14)*MIN(MAX($C232:$L232)*_xlfn.XLOOKUP($G230,$B$14:$B$18,$F$14:$F$18),MAX(IF(IFERROR(OFFSET(J232,0,_xlfn.XLOOKUP($G230,$B$14:$B$18,$C$14:$C$18)),0)=MAX($C232:$L232),_xlfn.MINIFS($C232:$L232,$C232:$L232,"&gt;0")*_xlfn.XLOOKUP($G230,$B$14:$B$18,$D$14:$D$18),IFERROR(OFFSET(J232,0,_xlfn.XLOOKUP($G230,$B$14:$B$18,$C$14:$C$18))*_xlfn.XLOOKUP($G230,$B$14:$B$18,$D$14:$D$18),0)),IFERROR(OFFSET(J232,0,_xlfn.XLOOKUP($G230,$B$14:$B$18,$E$14:$E$18))*_xlfn.XLOOKUP($G230,$B$14:$B$18,$F$14:$F$18),0),H235)))</f>
        <v>23.190187219073671</v>
      </c>
      <c r="K235" s="198">
        <f t="shared" ref="K235" ca="1" si="811">IF($I230="N",K232,IF($G230="1. In Flight",1,$G$14)*MIN(MAX($C232:$L232)*_xlfn.XLOOKUP($G230,$B$14:$B$18,$F$14:$F$18),MAX(IF(IFERROR(OFFSET(K232,0,_xlfn.XLOOKUP($G230,$B$14:$B$18,$C$14:$C$18)),0)=MAX($C232:$L232),_xlfn.MINIFS($C232:$L232,$C232:$L232,"&gt;0")*_xlfn.XLOOKUP($G230,$B$14:$B$18,$D$14:$D$18),IFERROR(OFFSET(K232,0,_xlfn.XLOOKUP($G230,$B$14:$B$18,$C$14:$C$18))*_xlfn.XLOOKUP($G230,$B$14:$B$18,$D$14:$D$18),0)),IFERROR(OFFSET(K232,0,_xlfn.XLOOKUP($G230,$B$14:$B$18,$E$14:$E$18))*_xlfn.XLOOKUP($G230,$B$14:$B$18,$F$14:$F$18),0),I235)))</f>
        <v>27.546409354439447</v>
      </c>
      <c r="L235" s="198">
        <f t="shared" ref="L235" ca="1" si="812">IF($I230="N",L232,IF($G230="1. In Flight",1,$G$14)*MIN(MAX($C232:$L232)*_xlfn.XLOOKUP($G230,$B$14:$B$18,$F$14:$F$18),MAX(IF(IFERROR(OFFSET(L232,0,_xlfn.XLOOKUP($G230,$B$14:$B$18,$C$14:$C$18)),0)=MAX($C232:$L232),_xlfn.MINIFS($C232:$L232,$C232:$L232,"&gt;0")*_xlfn.XLOOKUP($G230,$B$14:$B$18,$D$14:$D$18),IFERROR(OFFSET(L232,0,_xlfn.XLOOKUP($G230,$B$14:$B$18,$C$14:$C$18))*_xlfn.XLOOKUP($G230,$B$14:$B$18,$D$14:$D$18),0)),IFERROR(OFFSET(L232,0,_xlfn.XLOOKUP($G230,$B$14:$B$18,$E$14:$E$18))*_xlfn.XLOOKUP($G230,$B$14:$B$18,$F$14:$F$18),0),J235)))</f>
        <v>23.190187219073671</v>
      </c>
    </row>
    <row r="236" spans="1:12" ht="15" thickTop="1"/>
    <row r="237" spans="1:12" ht="15" thickBot="1">
      <c r="A237" s="231">
        <f>_xlfn.XLOOKUP(F237,FEED!D:D,FEED!E:E,FALSE)</f>
        <v>0</v>
      </c>
      <c r="B237" s="232"/>
      <c r="C237" s="188"/>
      <c r="D237" s="200" t="s">
        <v>129</v>
      </c>
      <c r="E237" s="189" t="s">
        <v>130</v>
      </c>
      <c r="F237" s="189" t="s">
        <v>72</v>
      </c>
      <c r="G237" s="189" t="str">
        <f>IFERROR(_xlfn.XLOOKUP(F237,FEED!$D:$D,FEED!$S:$S),$B$8)</f>
        <v>2. High</v>
      </c>
      <c r="H237" s="189" t="str">
        <f>IFERROR(_xlfn.XLOOKUP(F237,FEED!$D:$D,FEED!$Y:$Y),"Major Load")</f>
        <v>Data Centre</v>
      </c>
      <c r="I237" s="189" t="str">
        <f>IFERROR(_xlfn.XLOOKUP(F237,FEED!$D:$D,FEED!$C:$C),"N")</f>
        <v>Y</v>
      </c>
      <c r="J237" s="190"/>
      <c r="K237" s="190"/>
      <c r="L237" s="190"/>
    </row>
    <row r="238" spans="1:12" ht="15" thickBot="1">
      <c r="A238" s="191" t="str">
        <f>A210</f>
        <v>Uptake Scenario</v>
      </c>
      <c r="B238" s="192">
        <f>B231</f>
        <v>2023</v>
      </c>
      <c r="C238" s="192">
        <f t="shared" ref="C238:L238" si="813">C231</f>
        <v>2024</v>
      </c>
      <c r="D238" s="192">
        <f t="shared" si="813"/>
        <v>2025</v>
      </c>
      <c r="E238" s="192">
        <f t="shared" si="813"/>
        <v>2026</v>
      </c>
      <c r="F238" s="192">
        <f t="shared" si="813"/>
        <v>2027</v>
      </c>
      <c r="G238" s="192">
        <f t="shared" si="813"/>
        <v>2028</v>
      </c>
      <c r="H238" s="192">
        <f t="shared" si="813"/>
        <v>2029</v>
      </c>
      <c r="I238" s="192">
        <f t="shared" si="813"/>
        <v>2030</v>
      </c>
      <c r="J238" s="192">
        <f t="shared" si="813"/>
        <v>2031</v>
      </c>
      <c r="K238" s="192">
        <f t="shared" si="813"/>
        <v>2032</v>
      </c>
      <c r="L238" s="192">
        <f t="shared" si="813"/>
        <v>2033</v>
      </c>
    </row>
    <row r="239" spans="1:12" ht="15.6" thickTop="1" thickBot="1">
      <c r="A239" s="193" t="s">
        <v>111</v>
      </c>
      <c r="B239" s="194">
        <v>0</v>
      </c>
      <c r="C239" s="194">
        <f>SUMIF(FEED!$D:$D,$F237,FEED!F:F)+B239</f>
        <v>0</v>
      </c>
      <c r="D239" s="194">
        <f>SUMIF(FEED!$D:$D,$F237,FEED!G:G)+C239</f>
        <v>0</v>
      </c>
      <c r="E239" s="194">
        <f>SUMIF(FEED!$D:$D,$F237,FEED!H:H)+D239</f>
        <v>0</v>
      </c>
      <c r="F239" s="194">
        <f>SUMIF(FEED!$D:$D,$F237,FEED!I:I)+E239</f>
        <v>0</v>
      </c>
      <c r="G239" s="194">
        <f>SUMIF(FEED!$D:$D,$F237,FEED!J:J)+F239</f>
        <v>0</v>
      </c>
      <c r="H239" s="194">
        <f>SUMIF(FEED!$D:$D,$F237,FEED!K:K)+G239</f>
        <v>10</v>
      </c>
      <c r="I239" s="194">
        <f>SUMIF(FEED!$D:$D,$F237,FEED!L:L)+H239</f>
        <v>23.7</v>
      </c>
      <c r="J239" s="194">
        <f>SUMIF(FEED!$D:$D,$F237,FEED!M:M)+I239</f>
        <v>42.099999999999994</v>
      </c>
      <c r="K239" s="194">
        <f>SUMIF(FEED!$D:$D,$F237,FEED!N:N)+J239</f>
        <v>65.099999999999994</v>
      </c>
      <c r="L239" s="194">
        <f>SUMIF(FEED!$D:$D,$F237,FEED!O:O)+K239</f>
        <v>75</v>
      </c>
    </row>
    <row r="240" spans="1:12" ht="15" thickBot="1">
      <c r="A240" s="195" t="s">
        <v>107</v>
      </c>
      <c r="B240" s="196">
        <f>B239</f>
        <v>0</v>
      </c>
      <c r="C240" s="196">
        <f ca="1">IF($I237="N",C239,IF($G237="1. In Flight",1,$G$4)*MIN(MAX($C239:$L239)*_xlfn.XLOOKUP($G237,$B$4:$B$8,$F$4:$F$8),MAX(IF(IFERROR(OFFSET(C239,0,_xlfn.XLOOKUP($G237,$B$4:$B$8,$C$4:$C$8)),0)=MAX($C239:$L239),_xlfn.MINIFS($C239:$L239,$C239:$L239,"&gt;0")*_xlfn.XLOOKUP($G237,$B$4:$B$8,$D$4:$D$8),IFERROR(OFFSET(C239,0,_xlfn.XLOOKUP($G237,$B$4:$B$8,$C$4:$C$8))*_xlfn.XLOOKUP($G237,$B$4:$B$8,$D$4:$D$8),0)),IFERROR(OFFSET(C239,0,_xlfn.XLOOKUP($G237,$B$4:$B$8,$E$4:$E$8))*_xlfn.XLOOKUP($G237,$B$4:$B$8,$F$4:$F$8),0),A240)))</f>
        <v>0</v>
      </c>
      <c r="D240" s="196">
        <f t="shared" ref="D240" ca="1" si="814">IF($I237="N",D239,IF($G237="1. In Flight",1,$G$4)*MIN(MAX($C239:$L239)*_xlfn.XLOOKUP($G237,$B$4:$B$8,$F$4:$F$8),MAX(IF(IFERROR(OFFSET(D239,0,_xlfn.XLOOKUP($G237,$B$4:$B$8,$C$4:$C$8)),0)=MAX($C239:$L239),_xlfn.MINIFS($C239:$L239,$C239:$L239,"&gt;0")*_xlfn.XLOOKUP($G237,$B$4:$B$8,$D$4:$D$8),IFERROR(OFFSET(D239,0,_xlfn.XLOOKUP($G237,$B$4:$B$8,$C$4:$C$8))*_xlfn.XLOOKUP($G237,$B$4:$B$8,$D$4:$D$8),0)),IFERROR(OFFSET(D239,0,_xlfn.XLOOKUP($G237,$B$4:$B$8,$E$4:$E$8))*_xlfn.XLOOKUP($G237,$B$4:$B$8,$F$4:$F$8),0),B240)))</f>
        <v>0</v>
      </c>
      <c r="E240" s="196">
        <f t="shared" ref="E240" ca="1" si="815">IF($I237="N",E239,IF($G237="1. In Flight",1,$G$4)*MIN(MAX($C239:$L239)*_xlfn.XLOOKUP($G237,$B$4:$B$8,$F$4:$F$8),MAX(IF(IFERROR(OFFSET(E239,0,_xlfn.XLOOKUP($G237,$B$4:$B$8,$C$4:$C$8)),0)=MAX($C239:$L239),_xlfn.MINIFS($C239:$L239,$C239:$L239,"&gt;0")*_xlfn.XLOOKUP($G237,$B$4:$B$8,$D$4:$D$8),IFERROR(OFFSET(E239,0,_xlfn.XLOOKUP($G237,$B$4:$B$8,$C$4:$C$8))*_xlfn.XLOOKUP($G237,$B$4:$B$8,$D$4:$D$8),0)),IFERROR(OFFSET(E239,0,_xlfn.XLOOKUP($G237,$B$4:$B$8,$E$4:$E$8))*_xlfn.XLOOKUP($G237,$B$4:$B$8,$F$4:$F$8),0),C240)))</f>
        <v>0</v>
      </c>
      <c r="F240" s="196">
        <f t="shared" ref="F240" ca="1" si="816">IF($I237="N",F239,IF($G237="1. In Flight",1,$G$4)*MIN(MAX($C239:$L239)*_xlfn.XLOOKUP($G237,$B$4:$B$8,$F$4:$F$8),MAX(IF(IFERROR(OFFSET(F239,0,_xlfn.XLOOKUP($G237,$B$4:$B$8,$C$4:$C$8)),0)=MAX($C239:$L239),_xlfn.MINIFS($C239:$L239,$C239:$L239,"&gt;0")*_xlfn.XLOOKUP($G237,$B$4:$B$8,$D$4:$D$8),IFERROR(OFFSET(F239,0,_xlfn.XLOOKUP($G237,$B$4:$B$8,$C$4:$C$8))*_xlfn.XLOOKUP($G237,$B$4:$B$8,$D$4:$D$8),0)),IFERROR(OFFSET(F239,0,_xlfn.XLOOKUP($G237,$B$4:$B$8,$E$4:$E$8))*_xlfn.XLOOKUP($G237,$B$4:$B$8,$F$4:$F$8),0),D240)))</f>
        <v>0</v>
      </c>
      <c r="G240" s="196">
        <f t="shared" ref="G240" ca="1" si="817">IF($I237="N",G239,IF($G237="1. In Flight",1,$G$4)*MIN(MAX($C239:$L239)*_xlfn.XLOOKUP($G237,$B$4:$B$8,$F$4:$F$8),MAX(IF(IFERROR(OFFSET(G239,0,_xlfn.XLOOKUP($G237,$B$4:$B$8,$C$4:$C$8)),0)=MAX($C239:$L239),_xlfn.MINIFS($C239:$L239,$C239:$L239,"&gt;0")*_xlfn.XLOOKUP($G237,$B$4:$B$8,$D$4:$D$8),IFERROR(OFFSET(G239,0,_xlfn.XLOOKUP($G237,$B$4:$B$8,$C$4:$C$8))*_xlfn.XLOOKUP($G237,$B$4:$B$8,$D$4:$D$8),0)),IFERROR(OFFSET(G239,0,_xlfn.XLOOKUP($G237,$B$4:$B$8,$E$4:$E$8))*_xlfn.XLOOKUP($G237,$B$4:$B$8,$F$4:$F$8),0),E240)))</f>
        <v>0</v>
      </c>
      <c r="H240" s="196">
        <f t="shared" ref="H240" ca="1" si="818">IF($I237="N",H239,IF($G237="1. In Flight",1,$G$4)*MIN(MAX($C239:$L239)*_xlfn.XLOOKUP($G237,$B$4:$B$8,$F$4:$F$8),MAX(IF(IFERROR(OFFSET(H239,0,_xlfn.XLOOKUP($G237,$B$4:$B$8,$C$4:$C$8)),0)=MAX($C239:$L239),_xlfn.MINIFS($C239:$L239,$C239:$L239,"&gt;0")*_xlfn.XLOOKUP($G237,$B$4:$B$8,$D$4:$D$8),IFERROR(OFFSET(H239,0,_xlfn.XLOOKUP($G237,$B$4:$B$8,$C$4:$C$8))*_xlfn.XLOOKUP($G237,$B$4:$B$8,$D$4:$D$8),0)),IFERROR(OFFSET(H239,0,_xlfn.XLOOKUP($G237,$B$4:$B$8,$E$4:$E$8))*_xlfn.XLOOKUP($G237,$B$4:$B$8,$F$4:$F$8),0),F240)))</f>
        <v>0</v>
      </c>
      <c r="I240" s="196">
        <f t="shared" ref="I240" ca="1" si="819">IF($I237="N",I239,IF($G237="1. In Flight",1,$G$4)*MIN(MAX($C239:$L239)*_xlfn.XLOOKUP($G237,$B$4:$B$8,$F$4:$F$8),MAX(IF(IFERROR(OFFSET(I239,0,_xlfn.XLOOKUP($G237,$B$4:$B$8,$C$4:$C$8)),0)=MAX($C239:$L239),_xlfn.MINIFS($C239:$L239,$C239:$L239,"&gt;0")*_xlfn.XLOOKUP($G237,$B$4:$B$8,$D$4:$D$8),IFERROR(OFFSET(I239,0,_xlfn.XLOOKUP($G237,$B$4:$B$8,$C$4:$C$8))*_xlfn.XLOOKUP($G237,$B$4:$B$8,$D$4:$D$8),0)),IFERROR(OFFSET(I239,0,_xlfn.XLOOKUP($G237,$B$4:$B$8,$E$4:$E$8))*_xlfn.XLOOKUP($G237,$B$4:$B$8,$F$4:$F$8),0),G240)))</f>
        <v>0</v>
      </c>
      <c r="J240" s="196">
        <f t="shared" ref="J240" ca="1" si="820">IF($I237="N",J239,IF($G237="1. In Flight",1,$G$4)*MIN(MAX($C239:$L239)*_xlfn.XLOOKUP($G237,$B$4:$B$8,$F$4:$F$8),MAX(IF(IFERROR(OFFSET(J239,0,_xlfn.XLOOKUP($G237,$B$4:$B$8,$C$4:$C$8)),0)=MAX($C239:$L239),_xlfn.MINIFS($C239:$L239,$C239:$L239,"&gt;0")*_xlfn.XLOOKUP($G237,$B$4:$B$8,$D$4:$D$8),IFERROR(OFFSET(J239,0,_xlfn.XLOOKUP($G237,$B$4:$B$8,$C$4:$C$8))*_xlfn.XLOOKUP($G237,$B$4:$B$8,$D$4:$D$8),0)),IFERROR(OFFSET(J239,0,_xlfn.XLOOKUP($G237,$B$4:$B$8,$E$4:$E$8))*_xlfn.XLOOKUP($G237,$B$4:$B$8,$F$4:$F$8),0),H240)))</f>
        <v>4.8999999999999995</v>
      </c>
      <c r="K240" s="196">
        <f t="shared" ref="K240" ca="1" si="821">IF($I237="N",K239,IF($G237="1. In Flight",1,$G$4)*MIN(MAX($C239:$L239)*_xlfn.XLOOKUP($G237,$B$4:$B$8,$F$4:$F$8),MAX(IF(IFERROR(OFFSET(K239,0,_xlfn.XLOOKUP($G237,$B$4:$B$8,$C$4:$C$8)),0)=MAX($C239:$L239),_xlfn.MINIFS($C239:$L239,$C239:$L239,"&gt;0")*_xlfn.XLOOKUP($G237,$B$4:$B$8,$D$4:$D$8),IFERROR(OFFSET(K239,0,_xlfn.XLOOKUP($G237,$B$4:$B$8,$C$4:$C$8))*_xlfn.XLOOKUP($G237,$B$4:$B$8,$D$4:$D$8),0)),IFERROR(OFFSET(K239,0,_xlfn.XLOOKUP($G237,$B$4:$B$8,$E$4:$E$8))*_xlfn.XLOOKUP($G237,$B$4:$B$8,$F$4:$F$8),0),I240)))</f>
        <v>11.613</v>
      </c>
      <c r="L240" s="196">
        <f t="shared" ref="L240" ca="1" si="822">IF($I237="N",L239,IF($G237="1. In Flight",1,$G$4)*MIN(MAX($C239:$L239)*_xlfn.XLOOKUP($G237,$B$4:$B$8,$F$4:$F$8),MAX(IF(IFERROR(OFFSET(L239,0,_xlfn.XLOOKUP($G237,$B$4:$B$8,$C$4:$C$8)),0)=MAX($C239:$L239),_xlfn.MINIFS($C239:$L239,$C239:$L239,"&gt;0")*_xlfn.XLOOKUP($G237,$B$4:$B$8,$D$4:$D$8),IFERROR(OFFSET(L239,0,_xlfn.XLOOKUP($G237,$B$4:$B$8,$C$4:$C$8))*_xlfn.XLOOKUP($G237,$B$4:$B$8,$D$4:$D$8),0)),IFERROR(OFFSET(L239,0,_xlfn.XLOOKUP($G237,$B$4:$B$8,$E$4:$E$8))*_xlfn.XLOOKUP($G237,$B$4:$B$8,$F$4:$F$8),0),J240)))</f>
        <v>20.628999999999994</v>
      </c>
    </row>
    <row r="241" spans="1:12" ht="15" thickBot="1">
      <c r="A241" s="195" t="s">
        <v>108</v>
      </c>
      <c r="B241" s="196">
        <f>B239</f>
        <v>0</v>
      </c>
      <c r="C241" s="196">
        <f ca="1">IF($I237="N",C239,IF($G237="1. In Flight",1,$G$9)*MIN(MAX($C239:$L239)*_xlfn.XLOOKUP($G237,$B$9:$B$13,$F$9:$F$13),MAX(IF(IFERROR(OFFSET(C239,0,_xlfn.XLOOKUP($G237,$B$9:$B$13,$C$9:$C$13)),0)=MAX($C239:$L239),_xlfn.MINIFS($C239:$L239,$C239:$L239,"&gt;0")*_xlfn.XLOOKUP($G237,$B$9:$B$13,$D$9:$D$13),IFERROR(OFFSET(C239,0,_xlfn.XLOOKUP($G237,$B$9:$B$13,$C$9:$C$13))*_xlfn.XLOOKUP($G237,$B$9:$B$13,$D$9:$D$13),0)),IFERROR(OFFSET(C239,0,_xlfn.XLOOKUP($G237,$B$9:$B$13,$E$9:$E$13))*_xlfn.XLOOKUP($G237,$B$9:$B$13,$F$9:$F$13),0),A241)))</f>
        <v>0</v>
      </c>
      <c r="D241" s="196">
        <f t="shared" ref="D241" ca="1" si="823">IF($I237="N",D239,IF($G237="1. In Flight",1,$G$9)*MIN(MAX($C239:$L239)*_xlfn.XLOOKUP($G237,$B$9:$B$13,$F$9:$F$13),MAX(IF(IFERROR(OFFSET(D239,0,_xlfn.XLOOKUP($G237,$B$9:$B$13,$C$9:$C$13)),0)=MAX($C239:$L239),_xlfn.MINIFS($C239:$L239,$C239:$L239,"&gt;0")*_xlfn.XLOOKUP($G237,$B$9:$B$13,$D$9:$D$13),IFERROR(OFFSET(D239,0,_xlfn.XLOOKUP($G237,$B$9:$B$13,$C$9:$C$13))*_xlfn.XLOOKUP($G237,$B$9:$B$13,$D$9:$D$13),0)),IFERROR(OFFSET(D239,0,_xlfn.XLOOKUP($G237,$B$9:$B$13,$E$9:$E$13))*_xlfn.XLOOKUP($G237,$B$9:$B$13,$F$9:$F$13),0),B241)))</f>
        <v>0</v>
      </c>
      <c r="E241" s="196">
        <f t="shared" ref="E241" ca="1" si="824">IF($I237="N",E239,IF($G237="1. In Flight",1,$G$9)*MIN(MAX($C239:$L239)*_xlfn.XLOOKUP($G237,$B$9:$B$13,$F$9:$F$13),MAX(IF(IFERROR(OFFSET(E239,0,_xlfn.XLOOKUP($G237,$B$9:$B$13,$C$9:$C$13)),0)=MAX($C239:$L239),_xlfn.MINIFS($C239:$L239,$C239:$L239,"&gt;0")*_xlfn.XLOOKUP($G237,$B$9:$B$13,$D$9:$D$13),IFERROR(OFFSET(E239,0,_xlfn.XLOOKUP($G237,$B$9:$B$13,$C$9:$C$13))*_xlfn.XLOOKUP($G237,$B$9:$B$13,$D$9:$D$13),0)),IFERROR(OFFSET(E239,0,_xlfn.XLOOKUP($G237,$B$9:$B$13,$E$9:$E$13))*_xlfn.XLOOKUP($G237,$B$9:$B$13,$F$9:$F$13),0),C241)))</f>
        <v>0</v>
      </c>
      <c r="F241" s="196">
        <f t="shared" ref="F241" ca="1" si="825">IF($I237="N",F239,IF($G237="1. In Flight",1,$G$9)*MIN(MAX($C239:$L239)*_xlfn.XLOOKUP($G237,$B$9:$B$13,$F$9:$F$13),MAX(IF(IFERROR(OFFSET(F239,0,_xlfn.XLOOKUP($G237,$B$9:$B$13,$C$9:$C$13)),0)=MAX($C239:$L239),_xlfn.MINIFS($C239:$L239,$C239:$L239,"&gt;0")*_xlfn.XLOOKUP($G237,$B$9:$B$13,$D$9:$D$13),IFERROR(OFFSET(F239,0,_xlfn.XLOOKUP($G237,$B$9:$B$13,$C$9:$C$13))*_xlfn.XLOOKUP($G237,$B$9:$B$13,$D$9:$D$13),0)),IFERROR(OFFSET(F239,0,_xlfn.XLOOKUP($G237,$B$9:$B$13,$E$9:$E$13))*_xlfn.XLOOKUP($G237,$B$9:$B$13,$F$9:$F$13),0),D241)))</f>
        <v>0</v>
      </c>
      <c r="G241" s="196">
        <f t="shared" ref="G241" ca="1" si="826">IF($I237="N",G239,IF($G237="1. In Flight",1,$G$9)*MIN(MAX($C239:$L239)*_xlfn.XLOOKUP($G237,$B$9:$B$13,$F$9:$F$13),MAX(IF(IFERROR(OFFSET(G239,0,_xlfn.XLOOKUP($G237,$B$9:$B$13,$C$9:$C$13)),0)=MAX($C239:$L239),_xlfn.MINIFS($C239:$L239,$C239:$L239,"&gt;0")*_xlfn.XLOOKUP($G237,$B$9:$B$13,$D$9:$D$13),IFERROR(OFFSET(G239,0,_xlfn.XLOOKUP($G237,$B$9:$B$13,$C$9:$C$13))*_xlfn.XLOOKUP($G237,$B$9:$B$13,$D$9:$D$13),0)),IFERROR(OFFSET(G239,0,_xlfn.XLOOKUP($G237,$B$9:$B$13,$E$9:$E$13))*_xlfn.XLOOKUP($G237,$B$9:$B$13,$F$9:$F$13),0),E241)))</f>
        <v>0</v>
      </c>
      <c r="H241" s="196">
        <f t="shared" ref="H241" ca="1" si="827">IF($I237="N",H239,IF($G237="1. In Flight",1,$G$9)*MIN(MAX($C239:$L239)*_xlfn.XLOOKUP($G237,$B$9:$B$13,$F$9:$F$13),MAX(IF(IFERROR(OFFSET(H239,0,_xlfn.XLOOKUP($G237,$B$9:$B$13,$C$9:$C$13)),0)=MAX($C239:$L239),_xlfn.MINIFS($C239:$L239,$C239:$L239,"&gt;0")*_xlfn.XLOOKUP($G237,$B$9:$B$13,$D$9:$D$13),IFERROR(OFFSET(H239,0,_xlfn.XLOOKUP($G237,$B$9:$B$13,$C$9:$C$13))*_xlfn.XLOOKUP($G237,$B$9:$B$13,$D$9:$D$13),0)),IFERROR(OFFSET(H239,0,_xlfn.XLOOKUP($G237,$B$9:$B$13,$E$9:$E$13))*_xlfn.XLOOKUP($G237,$B$9:$B$13,$F$9:$F$13),0),F241)))</f>
        <v>0</v>
      </c>
      <c r="I241" s="196">
        <f t="shared" ref="I241" ca="1" si="828">IF($I237="N",I239,IF($G237="1. In Flight",1,$G$9)*MIN(MAX($C239:$L239)*_xlfn.XLOOKUP($G237,$B$9:$B$13,$F$9:$F$13),MAX(IF(IFERROR(OFFSET(I239,0,_xlfn.XLOOKUP($G237,$B$9:$B$13,$C$9:$C$13)),0)=MAX($C239:$L239),_xlfn.MINIFS($C239:$L239,$C239:$L239,"&gt;0")*_xlfn.XLOOKUP($G237,$B$9:$B$13,$D$9:$D$13),IFERROR(OFFSET(I239,0,_xlfn.XLOOKUP($G237,$B$9:$B$13,$C$9:$C$13))*_xlfn.XLOOKUP($G237,$B$9:$B$13,$D$9:$D$13),0)),IFERROR(OFFSET(I239,0,_xlfn.XLOOKUP($G237,$B$9:$B$13,$E$9:$E$13))*_xlfn.XLOOKUP($G237,$B$9:$B$13,$F$9:$F$13),0),G241)))</f>
        <v>0</v>
      </c>
      <c r="J241" s="196">
        <f t="shared" ref="J241" ca="1" si="829">IF($I237="N",J239,IF($G237="1. In Flight",1,$G$9)*MIN(MAX($C239:$L239)*_xlfn.XLOOKUP($G237,$B$9:$B$13,$F$9:$F$13),MAX(IF(IFERROR(OFFSET(J239,0,_xlfn.XLOOKUP($G237,$B$9:$B$13,$C$9:$C$13)),0)=MAX($C239:$L239),_xlfn.MINIFS($C239:$L239,$C239:$L239,"&gt;0")*_xlfn.XLOOKUP($G237,$B$9:$B$13,$D$9:$D$13),IFERROR(OFFSET(J239,0,_xlfn.XLOOKUP($G237,$B$9:$B$13,$C$9:$C$13))*_xlfn.XLOOKUP($G237,$B$9:$B$13,$D$9:$D$13),0)),IFERROR(OFFSET(J239,0,_xlfn.XLOOKUP($G237,$B$9:$B$13,$E$9:$E$13))*_xlfn.XLOOKUP($G237,$B$9:$B$13,$F$9:$F$13),0),H241)))</f>
        <v>0</v>
      </c>
      <c r="K241" s="196">
        <f t="shared" ref="K241" ca="1" si="830">IF($I237="N",K239,IF($G237="1. In Flight",1,$G$9)*MIN(MAX($C239:$L239)*_xlfn.XLOOKUP($G237,$B$9:$B$13,$F$9:$F$13),MAX(IF(IFERROR(OFFSET(K239,0,_xlfn.XLOOKUP($G237,$B$9:$B$13,$C$9:$C$13)),0)=MAX($C239:$L239),_xlfn.MINIFS($C239:$L239,$C239:$L239,"&gt;0")*_xlfn.XLOOKUP($G237,$B$9:$B$13,$D$9:$D$13),IFERROR(OFFSET(K239,0,_xlfn.XLOOKUP($G237,$B$9:$B$13,$C$9:$C$13))*_xlfn.XLOOKUP($G237,$B$9:$B$13,$D$9:$D$13),0)),IFERROR(OFFSET(K239,0,_xlfn.XLOOKUP($G237,$B$9:$B$13,$E$9:$E$13))*_xlfn.XLOOKUP($G237,$B$9:$B$13,$F$9:$F$13),0),I241)))</f>
        <v>2</v>
      </c>
      <c r="L241" s="196">
        <f t="shared" ref="L241" ca="1" si="831">IF($I237="N",L239,IF($G237="1. In Flight",1,$G$9)*MIN(MAX($C239:$L239)*_xlfn.XLOOKUP($G237,$B$9:$B$13,$F$9:$F$13),MAX(IF(IFERROR(OFFSET(L239,0,_xlfn.XLOOKUP($G237,$B$9:$B$13,$C$9:$C$13)),0)=MAX($C239:$L239),_xlfn.MINIFS($C239:$L239,$C239:$L239,"&gt;0")*_xlfn.XLOOKUP($G237,$B$9:$B$13,$D$9:$D$13),IFERROR(OFFSET(L239,0,_xlfn.XLOOKUP($G237,$B$9:$B$13,$C$9:$C$13))*_xlfn.XLOOKUP($G237,$B$9:$B$13,$D$9:$D$13),0)),IFERROR(OFFSET(L239,0,_xlfn.XLOOKUP($G237,$B$9:$B$13,$E$9:$E$13))*_xlfn.XLOOKUP($G237,$B$9:$B$13,$F$9:$F$13),0),J241)))</f>
        <v>4.74</v>
      </c>
    </row>
    <row r="242" spans="1:12" ht="15" thickBot="1">
      <c r="A242" s="197" t="s">
        <v>109</v>
      </c>
      <c r="B242" s="198">
        <f>B239</f>
        <v>0</v>
      </c>
      <c r="C242" s="198">
        <f ca="1">IF($I237="N",C239,IF($G237="1. In Flight",1,$G$14)*MIN(MAX($C239:$L239)*_xlfn.XLOOKUP($G237,$B$14:$B$18,$F$14:$F$18),MAX(IF(IFERROR(OFFSET(C239,0,_xlfn.XLOOKUP($G237,$B$14:$B$18,$C$14:$C$18)),0)=MAX($C239:$L239),_xlfn.MINIFS($C239:$L239,$C239:$L239,"&gt;0")*_xlfn.XLOOKUP($G237,$B$14:$B$18,$D$14:$D$18),IFERROR(OFFSET(C239,0,_xlfn.XLOOKUP($G237,$B$14:$B$18,$C$14:$C$18))*_xlfn.XLOOKUP($G237,$B$14:$B$18,$D$14:$D$18),0)),IFERROR(OFFSET(C239,0,_xlfn.XLOOKUP($G237,$B$14:$B$18,$E$14:$E$18))*_xlfn.XLOOKUP($G237,$B$14:$B$18,$F$14:$F$18),0),A242)))</f>
        <v>0</v>
      </c>
      <c r="D242" s="198">
        <f t="shared" ref="D242" ca="1" si="832">IF($I237="N",D239,IF($G237="1. In Flight",1,$G$14)*MIN(MAX($C239:$L239)*_xlfn.XLOOKUP($G237,$B$14:$B$18,$F$14:$F$18),MAX(IF(IFERROR(OFFSET(D239,0,_xlfn.XLOOKUP($G237,$B$14:$B$18,$C$14:$C$18)),0)=MAX($C239:$L239),_xlfn.MINIFS($C239:$L239,$C239:$L239,"&gt;0")*_xlfn.XLOOKUP($G237,$B$14:$B$18,$D$14:$D$18),IFERROR(OFFSET(D239,0,_xlfn.XLOOKUP($G237,$B$14:$B$18,$C$14:$C$18))*_xlfn.XLOOKUP($G237,$B$14:$B$18,$D$14:$D$18),0)),IFERROR(OFFSET(D239,0,_xlfn.XLOOKUP($G237,$B$14:$B$18,$E$14:$E$18))*_xlfn.XLOOKUP($G237,$B$14:$B$18,$F$14:$F$18),0),B242)))</f>
        <v>0</v>
      </c>
      <c r="E242" s="198">
        <f t="shared" ref="E242" ca="1" si="833">IF($I237="N",E239,IF($G237="1. In Flight",1,$G$14)*MIN(MAX($C239:$L239)*_xlfn.XLOOKUP($G237,$B$14:$B$18,$F$14:$F$18),MAX(IF(IFERROR(OFFSET(E239,0,_xlfn.XLOOKUP($G237,$B$14:$B$18,$C$14:$C$18)),0)=MAX($C239:$L239),_xlfn.MINIFS($C239:$L239,$C239:$L239,"&gt;0")*_xlfn.XLOOKUP($G237,$B$14:$B$18,$D$14:$D$18),IFERROR(OFFSET(E239,0,_xlfn.XLOOKUP($G237,$B$14:$B$18,$C$14:$C$18))*_xlfn.XLOOKUP($G237,$B$14:$B$18,$D$14:$D$18),0)),IFERROR(OFFSET(E239,0,_xlfn.XLOOKUP($G237,$B$14:$B$18,$E$14:$E$18))*_xlfn.XLOOKUP($G237,$B$14:$B$18,$F$14:$F$18),0),C242)))</f>
        <v>0</v>
      </c>
      <c r="F242" s="198">
        <f t="shared" ref="F242" ca="1" si="834">IF($I237="N",F239,IF($G237="1. In Flight",1,$G$14)*MIN(MAX($C239:$L239)*_xlfn.XLOOKUP($G237,$B$14:$B$18,$F$14:$F$18),MAX(IF(IFERROR(OFFSET(F239,0,_xlfn.XLOOKUP($G237,$B$14:$B$18,$C$14:$C$18)),0)=MAX($C239:$L239),_xlfn.MINIFS($C239:$L239,$C239:$L239,"&gt;0")*_xlfn.XLOOKUP($G237,$B$14:$B$18,$D$14:$D$18),IFERROR(OFFSET(F239,0,_xlfn.XLOOKUP($G237,$B$14:$B$18,$C$14:$C$18))*_xlfn.XLOOKUP($G237,$B$14:$B$18,$D$14:$D$18),0)),IFERROR(OFFSET(F239,0,_xlfn.XLOOKUP($G237,$B$14:$B$18,$E$14:$E$18))*_xlfn.XLOOKUP($G237,$B$14:$B$18,$F$14:$F$18),0),D242)))</f>
        <v>0</v>
      </c>
      <c r="G242" s="198">
        <f t="shared" ref="G242" ca="1" si="835">IF($I237="N",G239,IF($G237="1. In Flight",1,$G$14)*MIN(MAX($C239:$L239)*_xlfn.XLOOKUP($G237,$B$14:$B$18,$F$14:$F$18),MAX(IF(IFERROR(OFFSET(G239,0,_xlfn.XLOOKUP($G237,$B$14:$B$18,$C$14:$C$18)),0)=MAX($C239:$L239),_xlfn.MINIFS($C239:$L239,$C239:$L239,"&gt;0")*_xlfn.XLOOKUP($G237,$B$14:$B$18,$D$14:$D$18),IFERROR(OFFSET(G239,0,_xlfn.XLOOKUP($G237,$B$14:$B$18,$C$14:$C$18))*_xlfn.XLOOKUP($G237,$B$14:$B$18,$D$14:$D$18),0)),IFERROR(OFFSET(G239,0,_xlfn.XLOOKUP($G237,$B$14:$B$18,$E$14:$E$18))*_xlfn.XLOOKUP($G237,$B$14:$B$18,$F$14:$F$18),0),E242)))</f>
        <v>0</v>
      </c>
      <c r="H242" s="198">
        <f t="shared" ref="H242" ca="1" si="836">IF($I237="N",H239,IF($G237="1. In Flight",1,$G$14)*MIN(MAX($C239:$L239)*_xlfn.XLOOKUP($G237,$B$14:$B$18,$F$14:$F$18),MAX(IF(IFERROR(OFFSET(H239,0,_xlfn.XLOOKUP($G237,$B$14:$B$18,$C$14:$C$18)),0)=MAX($C239:$L239),_xlfn.MINIFS($C239:$L239,$C239:$L239,"&gt;0")*_xlfn.XLOOKUP($G237,$B$14:$B$18,$D$14:$D$18),IFERROR(OFFSET(H239,0,_xlfn.XLOOKUP($G237,$B$14:$B$18,$C$14:$C$18))*_xlfn.XLOOKUP($G237,$B$14:$B$18,$D$14:$D$18),0)),IFERROR(OFFSET(H239,0,_xlfn.XLOOKUP($G237,$B$14:$B$18,$E$14:$E$18))*_xlfn.XLOOKUP($G237,$B$14:$B$18,$F$14:$F$18),0),F242)))</f>
        <v>0</v>
      </c>
      <c r="I242" s="198">
        <f t="shared" ref="I242" ca="1" si="837">IF($I237="N",I239,IF($G237="1. In Flight",1,$G$14)*MIN(MAX($C239:$L239)*_xlfn.XLOOKUP($G237,$B$14:$B$18,$F$14:$F$18),MAX(IF(IFERROR(OFFSET(I239,0,_xlfn.XLOOKUP($G237,$B$14:$B$18,$C$14:$C$18)),0)=MAX($C239:$L239),_xlfn.MINIFS($C239:$L239,$C239:$L239,"&gt;0")*_xlfn.XLOOKUP($G237,$B$14:$B$18,$D$14:$D$18),IFERROR(OFFSET(I239,0,_xlfn.XLOOKUP($G237,$B$14:$B$18,$C$14:$C$18))*_xlfn.XLOOKUP($G237,$B$14:$B$18,$D$14:$D$18),0)),IFERROR(OFFSET(I239,0,_xlfn.XLOOKUP($G237,$B$14:$B$18,$E$14:$E$18))*_xlfn.XLOOKUP($G237,$B$14:$B$18,$F$14:$F$18),0),G242)))</f>
        <v>7.2</v>
      </c>
      <c r="J242" s="198">
        <f t="shared" ref="J242" ca="1" si="838">IF($I237="N",J239,IF($G237="1. In Flight",1,$G$14)*MIN(MAX($C239:$L239)*_xlfn.XLOOKUP($G237,$B$14:$B$18,$F$14:$F$18),MAX(IF(IFERROR(OFFSET(J239,0,_xlfn.XLOOKUP($G237,$B$14:$B$18,$C$14:$C$18)),0)=MAX($C239:$L239),_xlfn.MINIFS($C239:$L239,$C239:$L239,"&gt;0")*_xlfn.XLOOKUP($G237,$B$14:$B$18,$D$14:$D$18),IFERROR(OFFSET(J239,0,_xlfn.XLOOKUP($G237,$B$14:$B$18,$C$14:$C$18))*_xlfn.XLOOKUP($G237,$B$14:$B$18,$D$14:$D$18),0)),IFERROR(OFFSET(J239,0,_xlfn.XLOOKUP($G237,$B$14:$B$18,$E$14:$E$18))*_xlfn.XLOOKUP($G237,$B$14:$B$18,$F$14:$F$18),0),H242)))</f>
        <v>17.064</v>
      </c>
      <c r="K242" s="198">
        <f t="shared" ref="K242" ca="1" si="839">IF($I237="N",K239,IF($G237="1. In Flight",1,$G$14)*MIN(MAX($C239:$L239)*_xlfn.XLOOKUP($G237,$B$14:$B$18,$F$14:$F$18),MAX(IF(IFERROR(OFFSET(K239,0,_xlfn.XLOOKUP($G237,$B$14:$B$18,$C$14:$C$18)),0)=MAX($C239:$L239),_xlfn.MINIFS($C239:$L239,$C239:$L239,"&gt;0")*_xlfn.XLOOKUP($G237,$B$14:$B$18,$D$14:$D$18),IFERROR(OFFSET(K239,0,_xlfn.XLOOKUP($G237,$B$14:$B$18,$C$14:$C$18))*_xlfn.XLOOKUP($G237,$B$14:$B$18,$D$14:$D$18),0)),IFERROR(OFFSET(K239,0,_xlfn.XLOOKUP($G237,$B$14:$B$18,$E$14:$E$18))*_xlfn.XLOOKUP($G237,$B$14:$B$18,$F$14:$F$18),0),I242)))</f>
        <v>30.312000000000001</v>
      </c>
      <c r="L242" s="198">
        <f t="shared" ref="L242" ca="1" si="840">IF($I237="N",L239,IF($G237="1. In Flight",1,$G$14)*MIN(MAX($C239:$L239)*_xlfn.XLOOKUP($G237,$B$14:$B$18,$F$14:$F$18),MAX(IF(IFERROR(OFFSET(L239,0,_xlfn.XLOOKUP($G237,$B$14:$B$18,$C$14:$C$18)),0)=MAX($C239:$L239),_xlfn.MINIFS($C239:$L239,$C239:$L239,"&gt;0")*_xlfn.XLOOKUP($G237,$B$14:$B$18,$D$14:$D$18),IFERROR(OFFSET(L239,0,_xlfn.XLOOKUP($G237,$B$14:$B$18,$C$14:$C$18))*_xlfn.XLOOKUP($G237,$B$14:$B$18,$D$14:$D$18),0)),IFERROR(OFFSET(L239,0,_xlfn.XLOOKUP($G237,$B$14:$B$18,$E$14:$E$18))*_xlfn.XLOOKUP($G237,$B$14:$B$18,$F$14:$F$18),0),J242)))</f>
        <v>46.872</v>
      </c>
    </row>
    <row r="243" spans="1:12" ht="15" thickTop="1">
      <c r="A243" s="50"/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</row>
    <row r="244" spans="1:12" ht="15" thickBot="1">
      <c r="A244" s="231">
        <f>_xlfn.XLOOKUP(F244,FEED!D:D,FEED!E:E,FALSE)</f>
        <v>0</v>
      </c>
      <c r="B244" s="232"/>
      <c r="C244" s="188"/>
      <c r="D244" s="200" t="s">
        <v>129</v>
      </c>
      <c r="E244" s="189" t="s">
        <v>130</v>
      </c>
      <c r="F244" s="189" t="s">
        <v>73</v>
      </c>
      <c r="G244" s="189" t="str">
        <f>IFERROR(_xlfn.XLOOKUP(F244,FEED!$D:$D,FEED!$S:$S),$B$8)</f>
        <v>4. Low</v>
      </c>
      <c r="H244" s="189" t="str">
        <f>IFERROR(_xlfn.XLOOKUP(F244,FEED!$D:$D,FEED!$Y:$Y),"Major Load")</f>
        <v>Data Centre</v>
      </c>
      <c r="I244" s="189" t="str">
        <f>IFERROR(_xlfn.XLOOKUP(F244,FEED!$D:$D,FEED!$C:$C),"N")</f>
        <v>Y</v>
      </c>
      <c r="J244" s="190"/>
      <c r="K244" s="190"/>
      <c r="L244" s="190"/>
    </row>
    <row r="245" spans="1:12" ht="15" thickBot="1">
      <c r="A245" s="191" t="str">
        <f>A217</f>
        <v>Uptake Scenario</v>
      </c>
      <c r="B245" s="192">
        <f>B238</f>
        <v>2023</v>
      </c>
      <c r="C245" s="192">
        <f t="shared" ref="C245:L245" si="841">C238</f>
        <v>2024</v>
      </c>
      <c r="D245" s="192">
        <f t="shared" si="841"/>
        <v>2025</v>
      </c>
      <c r="E245" s="192">
        <f t="shared" si="841"/>
        <v>2026</v>
      </c>
      <c r="F245" s="192">
        <f t="shared" si="841"/>
        <v>2027</v>
      </c>
      <c r="G245" s="192">
        <f t="shared" si="841"/>
        <v>2028</v>
      </c>
      <c r="H245" s="192">
        <f t="shared" si="841"/>
        <v>2029</v>
      </c>
      <c r="I245" s="192">
        <f t="shared" si="841"/>
        <v>2030</v>
      </c>
      <c r="J245" s="192">
        <f t="shared" si="841"/>
        <v>2031</v>
      </c>
      <c r="K245" s="192">
        <f t="shared" si="841"/>
        <v>2032</v>
      </c>
      <c r="L245" s="192">
        <f t="shared" si="841"/>
        <v>2033</v>
      </c>
    </row>
    <row r="246" spans="1:12" ht="15.6" thickTop="1" thickBot="1">
      <c r="A246" s="193" t="s">
        <v>111</v>
      </c>
      <c r="B246" s="194">
        <v>0</v>
      </c>
      <c r="C246" s="194">
        <f>SUMIF(FEED!$D:$D,$F244,FEED!F:F)+B246</f>
        <v>0</v>
      </c>
      <c r="D246" s="194">
        <f>SUMIF(FEED!$D:$D,$F244,FEED!G:G)+C246</f>
        <v>0</v>
      </c>
      <c r="E246" s="194">
        <f>SUMIF(FEED!$D:$D,$F244,FEED!H:H)+D246</f>
        <v>0</v>
      </c>
      <c r="F246" s="194">
        <f>SUMIF(FEED!$D:$D,$F244,FEED!I:I)+E246</f>
        <v>0</v>
      </c>
      <c r="G246" s="194">
        <f>SUMIF(FEED!$D:$D,$F244,FEED!J:J)+F246</f>
        <v>0</v>
      </c>
      <c r="H246" s="194">
        <f>SUMIF(FEED!$D:$D,$F244,FEED!K:K)+G246</f>
        <v>0</v>
      </c>
      <c r="I246" s="194">
        <f>SUMIF(FEED!$D:$D,$F244,FEED!L:L)+H246</f>
        <v>17.550236466679692</v>
      </c>
      <c r="J246" s="194">
        <f>SUMIF(FEED!$D:$D,$F244,FEED!M:M)+I246</f>
        <v>25.006665038108267</v>
      </c>
      <c r="K246" s="194">
        <f>SUMIF(FEED!$D:$D,$F244,FEED!N:N)+J246</f>
        <v>30.543807895251128</v>
      </c>
      <c r="L246" s="194">
        <f>SUMIF(FEED!$D:$D,$F244,FEED!O:O)+K246</f>
        <v>47.075807895251131</v>
      </c>
    </row>
    <row r="247" spans="1:12" ht="15" thickBot="1">
      <c r="A247" s="195" t="s">
        <v>107</v>
      </c>
      <c r="B247" s="196">
        <f>B246</f>
        <v>0</v>
      </c>
      <c r="C247" s="196">
        <f ca="1">IF($I244="N",C246,IF($G244="1. In Flight",1,$G$4)*MIN(MAX($C246:$L246)*_xlfn.XLOOKUP($G244,$B$4:$B$8,$F$4:$F$8),MAX(IF(IFERROR(OFFSET(C246,0,_xlfn.XLOOKUP($G244,$B$4:$B$8,$C$4:$C$8)),0)=MAX($C246:$L246),_xlfn.MINIFS($C246:$L246,$C246:$L246,"&gt;0")*_xlfn.XLOOKUP($G244,$B$4:$B$8,$D$4:$D$8),IFERROR(OFFSET(C246,0,_xlfn.XLOOKUP($G244,$B$4:$B$8,$C$4:$C$8))*_xlfn.XLOOKUP($G244,$B$4:$B$8,$D$4:$D$8),0)),IFERROR(OFFSET(C246,0,_xlfn.XLOOKUP($G244,$B$4:$B$8,$E$4:$E$8))*_xlfn.XLOOKUP($G244,$B$4:$B$8,$F$4:$F$8),0),A247)))</f>
        <v>0</v>
      </c>
      <c r="D247" s="196">
        <f t="shared" ref="D247" ca="1" si="842">IF($I244="N",D246,IF($G244="1. In Flight",1,$G$4)*MIN(MAX($C246:$L246)*_xlfn.XLOOKUP($G244,$B$4:$B$8,$F$4:$F$8),MAX(IF(IFERROR(OFFSET(D246,0,_xlfn.XLOOKUP($G244,$B$4:$B$8,$C$4:$C$8)),0)=MAX($C246:$L246),_xlfn.MINIFS($C246:$L246,$C246:$L246,"&gt;0")*_xlfn.XLOOKUP($G244,$B$4:$B$8,$D$4:$D$8),IFERROR(OFFSET(D246,0,_xlfn.XLOOKUP($G244,$B$4:$B$8,$C$4:$C$8))*_xlfn.XLOOKUP($G244,$B$4:$B$8,$D$4:$D$8),0)),IFERROR(OFFSET(D246,0,_xlfn.XLOOKUP($G244,$B$4:$B$8,$E$4:$E$8))*_xlfn.XLOOKUP($G244,$B$4:$B$8,$F$4:$F$8),0),B247)))</f>
        <v>0</v>
      </c>
      <c r="E247" s="196">
        <f t="shared" ref="E247" ca="1" si="843">IF($I244="N",E246,IF($G244="1. In Flight",1,$G$4)*MIN(MAX($C246:$L246)*_xlfn.XLOOKUP($G244,$B$4:$B$8,$F$4:$F$8),MAX(IF(IFERROR(OFFSET(E246,0,_xlfn.XLOOKUP($G244,$B$4:$B$8,$C$4:$C$8)),0)=MAX($C246:$L246),_xlfn.MINIFS($C246:$L246,$C246:$L246,"&gt;0")*_xlfn.XLOOKUP($G244,$B$4:$B$8,$D$4:$D$8),IFERROR(OFFSET(E246,0,_xlfn.XLOOKUP($G244,$B$4:$B$8,$C$4:$C$8))*_xlfn.XLOOKUP($G244,$B$4:$B$8,$D$4:$D$8),0)),IFERROR(OFFSET(E246,0,_xlfn.XLOOKUP($G244,$B$4:$B$8,$E$4:$E$8))*_xlfn.XLOOKUP($G244,$B$4:$B$8,$F$4:$F$8),0),C247)))</f>
        <v>0</v>
      </c>
      <c r="F247" s="196">
        <f t="shared" ref="F247" ca="1" si="844">IF($I244="N",F246,IF($G244="1. In Flight",1,$G$4)*MIN(MAX($C246:$L246)*_xlfn.XLOOKUP($G244,$B$4:$B$8,$F$4:$F$8),MAX(IF(IFERROR(OFFSET(F246,0,_xlfn.XLOOKUP($G244,$B$4:$B$8,$C$4:$C$8)),0)=MAX($C246:$L246),_xlfn.MINIFS($C246:$L246,$C246:$L246,"&gt;0")*_xlfn.XLOOKUP($G244,$B$4:$B$8,$D$4:$D$8),IFERROR(OFFSET(F246,0,_xlfn.XLOOKUP($G244,$B$4:$B$8,$C$4:$C$8))*_xlfn.XLOOKUP($G244,$B$4:$B$8,$D$4:$D$8),0)),IFERROR(OFFSET(F246,0,_xlfn.XLOOKUP($G244,$B$4:$B$8,$E$4:$E$8))*_xlfn.XLOOKUP($G244,$B$4:$B$8,$F$4:$F$8),0),D247)))</f>
        <v>0</v>
      </c>
      <c r="G247" s="196">
        <f t="shared" ref="G247" ca="1" si="845">IF($I244="N",G246,IF($G244="1. In Flight",1,$G$4)*MIN(MAX($C246:$L246)*_xlfn.XLOOKUP($G244,$B$4:$B$8,$F$4:$F$8),MAX(IF(IFERROR(OFFSET(G246,0,_xlfn.XLOOKUP($G244,$B$4:$B$8,$C$4:$C$8)),0)=MAX($C246:$L246),_xlfn.MINIFS($C246:$L246,$C246:$L246,"&gt;0")*_xlfn.XLOOKUP($G244,$B$4:$B$8,$D$4:$D$8),IFERROR(OFFSET(G246,0,_xlfn.XLOOKUP($G244,$B$4:$B$8,$C$4:$C$8))*_xlfn.XLOOKUP($G244,$B$4:$B$8,$D$4:$D$8),0)),IFERROR(OFFSET(G246,0,_xlfn.XLOOKUP($G244,$B$4:$B$8,$E$4:$E$8))*_xlfn.XLOOKUP($G244,$B$4:$B$8,$F$4:$F$8),0),E247)))</f>
        <v>0</v>
      </c>
      <c r="H247" s="196">
        <f t="shared" ref="H247" ca="1" si="846">IF($I244="N",H246,IF($G244="1. In Flight",1,$G$4)*MIN(MAX($C246:$L246)*_xlfn.XLOOKUP($G244,$B$4:$B$8,$F$4:$F$8),MAX(IF(IFERROR(OFFSET(H246,0,_xlfn.XLOOKUP($G244,$B$4:$B$8,$C$4:$C$8)),0)=MAX($C246:$L246),_xlfn.MINIFS($C246:$L246,$C246:$L246,"&gt;0")*_xlfn.XLOOKUP($G244,$B$4:$B$8,$D$4:$D$8),IFERROR(OFFSET(H246,0,_xlfn.XLOOKUP($G244,$B$4:$B$8,$C$4:$C$8))*_xlfn.XLOOKUP($G244,$B$4:$B$8,$D$4:$D$8),0)),IFERROR(OFFSET(H246,0,_xlfn.XLOOKUP($G244,$B$4:$B$8,$E$4:$E$8))*_xlfn.XLOOKUP($G244,$B$4:$B$8,$F$4:$F$8),0),F247)))</f>
        <v>0</v>
      </c>
      <c r="I247" s="196">
        <f t="shared" ref="I247" ca="1" si="847">IF($I244="N",I246,IF($G244="1. In Flight",1,$G$4)*MIN(MAX($C246:$L246)*_xlfn.XLOOKUP($G244,$B$4:$B$8,$F$4:$F$8),MAX(IF(IFERROR(OFFSET(I246,0,_xlfn.XLOOKUP($G244,$B$4:$B$8,$C$4:$C$8)),0)=MAX($C246:$L246),_xlfn.MINIFS($C246:$L246,$C246:$L246,"&gt;0")*_xlfn.XLOOKUP($G244,$B$4:$B$8,$D$4:$D$8),IFERROR(OFFSET(I246,0,_xlfn.XLOOKUP($G244,$B$4:$B$8,$C$4:$C$8))*_xlfn.XLOOKUP($G244,$B$4:$B$8,$D$4:$D$8),0)),IFERROR(OFFSET(I246,0,_xlfn.XLOOKUP($G244,$B$4:$B$8,$E$4:$E$8))*_xlfn.XLOOKUP($G244,$B$4:$B$8,$F$4:$F$8),0),G247)))</f>
        <v>0</v>
      </c>
      <c r="J247" s="196">
        <f t="shared" ref="J247" ca="1" si="848">IF($I244="N",J246,IF($G244="1. In Flight",1,$G$4)*MIN(MAX($C246:$L246)*_xlfn.XLOOKUP($G244,$B$4:$B$8,$F$4:$F$8),MAX(IF(IFERROR(OFFSET(J246,0,_xlfn.XLOOKUP($G244,$B$4:$B$8,$C$4:$C$8)),0)=MAX($C246:$L246),_xlfn.MINIFS($C246:$L246,$C246:$L246,"&gt;0")*_xlfn.XLOOKUP($G244,$B$4:$B$8,$D$4:$D$8),IFERROR(OFFSET(J246,0,_xlfn.XLOOKUP($G244,$B$4:$B$8,$C$4:$C$8))*_xlfn.XLOOKUP($G244,$B$4:$B$8,$D$4:$D$8),0)),IFERROR(OFFSET(J246,0,_xlfn.XLOOKUP($G244,$B$4:$B$8,$E$4:$E$8))*_xlfn.XLOOKUP($G244,$B$4:$B$8,$F$4:$F$8),0),H247)))</f>
        <v>0</v>
      </c>
      <c r="K247" s="196">
        <f t="shared" ref="K247" ca="1" si="849">IF($I244="N",K246,IF($G244="1. In Flight",1,$G$4)*MIN(MAX($C246:$L246)*_xlfn.XLOOKUP($G244,$B$4:$B$8,$F$4:$F$8),MAX(IF(IFERROR(OFFSET(K246,0,_xlfn.XLOOKUP($G244,$B$4:$B$8,$C$4:$C$8)),0)=MAX($C246:$L246),_xlfn.MINIFS($C246:$L246,$C246:$L246,"&gt;0")*_xlfn.XLOOKUP($G244,$B$4:$B$8,$D$4:$D$8),IFERROR(OFFSET(K246,0,_xlfn.XLOOKUP($G244,$B$4:$B$8,$C$4:$C$8))*_xlfn.XLOOKUP($G244,$B$4:$B$8,$D$4:$D$8),0)),IFERROR(OFFSET(K246,0,_xlfn.XLOOKUP($G244,$B$4:$B$8,$E$4:$E$8))*_xlfn.XLOOKUP($G244,$B$4:$B$8,$F$4:$F$8),0),I247)))</f>
        <v>0</v>
      </c>
      <c r="L247" s="196">
        <f t="shared" ref="L247" ca="1" si="850">IF($I244="N",L246,IF($G244="1. In Flight",1,$G$4)*MIN(MAX($C246:$L246)*_xlfn.XLOOKUP($G244,$B$4:$B$8,$F$4:$F$8),MAX(IF(IFERROR(OFFSET(L246,0,_xlfn.XLOOKUP($G244,$B$4:$B$8,$C$4:$C$8)),0)=MAX($C246:$L246),_xlfn.MINIFS($C246:$L246,$C246:$L246,"&gt;0")*_xlfn.XLOOKUP($G244,$B$4:$B$8,$D$4:$D$8),IFERROR(OFFSET(L246,0,_xlfn.XLOOKUP($G244,$B$4:$B$8,$C$4:$C$8))*_xlfn.XLOOKUP($G244,$B$4:$B$8,$D$4:$D$8),0)),IFERROR(OFFSET(L246,0,_xlfn.XLOOKUP($G244,$B$4:$B$8,$E$4:$E$8))*_xlfn.XLOOKUP($G244,$B$4:$B$8,$F$4:$F$8),0),J247)))</f>
        <v>0</v>
      </c>
    </row>
    <row r="248" spans="1:12" ht="15" thickBot="1">
      <c r="A248" s="195" t="s">
        <v>108</v>
      </c>
      <c r="B248" s="196">
        <f>B246</f>
        <v>0</v>
      </c>
      <c r="C248" s="196">
        <f ca="1">IF($I244="N",C246,IF($G244="1. In Flight",1,$G$9)*MIN(MAX($C246:$L246)*_xlfn.XLOOKUP($G244,$B$9:$B$13,$F$9:$F$13),MAX(IF(IFERROR(OFFSET(C246,0,_xlfn.XLOOKUP($G244,$B$9:$B$13,$C$9:$C$13)),0)=MAX($C246:$L246),_xlfn.MINIFS($C246:$L246,$C246:$L246,"&gt;0")*_xlfn.XLOOKUP($G244,$B$9:$B$13,$D$9:$D$13),IFERROR(OFFSET(C246,0,_xlfn.XLOOKUP($G244,$B$9:$B$13,$C$9:$C$13))*_xlfn.XLOOKUP($G244,$B$9:$B$13,$D$9:$D$13),0)),IFERROR(OFFSET(C246,0,_xlfn.XLOOKUP($G244,$B$9:$B$13,$E$9:$E$13))*_xlfn.XLOOKUP($G244,$B$9:$B$13,$F$9:$F$13),0),A248)))</f>
        <v>0</v>
      </c>
      <c r="D248" s="196">
        <f t="shared" ref="D248" ca="1" si="851">IF($I244="N",D246,IF($G244="1. In Flight",1,$G$9)*MIN(MAX($C246:$L246)*_xlfn.XLOOKUP($G244,$B$9:$B$13,$F$9:$F$13),MAX(IF(IFERROR(OFFSET(D246,0,_xlfn.XLOOKUP($G244,$B$9:$B$13,$C$9:$C$13)),0)=MAX($C246:$L246),_xlfn.MINIFS($C246:$L246,$C246:$L246,"&gt;0")*_xlfn.XLOOKUP($G244,$B$9:$B$13,$D$9:$D$13),IFERROR(OFFSET(D246,0,_xlfn.XLOOKUP($G244,$B$9:$B$13,$C$9:$C$13))*_xlfn.XLOOKUP($G244,$B$9:$B$13,$D$9:$D$13),0)),IFERROR(OFFSET(D246,0,_xlfn.XLOOKUP($G244,$B$9:$B$13,$E$9:$E$13))*_xlfn.XLOOKUP($G244,$B$9:$B$13,$F$9:$F$13),0),B248)))</f>
        <v>0</v>
      </c>
      <c r="E248" s="196">
        <f t="shared" ref="E248" ca="1" si="852">IF($I244="N",E246,IF($G244="1. In Flight",1,$G$9)*MIN(MAX($C246:$L246)*_xlfn.XLOOKUP($G244,$B$9:$B$13,$F$9:$F$13),MAX(IF(IFERROR(OFFSET(E246,0,_xlfn.XLOOKUP($G244,$B$9:$B$13,$C$9:$C$13)),0)=MAX($C246:$L246),_xlfn.MINIFS($C246:$L246,$C246:$L246,"&gt;0")*_xlfn.XLOOKUP($G244,$B$9:$B$13,$D$9:$D$13),IFERROR(OFFSET(E246,0,_xlfn.XLOOKUP($G244,$B$9:$B$13,$C$9:$C$13))*_xlfn.XLOOKUP($G244,$B$9:$B$13,$D$9:$D$13),0)),IFERROR(OFFSET(E246,0,_xlfn.XLOOKUP($G244,$B$9:$B$13,$E$9:$E$13))*_xlfn.XLOOKUP($G244,$B$9:$B$13,$F$9:$F$13),0),C248)))</f>
        <v>0</v>
      </c>
      <c r="F248" s="196">
        <f t="shared" ref="F248" ca="1" si="853">IF($I244="N",F246,IF($G244="1. In Flight",1,$G$9)*MIN(MAX($C246:$L246)*_xlfn.XLOOKUP($G244,$B$9:$B$13,$F$9:$F$13),MAX(IF(IFERROR(OFFSET(F246,0,_xlfn.XLOOKUP($G244,$B$9:$B$13,$C$9:$C$13)),0)=MAX($C246:$L246),_xlfn.MINIFS($C246:$L246,$C246:$L246,"&gt;0")*_xlfn.XLOOKUP($G244,$B$9:$B$13,$D$9:$D$13),IFERROR(OFFSET(F246,0,_xlfn.XLOOKUP($G244,$B$9:$B$13,$C$9:$C$13))*_xlfn.XLOOKUP($G244,$B$9:$B$13,$D$9:$D$13),0)),IFERROR(OFFSET(F246,0,_xlfn.XLOOKUP($G244,$B$9:$B$13,$E$9:$E$13))*_xlfn.XLOOKUP($G244,$B$9:$B$13,$F$9:$F$13),0),D248)))</f>
        <v>0</v>
      </c>
      <c r="G248" s="196">
        <f t="shared" ref="G248" ca="1" si="854">IF($I244="N",G246,IF($G244="1. In Flight",1,$G$9)*MIN(MAX($C246:$L246)*_xlfn.XLOOKUP($G244,$B$9:$B$13,$F$9:$F$13),MAX(IF(IFERROR(OFFSET(G246,0,_xlfn.XLOOKUP($G244,$B$9:$B$13,$C$9:$C$13)),0)=MAX($C246:$L246),_xlfn.MINIFS($C246:$L246,$C246:$L246,"&gt;0")*_xlfn.XLOOKUP($G244,$B$9:$B$13,$D$9:$D$13),IFERROR(OFFSET(G246,0,_xlfn.XLOOKUP($G244,$B$9:$B$13,$C$9:$C$13))*_xlfn.XLOOKUP($G244,$B$9:$B$13,$D$9:$D$13),0)),IFERROR(OFFSET(G246,0,_xlfn.XLOOKUP($G244,$B$9:$B$13,$E$9:$E$13))*_xlfn.XLOOKUP($G244,$B$9:$B$13,$F$9:$F$13),0),E248)))</f>
        <v>0</v>
      </c>
      <c r="H248" s="196">
        <f t="shared" ref="H248" ca="1" si="855">IF($I244="N",H246,IF($G244="1. In Flight",1,$G$9)*MIN(MAX($C246:$L246)*_xlfn.XLOOKUP($G244,$B$9:$B$13,$F$9:$F$13),MAX(IF(IFERROR(OFFSET(H246,0,_xlfn.XLOOKUP($G244,$B$9:$B$13,$C$9:$C$13)),0)=MAX($C246:$L246),_xlfn.MINIFS($C246:$L246,$C246:$L246,"&gt;0")*_xlfn.XLOOKUP($G244,$B$9:$B$13,$D$9:$D$13),IFERROR(OFFSET(H246,0,_xlfn.XLOOKUP($G244,$B$9:$B$13,$C$9:$C$13))*_xlfn.XLOOKUP($G244,$B$9:$B$13,$D$9:$D$13),0)),IFERROR(OFFSET(H246,0,_xlfn.XLOOKUP($G244,$B$9:$B$13,$E$9:$E$13))*_xlfn.XLOOKUP($G244,$B$9:$B$13,$F$9:$F$13),0),F248)))</f>
        <v>0</v>
      </c>
      <c r="I248" s="196">
        <f t="shared" ref="I248" ca="1" si="856">IF($I244="N",I246,IF($G244="1. In Flight",1,$G$9)*MIN(MAX($C246:$L246)*_xlfn.XLOOKUP($G244,$B$9:$B$13,$F$9:$F$13),MAX(IF(IFERROR(OFFSET(I246,0,_xlfn.XLOOKUP($G244,$B$9:$B$13,$C$9:$C$13)),0)=MAX($C246:$L246),_xlfn.MINIFS($C246:$L246,$C246:$L246,"&gt;0")*_xlfn.XLOOKUP($G244,$B$9:$B$13,$D$9:$D$13),IFERROR(OFFSET(I246,0,_xlfn.XLOOKUP($G244,$B$9:$B$13,$C$9:$C$13))*_xlfn.XLOOKUP($G244,$B$9:$B$13,$D$9:$D$13),0)),IFERROR(OFFSET(I246,0,_xlfn.XLOOKUP($G244,$B$9:$B$13,$E$9:$E$13))*_xlfn.XLOOKUP($G244,$B$9:$B$13,$F$9:$F$13),0),G248)))</f>
        <v>0</v>
      </c>
      <c r="J248" s="196">
        <f t="shared" ref="J248" ca="1" si="857">IF($I244="N",J246,IF($G244="1. In Flight",1,$G$9)*MIN(MAX($C246:$L246)*_xlfn.XLOOKUP($G244,$B$9:$B$13,$F$9:$F$13),MAX(IF(IFERROR(OFFSET(J246,0,_xlfn.XLOOKUP($G244,$B$9:$B$13,$C$9:$C$13)),0)=MAX($C246:$L246),_xlfn.MINIFS($C246:$L246,$C246:$L246,"&gt;0")*_xlfn.XLOOKUP($G244,$B$9:$B$13,$D$9:$D$13),IFERROR(OFFSET(J246,0,_xlfn.XLOOKUP($G244,$B$9:$B$13,$C$9:$C$13))*_xlfn.XLOOKUP($G244,$B$9:$B$13,$D$9:$D$13),0)),IFERROR(OFFSET(J246,0,_xlfn.XLOOKUP($G244,$B$9:$B$13,$E$9:$E$13))*_xlfn.XLOOKUP($G244,$B$9:$B$13,$F$9:$F$13),0),H248)))</f>
        <v>0</v>
      </c>
      <c r="K248" s="196">
        <f t="shared" ref="K248" ca="1" si="858">IF($I244="N",K246,IF($G244="1. In Flight",1,$G$9)*MIN(MAX($C246:$L246)*_xlfn.XLOOKUP($G244,$B$9:$B$13,$F$9:$F$13),MAX(IF(IFERROR(OFFSET(K246,0,_xlfn.XLOOKUP($G244,$B$9:$B$13,$C$9:$C$13)),0)=MAX($C246:$L246),_xlfn.MINIFS($C246:$L246,$C246:$L246,"&gt;0")*_xlfn.XLOOKUP($G244,$B$9:$B$13,$D$9:$D$13),IFERROR(OFFSET(K246,0,_xlfn.XLOOKUP($G244,$B$9:$B$13,$C$9:$C$13))*_xlfn.XLOOKUP($G244,$B$9:$B$13,$D$9:$D$13),0)),IFERROR(OFFSET(K246,0,_xlfn.XLOOKUP($G244,$B$9:$B$13,$E$9:$E$13))*_xlfn.XLOOKUP($G244,$B$9:$B$13,$F$9:$F$13),0),I248)))</f>
        <v>0</v>
      </c>
      <c r="L248" s="196">
        <f t="shared" ref="L248" ca="1" si="859">IF($I244="N",L246,IF($G244="1. In Flight",1,$G$9)*MIN(MAX($C246:$L246)*_xlfn.XLOOKUP($G244,$B$9:$B$13,$F$9:$F$13),MAX(IF(IFERROR(OFFSET(L246,0,_xlfn.XLOOKUP($G244,$B$9:$B$13,$C$9:$C$13)),0)=MAX($C246:$L246),_xlfn.MINIFS($C246:$L246,$C246:$L246,"&gt;0")*_xlfn.XLOOKUP($G244,$B$9:$B$13,$D$9:$D$13),IFERROR(OFFSET(L246,0,_xlfn.XLOOKUP($G244,$B$9:$B$13,$C$9:$C$13))*_xlfn.XLOOKUP($G244,$B$9:$B$13,$D$9:$D$13),0)),IFERROR(OFFSET(L246,0,_xlfn.XLOOKUP($G244,$B$9:$B$13,$E$9:$E$13))*_xlfn.XLOOKUP($G244,$B$9:$B$13,$F$9:$F$13),0),J248)))</f>
        <v>0</v>
      </c>
    </row>
    <row r="249" spans="1:12" ht="15" thickBot="1">
      <c r="A249" s="197" t="s">
        <v>109</v>
      </c>
      <c r="B249" s="198">
        <f>B246</f>
        <v>0</v>
      </c>
      <c r="C249" s="198">
        <f ca="1">IF($I244="N",C246,IF($G244="1. In Flight",1,$G$14)*MIN(MAX($C246:$L246)*_xlfn.XLOOKUP($G244,$B$14:$B$18,$F$14:$F$18),MAX(IF(IFERROR(OFFSET(C246,0,_xlfn.XLOOKUP($G244,$B$14:$B$18,$C$14:$C$18)),0)=MAX($C246:$L246),_xlfn.MINIFS($C246:$L246,$C246:$L246,"&gt;0")*_xlfn.XLOOKUP($G244,$B$14:$B$18,$D$14:$D$18),IFERROR(OFFSET(C246,0,_xlfn.XLOOKUP($G244,$B$14:$B$18,$C$14:$C$18))*_xlfn.XLOOKUP($G244,$B$14:$B$18,$D$14:$D$18),0)),IFERROR(OFFSET(C246,0,_xlfn.XLOOKUP($G244,$B$14:$B$18,$E$14:$E$18))*_xlfn.XLOOKUP($G244,$B$14:$B$18,$F$14:$F$18),0),A249)))</f>
        <v>0</v>
      </c>
      <c r="D249" s="198">
        <f t="shared" ref="D249" ca="1" si="860">IF($I244="N",D246,IF($G244="1. In Flight",1,$G$14)*MIN(MAX($C246:$L246)*_xlfn.XLOOKUP($G244,$B$14:$B$18,$F$14:$F$18),MAX(IF(IFERROR(OFFSET(D246,0,_xlfn.XLOOKUP($G244,$B$14:$B$18,$C$14:$C$18)),0)=MAX($C246:$L246),_xlfn.MINIFS($C246:$L246,$C246:$L246,"&gt;0")*_xlfn.XLOOKUP($G244,$B$14:$B$18,$D$14:$D$18),IFERROR(OFFSET(D246,0,_xlfn.XLOOKUP($G244,$B$14:$B$18,$C$14:$C$18))*_xlfn.XLOOKUP($G244,$B$14:$B$18,$D$14:$D$18),0)),IFERROR(OFFSET(D246,0,_xlfn.XLOOKUP($G244,$B$14:$B$18,$E$14:$E$18))*_xlfn.XLOOKUP($G244,$B$14:$B$18,$F$14:$F$18),0),B249)))</f>
        <v>0</v>
      </c>
      <c r="E249" s="198">
        <f t="shared" ref="E249" ca="1" si="861">IF($I244="N",E246,IF($G244="1. In Flight",1,$G$14)*MIN(MAX($C246:$L246)*_xlfn.XLOOKUP($G244,$B$14:$B$18,$F$14:$F$18),MAX(IF(IFERROR(OFFSET(E246,0,_xlfn.XLOOKUP($G244,$B$14:$B$18,$C$14:$C$18)),0)=MAX($C246:$L246),_xlfn.MINIFS($C246:$L246,$C246:$L246,"&gt;0")*_xlfn.XLOOKUP($G244,$B$14:$B$18,$D$14:$D$18),IFERROR(OFFSET(E246,0,_xlfn.XLOOKUP($G244,$B$14:$B$18,$C$14:$C$18))*_xlfn.XLOOKUP($G244,$B$14:$B$18,$D$14:$D$18),0)),IFERROR(OFFSET(E246,0,_xlfn.XLOOKUP($G244,$B$14:$B$18,$E$14:$E$18))*_xlfn.XLOOKUP($G244,$B$14:$B$18,$F$14:$F$18),0),C249)))</f>
        <v>0</v>
      </c>
      <c r="F249" s="198">
        <f t="shared" ref="F249" ca="1" si="862">IF($I244="N",F246,IF($G244="1. In Flight",1,$G$14)*MIN(MAX($C246:$L246)*_xlfn.XLOOKUP($G244,$B$14:$B$18,$F$14:$F$18),MAX(IF(IFERROR(OFFSET(F246,0,_xlfn.XLOOKUP($G244,$B$14:$B$18,$C$14:$C$18)),0)=MAX($C246:$L246),_xlfn.MINIFS($C246:$L246,$C246:$L246,"&gt;0")*_xlfn.XLOOKUP($G244,$B$14:$B$18,$D$14:$D$18),IFERROR(OFFSET(F246,0,_xlfn.XLOOKUP($G244,$B$14:$B$18,$C$14:$C$18))*_xlfn.XLOOKUP($G244,$B$14:$B$18,$D$14:$D$18),0)),IFERROR(OFFSET(F246,0,_xlfn.XLOOKUP($G244,$B$14:$B$18,$E$14:$E$18))*_xlfn.XLOOKUP($G244,$B$14:$B$18,$F$14:$F$18),0),D249)))</f>
        <v>0</v>
      </c>
      <c r="G249" s="198">
        <f t="shared" ref="G249" ca="1" si="863">IF($I244="N",G246,IF($G244="1. In Flight",1,$G$14)*MIN(MAX($C246:$L246)*_xlfn.XLOOKUP($G244,$B$14:$B$18,$F$14:$F$18),MAX(IF(IFERROR(OFFSET(G246,0,_xlfn.XLOOKUP($G244,$B$14:$B$18,$C$14:$C$18)),0)=MAX($C246:$L246),_xlfn.MINIFS($C246:$L246,$C246:$L246,"&gt;0")*_xlfn.XLOOKUP($G244,$B$14:$B$18,$D$14:$D$18),IFERROR(OFFSET(G246,0,_xlfn.XLOOKUP($G244,$B$14:$B$18,$C$14:$C$18))*_xlfn.XLOOKUP($G244,$B$14:$B$18,$D$14:$D$18),0)),IFERROR(OFFSET(G246,0,_xlfn.XLOOKUP($G244,$B$14:$B$18,$E$14:$E$18))*_xlfn.XLOOKUP($G244,$B$14:$B$18,$F$14:$F$18),0),E249)))</f>
        <v>0</v>
      </c>
      <c r="H249" s="198">
        <f t="shared" ref="H249" ca="1" si="864">IF($I244="N",H246,IF($G244="1. In Flight",1,$G$14)*MIN(MAX($C246:$L246)*_xlfn.XLOOKUP($G244,$B$14:$B$18,$F$14:$F$18),MAX(IF(IFERROR(OFFSET(H246,0,_xlfn.XLOOKUP($G244,$B$14:$B$18,$C$14:$C$18)),0)=MAX($C246:$L246),_xlfn.MINIFS($C246:$L246,$C246:$L246,"&gt;0")*_xlfn.XLOOKUP($G244,$B$14:$B$18,$D$14:$D$18),IFERROR(OFFSET(H246,0,_xlfn.XLOOKUP($G244,$B$14:$B$18,$C$14:$C$18))*_xlfn.XLOOKUP($G244,$B$14:$B$18,$D$14:$D$18),0)),IFERROR(OFFSET(H246,0,_xlfn.XLOOKUP($G244,$B$14:$B$18,$E$14:$E$18))*_xlfn.XLOOKUP($G244,$B$14:$B$18,$F$14:$F$18),0),F249)))</f>
        <v>0</v>
      </c>
      <c r="I249" s="198">
        <f t="shared" ref="I249" ca="1" si="865">IF($I244="N",I246,IF($G244="1. In Flight",1,$G$14)*MIN(MAX($C246:$L246)*_xlfn.XLOOKUP($G244,$B$14:$B$18,$F$14:$F$18),MAX(IF(IFERROR(OFFSET(I246,0,_xlfn.XLOOKUP($G244,$B$14:$B$18,$C$14:$C$18)),0)=MAX($C246:$L246),_xlfn.MINIFS($C246:$L246,$C246:$L246,"&gt;0")*_xlfn.XLOOKUP($G244,$B$14:$B$18,$D$14:$D$18),IFERROR(OFFSET(I246,0,_xlfn.XLOOKUP($G244,$B$14:$B$18,$C$14:$C$18))*_xlfn.XLOOKUP($G244,$B$14:$B$18,$D$14:$D$18),0)),IFERROR(OFFSET(I246,0,_xlfn.XLOOKUP($G244,$B$14:$B$18,$E$14:$E$18))*_xlfn.XLOOKUP($G244,$B$14:$B$18,$F$14:$F$18),0),G249)))</f>
        <v>0</v>
      </c>
      <c r="J249" s="198">
        <f t="shared" ref="J249" ca="1" si="866">IF($I244="N",J246,IF($G244="1. In Flight",1,$G$14)*MIN(MAX($C246:$L246)*_xlfn.XLOOKUP($G244,$B$14:$B$18,$F$14:$F$18),MAX(IF(IFERROR(OFFSET(J246,0,_xlfn.XLOOKUP($G244,$B$14:$B$18,$C$14:$C$18)),0)=MAX($C246:$L246),_xlfn.MINIFS($C246:$L246,$C246:$L246,"&gt;0")*_xlfn.XLOOKUP($G244,$B$14:$B$18,$D$14:$D$18),IFERROR(OFFSET(J246,0,_xlfn.XLOOKUP($G244,$B$14:$B$18,$C$14:$C$18))*_xlfn.XLOOKUP($G244,$B$14:$B$18,$D$14:$D$18),0)),IFERROR(OFFSET(J246,0,_xlfn.XLOOKUP($G244,$B$14:$B$18,$E$14:$E$18))*_xlfn.XLOOKUP($G244,$B$14:$B$18,$F$14:$F$18),0),H249)))</f>
        <v>0</v>
      </c>
      <c r="K249" s="198">
        <f t="shared" ref="K249" ca="1" si="867">IF($I244="N",K246,IF($G244="1. In Flight",1,$G$14)*MIN(MAX($C246:$L246)*_xlfn.XLOOKUP($G244,$B$14:$B$18,$F$14:$F$18),MAX(IF(IFERROR(OFFSET(K246,0,_xlfn.XLOOKUP($G244,$B$14:$B$18,$C$14:$C$18)),0)=MAX($C246:$L246),_xlfn.MINIFS($C246:$L246,$C246:$L246,"&gt;0")*_xlfn.XLOOKUP($G244,$B$14:$B$18,$D$14:$D$18),IFERROR(OFFSET(K246,0,_xlfn.XLOOKUP($G244,$B$14:$B$18,$C$14:$C$18))*_xlfn.XLOOKUP($G244,$B$14:$B$18,$D$14:$D$18),0)),IFERROR(OFFSET(K246,0,_xlfn.XLOOKUP($G244,$B$14:$B$18,$E$14:$E$18))*_xlfn.XLOOKUP($G244,$B$14:$B$18,$F$14:$F$18),0),I249)))</f>
        <v>0</v>
      </c>
      <c r="L249" s="198">
        <f t="shared" ref="L249" ca="1" si="868">IF($I244="N",L246,IF($G244="1. In Flight",1,$G$14)*MIN(MAX($C246:$L246)*_xlfn.XLOOKUP($G244,$B$14:$B$18,$F$14:$F$18),MAX(IF(IFERROR(OFFSET(L246,0,_xlfn.XLOOKUP($G244,$B$14:$B$18,$C$14:$C$18)),0)=MAX($C246:$L246),_xlfn.MINIFS($C246:$L246,$C246:$L246,"&gt;0")*_xlfn.XLOOKUP($G244,$B$14:$B$18,$D$14:$D$18),IFERROR(OFFSET(L246,0,_xlfn.XLOOKUP($G244,$B$14:$B$18,$C$14:$C$18))*_xlfn.XLOOKUP($G244,$B$14:$B$18,$D$14:$D$18),0)),IFERROR(OFFSET(L246,0,_xlfn.XLOOKUP($G244,$B$14:$B$18,$E$14:$E$18))*_xlfn.XLOOKUP($G244,$B$14:$B$18,$F$14:$F$18),0),J249)))</f>
        <v>6.3180851280046904</v>
      </c>
    </row>
    <row r="250" spans="1:12" ht="15" thickTop="1"/>
    <row r="251" spans="1:12" ht="15" thickBot="1">
      <c r="A251" s="231">
        <f>_xlfn.XLOOKUP(F251,FEED!D:D,FEED!E:E,FALSE)</f>
        <v>0</v>
      </c>
      <c r="B251" s="232"/>
      <c r="C251" s="189"/>
      <c r="D251" s="200" t="s">
        <v>122</v>
      </c>
      <c r="E251" s="189" t="s">
        <v>123</v>
      </c>
      <c r="F251" s="189" t="s">
        <v>95</v>
      </c>
      <c r="G251" s="189" t="str">
        <f>IFERROR(_xlfn.XLOOKUP(F251,FEED!$D:$D,FEED!$S:$S),$B$8)</f>
        <v>4. Low</v>
      </c>
      <c r="H251" s="189" t="str">
        <f>IFERROR(_xlfn.XLOOKUP(F251,FEED!$D:$D,FEED!$Y:$Y),"Major Load")</f>
        <v>Data Centre</v>
      </c>
      <c r="I251" s="189" t="str">
        <f>IFERROR(_xlfn.XLOOKUP(F251,FEED!$D:$D,FEED!$C:$C),"N")</f>
        <v>Y</v>
      </c>
      <c r="J251" s="190"/>
      <c r="K251" s="190"/>
      <c r="L251" s="190"/>
    </row>
    <row r="252" spans="1:12" ht="15" thickBot="1">
      <c r="A252" s="191" t="str">
        <f>A224</f>
        <v>Uptake Scenario</v>
      </c>
      <c r="B252" s="192">
        <f>B245</f>
        <v>2023</v>
      </c>
      <c r="C252" s="192">
        <f t="shared" ref="C252:L252" si="869">C245</f>
        <v>2024</v>
      </c>
      <c r="D252" s="192">
        <f t="shared" si="869"/>
        <v>2025</v>
      </c>
      <c r="E252" s="192">
        <f t="shared" si="869"/>
        <v>2026</v>
      </c>
      <c r="F252" s="192">
        <f t="shared" si="869"/>
        <v>2027</v>
      </c>
      <c r="G252" s="192">
        <f t="shared" si="869"/>
        <v>2028</v>
      </c>
      <c r="H252" s="192">
        <f t="shared" si="869"/>
        <v>2029</v>
      </c>
      <c r="I252" s="192">
        <f t="shared" si="869"/>
        <v>2030</v>
      </c>
      <c r="J252" s="192">
        <f t="shared" si="869"/>
        <v>2031</v>
      </c>
      <c r="K252" s="192">
        <f t="shared" si="869"/>
        <v>2032</v>
      </c>
      <c r="L252" s="192">
        <f t="shared" si="869"/>
        <v>2033</v>
      </c>
    </row>
    <row r="253" spans="1:12" ht="15.6" thickTop="1" thickBot="1">
      <c r="A253" s="193" t="s">
        <v>111</v>
      </c>
      <c r="B253" s="194">
        <v>0</v>
      </c>
      <c r="C253" s="194">
        <f>SUMIF(FEED!$D:$D,$F251,FEED!F:F)+B253</f>
        <v>0</v>
      </c>
      <c r="D253" s="194">
        <f>SUMIF(FEED!$D:$D,$F251,FEED!G:G)+C253</f>
        <v>0</v>
      </c>
      <c r="E253" s="194">
        <f>SUMIF(FEED!$D:$D,$F251,FEED!H:H)+D253</f>
        <v>0</v>
      </c>
      <c r="F253" s="194">
        <f>SUMIF(FEED!$D:$D,$F251,FEED!I:I)+E253</f>
        <v>0</v>
      </c>
      <c r="G253" s="194">
        <f>SUMIF(FEED!$D:$D,$F251,FEED!J:J)+F253</f>
        <v>0</v>
      </c>
      <c r="H253" s="194">
        <f>SUMIF(FEED!$D:$D,$F251,FEED!K:K)+G253</f>
        <v>0</v>
      </c>
      <c r="I253" s="194">
        <f>SUMIF(FEED!$D:$D,$F251,FEED!L:L)+H253</f>
        <v>0</v>
      </c>
      <c r="J253" s="194">
        <f>SUMIF(FEED!$D:$D,$F251,FEED!M:M)+I253</f>
        <v>0</v>
      </c>
      <c r="K253" s="194">
        <f>SUMIF(FEED!$D:$D,$F251,FEED!N:N)+J253</f>
        <v>8.7751182333398461</v>
      </c>
      <c r="L253" s="194">
        <f>SUMIF(FEED!$D:$D,$F251,FEED!O:O)+K253</f>
        <v>12.503332519054133</v>
      </c>
    </row>
    <row r="254" spans="1:12" ht="15" thickBot="1">
      <c r="A254" s="195" t="s">
        <v>107</v>
      </c>
      <c r="B254" s="196">
        <f>B253</f>
        <v>0</v>
      </c>
      <c r="C254" s="196">
        <f ca="1">IF($I251="N",C253,IF($G251="1. In Flight",1,$G$4)*MIN(MAX($C253:$L253)*_xlfn.XLOOKUP($G251,$B$4:$B$8,$F$4:$F$8),MAX(IF(IFERROR(OFFSET(C253,0,_xlfn.XLOOKUP($G251,$B$4:$B$8,$C$4:$C$8)),0)=MAX($C253:$L253),_xlfn.MINIFS($C253:$L253,$C253:$L253,"&gt;0")*_xlfn.XLOOKUP($G251,$B$4:$B$8,$D$4:$D$8),IFERROR(OFFSET(C253,0,_xlfn.XLOOKUP($G251,$B$4:$B$8,$C$4:$C$8))*_xlfn.XLOOKUP($G251,$B$4:$B$8,$D$4:$D$8),0)),IFERROR(OFFSET(C253,0,_xlfn.XLOOKUP($G251,$B$4:$B$8,$E$4:$E$8))*_xlfn.XLOOKUP($G251,$B$4:$B$8,$F$4:$F$8),0),A254)))</f>
        <v>0</v>
      </c>
      <c r="D254" s="196">
        <f t="shared" ref="D254" ca="1" si="870">IF($I251="N",D253,IF($G251="1. In Flight",1,$G$4)*MIN(MAX($C253:$L253)*_xlfn.XLOOKUP($G251,$B$4:$B$8,$F$4:$F$8),MAX(IF(IFERROR(OFFSET(D253,0,_xlfn.XLOOKUP($G251,$B$4:$B$8,$C$4:$C$8)),0)=MAX($C253:$L253),_xlfn.MINIFS($C253:$L253,$C253:$L253,"&gt;0")*_xlfn.XLOOKUP($G251,$B$4:$B$8,$D$4:$D$8),IFERROR(OFFSET(D253,0,_xlfn.XLOOKUP($G251,$B$4:$B$8,$C$4:$C$8))*_xlfn.XLOOKUP($G251,$B$4:$B$8,$D$4:$D$8),0)),IFERROR(OFFSET(D253,0,_xlfn.XLOOKUP($G251,$B$4:$B$8,$E$4:$E$8))*_xlfn.XLOOKUP($G251,$B$4:$B$8,$F$4:$F$8),0),B254)))</f>
        <v>0</v>
      </c>
      <c r="E254" s="196">
        <f t="shared" ref="E254" ca="1" si="871">IF($I251="N",E253,IF($G251="1. In Flight",1,$G$4)*MIN(MAX($C253:$L253)*_xlfn.XLOOKUP($G251,$B$4:$B$8,$F$4:$F$8),MAX(IF(IFERROR(OFFSET(E253,0,_xlfn.XLOOKUP($G251,$B$4:$B$8,$C$4:$C$8)),0)=MAX($C253:$L253),_xlfn.MINIFS($C253:$L253,$C253:$L253,"&gt;0")*_xlfn.XLOOKUP($G251,$B$4:$B$8,$D$4:$D$8),IFERROR(OFFSET(E253,0,_xlfn.XLOOKUP($G251,$B$4:$B$8,$C$4:$C$8))*_xlfn.XLOOKUP($G251,$B$4:$B$8,$D$4:$D$8),0)),IFERROR(OFFSET(E253,0,_xlfn.XLOOKUP($G251,$B$4:$B$8,$E$4:$E$8))*_xlfn.XLOOKUP($G251,$B$4:$B$8,$F$4:$F$8),0),C254)))</f>
        <v>0</v>
      </c>
      <c r="F254" s="196">
        <f t="shared" ref="F254" ca="1" si="872">IF($I251="N",F253,IF($G251="1. In Flight",1,$G$4)*MIN(MAX($C253:$L253)*_xlfn.XLOOKUP($G251,$B$4:$B$8,$F$4:$F$8),MAX(IF(IFERROR(OFFSET(F253,0,_xlfn.XLOOKUP($G251,$B$4:$B$8,$C$4:$C$8)),0)=MAX($C253:$L253),_xlfn.MINIFS($C253:$L253,$C253:$L253,"&gt;0")*_xlfn.XLOOKUP($G251,$B$4:$B$8,$D$4:$D$8),IFERROR(OFFSET(F253,0,_xlfn.XLOOKUP($G251,$B$4:$B$8,$C$4:$C$8))*_xlfn.XLOOKUP($G251,$B$4:$B$8,$D$4:$D$8),0)),IFERROR(OFFSET(F253,0,_xlfn.XLOOKUP($G251,$B$4:$B$8,$E$4:$E$8))*_xlfn.XLOOKUP($G251,$B$4:$B$8,$F$4:$F$8),0),D254)))</f>
        <v>0</v>
      </c>
      <c r="G254" s="196">
        <f t="shared" ref="G254" ca="1" si="873">IF($I251="N",G253,IF($G251="1. In Flight",1,$G$4)*MIN(MAX($C253:$L253)*_xlfn.XLOOKUP($G251,$B$4:$B$8,$F$4:$F$8),MAX(IF(IFERROR(OFFSET(G253,0,_xlfn.XLOOKUP($G251,$B$4:$B$8,$C$4:$C$8)),0)=MAX($C253:$L253),_xlfn.MINIFS($C253:$L253,$C253:$L253,"&gt;0")*_xlfn.XLOOKUP($G251,$B$4:$B$8,$D$4:$D$8),IFERROR(OFFSET(G253,0,_xlfn.XLOOKUP($G251,$B$4:$B$8,$C$4:$C$8))*_xlfn.XLOOKUP($G251,$B$4:$B$8,$D$4:$D$8),0)),IFERROR(OFFSET(G253,0,_xlfn.XLOOKUP($G251,$B$4:$B$8,$E$4:$E$8))*_xlfn.XLOOKUP($G251,$B$4:$B$8,$F$4:$F$8),0),E254)))</f>
        <v>0</v>
      </c>
      <c r="H254" s="196">
        <f t="shared" ref="H254" ca="1" si="874">IF($I251="N",H253,IF($G251="1. In Flight",1,$G$4)*MIN(MAX($C253:$L253)*_xlfn.XLOOKUP($G251,$B$4:$B$8,$F$4:$F$8),MAX(IF(IFERROR(OFFSET(H253,0,_xlfn.XLOOKUP($G251,$B$4:$B$8,$C$4:$C$8)),0)=MAX($C253:$L253),_xlfn.MINIFS($C253:$L253,$C253:$L253,"&gt;0")*_xlfn.XLOOKUP($G251,$B$4:$B$8,$D$4:$D$8),IFERROR(OFFSET(H253,0,_xlfn.XLOOKUP($G251,$B$4:$B$8,$C$4:$C$8))*_xlfn.XLOOKUP($G251,$B$4:$B$8,$D$4:$D$8),0)),IFERROR(OFFSET(H253,0,_xlfn.XLOOKUP($G251,$B$4:$B$8,$E$4:$E$8))*_xlfn.XLOOKUP($G251,$B$4:$B$8,$F$4:$F$8),0),F254)))</f>
        <v>0</v>
      </c>
      <c r="I254" s="196">
        <f t="shared" ref="I254" ca="1" si="875">IF($I251="N",I253,IF($G251="1. In Flight",1,$G$4)*MIN(MAX($C253:$L253)*_xlfn.XLOOKUP($G251,$B$4:$B$8,$F$4:$F$8),MAX(IF(IFERROR(OFFSET(I253,0,_xlfn.XLOOKUP($G251,$B$4:$B$8,$C$4:$C$8)),0)=MAX($C253:$L253),_xlfn.MINIFS($C253:$L253,$C253:$L253,"&gt;0")*_xlfn.XLOOKUP($G251,$B$4:$B$8,$D$4:$D$8),IFERROR(OFFSET(I253,0,_xlfn.XLOOKUP($G251,$B$4:$B$8,$C$4:$C$8))*_xlfn.XLOOKUP($G251,$B$4:$B$8,$D$4:$D$8),0)),IFERROR(OFFSET(I253,0,_xlfn.XLOOKUP($G251,$B$4:$B$8,$E$4:$E$8))*_xlfn.XLOOKUP($G251,$B$4:$B$8,$F$4:$F$8),0),G254)))</f>
        <v>0</v>
      </c>
      <c r="J254" s="196">
        <f t="shared" ref="J254" ca="1" si="876">IF($I251="N",J253,IF($G251="1. In Flight",1,$G$4)*MIN(MAX($C253:$L253)*_xlfn.XLOOKUP($G251,$B$4:$B$8,$F$4:$F$8),MAX(IF(IFERROR(OFFSET(J253,0,_xlfn.XLOOKUP($G251,$B$4:$B$8,$C$4:$C$8)),0)=MAX($C253:$L253),_xlfn.MINIFS($C253:$L253,$C253:$L253,"&gt;0")*_xlfn.XLOOKUP($G251,$B$4:$B$8,$D$4:$D$8),IFERROR(OFFSET(J253,0,_xlfn.XLOOKUP($G251,$B$4:$B$8,$C$4:$C$8))*_xlfn.XLOOKUP($G251,$B$4:$B$8,$D$4:$D$8),0)),IFERROR(OFFSET(J253,0,_xlfn.XLOOKUP($G251,$B$4:$B$8,$E$4:$E$8))*_xlfn.XLOOKUP($G251,$B$4:$B$8,$F$4:$F$8),0),H254)))</f>
        <v>0</v>
      </c>
      <c r="K254" s="196">
        <f t="shared" ref="K254" ca="1" si="877">IF($I251="N",K253,IF($G251="1. In Flight",1,$G$4)*MIN(MAX($C253:$L253)*_xlfn.XLOOKUP($G251,$B$4:$B$8,$F$4:$F$8),MAX(IF(IFERROR(OFFSET(K253,0,_xlfn.XLOOKUP($G251,$B$4:$B$8,$C$4:$C$8)),0)=MAX($C253:$L253),_xlfn.MINIFS($C253:$L253,$C253:$L253,"&gt;0")*_xlfn.XLOOKUP($G251,$B$4:$B$8,$D$4:$D$8),IFERROR(OFFSET(K253,0,_xlfn.XLOOKUP($G251,$B$4:$B$8,$C$4:$C$8))*_xlfn.XLOOKUP($G251,$B$4:$B$8,$D$4:$D$8),0)),IFERROR(OFFSET(K253,0,_xlfn.XLOOKUP($G251,$B$4:$B$8,$E$4:$E$8))*_xlfn.XLOOKUP($G251,$B$4:$B$8,$F$4:$F$8),0),I254)))</f>
        <v>0</v>
      </c>
      <c r="L254" s="196">
        <f t="shared" ref="L254" ca="1" si="878">IF($I251="N",L253,IF($G251="1. In Flight",1,$G$4)*MIN(MAX($C253:$L253)*_xlfn.XLOOKUP($G251,$B$4:$B$8,$F$4:$F$8),MAX(IF(IFERROR(OFFSET(L253,0,_xlfn.XLOOKUP($G251,$B$4:$B$8,$C$4:$C$8)),0)=MAX($C253:$L253),_xlfn.MINIFS($C253:$L253,$C253:$L253,"&gt;0")*_xlfn.XLOOKUP($G251,$B$4:$B$8,$D$4:$D$8),IFERROR(OFFSET(L253,0,_xlfn.XLOOKUP($G251,$B$4:$B$8,$C$4:$C$8))*_xlfn.XLOOKUP($G251,$B$4:$B$8,$D$4:$D$8),0)),IFERROR(OFFSET(L253,0,_xlfn.XLOOKUP($G251,$B$4:$B$8,$E$4:$E$8))*_xlfn.XLOOKUP($G251,$B$4:$B$8,$F$4:$F$8),0),J254)))</f>
        <v>0</v>
      </c>
    </row>
    <row r="255" spans="1:12" ht="15" thickBot="1">
      <c r="A255" s="195" t="s">
        <v>108</v>
      </c>
      <c r="B255" s="196">
        <f>B253</f>
        <v>0</v>
      </c>
      <c r="C255" s="196">
        <f ca="1">IF($I251="N",C253,IF($G251="1. In Flight",1,$G$9)*MIN(MAX($C253:$L253)*_xlfn.XLOOKUP($G251,$B$9:$B$13,$F$9:$F$13),MAX(IF(IFERROR(OFFSET(C253,0,_xlfn.XLOOKUP($G251,$B$9:$B$13,$C$9:$C$13)),0)=MAX($C253:$L253),_xlfn.MINIFS($C253:$L253,$C253:$L253,"&gt;0")*_xlfn.XLOOKUP($G251,$B$9:$B$13,$D$9:$D$13),IFERROR(OFFSET(C253,0,_xlfn.XLOOKUP($G251,$B$9:$B$13,$C$9:$C$13))*_xlfn.XLOOKUP($G251,$B$9:$B$13,$D$9:$D$13),0)),IFERROR(OFFSET(C253,0,_xlfn.XLOOKUP($G251,$B$9:$B$13,$E$9:$E$13))*_xlfn.XLOOKUP($G251,$B$9:$B$13,$F$9:$F$13),0),A255)))</f>
        <v>0</v>
      </c>
      <c r="D255" s="196">
        <f t="shared" ref="D255" ca="1" si="879">IF($I251="N",D253,IF($G251="1. In Flight",1,$G$9)*MIN(MAX($C253:$L253)*_xlfn.XLOOKUP($G251,$B$9:$B$13,$F$9:$F$13),MAX(IF(IFERROR(OFFSET(D253,0,_xlfn.XLOOKUP($G251,$B$9:$B$13,$C$9:$C$13)),0)=MAX($C253:$L253),_xlfn.MINIFS($C253:$L253,$C253:$L253,"&gt;0")*_xlfn.XLOOKUP($G251,$B$9:$B$13,$D$9:$D$13),IFERROR(OFFSET(D253,0,_xlfn.XLOOKUP($G251,$B$9:$B$13,$C$9:$C$13))*_xlfn.XLOOKUP($G251,$B$9:$B$13,$D$9:$D$13),0)),IFERROR(OFFSET(D253,0,_xlfn.XLOOKUP($G251,$B$9:$B$13,$E$9:$E$13))*_xlfn.XLOOKUP($G251,$B$9:$B$13,$F$9:$F$13),0),B255)))</f>
        <v>0</v>
      </c>
      <c r="E255" s="196">
        <f t="shared" ref="E255" ca="1" si="880">IF($I251="N",E253,IF($G251="1. In Flight",1,$G$9)*MIN(MAX($C253:$L253)*_xlfn.XLOOKUP($G251,$B$9:$B$13,$F$9:$F$13),MAX(IF(IFERROR(OFFSET(E253,0,_xlfn.XLOOKUP($G251,$B$9:$B$13,$C$9:$C$13)),0)=MAX($C253:$L253),_xlfn.MINIFS($C253:$L253,$C253:$L253,"&gt;0")*_xlfn.XLOOKUP($G251,$B$9:$B$13,$D$9:$D$13),IFERROR(OFFSET(E253,0,_xlfn.XLOOKUP($G251,$B$9:$B$13,$C$9:$C$13))*_xlfn.XLOOKUP($G251,$B$9:$B$13,$D$9:$D$13),0)),IFERROR(OFFSET(E253,0,_xlfn.XLOOKUP($G251,$B$9:$B$13,$E$9:$E$13))*_xlfn.XLOOKUP($G251,$B$9:$B$13,$F$9:$F$13),0),C255)))</f>
        <v>0</v>
      </c>
      <c r="F255" s="196">
        <f t="shared" ref="F255" ca="1" si="881">IF($I251="N",F253,IF($G251="1. In Flight",1,$G$9)*MIN(MAX($C253:$L253)*_xlfn.XLOOKUP($G251,$B$9:$B$13,$F$9:$F$13),MAX(IF(IFERROR(OFFSET(F253,0,_xlfn.XLOOKUP($G251,$B$9:$B$13,$C$9:$C$13)),0)=MAX($C253:$L253),_xlfn.MINIFS($C253:$L253,$C253:$L253,"&gt;0")*_xlfn.XLOOKUP($G251,$B$9:$B$13,$D$9:$D$13),IFERROR(OFFSET(F253,0,_xlfn.XLOOKUP($G251,$B$9:$B$13,$C$9:$C$13))*_xlfn.XLOOKUP($G251,$B$9:$B$13,$D$9:$D$13),0)),IFERROR(OFFSET(F253,0,_xlfn.XLOOKUP($G251,$B$9:$B$13,$E$9:$E$13))*_xlfn.XLOOKUP($G251,$B$9:$B$13,$F$9:$F$13),0),D255)))</f>
        <v>0</v>
      </c>
      <c r="G255" s="196">
        <f t="shared" ref="G255" ca="1" si="882">IF($I251="N",G253,IF($G251="1. In Flight",1,$G$9)*MIN(MAX($C253:$L253)*_xlfn.XLOOKUP($G251,$B$9:$B$13,$F$9:$F$13),MAX(IF(IFERROR(OFFSET(G253,0,_xlfn.XLOOKUP($G251,$B$9:$B$13,$C$9:$C$13)),0)=MAX($C253:$L253),_xlfn.MINIFS($C253:$L253,$C253:$L253,"&gt;0")*_xlfn.XLOOKUP($G251,$B$9:$B$13,$D$9:$D$13),IFERROR(OFFSET(G253,0,_xlfn.XLOOKUP($G251,$B$9:$B$13,$C$9:$C$13))*_xlfn.XLOOKUP($G251,$B$9:$B$13,$D$9:$D$13),0)),IFERROR(OFFSET(G253,0,_xlfn.XLOOKUP($G251,$B$9:$B$13,$E$9:$E$13))*_xlfn.XLOOKUP($G251,$B$9:$B$13,$F$9:$F$13),0),E255)))</f>
        <v>0</v>
      </c>
      <c r="H255" s="196">
        <f t="shared" ref="H255" ca="1" si="883">IF($I251="N",H253,IF($G251="1. In Flight",1,$G$9)*MIN(MAX($C253:$L253)*_xlfn.XLOOKUP($G251,$B$9:$B$13,$F$9:$F$13),MAX(IF(IFERROR(OFFSET(H253,0,_xlfn.XLOOKUP($G251,$B$9:$B$13,$C$9:$C$13)),0)=MAX($C253:$L253),_xlfn.MINIFS($C253:$L253,$C253:$L253,"&gt;0")*_xlfn.XLOOKUP($G251,$B$9:$B$13,$D$9:$D$13),IFERROR(OFFSET(H253,0,_xlfn.XLOOKUP($G251,$B$9:$B$13,$C$9:$C$13))*_xlfn.XLOOKUP($G251,$B$9:$B$13,$D$9:$D$13),0)),IFERROR(OFFSET(H253,0,_xlfn.XLOOKUP($G251,$B$9:$B$13,$E$9:$E$13))*_xlfn.XLOOKUP($G251,$B$9:$B$13,$F$9:$F$13),0),F255)))</f>
        <v>0</v>
      </c>
      <c r="I255" s="196">
        <f t="shared" ref="I255" ca="1" si="884">IF($I251="N",I253,IF($G251="1. In Flight",1,$G$9)*MIN(MAX($C253:$L253)*_xlfn.XLOOKUP($G251,$B$9:$B$13,$F$9:$F$13),MAX(IF(IFERROR(OFFSET(I253,0,_xlfn.XLOOKUP($G251,$B$9:$B$13,$C$9:$C$13)),0)=MAX($C253:$L253),_xlfn.MINIFS($C253:$L253,$C253:$L253,"&gt;0")*_xlfn.XLOOKUP($G251,$B$9:$B$13,$D$9:$D$13),IFERROR(OFFSET(I253,0,_xlfn.XLOOKUP($G251,$B$9:$B$13,$C$9:$C$13))*_xlfn.XLOOKUP($G251,$B$9:$B$13,$D$9:$D$13),0)),IFERROR(OFFSET(I253,0,_xlfn.XLOOKUP($G251,$B$9:$B$13,$E$9:$E$13))*_xlfn.XLOOKUP($G251,$B$9:$B$13,$F$9:$F$13),0),G255)))</f>
        <v>0</v>
      </c>
      <c r="J255" s="196">
        <f t="shared" ref="J255" ca="1" si="885">IF($I251="N",J253,IF($G251="1. In Flight",1,$G$9)*MIN(MAX($C253:$L253)*_xlfn.XLOOKUP($G251,$B$9:$B$13,$F$9:$F$13),MAX(IF(IFERROR(OFFSET(J253,0,_xlfn.XLOOKUP($G251,$B$9:$B$13,$C$9:$C$13)),0)=MAX($C253:$L253),_xlfn.MINIFS($C253:$L253,$C253:$L253,"&gt;0")*_xlfn.XLOOKUP($G251,$B$9:$B$13,$D$9:$D$13),IFERROR(OFFSET(J253,0,_xlfn.XLOOKUP($G251,$B$9:$B$13,$C$9:$C$13))*_xlfn.XLOOKUP($G251,$B$9:$B$13,$D$9:$D$13),0)),IFERROR(OFFSET(J253,0,_xlfn.XLOOKUP($G251,$B$9:$B$13,$E$9:$E$13))*_xlfn.XLOOKUP($G251,$B$9:$B$13,$F$9:$F$13),0),H255)))</f>
        <v>0</v>
      </c>
      <c r="K255" s="196">
        <f t="shared" ref="K255" ca="1" si="886">IF($I251="N",K253,IF($G251="1. In Flight",1,$G$9)*MIN(MAX($C253:$L253)*_xlfn.XLOOKUP($G251,$B$9:$B$13,$F$9:$F$13),MAX(IF(IFERROR(OFFSET(K253,0,_xlfn.XLOOKUP($G251,$B$9:$B$13,$C$9:$C$13)),0)=MAX($C253:$L253),_xlfn.MINIFS($C253:$L253,$C253:$L253,"&gt;0")*_xlfn.XLOOKUP($G251,$B$9:$B$13,$D$9:$D$13),IFERROR(OFFSET(K253,0,_xlfn.XLOOKUP($G251,$B$9:$B$13,$C$9:$C$13))*_xlfn.XLOOKUP($G251,$B$9:$B$13,$D$9:$D$13),0)),IFERROR(OFFSET(K253,0,_xlfn.XLOOKUP($G251,$B$9:$B$13,$E$9:$E$13))*_xlfn.XLOOKUP($G251,$B$9:$B$13,$F$9:$F$13),0),I255)))</f>
        <v>0</v>
      </c>
      <c r="L255" s="196">
        <f t="shared" ref="L255" ca="1" si="887">IF($I251="N",L253,IF($G251="1. In Flight",1,$G$9)*MIN(MAX($C253:$L253)*_xlfn.XLOOKUP($G251,$B$9:$B$13,$F$9:$F$13),MAX(IF(IFERROR(OFFSET(L253,0,_xlfn.XLOOKUP($G251,$B$9:$B$13,$C$9:$C$13)),0)=MAX($C253:$L253),_xlfn.MINIFS($C253:$L253,$C253:$L253,"&gt;0")*_xlfn.XLOOKUP($G251,$B$9:$B$13,$D$9:$D$13),IFERROR(OFFSET(L253,0,_xlfn.XLOOKUP($G251,$B$9:$B$13,$C$9:$C$13))*_xlfn.XLOOKUP($G251,$B$9:$B$13,$D$9:$D$13),0)),IFERROR(OFFSET(L253,0,_xlfn.XLOOKUP($G251,$B$9:$B$13,$E$9:$E$13))*_xlfn.XLOOKUP($G251,$B$9:$B$13,$F$9:$F$13),0),J255)))</f>
        <v>0</v>
      </c>
    </row>
    <row r="256" spans="1:12" ht="15" thickBot="1">
      <c r="A256" s="197" t="s">
        <v>109</v>
      </c>
      <c r="B256" s="198">
        <f>B253</f>
        <v>0</v>
      </c>
      <c r="C256" s="198">
        <f ca="1">IF($I251="N",C253,IF($G251="1. In Flight",1,$G$14)*MIN(MAX($C253:$L253)*_xlfn.XLOOKUP($G251,$B$14:$B$18,$F$14:$F$18),MAX(IF(IFERROR(OFFSET(C253,0,_xlfn.XLOOKUP($G251,$B$14:$B$18,$C$14:$C$18)),0)=MAX($C253:$L253),_xlfn.MINIFS($C253:$L253,$C253:$L253,"&gt;0")*_xlfn.XLOOKUP($G251,$B$14:$B$18,$D$14:$D$18),IFERROR(OFFSET(C253,0,_xlfn.XLOOKUP($G251,$B$14:$B$18,$C$14:$C$18))*_xlfn.XLOOKUP($G251,$B$14:$B$18,$D$14:$D$18),0)),IFERROR(OFFSET(C253,0,_xlfn.XLOOKUP($G251,$B$14:$B$18,$E$14:$E$18))*_xlfn.XLOOKUP($G251,$B$14:$B$18,$F$14:$F$18),0),A256)))</f>
        <v>0</v>
      </c>
      <c r="D256" s="198">
        <f t="shared" ref="D256" ca="1" si="888">IF($I251="N",D253,IF($G251="1. In Flight",1,$G$14)*MIN(MAX($C253:$L253)*_xlfn.XLOOKUP($G251,$B$14:$B$18,$F$14:$F$18),MAX(IF(IFERROR(OFFSET(D253,0,_xlfn.XLOOKUP($G251,$B$14:$B$18,$C$14:$C$18)),0)=MAX($C253:$L253),_xlfn.MINIFS($C253:$L253,$C253:$L253,"&gt;0")*_xlfn.XLOOKUP($G251,$B$14:$B$18,$D$14:$D$18),IFERROR(OFFSET(D253,0,_xlfn.XLOOKUP($G251,$B$14:$B$18,$C$14:$C$18))*_xlfn.XLOOKUP($G251,$B$14:$B$18,$D$14:$D$18),0)),IFERROR(OFFSET(D253,0,_xlfn.XLOOKUP($G251,$B$14:$B$18,$E$14:$E$18))*_xlfn.XLOOKUP($G251,$B$14:$B$18,$F$14:$F$18),0),B256)))</f>
        <v>0</v>
      </c>
      <c r="E256" s="198">
        <f t="shared" ref="E256" ca="1" si="889">IF($I251="N",E253,IF($G251="1. In Flight",1,$G$14)*MIN(MAX($C253:$L253)*_xlfn.XLOOKUP($G251,$B$14:$B$18,$F$14:$F$18),MAX(IF(IFERROR(OFFSET(E253,0,_xlfn.XLOOKUP($G251,$B$14:$B$18,$C$14:$C$18)),0)=MAX($C253:$L253),_xlfn.MINIFS($C253:$L253,$C253:$L253,"&gt;0")*_xlfn.XLOOKUP($G251,$B$14:$B$18,$D$14:$D$18),IFERROR(OFFSET(E253,0,_xlfn.XLOOKUP($G251,$B$14:$B$18,$C$14:$C$18))*_xlfn.XLOOKUP($G251,$B$14:$B$18,$D$14:$D$18),0)),IFERROR(OFFSET(E253,0,_xlfn.XLOOKUP($G251,$B$14:$B$18,$E$14:$E$18))*_xlfn.XLOOKUP($G251,$B$14:$B$18,$F$14:$F$18),0),C256)))</f>
        <v>0</v>
      </c>
      <c r="F256" s="198">
        <f t="shared" ref="F256" ca="1" si="890">IF($I251="N",F253,IF($G251="1. In Flight",1,$G$14)*MIN(MAX($C253:$L253)*_xlfn.XLOOKUP($G251,$B$14:$B$18,$F$14:$F$18),MAX(IF(IFERROR(OFFSET(F253,0,_xlfn.XLOOKUP($G251,$B$14:$B$18,$C$14:$C$18)),0)=MAX($C253:$L253),_xlfn.MINIFS($C253:$L253,$C253:$L253,"&gt;0")*_xlfn.XLOOKUP($G251,$B$14:$B$18,$D$14:$D$18),IFERROR(OFFSET(F253,0,_xlfn.XLOOKUP($G251,$B$14:$B$18,$C$14:$C$18))*_xlfn.XLOOKUP($G251,$B$14:$B$18,$D$14:$D$18),0)),IFERROR(OFFSET(F253,0,_xlfn.XLOOKUP($G251,$B$14:$B$18,$E$14:$E$18))*_xlfn.XLOOKUP($G251,$B$14:$B$18,$F$14:$F$18),0),D256)))</f>
        <v>0</v>
      </c>
      <c r="G256" s="198">
        <f t="shared" ref="G256" ca="1" si="891">IF($I251="N",G253,IF($G251="1. In Flight",1,$G$14)*MIN(MAX($C253:$L253)*_xlfn.XLOOKUP($G251,$B$14:$B$18,$F$14:$F$18),MAX(IF(IFERROR(OFFSET(G253,0,_xlfn.XLOOKUP($G251,$B$14:$B$18,$C$14:$C$18)),0)=MAX($C253:$L253),_xlfn.MINIFS($C253:$L253,$C253:$L253,"&gt;0")*_xlfn.XLOOKUP($G251,$B$14:$B$18,$D$14:$D$18),IFERROR(OFFSET(G253,0,_xlfn.XLOOKUP($G251,$B$14:$B$18,$C$14:$C$18))*_xlfn.XLOOKUP($G251,$B$14:$B$18,$D$14:$D$18),0)),IFERROR(OFFSET(G253,0,_xlfn.XLOOKUP($G251,$B$14:$B$18,$E$14:$E$18))*_xlfn.XLOOKUP($G251,$B$14:$B$18,$F$14:$F$18),0),E256)))</f>
        <v>0</v>
      </c>
      <c r="H256" s="198">
        <f t="shared" ref="H256" ca="1" si="892">IF($I251="N",H253,IF($G251="1. In Flight",1,$G$14)*MIN(MAX($C253:$L253)*_xlfn.XLOOKUP($G251,$B$14:$B$18,$F$14:$F$18),MAX(IF(IFERROR(OFFSET(H253,0,_xlfn.XLOOKUP($G251,$B$14:$B$18,$C$14:$C$18)),0)=MAX($C253:$L253),_xlfn.MINIFS($C253:$L253,$C253:$L253,"&gt;0")*_xlfn.XLOOKUP($G251,$B$14:$B$18,$D$14:$D$18),IFERROR(OFFSET(H253,0,_xlfn.XLOOKUP($G251,$B$14:$B$18,$C$14:$C$18))*_xlfn.XLOOKUP($G251,$B$14:$B$18,$D$14:$D$18),0)),IFERROR(OFFSET(H253,0,_xlfn.XLOOKUP($G251,$B$14:$B$18,$E$14:$E$18))*_xlfn.XLOOKUP($G251,$B$14:$B$18,$F$14:$F$18),0),F256)))</f>
        <v>0</v>
      </c>
      <c r="I256" s="198">
        <f t="shared" ref="I256" ca="1" si="893">IF($I251="N",I253,IF($G251="1. In Flight",1,$G$14)*MIN(MAX($C253:$L253)*_xlfn.XLOOKUP($G251,$B$14:$B$18,$F$14:$F$18),MAX(IF(IFERROR(OFFSET(I253,0,_xlfn.XLOOKUP($G251,$B$14:$B$18,$C$14:$C$18)),0)=MAX($C253:$L253),_xlfn.MINIFS($C253:$L253,$C253:$L253,"&gt;0")*_xlfn.XLOOKUP($G251,$B$14:$B$18,$D$14:$D$18),IFERROR(OFFSET(I253,0,_xlfn.XLOOKUP($G251,$B$14:$B$18,$C$14:$C$18))*_xlfn.XLOOKUP($G251,$B$14:$B$18,$D$14:$D$18),0)),IFERROR(OFFSET(I253,0,_xlfn.XLOOKUP($G251,$B$14:$B$18,$E$14:$E$18))*_xlfn.XLOOKUP($G251,$B$14:$B$18,$F$14:$F$18),0),G256)))</f>
        <v>0</v>
      </c>
      <c r="J256" s="198">
        <f t="shared" ref="J256" ca="1" si="894">IF($I251="N",J253,IF($G251="1. In Flight",1,$G$14)*MIN(MAX($C253:$L253)*_xlfn.XLOOKUP($G251,$B$14:$B$18,$F$14:$F$18),MAX(IF(IFERROR(OFFSET(J253,0,_xlfn.XLOOKUP($G251,$B$14:$B$18,$C$14:$C$18)),0)=MAX($C253:$L253),_xlfn.MINIFS($C253:$L253,$C253:$L253,"&gt;0")*_xlfn.XLOOKUP($G251,$B$14:$B$18,$D$14:$D$18),IFERROR(OFFSET(J253,0,_xlfn.XLOOKUP($G251,$B$14:$B$18,$C$14:$C$18))*_xlfn.XLOOKUP($G251,$B$14:$B$18,$D$14:$D$18),0)),IFERROR(OFFSET(J253,0,_xlfn.XLOOKUP($G251,$B$14:$B$18,$E$14:$E$18))*_xlfn.XLOOKUP($G251,$B$14:$B$18,$F$14:$F$18),0),H256)))</f>
        <v>0</v>
      </c>
      <c r="K256" s="198">
        <f t="shared" ref="K256" ca="1" si="895">IF($I251="N",K253,IF($G251="1. In Flight",1,$G$14)*MIN(MAX($C253:$L253)*_xlfn.XLOOKUP($G251,$B$14:$B$18,$F$14:$F$18),MAX(IF(IFERROR(OFFSET(K253,0,_xlfn.XLOOKUP($G251,$B$14:$B$18,$C$14:$C$18)),0)=MAX($C253:$L253),_xlfn.MINIFS($C253:$L253,$C253:$L253,"&gt;0")*_xlfn.XLOOKUP($G251,$B$14:$B$18,$D$14:$D$18),IFERROR(OFFSET(K253,0,_xlfn.XLOOKUP($G251,$B$14:$B$18,$C$14:$C$18))*_xlfn.XLOOKUP($G251,$B$14:$B$18,$D$14:$D$18),0)),IFERROR(OFFSET(K253,0,_xlfn.XLOOKUP($G251,$B$14:$B$18,$E$14:$E$18))*_xlfn.XLOOKUP($G251,$B$14:$B$18,$F$14:$F$18),0),I256)))</f>
        <v>0</v>
      </c>
      <c r="L256" s="198">
        <f t="shared" ref="L256" ca="1" si="896">IF($I251="N",L253,IF($G251="1. In Flight",1,$G$14)*MIN(MAX($C253:$L253)*_xlfn.XLOOKUP($G251,$B$14:$B$18,$F$14:$F$18),MAX(IF(IFERROR(OFFSET(L253,0,_xlfn.XLOOKUP($G251,$B$14:$B$18,$C$14:$C$18)),0)=MAX($C253:$L253),_xlfn.MINIFS($C253:$L253,$C253:$L253,"&gt;0")*_xlfn.XLOOKUP($G251,$B$14:$B$18,$D$14:$D$18),IFERROR(OFFSET(L253,0,_xlfn.XLOOKUP($G251,$B$14:$B$18,$C$14:$C$18))*_xlfn.XLOOKUP($G251,$B$14:$B$18,$D$14:$D$18),0)),IFERROR(OFFSET(L253,0,_xlfn.XLOOKUP($G251,$B$14:$B$18,$E$14:$E$18))*_xlfn.XLOOKUP($G251,$B$14:$B$18,$F$14:$F$18),0),J256)))</f>
        <v>0</v>
      </c>
    </row>
    <row r="257" spans="1:12" ht="15" thickTop="1"/>
    <row r="258" spans="1:12" ht="15" thickBot="1">
      <c r="A258" s="231">
        <f>_xlfn.XLOOKUP(F258,FEED!D:D,FEED!E:E,FALSE)</f>
        <v>0</v>
      </c>
      <c r="B258" s="232"/>
      <c r="C258" s="188"/>
      <c r="D258" s="189" t="s">
        <v>131</v>
      </c>
      <c r="E258" s="189" t="s">
        <v>132</v>
      </c>
      <c r="F258" s="189" t="s">
        <v>88</v>
      </c>
      <c r="G258" s="189" t="str">
        <f>IFERROR(_xlfn.XLOOKUP(F258,FEED!$D:$D,FEED!$S:$S),$B$8)</f>
        <v>4. Low</v>
      </c>
      <c r="H258" s="189" t="str">
        <f>IFERROR(_xlfn.XLOOKUP(F258,FEED!$D:$D,FEED!$Y:$Y),"Major Load")</f>
        <v>Data Centre</v>
      </c>
      <c r="I258" s="189" t="str">
        <f>IFERROR(_xlfn.XLOOKUP(F258,FEED!$D:$D,FEED!$C:$C),"N")</f>
        <v>Y</v>
      </c>
      <c r="J258" s="190"/>
      <c r="K258" s="190"/>
      <c r="L258" s="190"/>
    </row>
    <row r="259" spans="1:12" ht="15" thickBot="1">
      <c r="A259" s="191" t="str">
        <f>A231</f>
        <v>Uptake Scenario</v>
      </c>
      <c r="B259" s="192">
        <f>B252</f>
        <v>2023</v>
      </c>
      <c r="C259" s="192">
        <f t="shared" ref="C259:L259" si="897">C252</f>
        <v>2024</v>
      </c>
      <c r="D259" s="192">
        <f t="shared" si="897"/>
        <v>2025</v>
      </c>
      <c r="E259" s="192">
        <f t="shared" si="897"/>
        <v>2026</v>
      </c>
      <c r="F259" s="192">
        <f t="shared" si="897"/>
        <v>2027</v>
      </c>
      <c r="G259" s="192">
        <f t="shared" si="897"/>
        <v>2028</v>
      </c>
      <c r="H259" s="192">
        <f t="shared" si="897"/>
        <v>2029</v>
      </c>
      <c r="I259" s="192">
        <f t="shared" si="897"/>
        <v>2030</v>
      </c>
      <c r="J259" s="192">
        <f t="shared" si="897"/>
        <v>2031</v>
      </c>
      <c r="K259" s="192">
        <f t="shared" si="897"/>
        <v>2032</v>
      </c>
      <c r="L259" s="192">
        <f t="shared" si="897"/>
        <v>2033</v>
      </c>
    </row>
    <row r="260" spans="1:12" ht="15.6" thickTop="1" thickBot="1">
      <c r="A260" s="193" t="s">
        <v>111</v>
      </c>
      <c r="B260" s="194">
        <v>0</v>
      </c>
      <c r="C260" s="194">
        <f>SUMIF(FEED!$D:$D,$F258,FEED!F:F)+B260</f>
        <v>0</v>
      </c>
      <c r="D260" s="194">
        <f>SUMIF(FEED!$D:$D,$F258,FEED!G:G)+C260</f>
        <v>0</v>
      </c>
      <c r="E260" s="194">
        <f>SUMIF(FEED!$D:$D,$F258,FEED!H:H)+D260</f>
        <v>0</v>
      </c>
      <c r="F260" s="194">
        <f>SUMIF(FEED!$D:$D,$F258,FEED!I:I)+E260</f>
        <v>0</v>
      </c>
      <c r="G260" s="194">
        <f>SUMIF(FEED!$D:$D,$F258,FEED!J:J)+F260</f>
        <v>0</v>
      </c>
      <c r="H260" s="194">
        <f>SUMIF(FEED!$D:$D,$F258,FEED!K:K)+G260</f>
        <v>0</v>
      </c>
      <c r="I260" s="194">
        <f>SUMIF(FEED!$D:$D,$F258,FEED!L:L)+H260</f>
        <v>0</v>
      </c>
      <c r="J260" s="194">
        <f>SUMIF(FEED!$D:$D,$F258,FEED!M:M)+I260</f>
        <v>0</v>
      </c>
      <c r="K260" s="194">
        <f>SUMIF(FEED!$D:$D,$F258,FEED!N:N)+J260</f>
        <v>26.325354700019538</v>
      </c>
      <c r="L260" s="194">
        <f>SUMIF(FEED!$D:$D,$F258,FEED!O:O)+K260</f>
        <v>37.5099975571624</v>
      </c>
    </row>
    <row r="261" spans="1:12" ht="15" thickBot="1">
      <c r="A261" s="195" t="s">
        <v>107</v>
      </c>
      <c r="B261" s="196">
        <f>B260</f>
        <v>0</v>
      </c>
      <c r="C261" s="196">
        <f ca="1">IF($I258="N",C260,IF($G258="1. In Flight",1,$G$4)*MIN(MAX($C260:$L260)*_xlfn.XLOOKUP($G258,$B$4:$B$8,$F$4:$F$8),MAX(IF(IFERROR(OFFSET(C260,0,_xlfn.XLOOKUP($G258,$B$4:$B$8,$C$4:$C$8)),0)=MAX($C260:$L260),_xlfn.MINIFS($C260:$L260,$C260:$L260,"&gt;0")*_xlfn.XLOOKUP($G258,$B$4:$B$8,$D$4:$D$8),IFERROR(OFFSET(C260,0,_xlfn.XLOOKUP($G258,$B$4:$B$8,$C$4:$C$8))*_xlfn.XLOOKUP($G258,$B$4:$B$8,$D$4:$D$8),0)),IFERROR(OFFSET(C260,0,_xlfn.XLOOKUP($G258,$B$4:$B$8,$E$4:$E$8))*_xlfn.XLOOKUP($G258,$B$4:$B$8,$F$4:$F$8),0),A261)))</f>
        <v>0</v>
      </c>
      <c r="D261" s="196">
        <f t="shared" ref="D261" ca="1" si="898">IF($I258="N",D260,IF($G258="1. In Flight",1,$G$4)*MIN(MAX($C260:$L260)*_xlfn.XLOOKUP($G258,$B$4:$B$8,$F$4:$F$8),MAX(IF(IFERROR(OFFSET(D260,0,_xlfn.XLOOKUP($G258,$B$4:$B$8,$C$4:$C$8)),0)=MAX($C260:$L260),_xlfn.MINIFS($C260:$L260,$C260:$L260,"&gt;0")*_xlfn.XLOOKUP($G258,$B$4:$B$8,$D$4:$D$8),IFERROR(OFFSET(D260,0,_xlfn.XLOOKUP($G258,$B$4:$B$8,$C$4:$C$8))*_xlfn.XLOOKUP($G258,$B$4:$B$8,$D$4:$D$8),0)),IFERROR(OFFSET(D260,0,_xlfn.XLOOKUP($G258,$B$4:$B$8,$E$4:$E$8))*_xlfn.XLOOKUP($G258,$B$4:$B$8,$F$4:$F$8),0),B261)))</f>
        <v>0</v>
      </c>
      <c r="E261" s="196">
        <f t="shared" ref="E261" ca="1" si="899">IF($I258="N",E260,IF($G258="1. In Flight",1,$G$4)*MIN(MAX($C260:$L260)*_xlfn.XLOOKUP($G258,$B$4:$B$8,$F$4:$F$8),MAX(IF(IFERROR(OFFSET(E260,0,_xlfn.XLOOKUP($G258,$B$4:$B$8,$C$4:$C$8)),0)=MAX($C260:$L260),_xlfn.MINIFS($C260:$L260,$C260:$L260,"&gt;0")*_xlfn.XLOOKUP($G258,$B$4:$B$8,$D$4:$D$8),IFERROR(OFFSET(E260,0,_xlfn.XLOOKUP($G258,$B$4:$B$8,$C$4:$C$8))*_xlfn.XLOOKUP($G258,$B$4:$B$8,$D$4:$D$8),0)),IFERROR(OFFSET(E260,0,_xlfn.XLOOKUP($G258,$B$4:$B$8,$E$4:$E$8))*_xlfn.XLOOKUP($G258,$B$4:$B$8,$F$4:$F$8),0),C261)))</f>
        <v>0</v>
      </c>
      <c r="F261" s="196">
        <f t="shared" ref="F261" ca="1" si="900">IF($I258="N",F260,IF($G258="1. In Flight",1,$G$4)*MIN(MAX($C260:$L260)*_xlfn.XLOOKUP($G258,$B$4:$B$8,$F$4:$F$8),MAX(IF(IFERROR(OFFSET(F260,0,_xlfn.XLOOKUP($G258,$B$4:$B$8,$C$4:$C$8)),0)=MAX($C260:$L260),_xlfn.MINIFS($C260:$L260,$C260:$L260,"&gt;0")*_xlfn.XLOOKUP($G258,$B$4:$B$8,$D$4:$D$8),IFERROR(OFFSET(F260,0,_xlfn.XLOOKUP($G258,$B$4:$B$8,$C$4:$C$8))*_xlfn.XLOOKUP($G258,$B$4:$B$8,$D$4:$D$8),0)),IFERROR(OFFSET(F260,0,_xlfn.XLOOKUP($G258,$B$4:$B$8,$E$4:$E$8))*_xlfn.XLOOKUP($G258,$B$4:$B$8,$F$4:$F$8),0),D261)))</f>
        <v>0</v>
      </c>
      <c r="G261" s="196">
        <f t="shared" ref="G261" ca="1" si="901">IF($I258="N",G260,IF($G258="1. In Flight",1,$G$4)*MIN(MAX($C260:$L260)*_xlfn.XLOOKUP($G258,$B$4:$B$8,$F$4:$F$8),MAX(IF(IFERROR(OFFSET(G260,0,_xlfn.XLOOKUP($G258,$B$4:$B$8,$C$4:$C$8)),0)=MAX($C260:$L260),_xlfn.MINIFS($C260:$L260,$C260:$L260,"&gt;0")*_xlfn.XLOOKUP($G258,$B$4:$B$8,$D$4:$D$8),IFERROR(OFFSET(G260,0,_xlfn.XLOOKUP($G258,$B$4:$B$8,$C$4:$C$8))*_xlfn.XLOOKUP($G258,$B$4:$B$8,$D$4:$D$8),0)),IFERROR(OFFSET(G260,0,_xlfn.XLOOKUP($G258,$B$4:$B$8,$E$4:$E$8))*_xlfn.XLOOKUP($G258,$B$4:$B$8,$F$4:$F$8),0),E261)))</f>
        <v>0</v>
      </c>
      <c r="H261" s="196">
        <f t="shared" ref="H261" ca="1" si="902">IF($I258="N",H260,IF($G258="1. In Flight",1,$G$4)*MIN(MAX($C260:$L260)*_xlfn.XLOOKUP($G258,$B$4:$B$8,$F$4:$F$8),MAX(IF(IFERROR(OFFSET(H260,0,_xlfn.XLOOKUP($G258,$B$4:$B$8,$C$4:$C$8)),0)=MAX($C260:$L260),_xlfn.MINIFS($C260:$L260,$C260:$L260,"&gt;0")*_xlfn.XLOOKUP($G258,$B$4:$B$8,$D$4:$D$8),IFERROR(OFFSET(H260,0,_xlfn.XLOOKUP($G258,$B$4:$B$8,$C$4:$C$8))*_xlfn.XLOOKUP($G258,$B$4:$B$8,$D$4:$D$8),0)),IFERROR(OFFSET(H260,0,_xlfn.XLOOKUP($G258,$B$4:$B$8,$E$4:$E$8))*_xlfn.XLOOKUP($G258,$B$4:$B$8,$F$4:$F$8),0),F261)))</f>
        <v>0</v>
      </c>
      <c r="I261" s="196">
        <f t="shared" ref="I261" ca="1" si="903">IF($I258="N",I260,IF($G258="1. In Flight",1,$G$4)*MIN(MAX($C260:$L260)*_xlfn.XLOOKUP($G258,$B$4:$B$8,$F$4:$F$8),MAX(IF(IFERROR(OFFSET(I260,0,_xlfn.XLOOKUP($G258,$B$4:$B$8,$C$4:$C$8)),0)=MAX($C260:$L260),_xlfn.MINIFS($C260:$L260,$C260:$L260,"&gt;0")*_xlfn.XLOOKUP($G258,$B$4:$B$8,$D$4:$D$8),IFERROR(OFFSET(I260,0,_xlfn.XLOOKUP($G258,$B$4:$B$8,$C$4:$C$8))*_xlfn.XLOOKUP($G258,$B$4:$B$8,$D$4:$D$8),0)),IFERROR(OFFSET(I260,0,_xlfn.XLOOKUP($G258,$B$4:$B$8,$E$4:$E$8))*_xlfn.XLOOKUP($G258,$B$4:$B$8,$F$4:$F$8),0),G261)))</f>
        <v>0</v>
      </c>
      <c r="J261" s="196">
        <f t="shared" ref="J261" ca="1" si="904">IF($I258="N",J260,IF($G258="1. In Flight",1,$G$4)*MIN(MAX($C260:$L260)*_xlfn.XLOOKUP($G258,$B$4:$B$8,$F$4:$F$8),MAX(IF(IFERROR(OFFSET(J260,0,_xlfn.XLOOKUP($G258,$B$4:$B$8,$C$4:$C$8)),0)=MAX($C260:$L260),_xlfn.MINIFS($C260:$L260,$C260:$L260,"&gt;0")*_xlfn.XLOOKUP($G258,$B$4:$B$8,$D$4:$D$8),IFERROR(OFFSET(J260,0,_xlfn.XLOOKUP($G258,$B$4:$B$8,$C$4:$C$8))*_xlfn.XLOOKUP($G258,$B$4:$B$8,$D$4:$D$8),0)),IFERROR(OFFSET(J260,0,_xlfn.XLOOKUP($G258,$B$4:$B$8,$E$4:$E$8))*_xlfn.XLOOKUP($G258,$B$4:$B$8,$F$4:$F$8),0),H261)))</f>
        <v>0</v>
      </c>
      <c r="K261" s="196">
        <f t="shared" ref="K261" ca="1" si="905">IF($I258="N",K260,IF($G258="1. In Flight",1,$G$4)*MIN(MAX($C260:$L260)*_xlfn.XLOOKUP($G258,$B$4:$B$8,$F$4:$F$8),MAX(IF(IFERROR(OFFSET(K260,0,_xlfn.XLOOKUP($G258,$B$4:$B$8,$C$4:$C$8)),0)=MAX($C260:$L260),_xlfn.MINIFS($C260:$L260,$C260:$L260,"&gt;0")*_xlfn.XLOOKUP($G258,$B$4:$B$8,$D$4:$D$8),IFERROR(OFFSET(K260,0,_xlfn.XLOOKUP($G258,$B$4:$B$8,$C$4:$C$8))*_xlfn.XLOOKUP($G258,$B$4:$B$8,$D$4:$D$8),0)),IFERROR(OFFSET(K260,0,_xlfn.XLOOKUP($G258,$B$4:$B$8,$E$4:$E$8))*_xlfn.XLOOKUP($G258,$B$4:$B$8,$F$4:$F$8),0),I261)))</f>
        <v>0</v>
      </c>
      <c r="L261" s="196">
        <f t="shared" ref="L261" ca="1" si="906">IF($I258="N",L260,IF($G258="1. In Flight",1,$G$4)*MIN(MAX($C260:$L260)*_xlfn.XLOOKUP($G258,$B$4:$B$8,$F$4:$F$8),MAX(IF(IFERROR(OFFSET(L260,0,_xlfn.XLOOKUP($G258,$B$4:$B$8,$C$4:$C$8)),0)=MAX($C260:$L260),_xlfn.MINIFS($C260:$L260,$C260:$L260,"&gt;0")*_xlfn.XLOOKUP($G258,$B$4:$B$8,$D$4:$D$8),IFERROR(OFFSET(L260,0,_xlfn.XLOOKUP($G258,$B$4:$B$8,$C$4:$C$8))*_xlfn.XLOOKUP($G258,$B$4:$B$8,$D$4:$D$8),0)),IFERROR(OFFSET(L260,0,_xlfn.XLOOKUP($G258,$B$4:$B$8,$E$4:$E$8))*_xlfn.XLOOKUP($G258,$B$4:$B$8,$F$4:$F$8),0),J261)))</f>
        <v>0</v>
      </c>
    </row>
    <row r="262" spans="1:12" ht="15" thickBot="1">
      <c r="A262" s="195" t="s">
        <v>108</v>
      </c>
      <c r="B262" s="196">
        <f>B260</f>
        <v>0</v>
      </c>
      <c r="C262" s="196">
        <f ca="1">IF($I258="N",C260,IF($G258="1. In Flight",1,$G$9)*MIN(MAX($C260:$L260)*_xlfn.XLOOKUP($G258,$B$9:$B$13,$F$9:$F$13),MAX(IF(IFERROR(OFFSET(C260,0,_xlfn.XLOOKUP($G258,$B$9:$B$13,$C$9:$C$13)),0)=MAX($C260:$L260),_xlfn.MINIFS($C260:$L260,$C260:$L260,"&gt;0")*_xlfn.XLOOKUP($G258,$B$9:$B$13,$D$9:$D$13),IFERROR(OFFSET(C260,0,_xlfn.XLOOKUP($G258,$B$9:$B$13,$C$9:$C$13))*_xlfn.XLOOKUP($G258,$B$9:$B$13,$D$9:$D$13),0)),IFERROR(OFFSET(C260,0,_xlfn.XLOOKUP($G258,$B$9:$B$13,$E$9:$E$13))*_xlfn.XLOOKUP($G258,$B$9:$B$13,$F$9:$F$13),0),A262)))</f>
        <v>0</v>
      </c>
      <c r="D262" s="196">
        <f t="shared" ref="D262" ca="1" si="907">IF($I258="N",D260,IF($G258="1. In Flight",1,$G$9)*MIN(MAX($C260:$L260)*_xlfn.XLOOKUP($G258,$B$9:$B$13,$F$9:$F$13),MAX(IF(IFERROR(OFFSET(D260,0,_xlfn.XLOOKUP($G258,$B$9:$B$13,$C$9:$C$13)),0)=MAX($C260:$L260),_xlfn.MINIFS($C260:$L260,$C260:$L260,"&gt;0")*_xlfn.XLOOKUP($G258,$B$9:$B$13,$D$9:$D$13),IFERROR(OFFSET(D260,0,_xlfn.XLOOKUP($G258,$B$9:$B$13,$C$9:$C$13))*_xlfn.XLOOKUP($G258,$B$9:$B$13,$D$9:$D$13),0)),IFERROR(OFFSET(D260,0,_xlfn.XLOOKUP($G258,$B$9:$B$13,$E$9:$E$13))*_xlfn.XLOOKUP($G258,$B$9:$B$13,$F$9:$F$13),0),B262)))</f>
        <v>0</v>
      </c>
      <c r="E262" s="196">
        <f t="shared" ref="E262" ca="1" si="908">IF($I258="N",E260,IF($G258="1. In Flight",1,$G$9)*MIN(MAX($C260:$L260)*_xlfn.XLOOKUP($G258,$B$9:$B$13,$F$9:$F$13),MAX(IF(IFERROR(OFFSET(E260,0,_xlfn.XLOOKUP($G258,$B$9:$B$13,$C$9:$C$13)),0)=MAX($C260:$L260),_xlfn.MINIFS($C260:$L260,$C260:$L260,"&gt;0")*_xlfn.XLOOKUP($G258,$B$9:$B$13,$D$9:$D$13),IFERROR(OFFSET(E260,0,_xlfn.XLOOKUP($G258,$B$9:$B$13,$C$9:$C$13))*_xlfn.XLOOKUP($G258,$B$9:$B$13,$D$9:$D$13),0)),IFERROR(OFFSET(E260,0,_xlfn.XLOOKUP($G258,$B$9:$B$13,$E$9:$E$13))*_xlfn.XLOOKUP($G258,$B$9:$B$13,$F$9:$F$13),0),C262)))</f>
        <v>0</v>
      </c>
      <c r="F262" s="196">
        <f t="shared" ref="F262" ca="1" si="909">IF($I258="N",F260,IF($G258="1. In Flight",1,$G$9)*MIN(MAX($C260:$L260)*_xlfn.XLOOKUP($G258,$B$9:$B$13,$F$9:$F$13),MAX(IF(IFERROR(OFFSET(F260,0,_xlfn.XLOOKUP($G258,$B$9:$B$13,$C$9:$C$13)),0)=MAX($C260:$L260),_xlfn.MINIFS($C260:$L260,$C260:$L260,"&gt;0")*_xlfn.XLOOKUP($G258,$B$9:$B$13,$D$9:$D$13),IFERROR(OFFSET(F260,0,_xlfn.XLOOKUP($G258,$B$9:$B$13,$C$9:$C$13))*_xlfn.XLOOKUP($G258,$B$9:$B$13,$D$9:$D$13),0)),IFERROR(OFFSET(F260,0,_xlfn.XLOOKUP($G258,$B$9:$B$13,$E$9:$E$13))*_xlfn.XLOOKUP($G258,$B$9:$B$13,$F$9:$F$13),0),D262)))</f>
        <v>0</v>
      </c>
      <c r="G262" s="196">
        <f t="shared" ref="G262" ca="1" si="910">IF($I258="N",G260,IF($G258="1. In Flight",1,$G$9)*MIN(MAX($C260:$L260)*_xlfn.XLOOKUP($G258,$B$9:$B$13,$F$9:$F$13),MAX(IF(IFERROR(OFFSET(G260,0,_xlfn.XLOOKUP($G258,$B$9:$B$13,$C$9:$C$13)),0)=MAX($C260:$L260),_xlfn.MINIFS($C260:$L260,$C260:$L260,"&gt;0")*_xlfn.XLOOKUP($G258,$B$9:$B$13,$D$9:$D$13),IFERROR(OFFSET(G260,0,_xlfn.XLOOKUP($G258,$B$9:$B$13,$C$9:$C$13))*_xlfn.XLOOKUP($G258,$B$9:$B$13,$D$9:$D$13),0)),IFERROR(OFFSET(G260,0,_xlfn.XLOOKUP($G258,$B$9:$B$13,$E$9:$E$13))*_xlfn.XLOOKUP($G258,$B$9:$B$13,$F$9:$F$13),0),E262)))</f>
        <v>0</v>
      </c>
      <c r="H262" s="196">
        <f t="shared" ref="H262" ca="1" si="911">IF($I258="N",H260,IF($G258="1. In Flight",1,$G$9)*MIN(MAX($C260:$L260)*_xlfn.XLOOKUP($G258,$B$9:$B$13,$F$9:$F$13),MAX(IF(IFERROR(OFFSET(H260,0,_xlfn.XLOOKUP($G258,$B$9:$B$13,$C$9:$C$13)),0)=MAX($C260:$L260),_xlfn.MINIFS($C260:$L260,$C260:$L260,"&gt;0")*_xlfn.XLOOKUP($G258,$B$9:$B$13,$D$9:$D$13),IFERROR(OFFSET(H260,0,_xlfn.XLOOKUP($G258,$B$9:$B$13,$C$9:$C$13))*_xlfn.XLOOKUP($G258,$B$9:$B$13,$D$9:$D$13),0)),IFERROR(OFFSET(H260,0,_xlfn.XLOOKUP($G258,$B$9:$B$13,$E$9:$E$13))*_xlfn.XLOOKUP($G258,$B$9:$B$13,$F$9:$F$13),0),F262)))</f>
        <v>0</v>
      </c>
      <c r="I262" s="196">
        <f t="shared" ref="I262" ca="1" si="912">IF($I258="N",I260,IF($G258="1. In Flight",1,$G$9)*MIN(MAX($C260:$L260)*_xlfn.XLOOKUP($G258,$B$9:$B$13,$F$9:$F$13),MAX(IF(IFERROR(OFFSET(I260,0,_xlfn.XLOOKUP($G258,$B$9:$B$13,$C$9:$C$13)),0)=MAX($C260:$L260),_xlfn.MINIFS($C260:$L260,$C260:$L260,"&gt;0")*_xlfn.XLOOKUP($G258,$B$9:$B$13,$D$9:$D$13),IFERROR(OFFSET(I260,0,_xlfn.XLOOKUP($G258,$B$9:$B$13,$C$9:$C$13))*_xlfn.XLOOKUP($G258,$B$9:$B$13,$D$9:$D$13),0)),IFERROR(OFFSET(I260,0,_xlfn.XLOOKUP($G258,$B$9:$B$13,$E$9:$E$13))*_xlfn.XLOOKUP($G258,$B$9:$B$13,$F$9:$F$13),0),G262)))</f>
        <v>0</v>
      </c>
      <c r="J262" s="196">
        <f t="shared" ref="J262" ca="1" si="913">IF($I258="N",J260,IF($G258="1. In Flight",1,$G$9)*MIN(MAX($C260:$L260)*_xlfn.XLOOKUP($G258,$B$9:$B$13,$F$9:$F$13),MAX(IF(IFERROR(OFFSET(J260,0,_xlfn.XLOOKUP($G258,$B$9:$B$13,$C$9:$C$13)),0)=MAX($C260:$L260),_xlfn.MINIFS($C260:$L260,$C260:$L260,"&gt;0")*_xlfn.XLOOKUP($G258,$B$9:$B$13,$D$9:$D$13),IFERROR(OFFSET(J260,0,_xlfn.XLOOKUP($G258,$B$9:$B$13,$C$9:$C$13))*_xlfn.XLOOKUP($G258,$B$9:$B$13,$D$9:$D$13),0)),IFERROR(OFFSET(J260,0,_xlfn.XLOOKUP($G258,$B$9:$B$13,$E$9:$E$13))*_xlfn.XLOOKUP($G258,$B$9:$B$13,$F$9:$F$13),0),H262)))</f>
        <v>0</v>
      </c>
      <c r="K262" s="196">
        <f t="shared" ref="K262" ca="1" si="914">IF($I258="N",K260,IF($G258="1. In Flight",1,$G$9)*MIN(MAX($C260:$L260)*_xlfn.XLOOKUP($G258,$B$9:$B$13,$F$9:$F$13),MAX(IF(IFERROR(OFFSET(K260,0,_xlfn.XLOOKUP($G258,$B$9:$B$13,$C$9:$C$13)),0)=MAX($C260:$L260),_xlfn.MINIFS($C260:$L260,$C260:$L260,"&gt;0")*_xlfn.XLOOKUP($G258,$B$9:$B$13,$D$9:$D$13),IFERROR(OFFSET(K260,0,_xlfn.XLOOKUP($G258,$B$9:$B$13,$C$9:$C$13))*_xlfn.XLOOKUP($G258,$B$9:$B$13,$D$9:$D$13),0)),IFERROR(OFFSET(K260,0,_xlfn.XLOOKUP($G258,$B$9:$B$13,$E$9:$E$13))*_xlfn.XLOOKUP($G258,$B$9:$B$13,$F$9:$F$13),0),I262)))</f>
        <v>0</v>
      </c>
      <c r="L262" s="196">
        <f t="shared" ref="L262" ca="1" si="915">IF($I258="N",L260,IF($G258="1. In Flight",1,$G$9)*MIN(MAX($C260:$L260)*_xlfn.XLOOKUP($G258,$B$9:$B$13,$F$9:$F$13),MAX(IF(IFERROR(OFFSET(L260,0,_xlfn.XLOOKUP($G258,$B$9:$B$13,$C$9:$C$13)),0)=MAX($C260:$L260),_xlfn.MINIFS($C260:$L260,$C260:$L260,"&gt;0")*_xlfn.XLOOKUP($G258,$B$9:$B$13,$D$9:$D$13),IFERROR(OFFSET(L260,0,_xlfn.XLOOKUP($G258,$B$9:$B$13,$C$9:$C$13))*_xlfn.XLOOKUP($G258,$B$9:$B$13,$D$9:$D$13),0)),IFERROR(OFFSET(L260,0,_xlfn.XLOOKUP($G258,$B$9:$B$13,$E$9:$E$13))*_xlfn.XLOOKUP($G258,$B$9:$B$13,$F$9:$F$13),0),J262)))</f>
        <v>0</v>
      </c>
    </row>
    <row r="263" spans="1:12" ht="15" thickBot="1">
      <c r="A263" s="197" t="s">
        <v>109</v>
      </c>
      <c r="B263" s="198">
        <f>B260</f>
        <v>0</v>
      </c>
      <c r="C263" s="198">
        <f ca="1">IF($I258="N",C260,IF($G258="1. In Flight",1,$G$14)*MIN(MAX($C260:$L260)*_xlfn.XLOOKUP($G258,$B$14:$B$18,$F$14:$F$18),MAX(IF(IFERROR(OFFSET(C260,0,_xlfn.XLOOKUP($G258,$B$14:$B$18,$C$14:$C$18)),0)=MAX($C260:$L260),_xlfn.MINIFS($C260:$L260,$C260:$L260,"&gt;0")*_xlfn.XLOOKUP($G258,$B$14:$B$18,$D$14:$D$18),IFERROR(OFFSET(C260,0,_xlfn.XLOOKUP($G258,$B$14:$B$18,$C$14:$C$18))*_xlfn.XLOOKUP($G258,$B$14:$B$18,$D$14:$D$18),0)),IFERROR(OFFSET(C260,0,_xlfn.XLOOKUP($G258,$B$14:$B$18,$E$14:$E$18))*_xlfn.XLOOKUP($G258,$B$14:$B$18,$F$14:$F$18),0),A263)))</f>
        <v>0</v>
      </c>
      <c r="D263" s="198">
        <f t="shared" ref="D263" ca="1" si="916">IF($I258="N",D260,IF($G258="1. In Flight",1,$G$14)*MIN(MAX($C260:$L260)*_xlfn.XLOOKUP($G258,$B$14:$B$18,$F$14:$F$18),MAX(IF(IFERROR(OFFSET(D260,0,_xlfn.XLOOKUP($G258,$B$14:$B$18,$C$14:$C$18)),0)=MAX($C260:$L260),_xlfn.MINIFS($C260:$L260,$C260:$L260,"&gt;0")*_xlfn.XLOOKUP($G258,$B$14:$B$18,$D$14:$D$18),IFERROR(OFFSET(D260,0,_xlfn.XLOOKUP($G258,$B$14:$B$18,$C$14:$C$18))*_xlfn.XLOOKUP($G258,$B$14:$B$18,$D$14:$D$18),0)),IFERROR(OFFSET(D260,0,_xlfn.XLOOKUP($G258,$B$14:$B$18,$E$14:$E$18))*_xlfn.XLOOKUP($G258,$B$14:$B$18,$F$14:$F$18),0),B263)))</f>
        <v>0</v>
      </c>
      <c r="E263" s="198">
        <f t="shared" ref="E263" ca="1" si="917">IF($I258="N",E260,IF($G258="1. In Flight",1,$G$14)*MIN(MAX($C260:$L260)*_xlfn.XLOOKUP($G258,$B$14:$B$18,$F$14:$F$18),MAX(IF(IFERROR(OFFSET(E260,0,_xlfn.XLOOKUP($G258,$B$14:$B$18,$C$14:$C$18)),0)=MAX($C260:$L260),_xlfn.MINIFS($C260:$L260,$C260:$L260,"&gt;0")*_xlfn.XLOOKUP($G258,$B$14:$B$18,$D$14:$D$18),IFERROR(OFFSET(E260,0,_xlfn.XLOOKUP($G258,$B$14:$B$18,$C$14:$C$18))*_xlfn.XLOOKUP($G258,$B$14:$B$18,$D$14:$D$18),0)),IFERROR(OFFSET(E260,0,_xlfn.XLOOKUP($G258,$B$14:$B$18,$E$14:$E$18))*_xlfn.XLOOKUP($G258,$B$14:$B$18,$F$14:$F$18),0),C263)))</f>
        <v>0</v>
      </c>
      <c r="F263" s="198">
        <f t="shared" ref="F263" ca="1" si="918">IF($I258="N",F260,IF($G258="1. In Flight",1,$G$14)*MIN(MAX($C260:$L260)*_xlfn.XLOOKUP($G258,$B$14:$B$18,$F$14:$F$18),MAX(IF(IFERROR(OFFSET(F260,0,_xlfn.XLOOKUP($G258,$B$14:$B$18,$C$14:$C$18)),0)=MAX($C260:$L260),_xlfn.MINIFS($C260:$L260,$C260:$L260,"&gt;0")*_xlfn.XLOOKUP($G258,$B$14:$B$18,$D$14:$D$18),IFERROR(OFFSET(F260,0,_xlfn.XLOOKUP($G258,$B$14:$B$18,$C$14:$C$18))*_xlfn.XLOOKUP($G258,$B$14:$B$18,$D$14:$D$18),0)),IFERROR(OFFSET(F260,0,_xlfn.XLOOKUP($G258,$B$14:$B$18,$E$14:$E$18))*_xlfn.XLOOKUP($G258,$B$14:$B$18,$F$14:$F$18),0),D263)))</f>
        <v>0</v>
      </c>
      <c r="G263" s="198">
        <f t="shared" ref="G263" ca="1" si="919">IF($I258="N",G260,IF($G258="1. In Flight",1,$G$14)*MIN(MAX($C260:$L260)*_xlfn.XLOOKUP($G258,$B$14:$B$18,$F$14:$F$18),MAX(IF(IFERROR(OFFSET(G260,0,_xlfn.XLOOKUP($G258,$B$14:$B$18,$C$14:$C$18)),0)=MAX($C260:$L260),_xlfn.MINIFS($C260:$L260,$C260:$L260,"&gt;0")*_xlfn.XLOOKUP($G258,$B$14:$B$18,$D$14:$D$18),IFERROR(OFFSET(G260,0,_xlfn.XLOOKUP($G258,$B$14:$B$18,$C$14:$C$18))*_xlfn.XLOOKUP($G258,$B$14:$B$18,$D$14:$D$18),0)),IFERROR(OFFSET(G260,0,_xlfn.XLOOKUP($G258,$B$14:$B$18,$E$14:$E$18))*_xlfn.XLOOKUP($G258,$B$14:$B$18,$F$14:$F$18),0),E263)))</f>
        <v>0</v>
      </c>
      <c r="H263" s="198">
        <f t="shared" ref="H263" ca="1" si="920">IF($I258="N",H260,IF($G258="1. In Flight",1,$G$14)*MIN(MAX($C260:$L260)*_xlfn.XLOOKUP($G258,$B$14:$B$18,$F$14:$F$18),MAX(IF(IFERROR(OFFSET(H260,0,_xlfn.XLOOKUP($G258,$B$14:$B$18,$C$14:$C$18)),0)=MAX($C260:$L260),_xlfn.MINIFS($C260:$L260,$C260:$L260,"&gt;0")*_xlfn.XLOOKUP($G258,$B$14:$B$18,$D$14:$D$18),IFERROR(OFFSET(H260,0,_xlfn.XLOOKUP($G258,$B$14:$B$18,$C$14:$C$18))*_xlfn.XLOOKUP($G258,$B$14:$B$18,$D$14:$D$18),0)),IFERROR(OFFSET(H260,0,_xlfn.XLOOKUP($G258,$B$14:$B$18,$E$14:$E$18))*_xlfn.XLOOKUP($G258,$B$14:$B$18,$F$14:$F$18),0),F263)))</f>
        <v>0</v>
      </c>
      <c r="I263" s="198">
        <f t="shared" ref="I263" ca="1" si="921">IF($I258="N",I260,IF($G258="1. In Flight",1,$G$14)*MIN(MAX($C260:$L260)*_xlfn.XLOOKUP($G258,$B$14:$B$18,$F$14:$F$18),MAX(IF(IFERROR(OFFSET(I260,0,_xlfn.XLOOKUP($G258,$B$14:$B$18,$C$14:$C$18)),0)=MAX($C260:$L260),_xlfn.MINIFS($C260:$L260,$C260:$L260,"&gt;0")*_xlfn.XLOOKUP($G258,$B$14:$B$18,$D$14:$D$18),IFERROR(OFFSET(I260,0,_xlfn.XLOOKUP($G258,$B$14:$B$18,$C$14:$C$18))*_xlfn.XLOOKUP($G258,$B$14:$B$18,$D$14:$D$18),0)),IFERROR(OFFSET(I260,0,_xlfn.XLOOKUP($G258,$B$14:$B$18,$E$14:$E$18))*_xlfn.XLOOKUP($G258,$B$14:$B$18,$F$14:$F$18),0),G263)))</f>
        <v>0</v>
      </c>
      <c r="J263" s="198">
        <f t="shared" ref="J263" ca="1" si="922">IF($I258="N",J260,IF($G258="1. In Flight",1,$G$14)*MIN(MAX($C260:$L260)*_xlfn.XLOOKUP($G258,$B$14:$B$18,$F$14:$F$18),MAX(IF(IFERROR(OFFSET(J260,0,_xlfn.XLOOKUP($G258,$B$14:$B$18,$C$14:$C$18)),0)=MAX($C260:$L260),_xlfn.MINIFS($C260:$L260,$C260:$L260,"&gt;0")*_xlfn.XLOOKUP($G258,$B$14:$B$18,$D$14:$D$18),IFERROR(OFFSET(J260,0,_xlfn.XLOOKUP($G258,$B$14:$B$18,$C$14:$C$18))*_xlfn.XLOOKUP($G258,$B$14:$B$18,$D$14:$D$18),0)),IFERROR(OFFSET(J260,0,_xlfn.XLOOKUP($G258,$B$14:$B$18,$E$14:$E$18))*_xlfn.XLOOKUP($G258,$B$14:$B$18,$F$14:$F$18),0),H263)))</f>
        <v>0</v>
      </c>
      <c r="K263" s="198">
        <f t="shared" ref="K263" ca="1" si="923">IF($I258="N",K260,IF($G258="1. In Flight",1,$G$14)*MIN(MAX($C260:$L260)*_xlfn.XLOOKUP($G258,$B$14:$B$18,$F$14:$F$18),MAX(IF(IFERROR(OFFSET(K260,0,_xlfn.XLOOKUP($G258,$B$14:$B$18,$C$14:$C$18)),0)=MAX($C260:$L260),_xlfn.MINIFS($C260:$L260,$C260:$L260,"&gt;0")*_xlfn.XLOOKUP($G258,$B$14:$B$18,$D$14:$D$18),IFERROR(OFFSET(K260,0,_xlfn.XLOOKUP($G258,$B$14:$B$18,$C$14:$C$18))*_xlfn.XLOOKUP($G258,$B$14:$B$18,$D$14:$D$18),0)),IFERROR(OFFSET(K260,0,_xlfn.XLOOKUP($G258,$B$14:$B$18,$E$14:$E$18))*_xlfn.XLOOKUP($G258,$B$14:$B$18,$F$14:$F$18),0),I263)))</f>
        <v>0</v>
      </c>
      <c r="L263" s="198">
        <f t="shared" ref="L263" ca="1" si="924">IF($I258="N",L260,IF($G258="1. In Flight",1,$G$14)*MIN(MAX($C260:$L260)*_xlfn.XLOOKUP($G258,$B$14:$B$18,$F$14:$F$18),MAX(IF(IFERROR(OFFSET(L260,0,_xlfn.XLOOKUP($G258,$B$14:$B$18,$C$14:$C$18)),0)=MAX($C260:$L260),_xlfn.MINIFS($C260:$L260,$C260:$L260,"&gt;0")*_xlfn.XLOOKUP($G258,$B$14:$B$18,$D$14:$D$18),IFERROR(OFFSET(L260,0,_xlfn.XLOOKUP($G258,$B$14:$B$18,$C$14:$C$18))*_xlfn.XLOOKUP($G258,$B$14:$B$18,$D$14:$D$18),0)),IFERROR(OFFSET(L260,0,_xlfn.XLOOKUP($G258,$B$14:$B$18,$E$14:$E$18))*_xlfn.XLOOKUP($G258,$B$14:$B$18,$F$14:$F$18),0),J263)))</f>
        <v>0</v>
      </c>
    </row>
    <row r="264" spans="1:12" ht="15" thickTop="1"/>
    <row r="265" spans="1:12" ht="15" thickBot="1">
      <c r="A265" s="231">
        <f>_xlfn.XLOOKUP(F265,FEED!D:D,FEED!E:E,FALSE)</f>
        <v>0</v>
      </c>
      <c r="B265" s="232"/>
      <c r="C265" s="188"/>
      <c r="D265" s="200" t="s">
        <v>119</v>
      </c>
      <c r="E265" s="189" t="s">
        <v>120</v>
      </c>
      <c r="F265" s="189" t="s">
        <v>93</v>
      </c>
      <c r="G265" s="189" t="str">
        <f>IFERROR(_xlfn.XLOOKUP(F265,FEED!$D:$D,FEED!$S:$S),$B$8)</f>
        <v>4. Low</v>
      </c>
      <c r="H265" s="189" t="str">
        <f>IFERROR(_xlfn.XLOOKUP(F265,FEED!$D:$D,FEED!$Y:$Y),"Major Load")</f>
        <v>Data Centre</v>
      </c>
      <c r="I265" s="189" t="str">
        <f>IFERROR(_xlfn.XLOOKUP(F265,FEED!$D:$D,FEED!$C:$C),"N")</f>
        <v>Y</v>
      </c>
      <c r="J265" s="190"/>
      <c r="K265" s="190"/>
      <c r="L265" s="190"/>
    </row>
    <row r="266" spans="1:12" ht="15" thickBot="1">
      <c r="A266" s="191" t="str">
        <f>A238</f>
        <v>Uptake Scenario</v>
      </c>
      <c r="B266" s="192">
        <f>B259</f>
        <v>2023</v>
      </c>
      <c r="C266" s="192">
        <f t="shared" ref="C266:L266" si="925">C259</f>
        <v>2024</v>
      </c>
      <c r="D266" s="192">
        <f t="shared" si="925"/>
        <v>2025</v>
      </c>
      <c r="E266" s="192">
        <f t="shared" si="925"/>
        <v>2026</v>
      </c>
      <c r="F266" s="192">
        <f t="shared" si="925"/>
        <v>2027</v>
      </c>
      <c r="G266" s="192">
        <f t="shared" si="925"/>
        <v>2028</v>
      </c>
      <c r="H266" s="192">
        <f t="shared" si="925"/>
        <v>2029</v>
      </c>
      <c r="I266" s="192">
        <f t="shared" si="925"/>
        <v>2030</v>
      </c>
      <c r="J266" s="192">
        <f t="shared" si="925"/>
        <v>2031</v>
      </c>
      <c r="K266" s="192">
        <f t="shared" si="925"/>
        <v>2032</v>
      </c>
      <c r="L266" s="192">
        <f t="shared" si="925"/>
        <v>2033</v>
      </c>
    </row>
    <row r="267" spans="1:12" ht="15.6" thickTop="1" thickBot="1">
      <c r="A267" s="193" t="s">
        <v>111</v>
      </c>
      <c r="B267" s="194">
        <v>0</v>
      </c>
      <c r="C267" s="194">
        <f>SUMIF(FEED!$D:$D,$F265,FEED!F:F)+B267</f>
        <v>0</v>
      </c>
      <c r="D267" s="194">
        <f>SUMIF(FEED!$D:$D,$F265,FEED!G:G)+C267</f>
        <v>0</v>
      </c>
      <c r="E267" s="194">
        <f>SUMIF(FEED!$D:$D,$F265,FEED!H:H)+D267</f>
        <v>0</v>
      </c>
      <c r="F267" s="194">
        <f>SUMIF(FEED!$D:$D,$F265,FEED!I:I)+E267</f>
        <v>0</v>
      </c>
      <c r="G267" s="194">
        <f>SUMIF(FEED!$D:$D,$F265,FEED!J:J)+F267</f>
        <v>0</v>
      </c>
      <c r="H267" s="194">
        <f>SUMIF(FEED!$D:$D,$F265,FEED!K:K)+G267</f>
        <v>0</v>
      </c>
      <c r="I267" s="194">
        <f>SUMIF(FEED!$D:$D,$F265,FEED!L:L)+H267</f>
        <v>0</v>
      </c>
      <c r="J267" s="194">
        <f>SUMIF(FEED!$D:$D,$F265,FEED!M:M)+I267</f>
        <v>35.100472933359384</v>
      </c>
      <c r="K267" s="194">
        <f>SUMIF(FEED!$D:$D,$F265,FEED!N:N)+J267</f>
        <v>50.013330076216533</v>
      </c>
      <c r="L267" s="194">
        <f>SUMIF(FEED!$D:$D,$F265,FEED!O:O)+K267</f>
        <v>61.087615790502255</v>
      </c>
    </row>
    <row r="268" spans="1:12" ht="15" thickBot="1">
      <c r="A268" s="195" t="s">
        <v>107</v>
      </c>
      <c r="B268" s="196">
        <f>B267</f>
        <v>0</v>
      </c>
      <c r="C268" s="196">
        <f ca="1">IF($I265="N",C267,IF($G265="1. In Flight",1,$G$4)*MIN(MAX($C267:$L267)*_xlfn.XLOOKUP($G265,$B$4:$B$8,$F$4:$F$8),MAX(IF(IFERROR(OFFSET(C267,0,_xlfn.XLOOKUP($G265,$B$4:$B$8,$C$4:$C$8)),0)=MAX($C267:$L267),_xlfn.MINIFS($C267:$L267,$C267:$L267,"&gt;0")*_xlfn.XLOOKUP($G265,$B$4:$B$8,$D$4:$D$8),IFERROR(OFFSET(C267,0,_xlfn.XLOOKUP($G265,$B$4:$B$8,$C$4:$C$8))*_xlfn.XLOOKUP($G265,$B$4:$B$8,$D$4:$D$8),0)),IFERROR(OFFSET(C267,0,_xlfn.XLOOKUP($G265,$B$4:$B$8,$E$4:$E$8))*_xlfn.XLOOKUP($G265,$B$4:$B$8,$F$4:$F$8),0),A268)))</f>
        <v>0</v>
      </c>
      <c r="D268" s="196">
        <f t="shared" ref="D268" ca="1" si="926">IF($I265="N",D267,IF($G265="1. In Flight",1,$G$4)*MIN(MAX($C267:$L267)*_xlfn.XLOOKUP($G265,$B$4:$B$8,$F$4:$F$8),MAX(IF(IFERROR(OFFSET(D267,0,_xlfn.XLOOKUP($G265,$B$4:$B$8,$C$4:$C$8)),0)=MAX($C267:$L267),_xlfn.MINIFS($C267:$L267,$C267:$L267,"&gt;0")*_xlfn.XLOOKUP($G265,$B$4:$B$8,$D$4:$D$8),IFERROR(OFFSET(D267,0,_xlfn.XLOOKUP($G265,$B$4:$B$8,$C$4:$C$8))*_xlfn.XLOOKUP($G265,$B$4:$B$8,$D$4:$D$8),0)),IFERROR(OFFSET(D267,0,_xlfn.XLOOKUP($G265,$B$4:$B$8,$E$4:$E$8))*_xlfn.XLOOKUP($G265,$B$4:$B$8,$F$4:$F$8),0),B268)))</f>
        <v>0</v>
      </c>
      <c r="E268" s="196">
        <f t="shared" ref="E268" ca="1" si="927">IF($I265="N",E267,IF($G265="1. In Flight",1,$G$4)*MIN(MAX($C267:$L267)*_xlfn.XLOOKUP($G265,$B$4:$B$8,$F$4:$F$8),MAX(IF(IFERROR(OFFSET(E267,0,_xlfn.XLOOKUP($G265,$B$4:$B$8,$C$4:$C$8)),0)=MAX($C267:$L267),_xlfn.MINIFS($C267:$L267,$C267:$L267,"&gt;0")*_xlfn.XLOOKUP($G265,$B$4:$B$8,$D$4:$D$8),IFERROR(OFFSET(E267,0,_xlfn.XLOOKUP($G265,$B$4:$B$8,$C$4:$C$8))*_xlfn.XLOOKUP($G265,$B$4:$B$8,$D$4:$D$8),0)),IFERROR(OFFSET(E267,0,_xlfn.XLOOKUP($G265,$B$4:$B$8,$E$4:$E$8))*_xlfn.XLOOKUP($G265,$B$4:$B$8,$F$4:$F$8),0),C268)))</f>
        <v>0</v>
      </c>
      <c r="F268" s="196">
        <f t="shared" ref="F268" ca="1" si="928">IF($I265="N",F267,IF($G265="1. In Flight",1,$G$4)*MIN(MAX($C267:$L267)*_xlfn.XLOOKUP($G265,$B$4:$B$8,$F$4:$F$8),MAX(IF(IFERROR(OFFSET(F267,0,_xlfn.XLOOKUP($G265,$B$4:$B$8,$C$4:$C$8)),0)=MAX($C267:$L267),_xlfn.MINIFS($C267:$L267,$C267:$L267,"&gt;0")*_xlfn.XLOOKUP($G265,$B$4:$B$8,$D$4:$D$8),IFERROR(OFFSET(F267,0,_xlfn.XLOOKUP($G265,$B$4:$B$8,$C$4:$C$8))*_xlfn.XLOOKUP($G265,$B$4:$B$8,$D$4:$D$8),0)),IFERROR(OFFSET(F267,0,_xlfn.XLOOKUP($G265,$B$4:$B$8,$E$4:$E$8))*_xlfn.XLOOKUP($G265,$B$4:$B$8,$F$4:$F$8),0),D268)))</f>
        <v>0</v>
      </c>
      <c r="G268" s="196">
        <f t="shared" ref="G268" ca="1" si="929">IF($I265="N",G267,IF($G265="1. In Flight",1,$G$4)*MIN(MAX($C267:$L267)*_xlfn.XLOOKUP($G265,$B$4:$B$8,$F$4:$F$8),MAX(IF(IFERROR(OFFSET(G267,0,_xlfn.XLOOKUP($G265,$B$4:$B$8,$C$4:$C$8)),0)=MAX($C267:$L267),_xlfn.MINIFS($C267:$L267,$C267:$L267,"&gt;0")*_xlfn.XLOOKUP($G265,$B$4:$B$8,$D$4:$D$8),IFERROR(OFFSET(G267,0,_xlfn.XLOOKUP($G265,$B$4:$B$8,$C$4:$C$8))*_xlfn.XLOOKUP($G265,$B$4:$B$8,$D$4:$D$8),0)),IFERROR(OFFSET(G267,0,_xlfn.XLOOKUP($G265,$B$4:$B$8,$E$4:$E$8))*_xlfn.XLOOKUP($G265,$B$4:$B$8,$F$4:$F$8),0),E268)))</f>
        <v>0</v>
      </c>
      <c r="H268" s="196">
        <f t="shared" ref="H268" ca="1" si="930">IF($I265="N",H267,IF($G265="1. In Flight",1,$G$4)*MIN(MAX($C267:$L267)*_xlfn.XLOOKUP($G265,$B$4:$B$8,$F$4:$F$8),MAX(IF(IFERROR(OFFSET(H267,0,_xlfn.XLOOKUP($G265,$B$4:$B$8,$C$4:$C$8)),0)=MAX($C267:$L267),_xlfn.MINIFS($C267:$L267,$C267:$L267,"&gt;0")*_xlfn.XLOOKUP($G265,$B$4:$B$8,$D$4:$D$8),IFERROR(OFFSET(H267,0,_xlfn.XLOOKUP($G265,$B$4:$B$8,$C$4:$C$8))*_xlfn.XLOOKUP($G265,$B$4:$B$8,$D$4:$D$8),0)),IFERROR(OFFSET(H267,0,_xlfn.XLOOKUP($G265,$B$4:$B$8,$E$4:$E$8))*_xlfn.XLOOKUP($G265,$B$4:$B$8,$F$4:$F$8),0),F268)))</f>
        <v>0</v>
      </c>
      <c r="I268" s="196">
        <f t="shared" ref="I268" ca="1" si="931">IF($I265="N",I267,IF($G265="1. In Flight",1,$G$4)*MIN(MAX($C267:$L267)*_xlfn.XLOOKUP($G265,$B$4:$B$8,$F$4:$F$8),MAX(IF(IFERROR(OFFSET(I267,0,_xlfn.XLOOKUP($G265,$B$4:$B$8,$C$4:$C$8)),0)=MAX($C267:$L267),_xlfn.MINIFS($C267:$L267,$C267:$L267,"&gt;0")*_xlfn.XLOOKUP($G265,$B$4:$B$8,$D$4:$D$8),IFERROR(OFFSET(I267,0,_xlfn.XLOOKUP($G265,$B$4:$B$8,$C$4:$C$8))*_xlfn.XLOOKUP($G265,$B$4:$B$8,$D$4:$D$8),0)),IFERROR(OFFSET(I267,0,_xlfn.XLOOKUP($G265,$B$4:$B$8,$E$4:$E$8))*_xlfn.XLOOKUP($G265,$B$4:$B$8,$F$4:$F$8),0),G268)))</f>
        <v>0</v>
      </c>
      <c r="J268" s="196">
        <f t="shared" ref="J268" ca="1" si="932">IF($I265="N",J267,IF($G265="1. In Flight",1,$G$4)*MIN(MAX($C267:$L267)*_xlfn.XLOOKUP($G265,$B$4:$B$8,$F$4:$F$8),MAX(IF(IFERROR(OFFSET(J267,0,_xlfn.XLOOKUP($G265,$B$4:$B$8,$C$4:$C$8)),0)=MAX($C267:$L267),_xlfn.MINIFS($C267:$L267,$C267:$L267,"&gt;0")*_xlfn.XLOOKUP($G265,$B$4:$B$8,$D$4:$D$8),IFERROR(OFFSET(J267,0,_xlfn.XLOOKUP($G265,$B$4:$B$8,$C$4:$C$8))*_xlfn.XLOOKUP($G265,$B$4:$B$8,$D$4:$D$8),0)),IFERROR(OFFSET(J267,0,_xlfn.XLOOKUP($G265,$B$4:$B$8,$E$4:$E$8))*_xlfn.XLOOKUP($G265,$B$4:$B$8,$F$4:$F$8),0),H268)))</f>
        <v>0</v>
      </c>
      <c r="K268" s="196">
        <f t="shared" ref="K268" ca="1" si="933">IF($I265="N",K267,IF($G265="1. In Flight",1,$G$4)*MIN(MAX($C267:$L267)*_xlfn.XLOOKUP($G265,$B$4:$B$8,$F$4:$F$8),MAX(IF(IFERROR(OFFSET(K267,0,_xlfn.XLOOKUP($G265,$B$4:$B$8,$C$4:$C$8)),0)=MAX($C267:$L267),_xlfn.MINIFS($C267:$L267,$C267:$L267,"&gt;0")*_xlfn.XLOOKUP($G265,$B$4:$B$8,$D$4:$D$8),IFERROR(OFFSET(K267,0,_xlfn.XLOOKUP($G265,$B$4:$B$8,$C$4:$C$8))*_xlfn.XLOOKUP($G265,$B$4:$B$8,$D$4:$D$8),0)),IFERROR(OFFSET(K267,0,_xlfn.XLOOKUP($G265,$B$4:$B$8,$E$4:$E$8))*_xlfn.XLOOKUP($G265,$B$4:$B$8,$F$4:$F$8),0),I268)))</f>
        <v>0</v>
      </c>
      <c r="L268" s="196">
        <f t="shared" ref="L268" ca="1" si="934">IF($I265="N",L267,IF($G265="1. In Flight",1,$G$4)*MIN(MAX($C267:$L267)*_xlfn.XLOOKUP($G265,$B$4:$B$8,$F$4:$F$8),MAX(IF(IFERROR(OFFSET(L267,0,_xlfn.XLOOKUP($G265,$B$4:$B$8,$C$4:$C$8)),0)=MAX($C267:$L267),_xlfn.MINIFS($C267:$L267,$C267:$L267,"&gt;0")*_xlfn.XLOOKUP($G265,$B$4:$B$8,$D$4:$D$8),IFERROR(OFFSET(L267,0,_xlfn.XLOOKUP($G265,$B$4:$B$8,$C$4:$C$8))*_xlfn.XLOOKUP($G265,$B$4:$B$8,$D$4:$D$8),0)),IFERROR(OFFSET(L267,0,_xlfn.XLOOKUP($G265,$B$4:$B$8,$E$4:$E$8))*_xlfn.XLOOKUP($G265,$B$4:$B$8,$F$4:$F$8),0),J268)))</f>
        <v>0</v>
      </c>
    </row>
    <row r="269" spans="1:12" ht="15" thickBot="1">
      <c r="A269" s="195" t="s">
        <v>108</v>
      </c>
      <c r="B269" s="196">
        <f>B267</f>
        <v>0</v>
      </c>
      <c r="C269" s="196">
        <f ca="1">IF($I265="N",C267,IF($G265="1. In Flight",1,$G$9)*MIN(MAX($C267:$L267)*_xlfn.XLOOKUP($G265,$B$9:$B$13,$F$9:$F$13),MAX(IF(IFERROR(OFFSET(C267,0,_xlfn.XLOOKUP($G265,$B$9:$B$13,$C$9:$C$13)),0)=MAX($C267:$L267),_xlfn.MINIFS($C267:$L267,$C267:$L267,"&gt;0")*_xlfn.XLOOKUP($G265,$B$9:$B$13,$D$9:$D$13),IFERROR(OFFSET(C267,0,_xlfn.XLOOKUP($G265,$B$9:$B$13,$C$9:$C$13))*_xlfn.XLOOKUP($G265,$B$9:$B$13,$D$9:$D$13),0)),IFERROR(OFFSET(C267,0,_xlfn.XLOOKUP($G265,$B$9:$B$13,$E$9:$E$13))*_xlfn.XLOOKUP($G265,$B$9:$B$13,$F$9:$F$13),0),A269)))</f>
        <v>0</v>
      </c>
      <c r="D269" s="196">
        <f t="shared" ref="D269" ca="1" si="935">IF($I265="N",D267,IF($G265="1. In Flight",1,$G$9)*MIN(MAX($C267:$L267)*_xlfn.XLOOKUP($G265,$B$9:$B$13,$F$9:$F$13),MAX(IF(IFERROR(OFFSET(D267,0,_xlfn.XLOOKUP($G265,$B$9:$B$13,$C$9:$C$13)),0)=MAX($C267:$L267),_xlfn.MINIFS($C267:$L267,$C267:$L267,"&gt;0")*_xlfn.XLOOKUP($G265,$B$9:$B$13,$D$9:$D$13),IFERROR(OFFSET(D267,0,_xlfn.XLOOKUP($G265,$B$9:$B$13,$C$9:$C$13))*_xlfn.XLOOKUP($G265,$B$9:$B$13,$D$9:$D$13),0)),IFERROR(OFFSET(D267,0,_xlfn.XLOOKUP($G265,$B$9:$B$13,$E$9:$E$13))*_xlfn.XLOOKUP($G265,$B$9:$B$13,$F$9:$F$13),0),B269)))</f>
        <v>0</v>
      </c>
      <c r="E269" s="196">
        <f t="shared" ref="E269" ca="1" si="936">IF($I265="N",E267,IF($G265="1. In Flight",1,$G$9)*MIN(MAX($C267:$L267)*_xlfn.XLOOKUP($G265,$B$9:$B$13,$F$9:$F$13),MAX(IF(IFERROR(OFFSET(E267,0,_xlfn.XLOOKUP($G265,$B$9:$B$13,$C$9:$C$13)),0)=MAX($C267:$L267),_xlfn.MINIFS($C267:$L267,$C267:$L267,"&gt;0")*_xlfn.XLOOKUP($G265,$B$9:$B$13,$D$9:$D$13),IFERROR(OFFSET(E267,0,_xlfn.XLOOKUP($G265,$B$9:$B$13,$C$9:$C$13))*_xlfn.XLOOKUP($G265,$B$9:$B$13,$D$9:$D$13),0)),IFERROR(OFFSET(E267,0,_xlfn.XLOOKUP($G265,$B$9:$B$13,$E$9:$E$13))*_xlfn.XLOOKUP($G265,$B$9:$B$13,$F$9:$F$13),0),C269)))</f>
        <v>0</v>
      </c>
      <c r="F269" s="196">
        <f t="shared" ref="F269" ca="1" si="937">IF($I265="N",F267,IF($G265="1. In Flight",1,$G$9)*MIN(MAX($C267:$L267)*_xlfn.XLOOKUP($G265,$B$9:$B$13,$F$9:$F$13),MAX(IF(IFERROR(OFFSET(F267,0,_xlfn.XLOOKUP($G265,$B$9:$B$13,$C$9:$C$13)),0)=MAX($C267:$L267),_xlfn.MINIFS($C267:$L267,$C267:$L267,"&gt;0")*_xlfn.XLOOKUP($G265,$B$9:$B$13,$D$9:$D$13),IFERROR(OFFSET(F267,0,_xlfn.XLOOKUP($G265,$B$9:$B$13,$C$9:$C$13))*_xlfn.XLOOKUP($G265,$B$9:$B$13,$D$9:$D$13),0)),IFERROR(OFFSET(F267,0,_xlfn.XLOOKUP($G265,$B$9:$B$13,$E$9:$E$13))*_xlfn.XLOOKUP($G265,$B$9:$B$13,$F$9:$F$13),0),D269)))</f>
        <v>0</v>
      </c>
      <c r="G269" s="196">
        <f t="shared" ref="G269" ca="1" si="938">IF($I265="N",G267,IF($G265="1. In Flight",1,$G$9)*MIN(MAX($C267:$L267)*_xlfn.XLOOKUP($G265,$B$9:$B$13,$F$9:$F$13),MAX(IF(IFERROR(OFFSET(G267,0,_xlfn.XLOOKUP($G265,$B$9:$B$13,$C$9:$C$13)),0)=MAX($C267:$L267),_xlfn.MINIFS($C267:$L267,$C267:$L267,"&gt;0")*_xlfn.XLOOKUP($G265,$B$9:$B$13,$D$9:$D$13),IFERROR(OFFSET(G267,0,_xlfn.XLOOKUP($G265,$B$9:$B$13,$C$9:$C$13))*_xlfn.XLOOKUP($G265,$B$9:$B$13,$D$9:$D$13),0)),IFERROR(OFFSET(G267,0,_xlfn.XLOOKUP($G265,$B$9:$B$13,$E$9:$E$13))*_xlfn.XLOOKUP($G265,$B$9:$B$13,$F$9:$F$13),0),E269)))</f>
        <v>0</v>
      </c>
      <c r="H269" s="196">
        <f t="shared" ref="H269" ca="1" si="939">IF($I265="N",H267,IF($G265="1. In Flight",1,$G$9)*MIN(MAX($C267:$L267)*_xlfn.XLOOKUP($G265,$B$9:$B$13,$F$9:$F$13),MAX(IF(IFERROR(OFFSET(H267,0,_xlfn.XLOOKUP($G265,$B$9:$B$13,$C$9:$C$13)),0)=MAX($C267:$L267),_xlfn.MINIFS($C267:$L267,$C267:$L267,"&gt;0")*_xlfn.XLOOKUP($G265,$B$9:$B$13,$D$9:$D$13),IFERROR(OFFSET(H267,0,_xlfn.XLOOKUP($G265,$B$9:$B$13,$C$9:$C$13))*_xlfn.XLOOKUP($G265,$B$9:$B$13,$D$9:$D$13),0)),IFERROR(OFFSET(H267,0,_xlfn.XLOOKUP($G265,$B$9:$B$13,$E$9:$E$13))*_xlfn.XLOOKUP($G265,$B$9:$B$13,$F$9:$F$13),0),F269)))</f>
        <v>0</v>
      </c>
      <c r="I269" s="196">
        <f t="shared" ref="I269" ca="1" si="940">IF($I265="N",I267,IF($G265="1. In Flight",1,$G$9)*MIN(MAX($C267:$L267)*_xlfn.XLOOKUP($G265,$B$9:$B$13,$F$9:$F$13),MAX(IF(IFERROR(OFFSET(I267,0,_xlfn.XLOOKUP($G265,$B$9:$B$13,$C$9:$C$13)),0)=MAX($C267:$L267),_xlfn.MINIFS($C267:$L267,$C267:$L267,"&gt;0")*_xlfn.XLOOKUP($G265,$B$9:$B$13,$D$9:$D$13),IFERROR(OFFSET(I267,0,_xlfn.XLOOKUP($G265,$B$9:$B$13,$C$9:$C$13))*_xlfn.XLOOKUP($G265,$B$9:$B$13,$D$9:$D$13),0)),IFERROR(OFFSET(I267,0,_xlfn.XLOOKUP($G265,$B$9:$B$13,$E$9:$E$13))*_xlfn.XLOOKUP($G265,$B$9:$B$13,$F$9:$F$13),0),G269)))</f>
        <v>0</v>
      </c>
      <c r="J269" s="196">
        <f t="shared" ref="J269" ca="1" si="941">IF($I265="N",J267,IF($G265="1. In Flight",1,$G$9)*MIN(MAX($C267:$L267)*_xlfn.XLOOKUP($G265,$B$9:$B$13,$F$9:$F$13),MAX(IF(IFERROR(OFFSET(J267,0,_xlfn.XLOOKUP($G265,$B$9:$B$13,$C$9:$C$13)),0)=MAX($C267:$L267),_xlfn.MINIFS($C267:$L267,$C267:$L267,"&gt;0")*_xlfn.XLOOKUP($G265,$B$9:$B$13,$D$9:$D$13),IFERROR(OFFSET(J267,0,_xlfn.XLOOKUP($G265,$B$9:$B$13,$C$9:$C$13))*_xlfn.XLOOKUP($G265,$B$9:$B$13,$D$9:$D$13),0)),IFERROR(OFFSET(J267,0,_xlfn.XLOOKUP($G265,$B$9:$B$13,$E$9:$E$13))*_xlfn.XLOOKUP($G265,$B$9:$B$13,$F$9:$F$13),0),H269)))</f>
        <v>0</v>
      </c>
      <c r="K269" s="196">
        <f t="shared" ref="K269" ca="1" si="942">IF($I265="N",K267,IF($G265="1. In Flight",1,$G$9)*MIN(MAX($C267:$L267)*_xlfn.XLOOKUP($G265,$B$9:$B$13,$F$9:$F$13),MAX(IF(IFERROR(OFFSET(K267,0,_xlfn.XLOOKUP($G265,$B$9:$B$13,$C$9:$C$13)),0)=MAX($C267:$L267),_xlfn.MINIFS($C267:$L267,$C267:$L267,"&gt;0")*_xlfn.XLOOKUP($G265,$B$9:$B$13,$D$9:$D$13),IFERROR(OFFSET(K267,0,_xlfn.XLOOKUP($G265,$B$9:$B$13,$C$9:$C$13))*_xlfn.XLOOKUP($G265,$B$9:$B$13,$D$9:$D$13),0)),IFERROR(OFFSET(K267,0,_xlfn.XLOOKUP($G265,$B$9:$B$13,$E$9:$E$13))*_xlfn.XLOOKUP($G265,$B$9:$B$13,$F$9:$F$13),0),I269)))</f>
        <v>0</v>
      </c>
      <c r="L269" s="196">
        <f t="shared" ref="L269" ca="1" si="943">IF($I265="N",L267,IF($G265="1. In Flight",1,$G$9)*MIN(MAX($C267:$L267)*_xlfn.XLOOKUP($G265,$B$9:$B$13,$F$9:$F$13),MAX(IF(IFERROR(OFFSET(L267,0,_xlfn.XLOOKUP($G265,$B$9:$B$13,$C$9:$C$13)),0)=MAX($C267:$L267),_xlfn.MINIFS($C267:$L267,$C267:$L267,"&gt;0")*_xlfn.XLOOKUP($G265,$B$9:$B$13,$D$9:$D$13),IFERROR(OFFSET(L267,0,_xlfn.XLOOKUP($G265,$B$9:$B$13,$C$9:$C$13))*_xlfn.XLOOKUP($G265,$B$9:$B$13,$D$9:$D$13),0)),IFERROR(OFFSET(L267,0,_xlfn.XLOOKUP($G265,$B$9:$B$13,$E$9:$E$13))*_xlfn.XLOOKUP($G265,$B$9:$B$13,$F$9:$F$13),0),J269)))</f>
        <v>0</v>
      </c>
    </row>
    <row r="270" spans="1:12" ht="15" thickBot="1">
      <c r="A270" s="197" t="s">
        <v>109</v>
      </c>
      <c r="B270" s="198">
        <f>B267</f>
        <v>0</v>
      </c>
      <c r="C270" s="198">
        <f ca="1">IF($I265="N",C267,IF($G265="1. In Flight",1,$G$14)*MIN(MAX($C267:$L267)*_xlfn.XLOOKUP($G265,$B$14:$B$18,$F$14:$F$18),MAX(IF(IFERROR(OFFSET(C267,0,_xlfn.XLOOKUP($G265,$B$14:$B$18,$C$14:$C$18)),0)=MAX($C267:$L267),_xlfn.MINIFS($C267:$L267,$C267:$L267,"&gt;0")*_xlfn.XLOOKUP($G265,$B$14:$B$18,$D$14:$D$18),IFERROR(OFFSET(C267,0,_xlfn.XLOOKUP($G265,$B$14:$B$18,$C$14:$C$18))*_xlfn.XLOOKUP($G265,$B$14:$B$18,$D$14:$D$18),0)),IFERROR(OFFSET(C267,0,_xlfn.XLOOKUP($G265,$B$14:$B$18,$E$14:$E$18))*_xlfn.XLOOKUP($G265,$B$14:$B$18,$F$14:$F$18),0),A270)))</f>
        <v>0</v>
      </c>
      <c r="D270" s="198">
        <f t="shared" ref="D270" ca="1" si="944">IF($I265="N",D267,IF($G265="1. In Flight",1,$G$14)*MIN(MAX($C267:$L267)*_xlfn.XLOOKUP($G265,$B$14:$B$18,$F$14:$F$18),MAX(IF(IFERROR(OFFSET(D267,0,_xlfn.XLOOKUP($G265,$B$14:$B$18,$C$14:$C$18)),0)=MAX($C267:$L267),_xlfn.MINIFS($C267:$L267,$C267:$L267,"&gt;0")*_xlfn.XLOOKUP($G265,$B$14:$B$18,$D$14:$D$18),IFERROR(OFFSET(D267,0,_xlfn.XLOOKUP($G265,$B$14:$B$18,$C$14:$C$18))*_xlfn.XLOOKUP($G265,$B$14:$B$18,$D$14:$D$18),0)),IFERROR(OFFSET(D267,0,_xlfn.XLOOKUP($G265,$B$14:$B$18,$E$14:$E$18))*_xlfn.XLOOKUP($G265,$B$14:$B$18,$F$14:$F$18),0),B270)))</f>
        <v>0</v>
      </c>
      <c r="E270" s="198">
        <f t="shared" ref="E270" ca="1" si="945">IF($I265="N",E267,IF($G265="1. In Flight",1,$G$14)*MIN(MAX($C267:$L267)*_xlfn.XLOOKUP($G265,$B$14:$B$18,$F$14:$F$18),MAX(IF(IFERROR(OFFSET(E267,0,_xlfn.XLOOKUP($G265,$B$14:$B$18,$C$14:$C$18)),0)=MAX($C267:$L267),_xlfn.MINIFS($C267:$L267,$C267:$L267,"&gt;0")*_xlfn.XLOOKUP($G265,$B$14:$B$18,$D$14:$D$18),IFERROR(OFFSET(E267,0,_xlfn.XLOOKUP($G265,$B$14:$B$18,$C$14:$C$18))*_xlfn.XLOOKUP($G265,$B$14:$B$18,$D$14:$D$18),0)),IFERROR(OFFSET(E267,0,_xlfn.XLOOKUP($G265,$B$14:$B$18,$E$14:$E$18))*_xlfn.XLOOKUP($G265,$B$14:$B$18,$F$14:$F$18),0),C270)))</f>
        <v>0</v>
      </c>
      <c r="F270" s="198">
        <f t="shared" ref="F270" ca="1" si="946">IF($I265="N",F267,IF($G265="1. In Flight",1,$G$14)*MIN(MAX($C267:$L267)*_xlfn.XLOOKUP($G265,$B$14:$B$18,$F$14:$F$18),MAX(IF(IFERROR(OFFSET(F267,0,_xlfn.XLOOKUP($G265,$B$14:$B$18,$C$14:$C$18)),0)=MAX($C267:$L267),_xlfn.MINIFS($C267:$L267,$C267:$L267,"&gt;0")*_xlfn.XLOOKUP($G265,$B$14:$B$18,$D$14:$D$18),IFERROR(OFFSET(F267,0,_xlfn.XLOOKUP($G265,$B$14:$B$18,$C$14:$C$18))*_xlfn.XLOOKUP($G265,$B$14:$B$18,$D$14:$D$18),0)),IFERROR(OFFSET(F267,0,_xlfn.XLOOKUP($G265,$B$14:$B$18,$E$14:$E$18))*_xlfn.XLOOKUP($G265,$B$14:$B$18,$F$14:$F$18),0),D270)))</f>
        <v>0</v>
      </c>
      <c r="G270" s="198">
        <f t="shared" ref="G270" ca="1" si="947">IF($I265="N",G267,IF($G265="1. In Flight",1,$G$14)*MIN(MAX($C267:$L267)*_xlfn.XLOOKUP($G265,$B$14:$B$18,$F$14:$F$18),MAX(IF(IFERROR(OFFSET(G267,0,_xlfn.XLOOKUP($G265,$B$14:$B$18,$C$14:$C$18)),0)=MAX($C267:$L267),_xlfn.MINIFS($C267:$L267,$C267:$L267,"&gt;0")*_xlfn.XLOOKUP($G265,$B$14:$B$18,$D$14:$D$18),IFERROR(OFFSET(G267,0,_xlfn.XLOOKUP($G265,$B$14:$B$18,$C$14:$C$18))*_xlfn.XLOOKUP($G265,$B$14:$B$18,$D$14:$D$18),0)),IFERROR(OFFSET(G267,0,_xlfn.XLOOKUP($G265,$B$14:$B$18,$E$14:$E$18))*_xlfn.XLOOKUP($G265,$B$14:$B$18,$F$14:$F$18),0),E270)))</f>
        <v>0</v>
      </c>
      <c r="H270" s="198">
        <f t="shared" ref="H270" ca="1" si="948">IF($I265="N",H267,IF($G265="1. In Flight",1,$G$14)*MIN(MAX($C267:$L267)*_xlfn.XLOOKUP($G265,$B$14:$B$18,$F$14:$F$18),MAX(IF(IFERROR(OFFSET(H267,0,_xlfn.XLOOKUP($G265,$B$14:$B$18,$C$14:$C$18)),0)=MAX($C267:$L267),_xlfn.MINIFS($C267:$L267,$C267:$L267,"&gt;0")*_xlfn.XLOOKUP($G265,$B$14:$B$18,$D$14:$D$18),IFERROR(OFFSET(H267,0,_xlfn.XLOOKUP($G265,$B$14:$B$18,$C$14:$C$18))*_xlfn.XLOOKUP($G265,$B$14:$B$18,$D$14:$D$18),0)),IFERROR(OFFSET(H267,0,_xlfn.XLOOKUP($G265,$B$14:$B$18,$E$14:$E$18))*_xlfn.XLOOKUP($G265,$B$14:$B$18,$F$14:$F$18),0),F270)))</f>
        <v>0</v>
      </c>
      <c r="I270" s="198">
        <f t="shared" ref="I270" ca="1" si="949">IF($I265="N",I267,IF($G265="1. In Flight",1,$G$14)*MIN(MAX($C267:$L267)*_xlfn.XLOOKUP($G265,$B$14:$B$18,$F$14:$F$18),MAX(IF(IFERROR(OFFSET(I267,0,_xlfn.XLOOKUP($G265,$B$14:$B$18,$C$14:$C$18)),0)=MAX($C267:$L267),_xlfn.MINIFS($C267:$L267,$C267:$L267,"&gt;0")*_xlfn.XLOOKUP($G265,$B$14:$B$18,$D$14:$D$18),IFERROR(OFFSET(I267,0,_xlfn.XLOOKUP($G265,$B$14:$B$18,$C$14:$C$18))*_xlfn.XLOOKUP($G265,$B$14:$B$18,$D$14:$D$18),0)),IFERROR(OFFSET(I267,0,_xlfn.XLOOKUP($G265,$B$14:$B$18,$E$14:$E$18))*_xlfn.XLOOKUP($G265,$B$14:$B$18,$F$14:$F$18),0),G270)))</f>
        <v>0</v>
      </c>
      <c r="J270" s="198">
        <f t="shared" ref="J270" ca="1" si="950">IF($I265="N",J267,IF($G265="1. In Flight",1,$G$14)*MIN(MAX($C267:$L267)*_xlfn.XLOOKUP($G265,$B$14:$B$18,$F$14:$F$18),MAX(IF(IFERROR(OFFSET(J267,0,_xlfn.XLOOKUP($G265,$B$14:$B$18,$C$14:$C$18)),0)=MAX($C267:$L267),_xlfn.MINIFS($C267:$L267,$C267:$L267,"&gt;0")*_xlfn.XLOOKUP($G265,$B$14:$B$18,$D$14:$D$18),IFERROR(OFFSET(J267,0,_xlfn.XLOOKUP($G265,$B$14:$B$18,$C$14:$C$18))*_xlfn.XLOOKUP($G265,$B$14:$B$18,$D$14:$D$18),0)),IFERROR(OFFSET(J267,0,_xlfn.XLOOKUP($G265,$B$14:$B$18,$E$14:$E$18))*_xlfn.XLOOKUP($G265,$B$14:$B$18,$F$14:$F$18),0),H270)))</f>
        <v>0</v>
      </c>
      <c r="K270" s="198">
        <f t="shared" ref="K270" ca="1" si="951">IF($I265="N",K267,IF($G265="1. In Flight",1,$G$14)*MIN(MAX($C267:$L267)*_xlfn.XLOOKUP($G265,$B$14:$B$18,$F$14:$F$18),MAX(IF(IFERROR(OFFSET(K267,0,_xlfn.XLOOKUP($G265,$B$14:$B$18,$C$14:$C$18)),0)=MAX($C267:$L267),_xlfn.MINIFS($C267:$L267,$C267:$L267,"&gt;0")*_xlfn.XLOOKUP($G265,$B$14:$B$18,$D$14:$D$18),IFERROR(OFFSET(K267,0,_xlfn.XLOOKUP($G265,$B$14:$B$18,$C$14:$C$18))*_xlfn.XLOOKUP($G265,$B$14:$B$18,$D$14:$D$18),0)),IFERROR(OFFSET(K267,0,_xlfn.XLOOKUP($G265,$B$14:$B$18,$E$14:$E$18))*_xlfn.XLOOKUP($G265,$B$14:$B$18,$F$14:$F$18),0),I270)))</f>
        <v>0</v>
      </c>
      <c r="L270" s="198">
        <f t="shared" ref="L270" ca="1" si="952">IF($I265="N",L267,IF($G265="1. In Flight",1,$G$14)*MIN(MAX($C267:$L267)*_xlfn.XLOOKUP($G265,$B$14:$B$18,$F$14:$F$18),MAX(IF(IFERROR(OFFSET(L267,0,_xlfn.XLOOKUP($G265,$B$14:$B$18,$C$14:$C$18)),0)=MAX($C267:$L267),_xlfn.MINIFS($C267:$L267,$C267:$L267,"&gt;0")*_xlfn.XLOOKUP($G265,$B$14:$B$18,$D$14:$D$18),IFERROR(OFFSET(L267,0,_xlfn.XLOOKUP($G265,$B$14:$B$18,$C$14:$C$18))*_xlfn.XLOOKUP($G265,$B$14:$B$18,$D$14:$D$18),0)),IFERROR(OFFSET(L267,0,_xlfn.XLOOKUP($G265,$B$14:$B$18,$E$14:$E$18))*_xlfn.XLOOKUP($G265,$B$14:$B$18,$F$14:$F$18),0),J270)))</f>
        <v>0</v>
      </c>
    </row>
    <row r="271" spans="1:12" ht="15" thickTop="1"/>
    <row r="272" spans="1:12" ht="15" thickBot="1">
      <c r="A272" s="231">
        <f>_xlfn.XLOOKUP(F272,FEED!D:D,FEED!E:E,FALSE)</f>
        <v>0</v>
      </c>
      <c r="B272" s="232"/>
      <c r="C272" s="188"/>
      <c r="D272" s="200" t="s">
        <v>119</v>
      </c>
      <c r="E272" s="189" t="s">
        <v>120</v>
      </c>
      <c r="F272" s="189" t="s">
        <v>89</v>
      </c>
      <c r="G272" s="189" t="str">
        <f>IFERROR(_xlfn.XLOOKUP(F272,FEED!$D:$D,FEED!$S:$S),$B$8)</f>
        <v>4. Low</v>
      </c>
      <c r="H272" s="189" t="str">
        <f>IFERROR(_xlfn.XLOOKUP(F272,FEED!$D:$D,FEED!$Y:$Y),"Major Load")</f>
        <v>Data Centre</v>
      </c>
      <c r="I272" s="189" t="str">
        <f>IFERROR(_xlfn.XLOOKUP(F272,FEED!$D:$D,FEED!$C:$C),"N")</f>
        <v>Y</v>
      </c>
      <c r="J272" s="190"/>
      <c r="K272" s="190"/>
      <c r="L272" s="190"/>
    </row>
    <row r="273" spans="1:12" ht="15" thickBot="1">
      <c r="A273" s="191" t="str">
        <f>A245</f>
        <v>Uptake Scenario</v>
      </c>
      <c r="B273" s="192">
        <f>B266</f>
        <v>2023</v>
      </c>
      <c r="C273" s="192">
        <f t="shared" ref="C273:L273" si="953">C266</f>
        <v>2024</v>
      </c>
      <c r="D273" s="192">
        <f t="shared" si="953"/>
        <v>2025</v>
      </c>
      <c r="E273" s="192">
        <f t="shared" si="953"/>
        <v>2026</v>
      </c>
      <c r="F273" s="192">
        <f t="shared" si="953"/>
        <v>2027</v>
      </c>
      <c r="G273" s="192">
        <f t="shared" si="953"/>
        <v>2028</v>
      </c>
      <c r="H273" s="192">
        <f t="shared" si="953"/>
        <v>2029</v>
      </c>
      <c r="I273" s="192">
        <f t="shared" si="953"/>
        <v>2030</v>
      </c>
      <c r="J273" s="192">
        <f t="shared" si="953"/>
        <v>2031</v>
      </c>
      <c r="K273" s="192">
        <f t="shared" si="953"/>
        <v>2032</v>
      </c>
      <c r="L273" s="192">
        <f t="shared" si="953"/>
        <v>2033</v>
      </c>
    </row>
    <row r="274" spans="1:12" ht="15.6" thickTop="1" thickBot="1">
      <c r="A274" s="193" t="s">
        <v>111</v>
      </c>
      <c r="B274" s="194">
        <v>0</v>
      </c>
      <c r="C274" s="194">
        <f>SUMIF(FEED!$D:$D,$F272,FEED!F:F)+B274</f>
        <v>0</v>
      </c>
      <c r="D274" s="194">
        <f>SUMIF(FEED!$D:$D,$F272,FEED!G:G)+C274</f>
        <v>0</v>
      </c>
      <c r="E274" s="194">
        <f>SUMIF(FEED!$D:$D,$F272,FEED!H:H)+D274</f>
        <v>0</v>
      </c>
      <c r="F274" s="194">
        <f>SUMIF(FEED!$D:$D,$F272,FEED!I:I)+E274</f>
        <v>0</v>
      </c>
      <c r="G274" s="194">
        <f>SUMIF(FEED!$D:$D,$F272,FEED!J:J)+F274</f>
        <v>0</v>
      </c>
      <c r="H274" s="194">
        <f>SUMIF(FEED!$D:$D,$F272,FEED!K:K)+G274</f>
        <v>0</v>
      </c>
      <c r="I274" s="194">
        <f>SUMIF(FEED!$D:$D,$F272,FEED!L:L)+H274</f>
        <v>0</v>
      </c>
      <c r="J274" s="194">
        <f>SUMIF(FEED!$D:$D,$F272,FEED!M:M)+I274</f>
        <v>0</v>
      </c>
      <c r="K274" s="194">
        <f>SUMIF(FEED!$D:$D,$F272,FEED!N:N)+J274</f>
        <v>0</v>
      </c>
      <c r="L274" s="194">
        <f>SUMIF(FEED!$D:$D,$F272,FEED!O:O)+K274</f>
        <v>26.325354700019538</v>
      </c>
    </row>
    <row r="275" spans="1:12" ht="15" thickBot="1">
      <c r="A275" s="195" t="s">
        <v>107</v>
      </c>
      <c r="B275" s="196">
        <f>B274</f>
        <v>0</v>
      </c>
      <c r="C275" s="196">
        <f ca="1">IF($I272="N",C274,IF($G272="1. In Flight",1,$G$4)*MIN(MAX($C274:$L274)*_xlfn.XLOOKUP($G272,$B$4:$B$8,$F$4:$F$8),MAX(IF(IFERROR(OFFSET(C274,0,_xlfn.XLOOKUP($G272,$B$4:$B$8,$C$4:$C$8)),0)=MAX($C274:$L274),_xlfn.MINIFS($C274:$L274,$C274:$L274,"&gt;0")*_xlfn.XLOOKUP($G272,$B$4:$B$8,$D$4:$D$8),IFERROR(OFFSET(C274,0,_xlfn.XLOOKUP($G272,$B$4:$B$8,$C$4:$C$8))*_xlfn.XLOOKUP($G272,$B$4:$B$8,$D$4:$D$8),0)),IFERROR(OFFSET(C274,0,_xlfn.XLOOKUP($G272,$B$4:$B$8,$E$4:$E$8))*_xlfn.XLOOKUP($G272,$B$4:$B$8,$F$4:$F$8),0),A275)))</f>
        <v>0</v>
      </c>
      <c r="D275" s="196">
        <f t="shared" ref="D275" ca="1" si="954">IF($I272="N",D274,IF($G272="1. In Flight",1,$G$4)*MIN(MAX($C274:$L274)*_xlfn.XLOOKUP($G272,$B$4:$B$8,$F$4:$F$8),MAX(IF(IFERROR(OFFSET(D274,0,_xlfn.XLOOKUP($G272,$B$4:$B$8,$C$4:$C$8)),0)=MAX($C274:$L274),_xlfn.MINIFS($C274:$L274,$C274:$L274,"&gt;0")*_xlfn.XLOOKUP($G272,$B$4:$B$8,$D$4:$D$8),IFERROR(OFFSET(D274,0,_xlfn.XLOOKUP($G272,$B$4:$B$8,$C$4:$C$8))*_xlfn.XLOOKUP($G272,$B$4:$B$8,$D$4:$D$8),0)),IFERROR(OFFSET(D274,0,_xlfn.XLOOKUP($G272,$B$4:$B$8,$E$4:$E$8))*_xlfn.XLOOKUP($G272,$B$4:$B$8,$F$4:$F$8),0),B275)))</f>
        <v>0</v>
      </c>
      <c r="E275" s="196">
        <f t="shared" ref="E275" ca="1" si="955">IF($I272="N",E274,IF($G272="1. In Flight",1,$G$4)*MIN(MAX($C274:$L274)*_xlfn.XLOOKUP($G272,$B$4:$B$8,$F$4:$F$8),MAX(IF(IFERROR(OFFSET(E274,0,_xlfn.XLOOKUP($G272,$B$4:$B$8,$C$4:$C$8)),0)=MAX($C274:$L274),_xlfn.MINIFS($C274:$L274,$C274:$L274,"&gt;0")*_xlfn.XLOOKUP($G272,$B$4:$B$8,$D$4:$D$8),IFERROR(OFFSET(E274,0,_xlfn.XLOOKUP($G272,$B$4:$B$8,$C$4:$C$8))*_xlfn.XLOOKUP($G272,$B$4:$B$8,$D$4:$D$8),0)),IFERROR(OFFSET(E274,0,_xlfn.XLOOKUP($G272,$B$4:$B$8,$E$4:$E$8))*_xlfn.XLOOKUP($G272,$B$4:$B$8,$F$4:$F$8),0),C275)))</f>
        <v>0</v>
      </c>
      <c r="F275" s="196">
        <f t="shared" ref="F275" ca="1" si="956">IF($I272="N",F274,IF($G272="1. In Flight",1,$G$4)*MIN(MAX($C274:$L274)*_xlfn.XLOOKUP($G272,$B$4:$B$8,$F$4:$F$8),MAX(IF(IFERROR(OFFSET(F274,0,_xlfn.XLOOKUP($G272,$B$4:$B$8,$C$4:$C$8)),0)=MAX($C274:$L274),_xlfn.MINIFS($C274:$L274,$C274:$L274,"&gt;0")*_xlfn.XLOOKUP($G272,$B$4:$B$8,$D$4:$D$8),IFERROR(OFFSET(F274,0,_xlfn.XLOOKUP($G272,$B$4:$B$8,$C$4:$C$8))*_xlfn.XLOOKUP($G272,$B$4:$B$8,$D$4:$D$8),0)),IFERROR(OFFSET(F274,0,_xlfn.XLOOKUP($G272,$B$4:$B$8,$E$4:$E$8))*_xlfn.XLOOKUP($G272,$B$4:$B$8,$F$4:$F$8),0),D275)))</f>
        <v>0</v>
      </c>
      <c r="G275" s="196">
        <f t="shared" ref="G275" ca="1" si="957">IF($I272="N",G274,IF($G272="1. In Flight",1,$G$4)*MIN(MAX($C274:$L274)*_xlfn.XLOOKUP($G272,$B$4:$B$8,$F$4:$F$8),MAX(IF(IFERROR(OFFSET(G274,0,_xlfn.XLOOKUP($G272,$B$4:$B$8,$C$4:$C$8)),0)=MAX($C274:$L274),_xlfn.MINIFS($C274:$L274,$C274:$L274,"&gt;0")*_xlfn.XLOOKUP($G272,$B$4:$B$8,$D$4:$D$8),IFERROR(OFFSET(G274,0,_xlfn.XLOOKUP($G272,$B$4:$B$8,$C$4:$C$8))*_xlfn.XLOOKUP($G272,$B$4:$B$8,$D$4:$D$8),0)),IFERROR(OFFSET(G274,0,_xlfn.XLOOKUP($G272,$B$4:$B$8,$E$4:$E$8))*_xlfn.XLOOKUP($G272,$B$4:$B$8,$F$4:$F$8),0),E275)))</f>
        <v>0</v>
      </c>
      <c r="H275" s="196">
        <f t="shared" ref="H275" ca="1" si="958">IF($I272="N",H274,IF($G272="1. In Flight",1,$G$4)*MIN(MAX($C274:$L274)*_xlfn.XLOOKUP($G272,$B$4:$B$8,$F$4:$F$8),MAX(IF(IFERROR(OFFSET(H274,0,_xlfn.XLOOKUP($G272,$B$4:$B$8,$C$4:$C$8)),0)=MAX($C274:$L274),_xlfn.MINIFS($C274:$L274,$C274:$L274,"&gt;0")*_xlfn.XLOOKUP($G272,$B$4:$B$8,$D$4:$D$8),IFERROR(OFFSET(H274,0,_xlfn.XLOOKUP($G272,$B$4:$B$8,$C$4:$C$8))*_xlfn.XLOOKUP($G272,$B$4:$B$8,$D$4:$D$8),0)),IFERROR(OFFSET(H274,0,_xlfn.XLOOKUP($G272,$B$4:$B$8,$E$4:$E$8))*_xlfn.XLOOKUP($G272,$B$4:$B$8,$F$4:$F$8),0),F275)))</f>
        <v>0</v>
      </c>
      <c r="I275" s="196">
        <f t="shared" ref="I275" ca="1" si="959">IF($I272="N",I274,IF($G272="1. In Flight",1,$G$4)*MIN(MAX($C274:$L274)*_xlfn.XLOOKUP($G272,$B$4:$B$8,$F$4:$F$8),MAX(IF(IFERROR(OFFSET(I274,0,_xlfn.XLOOKUP($G272,$B$4:$B$8,$C$4:$C$8)),0)=MAX($C274:$L274),_xlfn.MINIFS($C274:$L274,$C274:$L274,"&gt;0")*_xlfn.XLOOKUP($G272,$B$4:$B$8,$D$4:$D$8),IFERROR(OFFSET(I274,0,_xlfn.XLOOKUP($G272,$B$4:$B$8,$C$4:$C$8))*_xlfn.XLOOKUP($G272,$B$4:$B$8,$D$4:$D$8),0)),IFERROR(OFFSET(I274,0,_xlfn.XLOOKUP($G272,$B$4:$B$8,$E$4:$E$8))*_xlfn.XLOOKUP($G272,$B$4:$B$8,$F$4:$F$8),0),G275)))</f>
        <v>0</v>
      </c>
      <c r="J275" s="196">
        <f t="shared" ref="J275" ca="1" si="960">IF($I272="N",J274,IF($G272="1. In Flight",1,$G$4)*MIN(MAX($C274:$L274)*_xlfn.XLOOKUP($G272,$B$4:$B$8,$F$4:$F$8),MAX(IF(IFERROR(OFFSET(J274,0,_xlfn.XLOOKUP($G272,$B$4:$B$8,$C$4:$C$8)),0)=MAX($C274:$L274),_xlfn.MINIFS($C274:$L274,$C274:$L274,"&gt;0")*_xlfn.XLOOKUP($G272,$B$4:$B$8,$D$4:$D$8),IFERROR(OFFSET(J274,0,_xlfn.XLOOKUP($G272,$B$4:$B$8,$C$4:$C$8))*_xlfn.XLOOKUP($G272,$B$4:$B$8,$D$4:$D$8),0)),IFERROR(OFFSET(J274,0,_xlfn.XLOOKUP($G272,$B$4:$B$8,$E$4:$E$8))*_xlfn.XLOOKUP($G272,$B$4:$B$8,$F$4:$F$8),0),H275)))</f>
        <v>0</v>
      </c>
      <c r="K275" s="196">
        <f t="shared" ref="K275" ca="1" si="961">IF($I272="N",K274,IF($G272="1. In Flight",1,$G$4)*MIN(MAX($C274:$L274)*_xlfn.XLOOKUP($G272,$B$4:$B$8,$F$4:$F$8),MAX(IF(IFERROR(OFFSET(K274,0,_xlfn.XLOOKUP($G272,$B$4:$B$8,$C$4:$C$8)),0)=MAX($C274:$L274),_xlfn.MINIFS($C274:$L274,$C274:$L274,"&gt;0")*_xlfn.XLOOKUP($G272,$B$4:$B$8,$D$4:$D$8),IFERROR(OFFSET(K274,0,_xlfn.XLOOKUP($G272,$B$4:$B$8,$C$4:$C$8))*_xlfn.XLOOKUP($G272,$B$4:$B$8,$D$4:$D$8),0)),IFERROR(OFFSET(K274,0,_xlfn.XLOOKUP($G272,$B$4:$B$8,$E$4:$E$8))*_xlfn.XLOOKUP($G272,$B$4:$B$8,$F$4:$F$8),0),I275)))</f>
        <v>0</v>
      </c>
      <c r="L275" s="196">
        <f t="shared" ref="L275" ca="1" si="962">IF($I272="N",L274,IF($G272="1. In Flight",1,$G$4)*MIN(MAX($C274:$L274)*_xlfn.XLOOKUP($G272,$B$4:$B$8,$F$4:$F$8),MAX(IF(IFERROR(OFFSET(L274,0,_xlfn.XLOOKUP($G272,$B$4:$B$8,$C$4:$C$8)),0)=MAX($C274:$L274),_xlfn.MINIFS($C274:$L274,$C274:$L274,"&gt;0")*_xlfn.XLOOKUP($G272,$B$4:$B$8,$D$4:$D$8),IFERROR(OFFSET(L274,0,_xlfn.XLOOKUP($G272,$B$4:$B$8,$C$4:$C$8))*_xlfn.XLOOKUP($G272,$B$4:$B$8,$D$4:$D$8),0)),IFERROR(OFFSET(L274,0,_xlfn.XLOOKUP($G272,$B$4:$B$8,$E$4:$E$8))*_xlfn.XLOOKUP($G272,$B$4:$B$8,$F$4:$F$8),0),J275)))</f>
        <v>0</v>
      </c>
    </row>
    <row r="276" spans="1:12" ht="15" thickBot="1">
      <c r="A276" s="195" t="s">
        <v>108</v>
      </c>
      <c r="B276" s="196">
        <f>B274</f>
        <v>0</v>
      </c>
      <c r="C276" s="196">
        <f ca="1">IF($I272="N",C274,IF($G272="1. In Flight",1,$G$9)*MIN(MAX($C274:$L274)*_xlfn.XLOOKUP($G272,$B$9:$B$13,$F$9:$F$13),MAX(IF(IFERROR(OFFSET(C274,0,_xlfn.XLOOKUP($G272,$B$9:$B$13,$C$9:$C$13)),0)=MAX($C274:$L274),_xlfn.MINIFS($C274:$L274,$C274:$L274,"&gt;0")*_xlfn.XLOOKUP($G272,$B$9:$B$13,$D$9:$D$13),IFERROR(OFFSET(C274,0,_xlfn.XLOOKUP($G272,$B$9:$B$13,$C$9:$C$13))*_xlfn.XLOOKUP($G272,$B$9:$B$13,$D$9:$D$13),0)),IFERROR(OFFSET(C274,0,_xlfn.XLOOKUP($G272,$B$9:$B$13,$E$9:$E$13))*_xlfn.XLOOKUP($G272,$B$9:$B$13,$F$9:$F$13),0),A276)))</f>
        <v>0</v>
      </c>
      <c r="D276" s="196">
        <f t="shared" ref="D276" ca="1" si="963">IF($I272="N",D274,IF($G272="1. In Flight",1,$G$9)*MIN(MAX($C274:$L274)*_xlfn.XLOOKUP($G272,$B$9:$B$13,$F$9:$F$13),MAX(IF(IFERROR(OFFSET(D274,0,_xlfn.XLOOKUP($G272,$B$9:$B$13,$C$9:$C$13)),0)=MAX($C274:$L274),_xlfn.MINIFS($C274:$L274,$C274:$L274,"&gt;0")*_xlfn.XLOOKUP($G272,$B$9:$B$13,$D$9:$D$13),IFERROR(OFFSET(D274,0,_xlfn.XLOOKUP($G272,$B$9:$B$13,$C$9:$C$13))*_xlfn.XLOOKUP($G272,$B$9:$B$13,$D$9:$D$13),0)),IFERROR(OFFSET(D274,0,_xlfn.XLOOKUP($G272,$B$9:$B$13,$E$9:$E$13))*_xlfn.XLOOKUP($G272,$B$9:$B$13,$F$9:$F$13),0),B276)))</f>
        <v>0</v>
      </c>
      <c r="E276" s="196">
        <f t="shared" ref="E276" ca="1" si="964">IF($I272="N",E274,IF($G272="1. In Flight",1,$G$9)*MIN(MAX($C274:$L274)*_xlfn.XLOOKUP($G272,$B$9:$B$13,$F$9:$F$13),MAX(IF(IFERROR(OFFSET(E274,0,_xlfn.XLOOKUP($G272,$B$9:$B$13,$C$9:$C$13)),0)=MAX($C274:$L274),_xlfn.MINIFS($C274:$L274,$C274:$L274,"&gt;0")*_xlfn.XLOOKUP($G272,$B$9:$B$13,$D$9:$D$13),IFERROR(OFFSET(E274,0,_xlfn.XLOOKUP($G272,$B$9:$B$13,$C$9:$C$13))*_xlfn.XLOOKUP($G272,$B$9:$B$13,$D$9:$D$13),0)),IFERROR(OFFSET(E274,0,_xlfn.XLOOKUP($G272,$B$9:$B$13,$E$9:$E$13))*_xlfn.XLOOKUP($G272,$B$9:$B$13,$F$9:$F$13),0),C276)))</f>
        <v>0</v>
      </c>
      <c r="F276" s="196">
        <f t="shared" ref="F276" ca="1" si="965">IF($I272="N",F274,IF($G272="1. In Flight",1,$G$9)*MIN(MAX($C274:$L274)*_xlfn.XLOOKUP($G272,$B$9:$B$13,$F$9:$F$13),MAX(IF(IFERROR(OFFSET(F274,0,_xlfn.XLOOKUP($G272,$B$9:$B$13,$C$9:$C$13)),0)=MAX($C274:$L274),_xlfn.MINIFS($C274:$L274,$C274:$L274,"&gt;0")*_xlfn.XLOOKUP($G272,$B$9:$B$13,$D$9:$D$13),IFERROR(OFFSET(F274,0,_xlfn.XLOOKUP($G272,$B$9:$B$13,$C$9:$C$13))*_xlfn.XLOOKUP($G272,$B$9:$B$13,$D$9:$D$13),0)),IFERROR(OFFSET(F274,0,_xlfn.XLOOKUP($G272,$B$9:$B$13,$E$9:$E$13))*_xlfn.XLOOKUP($G272,$B$9:$B$13,$F$9:$F$13),0),D276)))</f>
        <v>0</v>
      </c>
      <c r="G276" s="196">
        <f t="shared" ref="G276" ca="1" si="966">IF($I272="N",G274,IF($G272="1. In Flight",1,$G$9)*MIN(MAX($C274:$L274)*_xlfn.XLOOKUP($G272,$B$9:$B$13,$F$9:$F$13),MAX(IF(IFERROR(OFFSET(G274,0,_xlfn.XLOOKUP($G272,$B$9:$B$13,$C$9:$C$13)),0)=MAX($C274:$L274),_xlfn.MINIFS($C274:$L274,$C274:$L274,"&gt;0")*_xlfn.XLOOKUP($G272,$B$9:$B$13,$D$9:$D$13),IFERROR(OFFSET(G274,0,_xlfn.XLOOKUP($G272,$B$9:$B$13,$C$9:$C$13))*_xlfn.XLOOKUP($G272,$B$9:$B$13,$D$9:$D$13),0)),IFERROR(OFFSET(G274,0,_xlfn.XLOOKUP($G272,$B$9:$B$13,$E$9:$E$13))*_xlfn.XLOOKUP($G272,$B$9:$B$13,$F$9:$F$13),0),E276)))</f>
        <v>0</v>
      </c>
      <c r="H276" s="196">
        <f t="shared" ref="H276" ca="1" si="967">IF($I272="N",H274,IF($G272="1. In Flight",1,$G$9)*MIN(MAX($C274:$L274)*_xlfn.XLOOKUP($G272,$B$9:$B$13,$F$9:$F$13),MAX(IF(IFERROR(OFFSET(H274,0,_xlfn.XLOOKUP($G272,$B$9:$B$13,$C$9:$C$13)),0)=MAX($C274:$L274),_xlfn.MINIFS($C274:$L274,$C274:$L274,"&gt;0")*_xlfn.XLOOKUP($G272,$B$9:$B$13,$D$9:$D$13),IFERROR(OFFSET(H274,0,_xlfn.XLOOKUP($G272,$B$9:$B$13,$C$9:$C$13))*_xlfn.XLOOKUP($G272,$B$9:$B$13,$D$9:$D$13),0)),IFERROR(OFFSET(H274,0,_xlfn.XLOOKUP($G272,$B$9:$B$13,$E$9:$E$13))*_xlfn.XLOOKUP($G272,$B$9:$B$13,$F$9:$F$13),0),F276)))</f>
        <v>0</v>
      </c>
      <c r="I276" s="196">
        <f t="shared" ref="I276" ca="1" si="968">IF($I272="N",I274,IF($G272="1. In Flight",1,$G$9)*MIN(MAX($C274:$L274)*_xlfn.XLOOKUP($G272,$B$9:$B$13,$F$9:$F$13),MAX(IF(IFERROR(OFFSET(I274,0,_xlfn.XLOOKUP($G272,$B$9:$B$13,$C$9:$C$13)),0)=MAX($C274:$L274),_xlfn.MINIFS($C274:$L274,$C274:$L274,"&gt;0")*_xlfn.XLOOKUP($G272,$B$9:$B$13,$D$9:$D$13),IFERROR(OFFSET(I274,0,_xlfn.XLOOKUP($G272,$B$9:$B$13,$C$9:$C$13))*_xlfn.XLOOKUP($G272,$B$9:$B$13,$D$9:$D$13),0)),IFERROR(OFFSET(I274,0,_xlfn.XLOOKUP($G272,$B$9:$B$13,$E$9:$E$13))*_xlfn.XLOOKUP($G272,$B$9:$B$13,$F$9:$F$13),0),G276)))</f>
        <v>0</v>
      </c>
      <c r="J276" s="196">
        <f t="shared" ref="J276" ca="1" si="969">IF($I272="N",J274,IF($G272="1. In Flight",1,$G$9)*MIN(MAX($C274:$L274)*_xlfn.XLOOKUP($G272,$B$9:$B$13,$F$9:$F$13),MAX(IF(IFERROR(OFFSET(J274,0,_xlfn.XLOOKUP($G272,$B$9:$B$13,$C$9:$C$13)),0)=MAX($C274:$L274),_xlfn.MINIFS($C274:$L274,$C274:$L274,"&gt;0")*_xlfn.XLOOKUP($G272,$B$9:$B$13,$D$9:$D$13),IFERROR(OFFSET(J274,0,_xlfn.XLOOKUP($G272,$B$9:$B$13,$C$9:$C$13))*_xlfn.XLOOKUP($G272,$B$9:$B$13,$D$9:$D$13),0)),IFERROR(OFFSET(J274,0,_xlfn.XLOOKUP($G272,$B$9:$B$13,$E$9:$E$13))*_xlfn.XLOOKUP($G272,$B$9:$B$13,$F$9:$F$13),0),H276)))</f>
        <v>0</v>
      </c>
      <c r="K276" s="196">
        <f t="shared" ref="K276" ca="1" si="970">IF($I272="N",K274,IF($G272="1. In Flight",1,$G$9)*MIN(MAX($C274:$L274)*_xlfn.XLOOKUP($G272,$B$9:$B$13,$F$9:$F$13),MAX(IF(IFERROR(OFFSET(K274,0,_xlfn.XLOOKUP($G272,$B$9:$B$13,$C$9:$C$13)),0)=MAX($C274:$L274),_xlfn.MINIFS($C274:$L274,$C274:$L274,"&gt;0")*_xlfn.XLOOKUP($G272,$B$9:$B$13,$D$9:$D$13),IFERROR(OFFSET(K274,0,_xlfn.XLOOKUP($G272,$B$9:$B$13,$C$9:$C$13))*_xlfn.XLOOKUP($G272,$B$9:$B$13,$D$9:$D$13),0)),IFERROR(OFFSET(K274,0,_xlfn.XLOOKUP($G272,$B$9:$B$13,$E$9:$E$13))*_xlfn.XLOOKUP($G272,$B$9:$B$13,$F$9:$F$13),0),I276)))</f>
        <v>0</v>
      </c>
      <c r="L276" s="196">
        <f t="shared" ref="L276" ca="1" si="971">IF($I272="N",L274,IF($G272="1. In Flight",1,$G$9)*MIN(MAX($C274:$L274)*_xlfn.XLOOKUP($G272,$B$9:$B$13,$F$9:$F$13),MAX(IF(IFERROR(OFFSET(L274,0,_xlfn.XLOOKUP($G272,$B$9:$B$13,$C$9:$C$13)),0)=MAX($C274:$L274),_xlfn.MINIFS($C274:$L274,$C274:$L274,"&gt;0")*_xlfn.XLOOKUP($G272,$B$9:$B$13,$D$9:$D$13),IFERROR(OFFSET(L274,0,_xlfn.XLOOKUP($G272,$B$9:$B$13,$C$9:$C$13))*_xlfn.XLOOKUP($G272,$B$9:$B$13,$D$9:$D$13),0)),IFERROR(OFFSET(L274,0,_xlfn.XLOOKUP($G272,$B$9:$B$13,$E$9:$E$13))*_xlfn.XLOOKUP($G272,$B$9:$B$13,$F$9:$F$13),0),J276)))</f>
        <v>0</v>
      </c>
    </row>
    <row r="277" spans="1:12" ht="15" thickBot="1">
      <c r="A277" s="197" t="s">
        <v>109</v>
      </c>
      <c r="B277" s="198">
        <f>B274</f>
        <v>0</v>
      </c>
      <c r="C277" s="198">
        <f ca="1">IF($I272="N",C274,IF($G272="1. In Flight",1,$G$14)*MIN(MAX($C274:$L274)*_xlfn.XLOOKUP($G272,$B$14:$B$18,$F$14:$F$18),MAX(IF(IFERROR(OFFSET(C274,0,_xlfn.XLOOKUP($G272,$B$14:$B$18,$C$14:$C$18)),0)=MAX($C274:$L274),_xlfn.MINIFS($C274:$L274,$C274:$L274,"&gt;0")*_xlfn.XLOOKUP($G272,$B$14:$B$18,$D$14:$D$18),IFERROR(OFFSET(C274,0,_xlfn.XLOOKUP($G272,$B$14:$B$18,$C$14:$C$18))*_xlfn.XLOOKUP($G272,$B$14:$B$18,$D$14:$D$18),0)),IFERROR(OFFSET(C274,0,_xlfn.XLOOKUP($G272,$B$14:$B$18,$E$14:$E$18))*_xlfn.XLOOKUP($G272,$B$14:$B$18,$F$14:$F$18),0),A277)))</f>
        <v>0</v>
      </c>
      <c r="D277" s="198">
        <f t="shared" ref="D277" ca="1" si="972">IF($I272="N",D274,IF($G272="1. In Flight",1,$G$14)*MIN(MAX($C274:$L274)*_xlfn.XLOOKUP($G272,$B$14:$B$18,$F$14:$F$18),MAX(IF(IFERROR(OFFSET(D274,0,_xlfn.XLOOKUP($G272,$B$14:$B$18,$C$14:$C$18)),0)=MAX($C274:$L274),_xlfn.MINIFS($C274:$L274,$C274:$L274,"&gt;0")*_xlfn.XLOOKUP($G272,$B$14:$B$18,$D$14:$D$18),IFERROR(OFFSET(D274,0,_xlfn.XLOOKUP($G272,$B$14:$B$18,$C$14:$C$18))*_xlfn.XLOOKUP($G272,$B$14:$B$18,$D$14:$D$18),0)),IFERROR(OFFSET(D274,0,_xlfn.XLOOKUP($G272,$B$14:$B$18,$E$14:$E$18))*_xlfn.XLOOKUP($G272,$B$14:$B$18,$F$14:$F$18),0),B277)))</f>
        <v>0</v>
      </c>
      <c r="E277" s="198">
        <f t="shared" ref="E277" ca="1" si="973">IF($I272="N",E274,IF($G272="1. In Flight",1,$G$14)*MIN(MAX($C274:$L274)*_xlfn.XLOOKUP($G272,$B$14:$B$18,$F$14:$F$18),MAX(IF(IFERROR(OFFSET(E274,0,_xlfn.XLOOKUP($G272,$B$14:$B$18,$C$14:$C$18)),0)=MAX($C274:$L274),_xlfn.MINIFS($C274:$L274,$C274:$L274,"&gt;0")*_xlfn.XLOOKUP($G272,$B$14:$B$18,$D$14:$D$18),IFERROR(OFFSET(E274,0,_xlfn.XLOOKUP($G272,$B$14:$B$18,$C$14:$C$18))*_xlfn.XLOOKUP($G272,$B$14:$B$18,$D$14:$D$18),0)),IFERROR(OFFSET(E274,0,_xlfn.XLOOKUP($G272,$B$14:$B$18,$E$14:$E$18))*_xlfn.XLOOKUP($G272,$B$14:$B$18,$F$14:$F$18),0),C277)))</f>
        <v>0</v>
      </c>
      <c r="F277" s="198">
        <f t="shared" ref="F277" ca="1" si="974">IF($I272="N",F274,IF($G272="1. In Flight",1,$G$14)*MIN(MAX($C274:$L274)*_xlfn.XLOOKUP($G272,$B$14:$B$18,$F$14:$F$18),MAX(IF(IFERROR(OFFSET(F274,0,_xlfn.XLOOKUP($G272,$B$14:$B$18,$C$14:$C$18)),0)=MAX($C274:$L274),_xlfn.MINIFS($C274:$L274,$C274:$L274,"&gt;0")*_xlfn.XLOOKUP($G272,$B$14:$B$18,$D$14:$D$18),IFERROR(OFFSET(F274,0,_xlfn.XLOOKUP($G272,$B$14:$B$18,$C$14:$C$18))*_xlfn.XLOOKUP($G272,$B$14:$B$18,$D$14:$D$18),0)),IFERROR(OFFSET(F274,0,_xlfn.XLOOKUP($G272,$B$14:$B$18,$E$14:$E$18))*_xlfn.XLOOKUP($G272,$B$14:$B$18,$F$14:$F$18),0),D277)))</f>
        <v>0</v>
      </c>
      <c r="G277" s="198">
        <f t="shared" ref="G277" ca="1" si="975">IF($I272="N",G274,IF($G272="1. In Flight",1,$G$14)*MIN(MAX($C274:$L274)*_xlfn.XLOOKUP($G272,$B$14:$B$18,$F$14:$F$18),MAX(IF(IFERROR(OFFSET(G274,0,_xlfn.XLOOKUP($G272,$B$14:$B$18,$C$14:$C$18)),0)=MAX($C274:$L274),_xlfn.MINIFS($C274:$L274,$C274:$L274,"&gt;0")*_xlfn.XLOOKUP($G272,$B$14:$B$18,$D$14:$D$18),IFERROR(OFFSET(G274,0,_xlfn.XLOOKUP($G272,$B$14:$B$18,$C$14:$C$18))*_xlfn.XLOOKUP($G272,$B$14:$B$18,$D$14:$D$18),0)),IFERROR(OFFSET(G274,0,_xlfn.XLOOKUP($G272,$B$14:$B$18,$E$14:$E$18))*_xlfn.XLOOKUP($G272,$B$14:$B$18,$F$14:$F$18),0),E277)))</f>
        <v>0</v>
      </c>
      <c r="H277" s="198">
        <f t="shared" ref="H277" ca="1" si="976">IF($I272="N",H274,IF($G272="1. In Flight",1,$G$14)*MIN(MAX($C274:$L274)*_xlfn.XLOOKUP($G272,$B$14:$B$18,$F$14:$F$18),MAX(IF(IFERROR(OFFSET(H274,0,_xlfn.XLOOKUP($G272,$B$14:$B$18,$C$14:$C$18)),0)=MAX($C274:$L274),_xlfn.MINIFS($C274:$L274,$C274:$L274,"&gt;0")*_xlfn.XLOOKUP($G272,$B$14:$B$18,$D$14:$D$18),IFERROR(OFFSET(H274,0,_xlfn.XLOOKUP($G272,$B$14:$B$18,$C$14:$C$18))*_xlfn.XLOOKUP($G272,$B$14:$B$18,$D$14:$D$18),0)),IFERROR(OFFSET(H274,0,_xlfn.XLOOKUP($G272,$B$14:$B$18,$E$14:$E$18))*_xlfn.XLOOKUP($G272,$B$14:$B$18,$F$14:$F$18),0),F277)))</f>
        <v>0</v>
      </c>
      <c r="I277" s="198">
        <f t="shared" ref="I277" ca="1" si="977">IF($I272="N",I274,IF($G272="1. In Flight",1,$G$14)*MIN(MAX($C274:$L274)*_xlfn.XLOOKUP($G272,$B$14:$B$18,$F$14:$F$18),MAX(IF(IFERROR(OFFSET(I274,0,_xlfn.XLOOKUP($G272,$B$14:$B$18,$C$14:$C$18)),0)=MAX($C274:$L274),_xlfn.MINIFS($C274:$L274,$C274:$L274,"&gt;0")*_xlfn.XLOOKUP($G272,$B$14:$B$18,$D$14:$D$18),IFERROR(OFFSET(I274,0,_xlfn.XLOOKUP($G272,$B$14:$B$18,$C$14:$C$18))*_xlfn.XLOOKUP($G272,$B$14:$B$18,$D$14:$D$18),0)),IFERROR(OFFSET(I274,0,_xlfn.XLOOKUP($G272,$B$14:$B$18,$E$14:$E$18))*_xlfn.XLOOKUP($G272,$B$14:$B$18,$F$14:$F$18),0),G277)))</f>
        <v>0</v>
      </c>
      <c r="J277" s="198">
        <f t="shared" ref="J277" ca="1" si="978">IF($I272="N",J274,IF($G272="1. In Flight",1,$G$14)*MIN(MAX($C274:$L274)*_xlfn.XLOOKUP($G272,$B$14:$B$18,$F$14:$F$18),MAX(IF(IFERROR(OFFSET(J274,0,_xlfn.XLOOKUP($G272,$B$14:$B$18,$C$14:$C$18)),0)=MAX($C274:$L274),_xlfn.MINIFS($C274:$L274,$C274:$L274,"&gt;0")*_xlfn.XLOOKUP($G272,$B$14:$B$18,$D$14:$D$18),IFERROR(OFFSET(J274,0,_xlfn.XLOOKUP($G272,$B$14:$B$18,$C$14:$C$18))*_xlfn.XLOOKUP($G272,$B$14:$B$18,$D$14:$D$18),0)),IFERROR(OFFSET(J274,0,_xlfn.XLOOKUP($G272,$B$14:$B$18,$E$14:$E$18))*_xlfn.XLOOKUP($G272,$B$14:$B$18,$F$14:$F$18),0),H277)))</f>
        <v>0</v>
      </c>
      <c r="K277" s="198">
        <f t="shared" ref="K277" ca="1" si="979">IF($I272="N",K274,IF($G272="1. In Flight",1,$G$14)*MIN(MAX($C274:$L274)*_xlfn.XLOOKUP($G272,$B$14:$B$18,$F$14:$F$18),MAX(IF(IFERROR(OFFSET(K274,0,_xlfn.XLOOKUP($G272,$B$14:$B$18,$C$14:$C$18)),0)=MAX($C274:$L274),_xlfn.MINIFS($C274:$L274,$C274:$L274,"&gt;0")*_xlfn.XLOOKUP($G272,$B$14:$B$18,$D$14:$D$18),IFERROR(OFFSET(K274,0,_xlfn.XLOOKUP($G272,$B$14:$B$18,$C$14:$C$18))*_xlfn.XLOOKUP($G272,$B$14:$B$18,$D$14:$D$18),0)),IFERROR(OFFSET(K274,0,_xlfn.XLOOKUP($G272,$B$14:$B$18,$E$14:$E$18))*_xlfn.XLOOKUP($G272,$B$14:$B$18,$F$14:$F$18),0),I277)))</f>
        <v>0</v>
      </c>
      <c r="L277" s="198">
        <f t="shared" ref="L277" ca="1" si="980">IF($I272="N",L274,IF($G272="1. In Flight",1,$G$14)*MIN(MAX($C274:$L274)*_xlfn.XLOOKUP($G272,$B$14:$B$18,$F$14:$F$18),MAX(IF(IFERROR(OFFSET(L274,0,_xlfn.XLOOKUP($G272,$B$14:$B$18,$C$14:$C$18)),0)=MAX($C274:$L274),_xlfn.MINIFS($C274:$L274,$C274:$L274,"&gt;0")*_xlfn.XLOOKUP($G272,$B$14:$B$18,$D$14:$D$18),IFERROR(OFFSET(L274,0,_xlfn.XLOOKUP($G272,$B$14:$B$18,$C$14:$C$18))*_xlfn.XLOOKUP($G272,$B$14:$B$18,$D$14:$D$18),0)),IFERROR(OFFSET(L274,0,_xlfn.XLOOKUP($G272,$B$14:$B$18,$E$14:$E$18))*_xlfn.XLOOKUP($G272,$B$14:$B$18,$F$14:$F$18),0),J277)))</f>
        <v>0</v>
      </c>
    </row>
    <row r="278" spans="1:12" ht="15" thickTop="1"/>
    <row r="279" spans="1:12" ht="15" thickBot="1">
      <c r="A279" s="231">
        <f>_xlfn.XLOOKUP(F279,FEED!D:D,FEED!E:E,FALSE)</f>
        <v>0</v>
      </c>
      <c r="B279" s="232"/>
      <c r="C279" s="188"/>
      <c r="D279" s="200" t="s">
        <v>133</v>
      </c>
      <c r="E279" s="189" t="s">
        <v>123</v>
      </c>
      <c r="F279" s="189" t="s">
        <v>90</v>
      </c>
      <c r="G279" s="189" t="str">
        <f>IFERROR(_xlfn.XLOOKUP(F279,FEED!$D:$D,FEED!$S:$S),$B$8)</f>
        <v>4. Low</v>
      </c>
      <c r="H279" s="189" t="str">
        <f>IFERROR(_xlfn.XLOOKUP(F279,FEED!$D:$D,FEED!$Y:$Y),"Major Load")</f>
        <v>Data Centre</v>
      </c>
      <c r="I279" s="189" t="str">
        <f>IFERROR(_xlfn.XLOOKUP(F279,FEED!$D:$D,FEED!$C:$C),"N")</f>
        <v>Y</v>
      </c>
      <c r="J279" s="190"/>
      <c r="K279" s="190"/>
      <c r="L279" s="190"/>
    </row>
    <row r="280" spans="1:12" ht="15" thickBot="1">
      <c r="A280" s="191" t="str">
        <f>A252</f>
        <v>Uptake Scenario</v>
      </c>
      <c r="B280" s="192">
        <f>B273</f>
        <v>2023</v>
      </c>
      <c r="C280" s="192">
        <f t="shared" ref="C280:L280" si="981">C273</f>
        <v>2024</v>
      </c>
      <c r="D280" s="192">
        <f t="shared" si="981"/>
        <v>2025</v>
      </c>
      <c r="E280" s="192">
        <f t="shared" si="981"/>
        <v>2026</v>
      </c>
      <c r="F280" s="192">
        <f t="shared" si="981"/>
        <v>2027</v>
      </c>
      <c r="G280" s="192">
        <f t="shared" si="981"/>
        <v>2028</v>
      </c>
      <c r="H280" s="192">
        <f t="shared" si="981"/>
        <v>2029</v>
      </c>
      <c r="I280" s="192">
        <f t="shared" si="981"/>
        <v>2030</v>
      </c>
      <c r="J280" s="192">
        <f t="shared" si="981"/>
        <v>2031</v>
      </c>
      <c r="K280" s="192">
        <f t="shared" si="981"/>
        <v>2032</v>
      </c>
      <c r="L280" s="192">
        <f t="shared" si="981"/>
        <v>2033</v>
      </c>
    </row>
    <row r="281" spans="1:12" ht="15.6" thickTop="1" thickBot="1">
      <c r="A281" s="193" t="s">
        <v>111</v>
      </c>
      <c r="B281" s="194">
        <v>0</v>
      </c>
      <c r="C281" s="194">
        <f>SUMIF(FEED!$D:$D,$F279,FEED!F:F)+B281</f>
        <v>0</v>
      </c>
      <c r="D281" s="194">
        <f>SUMIF(FEED!$D:$D,$F279,FEED!G:G)+C281</f>
        <v>0</v>
      </c>
      <c r="E281" s="194">
        <f>SUMIF(FEED!$D:$D,$F279,FEED!H:H)+D281</f>
        <v>0</v>
      </c>
      <c r="F281" s="194">
        <f>SUMIF(FEED!$D:$D,$F279,FEED!I:I)+E281</f>
        <v>0</v>
      </c>
      <c r="G281" s="194">
        <f>SUMIF(FEED!$D:$D,$F279,FEED!J:J)+F281</f>
        <v>0</v>
      </c>
      <c r="H281" s="194">
        <f>SUMIF(FEED!$D:$D,$F279,FEED!K:K)+G281</f>
        <v>0</v>
      </c>
      <c r="I281" s="194">
        <f>SUMIF(FEED!$D:$D,$F279,FEED!L:L)+H281</f>
        <v>0</v>
      </c>
      <c r="J281" s="194">
        <f>SUMIF(FEED!$D:$D,$F279,FEED!M:M)+I281</f>
        <v>0</v>
      </c>
      <c r="K281" s="194">
        <f>SUMIF(FEED!$D:$D,$F279,FEED!N:N)+J281</f>
        <v>0</v>
      </c>
      <c r="L281" s="194">
        <f>SUMIF(FEED!$D:$D,$F279,FEED!O:O)+K281</f>
        <v>17.550236466679692</v>
      </c>
    </row>
    <row r="282" spans="1:12" ht="15" thickBot="1">
      <c r="A282" s="195" t="s">
        <v>107</v>
      </c>
      <c r="B282" s="196">
        <f>B281</f>
        <v>0</v>
      </c>
      <c r="C282" s="196">
        <f ca="1">IF($I279="N",C281,IF($G279="1. In Flight",1,$G$4)*MIN(MAX($C281:$L281)*_xlfn.XLOOKUP($G279,$B$4:$B$8,$F$4:$F$8),MAX(IF(IFERROR(OFFSET(C281,0,_xlfn.XLOOKUP($G279,$B$4:$B$8,$C$4:$C$8)),0)=MAX($C281:$L281),_xlfn.MINIFS($C281:$L281,$C281:$L281,"&gt;0")*_xlfn.XLOOKUP($G279,$B$4:$B$8,$D$4:$D$8),IFERROR(OFFSET(C281,0,_xlfn.XLOOKUP($G279,$B$4:$B$8,$C$4:$C$8))*_xlfn.XLOOKUP($G279,$B$4:$B$8,$D$4:$D$8),0)),IFERROR(OFFSET(C281,0,_xlfn.XLOOKUP($G279,$B$4:$B$8,$E$4:$E$8))*_xlfn.XLOOKUP($G279,$B$4:$B$8,$F$4:$F$8),0),A282)))</f>
        <v>0</v>
      </c>
      <c r="D282" s="196">
        <f t="shared" ref="D282" ca="1" si="982">IF($I279="N",D281,IF($G279="1. In Flight",1,$G$4)*MIN(MAX($C281:$L281)*_xlfn.XLOOKUP($G279,$B$4:$B$8,$F$4:$F$8),MAX(IF(IFERROR(OFFSET(D281,0,_xlfn.XLOOKUP($G279,$B$4:$B$8,$C$4:$C$8)),0)=MAX($C281:$L281),_xlfn.MINIFS($C281:$L281,$C281:$L281,"&gt;0")*_xlfn.XLOOKUP($G279,$B$4:$B$8,$D$4:$D$8),IFERROR(OFFSET(D281,0,_xlfn.XLOOKUP($G279,$B$4:$B$8,$C$4:$C$8))*_xlfn.XLOOKUP($G279,$B$4:$B$8,$D$4:$D$8),0)),IFERROR(OFFSET(D281,0,_xlfn.XLOOKUP($G279,$B$4:$B$8,$E$4:$E$8))*_xlfn.XLOOKUP($G279,$B$4:$B$8,$F$4:$F$8),0),B282)))</f>
        <v>0</v>
      </c>
      <c r="E282" s="196">
        <f t="shared" ref="E282" ca="1" si="983">IF($I279="N",E281,IF($G279="1. In Flight",1,$G$4)*MIN(MAX($C281:$L281)*_xlfn.XLOOKUP($G279,$B$4:$B$8,$F$4:$F$8),MAX(IF(IFERROR(OFFSET(E281,0,_xlfn.XLOOKUP($G279,$B$4:$B$8,$C$4:$C$8)),0)=MAX($C281:$L281),_xlfn.MINIFS($C281:$L281,$C281:$L281,"&gt;0")*_xlfn.XLOOKUP($G279,$B$4:$B$8,$D$4:$D$8),IFERROR(OFFSET(E281,0,_xlfn.XLOOKUP($G279,$B$4:$B$8,$C$4:$C$8))*_xlfn.XLOOKUP($G279,$B$4:$B$8,$D$4:$D$8),0)),IFERROR(OFFSET(E281,0,_xlfn.XLOOKUP($G279,$B$4:$B$8,$E$4:$E$8))*_xlfn.XLOOKUP($G279,$B$4:$B$8,$F$4:$F$8),0),C282)))</f>
        <v>0</v>
      </c>
      <c r="F282" s="196">
        <f t="shared" ref="F282" ca="1" si="984">IF($I279="N",F281,IF($G279="1. In Flight",1,$G$4)*MIN(MAX($C281:$L281)*_xlfn.XLOOKUP($G279,$B$4:$B$8,$F$4:$F$8),MAX(IF(IFERROR(OFFSET(F281,0,_xlfn.XLOOKUP($G279,$B$4:$B$8,$C$4:$C$8)),0)=MAX($C281:$L281),_xlfn.MINIFS($C281:$L281,$C281:$L281,"&gt;0")*_xlfn.XLOOKUP($G279,$B$4:$B$8,$D$4:$D$8),IFERROR(OFFSET(F281,0,_xlfn.XLOOKUP($G279,$B$4:$B$8,$C$4:$C$8))*_xlfn.XLOOKUP($G279,$B$4:$B$8,$D$4:$D$8),0)),IFERROR(OFFSET(F281,0,_xlfn.XLOOKUP($G279,$B$4:$B$8,$E$4:$E$8))*_xlfn.XLOOKUP($G279,$B$4:$B$8,$F$4:$F$8),0),D282)))</f>
        <v>0</v>
      </c>
      <c r="G282" s="196">
        <f t="shared" ref="G282" ca="1" si="985">IF($I279="N",G281,IF($G279="1. In Flight",1,$G$4)*MIN(MAX($C281:$L281)*_xlfn.XLOOKUP($G279,$B$4:$B$8,$F$4:$F$8),MAX(IF(IFERROR(OFFSET(G281,0,_xlfn.XLOOKUP($G279,$B$4:$B$8,$C$4:$C$8)),0)=MAX($C281:$L281),_xlfn.MINIFS($C281:$L281,$C281:$L281,"&gt;0")*_xlfn.XLOOKUP($G279,$B$4:$B$8,$D$4:$D$8),IFERROR(OFFSET(G281,0,_xlfn.XLOOKUP($G279,$B$4:$B$8,$C$4:$C$8))*_xlfn.XLOOKUP($G279,$B$4:$B$8,$D$4:$D$8),0)),IFERROR(OFFSET(G281,0,_xlfn.XLOOKUP($G279,$B$4:$B$8,$E$4:$E$8))*_xlfn.XLOOKUP($G279,$B$4:$B$8,$F$4:$F$8),0),E282)))</f>
        <v>0</v>
      </c>
      <c r="H282" s="196">
        <f t="shared" ref="H282" ca="1" si="986">IF($I279="N",H281,IF($G279="1. In Flight",1,$G$4)*MIN(MAX($C281:$L281)*_xlfn.XLOOKUP($G279,$B$4:$B$8,$F$4:$F$8),MAX(IF(IFERROR(OFFSET(H281,0,_xlfn.XLOOKUP($G279,$B$4:$B$8,$C$4:$C$8)),0)=MAX($C281:$L281),_xlfn.MINIFS($C281:$L281,$C281:$L281,"&gt;0")*_xlfn.XLOOKUP($G279,$B$4:$B$8,$D$4:$D$8),IFERROR(OFFSET(H281,0,_xlfn.XLOOKUP($G279,$B$4:$B$8,$C$4:$C$8))*_xlfn.XLOOKUP($G279,$B$4:$B$8,$D$4:$D$8),0)),IFERROR(OFFSET(H281,0,_xlfn.XLOOKUP($G279,$B$4:$B$8,$E$4:$E$8))*_xlfn.XLOOKUP($G279,$B$4:$B$8,$F$4:$F$8),0),F282)))</f>
        <v>0</v>
      </c>
      <c r="I282" s="196">
        <f t="shared" ref="I282" ca="1" si="987">IF($I279="N",I281,IF($G279="1. In Flight",1,$G$4)*MIN(MAX($C281:$L281)*_xlfn.XLOOKUP($G279,$B$4:$B$8,$F$4:$F$8),MAX(IF(IFERROR(OFFSET(I281,0,_xlfn.XLOOKUP($G279,$B$4:$B$8,$C$4:$C$8)),0)=MAX($C281:$L281),_xlfn.MINIFS($C281:$L281,$C281:$L281,"&gt;0")*_xlfn.XLOOKUP($G279,$B$4:$B$8,$D$4:$D$8),IFERROR(OFFSET(I281,0,_xlfn.XLOOKUP($G279,$B$4:$B$8,$C$4:$C$8))*_xlfn.XLOOKUP($G279,$B$4:$B$8,$D$4:$D$8),0)),IFERROR(OFFSET(I281,0,_xlfn.XLOOKUP($G279,$B$4:$B$8,$E$4:$E$8))*_xlfn.XLOOKUP($G279,$B$4:$B$8,$F$4:$F$8),0),G282)))</f>
        <v>0</v>
      </c>
      <c r="J282" s="196">
        <f t="shared" ref="J282" ca="1" si="988">IF($I279="N",J281,IF($G279="1. In Flight",1,$G$4)*MIN(MAX($C281:$L281)*_xlfn.XLOOKUP($G279,$B$4:$B$8,$F$4:$F$8),MAX(IF(IFERROR(OFFSET(J281,0,_xlfn.XLOOKUP($G279,$B$4:$B$8,$C$4:$C$8)),0)=MAX($C281:$L281),_xlfn.MINIFS($C281:$L281,$C281:$L281,"&gt;0")*_xlfn.XLOOKUP($G279,$B$4:$B$8,$D$4:$D$8),IFERROR(OFFSET(J281,0,_xlfn.XLOOKUP($G279,$B$4:$B$8,$C$4:$C$8))*_xlfn.XLOOKUP($G279,$B$4:$B$8,$D$4:$D$8),0)),IFERROR(OFFSET(J281,0,_xlfn.XLOOKUP($G279,$B$4:$B$8,$E$4:$E$8))*_xlfn.XLOOKUP($G279,$B$4:$B$8,$F$4:$F$8),0),H282)))</f>
        <v>0</v>
      </c>
      <c r="K282" s="196">
        <f t="shared" ref="K282" ca="1" si="989">IF($I279="N",K281,IF($G279="1. In Flight",1,$G$4)*MIN(MAX($C281:$L281)*_xlfn.XLOOKUP($G279,$B$4:$B$8,$F$4:$F$8),MAX(IF(IFERROR(OFFSET(K281,0,_xlfn.XLOOKUP($G279,$B$4:$B$8,$C$4:$C$8)),0)=MAX($C281:$L281),_xlfn.MINIFS($C281:$L281,$C281:$L281,"&gt;0")*_xlfn.XLOOKUP($G279,$B$4:$B$8,$D$4:$D$8),IFERROR(OFFSET(K281,0,_xlfn.XLOOKUP($G279,$B$4:$B$8,$C$4:$C$8))*_xlfn.XLOOKUP($G279,$B$4:$B$8,$D$4:$D$8),0)),IFERROR(OFFSET(K281,0,_xlfn.XLOOKUP($G279,$B$4:$B$8,$E$4:$E$8))*_xlfn.XLOOKUP($G279,$B$4:$B$8,$F$4:$F$8),0),I282)))</f>
        <v>0</v>
      </c>
      <c r="L282" s="196">
        <f t="shared" ref="L282" ca="1" si="990">IF($I279="N",L281,IF($G279="1. In Flight",1,$G$4)*MIN(MAX($C281:$L281)*_xlfn.XLOOKUP($G279,$B$4:$B$8,$F$4:$F$8),MAX(IF(IFERROR(OFFSET(L281,0,_xlfn.XLOOKUP($G279,$B$4:$B$8,$C$4:$C$8)),0)=MAX($C281:$L281),_xlfn.MINIFS($C281:$L281,$C281:$L281,"&gt;0")*_xlfn.XLOOKUP($G279,$B$4:$B$8,$D$4:$D$8),IFERROR(OFFSET(L281,0,_xlfn.XLOOKUP($G279,$B$4:$B$8,$C$4:$C$8))*_xlfn.XLOOKUP($G279,$B$4:$B$8,$D$4:$D$8),0)),IFERROR(OFFSET(L281,0,_xlfn.XLOOKUP($G279,$B$4:$B$8,$E$4:$E$8))*_xlfn.XLOOKUP($G279,$B$4:$B$8,$F$4:$F$8),0),J282)))</f>
        <v>0</v>
      </c>
    </row>
    <row r="283" spans="1:12" ht="15" thickBot="1">
      <c r="A283" s="195" t="s">
        <v>108</v>
      </c>
      <c r="B283" s="196">
        <f>B281</f>
        <v>0</v>
      </c>
      <c r="C283" s="196">
        <f ca="1">IF($I279="N",C281,IF($G279="1. In Flight",1,$G$9)*MIN(MAX($C281:$L281)*_xlfn.XLOOKUP($G279,$B$9:$B$13,$F$9:$F$13),MAX(IF(IFERROR(OFFSET(C281,0,_xlfn.XLOOKUP($G279,$B$9:$B$13,$C$9:$C$13)),0)=MAX($C281:$L281),_xlfn.MINIFS($C281:$L281,$C281:$L281,"&gt;0")*_xlfn.XLOOKUP($G279,$B$9:$B$13,$D$9:$D$13),IFERROR(OFFSET(C281,0,_xlfn.XLOOKUP($G279,$B$9:$B$13,$C$9:$C$13))*_xlfn.XLOOKUP($G279,$B$9:$B$13,$D$9:$D$13),0)),IFERROR(OFFSET(C281,0,_xlfn.XLOOKUP($G279,$B$9:$B$13,$E$9:$E$13))*_xlfn.XLOOKUP($G279,$B$9:$B$13,$F$9:$F$13),0),A283)))</f>
        <v>0</v>
      </c>
      <c r="D283" s="196">
        <f t="shared" ref="D283" ca="1" si="991">IF($I279="N",D281,IF($G279="1. In Flight",1,$G$9)*MIN(MAX($C281:$L281)*_xlfn.XLOOKUP($G279,$B$9:$B$13,$F$9:$F$13),MAX(IF(IFERROR(OFFSET(D281,0,_xlfn.XLOOKUP($G279,$B$9:$B$13,$C$9:$C$13)),0)=MAX($C281:$L281),_xlfn.MINIFS($C281:$L281,$C281:$L281,"&gt;0")*_xlfn.XLOOKUP($G279,$B$9:$B$13,$D$9:$D$13),IFERROR(OFFSET(D281,0,_xlfn.XLOOKUP($G279,$B$9:$B$13,$C$9:$C$13))*_xlfn.XLOOKUP($G279,$B$9:$B$13,$D$9:$D$13),0)),IFERROR(OFFSET(D281,0,_xlfn.XLOOKUP($G279,$B$9:$B$13,$E$9:$E$13))*_xlfn.XLOOKUP($G279,$B$9:$B$13,$F$9:$F$13),0),B283)))</f>
        <v>0</v>
      </c>
      <c r="E283" s="196">
        <f t="shared" ref="E283" ca="1" si="992">IF($I279="N",E281,IF($G279="1. In Flight",1,$G$9)*MIN(MAX($C281:$L281)*_xlfn.XLOOKUP($G279,$B$9:$B$13,$F$9:$F$13),MAX(IF(IFERROR(OFFSET(E281,0,_xlfn.XLOOKUP($G279,$B$9:$B$13,$C$9:$C$13)),0)=MAX($C281:$L281),_xlfn.MINIFS($C281:$L281,$C281:$L281,"&gt;0")*_xlfn.XLOOKUP($G279,$B$9:$B$13,$D$9:$D$13),IFERROR(OFFSET(E281,0,_xlfn.XLOOKUP($G279,$B$9:$B$13,$C$9:$C$13))*_xlfn.XLOOKUP($G279,$B$9:$B$13,$D$9:$D$13),0)),IFERROR(OFFSET(E281,0,_xlfn.XLOOKUP($G279,$B$9:$B$13,$E$9:$E$13))*_xlfn.XLOOKUP($G279,$B$9:$B$13,$F$9:$F$13),0),C283)))</f>
        <v>0</v>
      </c>
      <c r="F283" s="196">
        <f t="shared" ref="F283" ca="1" si="993">IF($I279="N",F281,IF($G279="1. In Flight",1,$G$9)*MIN(MAX($C281:$L281)*_xlfn.XLOOKUP($G279,$B$9:$B$13,$F$9:$F$13),MAX(IF(IFERROR(OFFSET(F281,0,_xlfn.XLOOKUP($G279,$B$9:$B$13,$C$9:$C$13)),0)=MAX($C281:$L281),_xlfn.MINIFS($C281:$L281,$C281:$L281,"&gt;0")*_xlfn.XLOOKUP($G279,$B$9:$B$13,$D$9:$D$13),IFERROR(OFFSET(F281,0,_xlfn.XLOOKUP($G279,$B$9:$B$13,$C$9:$C$13))*_xlfn.XLOOKUP($G279,$B$9:$B$13,$D$9:$D$13),0)),IFERROR(OFFSET(F281,0,_xlfn.XLOOKUP($G279,$B$9:$B$13,$E$9:$E$13))*_xlfn.XLOOKUP($G279,$B$9:$B$13,$F$9:$F$13),0),D283)))</f>
        <v>0</v>
      </c>
      <c r="G283" s="196">
        <f t="shared" ref="G283" ca="1" si="994">IF($I279="N",G281,IF($G279="1. In Flight",1,$G$9)*MIN(MAX($C281:$L281)*_xlfn.XLOOKUP($G279,$B$9:$B$13,$F$9:$F$13),MAX(IF(IFERROR(OFFSET(G281,0,_xlfn.XLOOKUP($G279,$B$9:$B$13,$C$9:$C$13)),0)=MAX($C281:$L281),_xlfn.MINIFS($C281:$L281,$C281:$L281,"&gt;0")*_xlfn.XLOOKUP($G279,$B$9:$B$13,$D$9:$D$13),IFERROR(OFFSET(G281,0,_xlfn.XLOOKUP($G279,$B$9:$B$13,$C$9:$C$13))*_xlfn.XLOOKUP($G279,$B$9:$B$13,$D$9:$D$13),0)),IFERROR(OFFSET(G281,0,_xlfn.XLOOKUP($G279,$B$9:$B$13,$E$9:$E$13))*_xlfn.XLOOKUP($G279,$B$9:$B$13,$F$9:$F$13),0),E283)))</f>
        <v>0</v>
      </c>
      <c r="H283" s="196">
        <f t="shared" ref="H283" ca="1" si="995">IF($I279="N",H281,IF($G279="1. In Flight",1,$G$9)*MIN(MAX($C281:$L281)*_xlfn.XLOOKUP($G279,$B$9:$B$13,$F$9:$F$13),MAX(IF(IFERROR(OFFSET(H281,0,_xlfn.XLOOKUP($G279,$B$9:$B$13,$C$9:$C$13)),0)=MAX($C281:$L281),_xlfn.MINIFS($C281:$L281,$C281:$L281,"&gt;0")*_xlfn.XLOOKUP($G279,$B$9:$B$13,$D$9:$D$13),IFERROR(OFFSET(H281,0,_xlfn.XLOOKUP($G279,$B$9:$B$13,$C$9:$C$13))*_xlfn.XLOOKUP($G279,$B$9:$B$13,$D$9:$D$13),0)),IFERROR(OFFSET(H281,0,_xlfn.XLOOKUP($G279,$B$9:$B$13,$E$9:$E$13))*_xlfn.XLOOKUP($G279,$B$9:$B$13,$F$9:$F$13),0),F283)))</f>
        <v>0</v>
      </c>
      <c r="I283" s="196">
        <f t="shared" ref="I283" ca="1" si="996">IF($I279="N",I281,IF($G279="1. In Flight",1,$G$9)*MIN(MAX($C281:$L281)*_xlfn.XLOOKUP($G279,$B$9:$B$13,$F$9:$F$13),MAX(IF(IFERROR(OFFSET(I281,0,_xlfn.XLOOKUP($G279,$B$9:$B$13,$C$9:$C$13)),0)=MAX($C281:$L281),_xlfn.MINIFS($C281:$L281,$C281:$L281,"&gt;0")*_xlfn.XLOOKUP($G279,$B$9:$B$13,$D$9:$D$13),IFERROR(OFFSET(I281,0,_xlfn.XLOOKUP($G279,$B$9:$B$13,$C$9:$C$13))*_xlfn.XLOOKUP($G279,$B$9:$B$13,$D$9:$D$13),0)),IFERROR(OFFSET(I281,0,_xlfn.XLOOKUP($G279,$B$9:$B$13,$E$9:$E$13))*_xlfn.XLOOKUP($G279,$B$9:$B$13,$F$9:$F$13),0),G283)))</f>
        <v>0</v>
      </c>
      <c r="J283" s="196">
        <f t="shared" ref="J283" ca="1" si="997">IF($I279="N",J281,IF($G279="1. In Flight",1,$G$9)*MIN(MAX($C281:$L281)*_xlfn.XLOOKUP($G279,$B$9:$B$13,$F$9:$F$13),MAX(IF(IFERROR(OFFSET(J281,0,_xlfn.XLOOKUP($G279,$B$9:$B$13,$C$9:$C$13)),0)=MAX($C281:$L281),_xlfn.MINIFS($C281:$L281,$C281:$L281,"&gt;0")*_xlfn.XLOOKUP($G279,$B$9:$B$13,$D$9:$D$13),IFERROR(OFFSET(J281,0,_xlfn.XLOOKUP($G279,$B$9:$B$13,$C$9:$C$13))*_xlfn.XLOOKUP($G279,$B$9:$B$13,$D$9:$D$13),0)),IFERROR(OFFSET(J281,0,_xlfn.XLOOKUP($G279,$B$9:$B$13,$E$9:$E$13))*_xlfn.XLOOKUP($G279,$B$9:$B$13,$F$9:$F$13),0),H283)))</f>
        <v>0</v>
      </c>
      <c r="K283" s="196">
        <f t="shared" ref="K283" ca="1" si="998">IF($I279="N",K281,IF($G279="1. In Flight",1,$G$9)*MIN(MAX($C281:$L281)*_xlfn.XLOOKUP($G279,$B$9:$B$13,$F$9:$F$13),MAX(IF(IFERROR(OFFSET(K281,0,_xlfn.XLOOKUP($G279,$B$9:$B$13,$C$9:$C$13)),0)=MAX($C281:$L281),_xlfn.MINIFS($C281:$L281,$C281:$L281,"&gt;0")*_xlfn.XLOOKUP($G279,$B$9:$B$13,$D$9:$D$13),IFERROR(OFFSET(K281,0,_xlfn.XLOOKUP($G279,$B$9:$B$13,$C$9:$C$13))*_xlfn.XLOOKUP($G279,$B$9:$B$13,$D$9:$D$13),0)),IFERROR(OFFSET(K281,0,_xlfn.XLOOKUP($G279,$B$9:$B$13,$E$9:$E$13))*_xlfn.XLOOKUP($G279,$B$9:$B$13,$F$9:$F$13),0),I283)))</f>
        <v>0</v>
      </c>
      <c r="L283" s="196">
        <f t="shared" ref="L283" ca="1" si="999">IF($I279="N",L281,IF($G279="1. In Flight",1,$G$9)*MIN(MAX($C281:$L281)*_xlfn.XLOOKUP($G279,$B$9:$B$13,$F$9:$F$13),MAX(IF(IFERROR(OFFSET(L281,0,_xlfn.XLOOKUP($G279,$B$9:$B$13,$C$9:$C$13)),0)=MAX($C281:$L281),_xlfn.MINIFS($C281:$L281,$C281:$L281,"&gt;0")*_xlfn.XLOOKUP($G279,$B$9:$B$13,$D$9:$D$13),IFERROR(OFFSET(L281,0,_xlfn.XLOOKUP($G279,$B$9:$B$13,$C$9:$C$13))*_xlfn.XLOOKUP($G279,$B$9:$B$13,$D$9:$D$13),0)),IFERROR(OFFSET(L281,0,_xlfn.XLOOKUP($G279,$B$9:$B$13,$E$9:$E$13))*_xlfn.XLOOKUP($G279,$B$9:$B$13,$F$9:$F$13),0),J283)))</f>
        <v>0</v>
      </c>
    </row>
    <row r="284" spans="1:12" ht="15" thickBot="1">
      <c r="A284" s="197" t="s">
        <v>109</v>
      </c>
      <c r="B284" s="198">
        <f>B281</f>
        <v>0</v>
      </c>
      <c r="C284" s="198">
        <f ca="1">IF($I279="N",C281,IF($G279="1. In Flight",1,$G$14)*MIN(MAX($C281:$L281)*_xlfn.XLOOKUP($G279,$B$14:$B$18,$F$14:$F$18),MAX(IF(IFERROR(OFFSET(C281,0,_xlfn.XLOOKUP($G279,$B$14:$B$18,$C$14:$C$18)),0)=MAX($C281:$L281),_xlfn.MINIFS($C281:$L281,$C281:$L281,"&gt;0")*_xlfn.XLOOKUP($G279,$B$14:$B$18,$D$14:$D$18),IFERROR(OFFSET(C281,0,_xlfn.XLOOKUP($G279,$B$14:$B$18,$C$14:$C$18))*_xlfn.XLOOKUP($G279,$B$14:$B$18,$D$14:$D$18),0)),IFERROR(OFFSET(C281,0,_xlfn.XLOOKUP($G279,$B$14:$B$18,$E$14:$E$18))*_xlfn.XLOOKUP($G279,$B$14:$B$18,$F$14:$F$18),0),A284)))</f>
        <v>0</v>
      </c>
      <c r="D284" s="198">
        <f t="shared" ref="D284" ca="1" si="1000">IF($I279="N",D281,IF($G279="1. In Flight",1,$G$14)*MIN(MAX($C281:$L281)*_xlfn.XLOOKUP($G279,$B$14:$B$18,$F$14:$F$18),MAX(IF(IFERROR(OFFSET(D281,0,_xlfn.XLOOKUP($G279,$B$14:$B$18,$C$14:$C$18)),0)=MAX($C281:$L281),_xlfn.MINIFS($C281:$L281,$C281:$L281,"&gt;0")*_xlfn.XLOOKUP($G279,$B$14:$B$18,$D$14:$D$18),IFERROR(OFFSET(D281,0,_xlfn.XLOOKUP($G279,$B$14:$B$18,$C$14:$C$18))*_xlfn.XLOOKUP($G279,$B$14:$B$18,$D$14:$D$18),0)),IFERROR(OFFSET(D281,0,_xlfn.XLOOKUP($G279,$B$14:$B$18,$E$14:$E$18))*_xlfn.XLOOKUP($G279,$B$14:$B$18,$F$14:$F$18),0),B284)))</f>
        <v>0</v>
      </c>
      <c r="E284" s="198">
        <f t="shared" ref="E284" ca="1" si="1001">IF($I279="N",E281,IF($G279="1. In Flight",1,$G$14)*MIN(MAX($C281:$L281)*_xlfn.XLOOKUP($G279,$B$14:$B$18,$F$14:$F$18),MAX(IF(IFERROR(OFFSET(E281,0,_xlfn.XLOOKUP($G279,$B$14:$B$18,$C$14:$C$18)),0)=MAX($C281:$L281),_xlfn.MINIFS($C281:$L281,$C281:$L281,"&gt;0")*_xlfn.XLOOKUP($G279,$B$14:$B$18,$D$14:$D$18),IFERROR(OFFSET(E281,0,_xlfn.XLOOKUP($G279,$B$14:$B$18,$C$14:$C$18))*_xlfn.XLOOKUP($G279,$B$14:$B$18,$D$14:$D$18),0)),IFERROR(OFFSET(E281,0,_xlfn.XLOOKUP($G279,$B$14:$B$18,$E$14:$E$18))*_xlfn.XLOOKUP($G279,$B$14:$B$18,$F$14:$F$18),0),C284)))</f>
        <v>0</v>
      </c>
      <c r="F284" s="198">
        <f t="shared" ref="F284" ca="1" si="1002">IF($I279="N",F281,IF($G279="1. In Flight",1,$G$14)*MIN(MAX($C281:$L281)*_xlfn.XLOOKUP($G279,$B$14:$B$18,$F$14:$F$18),MAX(IF(IFERROR(OFFSET(F281,0,_xlfn.XLOOKUP($G279,$B$14:$B$18,$C$14:$C$18)),0)=MAX($C281:$L281),_xlfn.MINIFS($C281:$L281,$C281:$L281,"&gt;0")*_xlfn.XLOOKUP($G279,$B$14:$B$18,$D$14:$D$18),IFERROR(OFFSET(F281,0,_xlfn.XLOOKUP($G279,$B$14:$B$18,$C$14:$C$18))*_xlfn.XLOOKUP($G279,$B$14:$B$18,$D$14:$D$18),0)),IFERROR(OFFSET(F281,0,_xlfn.XLOOKUP($G279,$B$14:$B$18,$E$14:$E$18))*_xlfn.XLOOKUP($G279,$B$14:$B$18,$F$14:$F$18),0),D284)))</f>
        <v>0</v>
      </c>
      <c r="G284" s="198">
        <f t="shared" ref="G284" ca="1" si="1003">IF($I279="N",G281,IF($G279="1. In Flight",1,$G$14)*MIN(MAX($C281:$L281)*_xlfn.XLOOKUP($G279,$B$14:$B$18,$F$14:$F$18),MAX(IF(IFERROR(OFFSET(G281,0,_xlfn.XLOOKUP($G279,$B$14:$B$18,$C$14:$C$18)),0)=MAX($C281:$L281),_xlfn.MINIFS($C281:$L281,$C281:$L281,"&gt;0")*_xlfn.XLOOKUP($G279,$B$14:$B$18,$D$14:$D$18),IFERROR(OFFSET(G281,0,_xlfn.XLOOKUP($G279,$B$14:$B$18,$C$14:$C$18))*_xlfn.XLOOKUP($G279,$B$14:$B$18,$D$14:$D$18),0)),IFERROR(OFFSET(G281,0,_xlfn.XLOOKUP($G279,$B$14:$B$18,$E$14:$E$18))*_xlfn.XLOOKUP($G279,$B$14:$B$18,$F$14:$F$18),0),E284)))</f>
        <v>0</v>
      </c>
      <c r="H284" s="198">
        <f t="shared" ref="H284" ca="1" si="1004">IF($I279="N",H281,IF($G279="1. In Flight",1,$G$14)*MIN(MAX($C281:$L281)*_xlfn.XLOOKUP($G279,$B$14:$B$18,$F$14:$F$18),MAX(IF(IFERROR(OFFSET(H281,0,_xlfn.XLOOKUP($G279,$B$14:$B$18,$C$14:$C$18)),0)=MAX($C281:$L281),_xlfn.MINIFS($C281:$L281,$C281:$L281,"&gt;0")*_xlfn.XLOOKUP($G279,$B$14:$B$18,$D$14:$D$18),IFERROR(OFFSET(H281,0,_xlfn.XLOOKUP($G279,$B$14:$B$18,$C$14:$C$18))*_xlfn.XLOOKUP($G279,$B$14:$B$18,$D$14:$D$18),0)),IFERROR(OFFSET(H281,0,_xlfn.XLOOKUP($G279,$B$14:$B$18,$E$14:$E$18))*_xlfn.XLOOKUP($G279,$B$14:$B$18,$F$14:$F$18),0),F284)))</f>
        <v>0</v>
      </c>
      <c r="I284" s="198">
        <f t="shared" ref="I284" ca="1" si="1005">IF($I279="N",I281,IF($G279="1. In Flight",1,$G$14)*MIN(MAX($C281:$L281)*_xlfn.XLOOKUP($G279,$B$14:$B$18,$F$14:$F$18),MAX(IF(IFERROR(OFFSET(I281,0,_xlfn.XLOOKUP($G279,$B$14:$B$18,$C$14:$C$18)),0)=MAX($C281:$L281),_xlfn.MINIFS($C281:$L281,$C281:$L281,"&gt;0")*_xlfn.XLOOKUP($G279,$B$14:$B$18,$D$14:$D$18),IFERROR(OFFSET(I281,0,_xlfn.XLOOKUP($G279,$B$14:$B$18,$C$14:$C$18))*_xlfn.XLOOKUP($G279,$B$14:$B$18,$D$14:$D$18),0)),IFERROR(OFFSET(I281,0,_xlfn.XLOOKUP($G279,$B$14:$B$18,$E$14:$E$18))*_xlfn.XLOOKUP($G279,$B$14:$B$18,$F$14:$F$18),0),G284)))</f>
        <v>0</v>
      </c>
      <c r="J284" s="198">
        <f t="shared" ref="J284" ca="1" si="1006">IF($I279="N",J281,IF($G279="1. In Flight",1,$G$14)*MIN(MAX($C281:$L281)*_xlfn.XLOOKUP($G279,$B$14:$B$18,$F$14:$F$18),MAX(IF(IFERROR(OFFSET(J281,0,_xlfn.XLOOKUP($G279,$B$14:$B$18,$C$14:$C$18)),0)=MAX($C281:$L281),_xlfn.MINIFS($C281:$L281,$C281:$L281,"&gt;0")*_xlfn.XLOOKUP($G279,$B$14:$B$18,$D$14:$D$18),IFERROR(OFFSET(J281,0,_xlfn.XLOOKUP($G279,$B$14:$B$18,$C$14:$C$18))*_xlfn.XLOOKUP($G279,$B$14:$B$18,$D$14:$D$18),0)),IFERROR(OFFSET(J281,0,_xlfn.XLOOKUP($G279,$B$14:$B$18,$E$14:$E$18))*_xlfn.XLOOKUP($G279,$B$14:$B$18,$F$14:$F$18),0),H284)))</f>
        <v>0</v>
      </c>
      <c r="K284" s="198">
        <f t="shared" ref="K284" ca="1" si="1007">IF($I279="N",K281,IF($G279="1. In Flight",1,$G$14)*MIN(MAX($C281:$L281)*_xlfn.XLOOKUP($G279,$B$14:$B$18,$F$14:$F$18),MAX(IF(IFERROR(OFFSET(K281,0,_xlfn.XLOOKUP($G279,$B$14:$B$18,$C$14:$C$18)),0)=MAX($C281:$L281),_xlfn.MINIFS($C281:$L281,$C281:$L281,"&gt;0")*_xlfn.XLOOKUP($G279,$B$14:$B$18,$D$14:$D$18),IFERROR(OFFSET(K281,0,_xlfn.XLOOKUP($G279,$B$14:$B$18,$C$14:$C$18))*_xlfn.XLOOKUP($G279,$B$14:$B$18,$D$14:$D$18),0)),IFERROR(OFFSET(K281,0,_xlfn.XLOOKUP($G279,$B$14:$B$18,$E$14:$E$18))*_xlfn.XLOOKUP($G279,$B$14:$B$18,$F$14:$F$18),0),I284)))</f>
        <v>0</v>
      </c>
      <c r="L284" s="198">
        <f t="shared" ref="L284" ca="1" si="1008">IF($I279="N",L281,IF($G279="1. In Flight",1,$G$14)*MIN(MAX($C281:$L281)*_xlfn.XLOOKUP($G279,$B$14:$B$18,$F$14:$F$18),MAX(IF(IFERROR(OFFSET(L281,0,_xlfn.XLOOKUP($G279,$B$14:$B$18,$C$14:$C$18)),0)=MAX($C281:$L281),_xlfn.MINIFS($C281:$L281,$C281:$L281,"&gt;0")*_xlfn.XLOOKUP($G279,$B$14:$B$18,$D$14:$D$18),IFERROR(OFFSET(L281,0,_xlfn.XLOOKUP($G279,$B$14:$B$18,$C$14:$C$18))*_xlfn.XLOOKUP($G279,$B$14:$B$18,$D$14:$D$18),0)),IFERROR(OFFSET(L281,0,_xlfn.XLOOKUP($G279,$B$14:$B$18,$E$14:$E$18))*_xlfn.XLOOKUP($G279,$B$14:$B$18,$F$14:$F$18),0),J284)))</f>
        <v>0</v>
      </c>
    </row>
    <row r="285" spans="1:12" ht="15" thickTop="1"/>
    <row r="286" spans="1:12" ht="15" thickBot="1">
      <c r="A286" s="231">
        <f>_xlfn.XLOOKUP(F286,FEED!D:D,FEED!E:E,FALSE)</f>
        <v>0</v>
      </c>
      <c r="B286" s="232"/>
      <c r="C286" s="188"/>
      <c r="D286" s="200" t="s">
        <v>127</v>
      </c>
      <c r="E286" s="189" t="s">
        <v>123</v>
      </c>
      <c r="F286" s="189" t="s">
        <v>64</v>
      </c>
      <c r="G286" s="189" t="str">
        <f>IFERROR(_xlfn.XLOOKUP(F286,FEED!$D:$D,FEED!$S:$S),$B$8)</f>
        <v>2. High</v>
      </c>
      <c r="H286" s="189" t="str">
        <f>IFERROR(_xlfn.XLOOKUP(F286,FEED!$D:$D,FEED!$Y:$Y),"Major Load")</f>
        <v>Data Centre</v>
      </c>
      <c r="I286" s="189" t="str">
        <f>IFERROR(_xlfn.XLOOKUP(F286,FEED!$D:$D,FEED!$C:$C),"N")</f>
        <v>Y</v>
      </c>
      <c r="J286" s="190"/>
      <c r="K286" s="190"/>
      <c r="L286" s="190"/>
    </row>
    <row r="287" spans="1:12" ht="15" thickBot="1">
      <c r="A287" s="191" t="str">
        <f>A259</f>
        <v>Uptake Scenario</v>
      </c>
      <c r="B287" s="192">
        <f>B280</f>
        <v>2023</v>
      </c>
      <c r="C287" s="192">
        <f t="shared" ref="C287:L287" si="1009">C280</f>
        <v>2024</v>
      </c>
      <c r="D287" s="192">
        <f t="shared" si="1009"/>
        <v>2025</v>
      </c>
      <c r="E287" s="192">
        <f t="shared" si="1009"/>
        <v>2026</v>
      </c>
      <c r="F287" s="192">
        <f t="shared" si="1009"/>
        <v>2027</v>
      </c>
      <c r="G287" s="192">
        <f t="shared" si="1009"/>
        <v>2028</v>
      </c>
      <c r="H287" s="192">
        <f t="shared" si="1009"/>
        <v>2029</v>
      </c>
      <c r="I287" s="192">
        <f t="shared" si="1009"/>
        <v>2030</v>
      </c>
      <c r="J287" s="192">
        <f t="shared" si="1009"/>
        <v>2031</v>
      </c>
      <c r="K287" s="192">
        <f t="shared" si="1009"/>
        <v>2032</v>
      </c>
      <c r="L287" s="192">
        <f t="shared" si="1009"/>
        <v>2033</v>
      </c>
    </row>
    <row r="288" spans="1:12" ht="15.6" thickTop="1" thickBot="1">
      <c r="A288" s="193" t="s">
        <v>111</v>
      </c>
      <c r="B288" s="194">
        <v>0</v>
      </c>
      <c r="C288" s="194">
        <f>SUMIF(FEED!$D:$D,$F286,FEED!F:F)+B288</f>
        <v>0</v>
      </c>
      <c r="D288" s="194">
        <f>SUMIF(FEED!$D:$D,$F286,FEED!G:G)+C288</f>
        <v>0</v>
      </c>
      <c r="E288" s="194">
        <f>SUMIF(FEED!$D:$D,$F286,FEED!H:H)+D288</f>
        <v>0</v>
      </c>
      <c r="F288" s="194">
        <f>SUMIF(FEED!$D:$D,$F286,FEED!I:I)+E288</f>
        <v>0</v>
      </c>
      <c r="G288" s="194">
        <f>SUMIF(FEED!$D:$D,$F286,FEED!J:J)+F288</f>
        <v>0</v>
      </c>
      <c r="H288" s="194">
        <f>SUMIF(FEED!$D:$D,$F286,FEED!K:K)+G288</f>
        <v>0</v>
      </c>
      <c r="I288" s="194">
        <f>SUMIF(FEED!$D:$D,$F286,FEED!L:L)+H288</f>
        <v>0</v>
      </c>
      <c r="J288" s="194">
        <f>SUMIF(FEED!$D:$D,$F286,FEED!M:M)+I288</f>
        <v>8.7751182333398461</v>
      </c>
      <c r="K288" s="194">
        <f>SUMIF(FEED!$D:$D,$F286,FEED!N:N)+J288</f>
        <v>12.503332519054133</v>
      </c>
      <c r="L288" s="194">
        <f>SUMIF(FEED!$D:$D,$F286,FEED!O:O)+K288</f>
        <v>15.271903947625564</v>
      </c>
    </row>
    <row r="289" spans="1:12" ht="15" thickBot="1">
      <c r="A289" s="195" t="s">
        <v>107</v>
      </c>
      <c r="B289" s="196">
        <f>B288</f>
        <v>0</v>
      </c>
      <c r="C289" s="196">
        <f ca="1">IF($I286="N",C288,IF($G286="1. In Flight",1,$G$4)*MIN(MAX($C288:$L288)*_xlfn.XLOOKUP($G286,$B$4:$B$8,$F$4:$F$8),MAX(IF(IFERROR(OFFSET(C288,0,_xlfn.XLOOKUP($G286,$B$4:$B$8,$C$4:$C$8)),0)=MAX($C288:$L288),_xlfn.MINIFS($C288:$L288,$C288:$L288,"&gt;0")*_xlfn.XLOOKUP($G286,$B$4:$B$8,$D$4:$D$8),IFERROR(OFFSET(C288,0,_xlfn.XLOOKUP($G286,$B$4:$B$8,$C$4:$C$8))*_xlfn.XLOOKUP($G286,$B$4:$B$8,$D$4:$D$8),0)),IFERROR(OFFSET(C288,0,_xlfn.XLOOKUP($G286,$B$4:$B$8,$E$4:$E$8))*_xlfn.XLOOKUP($G286,$B$4:$B$8,$F$4:$F$8),0),A289)))</f>
        <v>0</v>
      </c>
      <c r="D289" s="196">
        <f t="shared" ref="D289" ca="1" si="1010">IF($I286="N",D288,IF($G286="1. In Flight",1,$G$4)*MIN(MAX($C288:$L288)*_xlfn.XLOOKUP($G286,$B$4:$B$8,$F$4:$F$8),MAX(IF(IFERROR(OFFSET(D288,0,_xlfn.XLOOKUP($G286,$B$4:$B$8,$C$4:$C$8)),0)=MAX($C288:$L288),_xlfn.MINIFS($C288:$L288,$C288:$L288,"&gt;0")*_xlfn.XLOOKUP($G286,$B$4:$B$8,$D$4:$D$8),IFERROR(OFFSET(D288,0,_xlfn.XLOOKUP($G286,$B$4:$B$8,$C$4:$C$8))*_xlfn.XLOOKUP($G286,$B$4:$B$8,$D$4:$D$8),0)),IFERROR(OFFSET(D288,0,_xlfn.XLOOKUP($G286,$B$4:$B$8,$E$4:$E$8))*_xlfn.XLOOKUP($G286,$B$4:$B$8,$F$4:$F$8),0),B289)))</f>
        <v>0</v>
      </c>
      <c r="E289" s="196">
        <f t="shared" ref="E289" ca="1" si="1011">IF($I286="N",E288,IF($G286="1. In Flight",1,$G$4)*MIN(MAX($C288:$L288)*_xlfn.XLOOKUP($G286,$B$4:$B$8,$F$4:$F$8),MAX(IF(IFERROR(OFFSET(E288,0,_xlfn.XLOOKUP($G286,$B$4:$B$8,$C$4:$C$8)),0)=MAX($C288:$L288),_xlfn.MINIFS($C288:$L288,$C288:$L288,"&gt;0")*_xlfn.XLOOKUP($G286,$B$4:$B$8,$D$4:$D$8),IFERROR(OFFSET(E288,0,_xlfn.XLOOKUP($G286,$B$4:$B$8,$C$4:$C$8))*_xlfn.XLOOKUP($G286,$B$4:$B$8,$D$4:$D$8),0)),IFERROR(OFFSET(E288,0,_xlfn.XLOOKUP($G286,$B$4:$B$8,$E$4:$E$8))*_xlfn.XLOOKUP($G286,$B$4:$B$8,$F$4:$F$8),0),C289)))</f>
        <v>0</v>
      </c>
      <c r="F289" s="196">
        <f t="shared" ref="F289" ca="1" si="1012">IF($I286="N",F288,IF($G286="1. In Flight",1,$G$4)*MIN(MAX($C288:$L288)*_xlfn.XLOOKUP($G286,$B$4:$B$8,$F$4:$F$8),MAX(IF(IFERROR(OFFSET(F288,0,_xlfn.XLOOKUP($G286,$B$4:$B$8,$C$4:$C$8)),0)=MAX($C288:$L288),_xlfn.MINIFS($C288:$L288,$C288:$L288,"&gt;0")*_xlfn.XLOOKUP($G286,$B$4:$B$8,$D$4:$D$8),IFERROR(OFFSET(F288,0,_xlfn.XLOOKUP($G286,$B$4:$B$8,$C$4:$C$8))*_xlfn.XLOOKUP($G286,$B$4:$B$8,$D$4:$D$8),0)),IFERROR(OFFSET(F288,0,_xlfn.XLOOKUP($G286,$B$4:$B$8,$E$4:$E$8))*_xlfn.XLOOKUP($G286,$B$4:$B$8,$F$4:$F$8),0),D289)))</f>
        <v>0</v>
      </c>
      <c r="G289" s="196">
        <f t="shared" ref="G289" ca="1" si="1013">IF($I286="N",G288,IF($G286="1. In Flight",1,$G$4)*MIN(MAX($C288:$L288)*_xlfn.XLOOKUP($G286,$B$4:$B$8,$F$4:$F$8),MAX(IF(IFERROR(OFFSET(G288,0,_xlfn.XLOOKUP($G286,$B$4:$B$8,$C$4:$C$8)),0)=MAX($C288:$L288),_xlfn.MINIFS($C288:$L288,$C288:$L288,"&gt;0")*_xlfn.XLOOKUP($G286,$B$4:$B$8,$D$4:$D$8),IFERROR(OFFSET(G288,0,_xlfn.XLOOKUP($G286,$B$4:$B$8,$C$4:$C$8))*_xlfn.XLOOKUP($G286,$B$4:$B$8,$D$4:$D$8),0)),IFERROR(OFFSET(G288,0,_xlfn.XLOOKUP($G286,$B$4:$B$8,$E$4:$E$8))*_xlfn.XLOOKUP($G286,$B$4:$B$8,$F$4:$F$8),0),E289)))</f>
        <v>0</v>
      </c>
      <c r="H289" s="196">
        <f t="shared" ref="H289" ca="1" si="1014">IF($I286="N",H288,IF($G286="1. In Flight",1,$G$4)*MIN(MAX($C288:$L288)*_xlfn.XLOOKUP($G286,$B$4:$B$8,$F$4:$F$8),MAX(IF(IFERROR(OFFSET(H288,0,_xlfn.XLOOKUP($G286,$B$4:$B$8,$C$4:$C$8)),0)=MAX($C288:$L288),_xlfn.MINIFS($C288:$L288,$C288:$L288,"&gt;0")*_xlfn.XLOOKUP($G286,$B$4:$B$8,$D$4:$D$8),IFERROR(OFFSET(H288,0,_xlfn.XLOOKUP($G286,$B$4:$B$8,$C$4:$C$8))*_xlfn.XLOOKUP($G286,$B$4:$B$8,$D$4:$D$8),0)),IFERROR(OFFSET(H288,0,_xlfn.XLOOKUP($G286,$B$4:$B$8,$E$4:$E$8))*_xlfn.XLOOKUP($G286,$B$4:$B$8,$F$4:$F$8),0),F289)))</f>
        <v>0</v>
      </c>
      <c r="I289" s="196">
        <f t="shared" ref="I289" ca="1" si="1015">IF($I286="N",I288,IF($G286="1. In Flight",1,$G$4)*MIN(MAX($C288:$L288)*_xlfn.XLOOKUP($G286,$B$4:$B$8,$F$4:$F$8),MAX(IF(IFERROR(OFFSET(I288,0,_xlfn.XLOOKUP($G286,$B$4:$B$8,$C$4:$C$8)),0)=MAX($C288:$L288),_xlfn.MINIFS($C288:$L288,$C288:$L288,"&gt;0")*_xlfn.XLOOKUP($G286,$B$4:$B$8,$D$4:$D$8),IFERROR(OFFSET(I288,0,_xlfn.XLOOKUP($G286,$B$4:$B$8,$C$4:$C$8))*_xlfn.XLOOKUP($G286,$B$4:$B$8,$D$4:$D$8),0)),IFERROR(OFFSET(I288,0,_xlfn.XLOOKUP($G286,$B$4:$B$8,$E$4:$E$8))*_xlfn.XLOOKUP($G286,$B$4:$B$8,$F$4:$F$8),0),G289)))</f>
        <v>0</v>
      </c>
      <c r="J289" s="196">
        <f t="shared" ref="J289" ca="1" si="1016">IF($I286="N",J288,IF($G286="1. In Flight",1,$G$4)*MIN(MAX($C288:$L288)*_xlfn.XLOOKUP($G286,$B$4:$B$8,$F$4:$F$8),MAX(IF(IFERROR(OFFSET(J288,0,_xlfn.XLOOKUP($G286,$B$4:$B$8,$C$4:$C$8)),0)=MAX($C288:$L288),_xlfn.MINIFS($C288:$L288,$C288:$L288,"&gt;0")*_xlfn.XLOOKUP($G286,$B$4:$B$8,$D$4:$D$8),IFERROR(OFFSET(J288,0,_xlfn.XLOOKUP($G286,$B$4:$B$8,$C$4:$C$8))*_xlfn.XLOOKUP($G286,$B$4:$B$8,$D$4:$D$8),0)),IFERROR(OFFSET(J288,0,_xlfn.XLOOKUP($G286,$B$4:$B$8,$E$4:$E$8))*_xlfn.XLOOKUP($G286,$B$4:$B$8,$F$4:$F$8),0),H289)))</f>
        <v>0</v>
      </c>
      <c r="K289" s="196">
        <f t="shared" ref="K289" ca="1" si="1017">IF($I286="N",K288,IF($G286="1. In Flight",1,$G$4)*MIN(MAX($C288:$L288)*_xlfn.XLOOKUP($G286,$B$4:$B$8,$F$4:$F$8),MAX(IF(IFERROR(OFFSET(K288,0,_xlfn.XLOOKUP($G286,$B$4:$B$8,$C$4:$C$8)),0)=MAX($C288:$L288),_xlfn.MINIFS($C288:$L288,$C288:$L288,"&gt;0")*_xlfn.XLOOKUP($G286,$B$4:$B$8,$D$4:$D$8),IFERROR(OFFSET(K288,0,_xlfn.XLOOKUP($G286,$B$4:$B$8,$C$4:$C$8))*_xlfn.XLOOKUP($G286,$B$4:$B$8,$D$4:$D$8),0)),IFERROR(OFFSET(K288,0,_xlfn.XLOOKUP($G286,$B$4:$B$8,$E$4:$E$8))*_xlfn.XLOOKUP($G286,$B$4:$B$8,$F$4:$F$8),0),I289)))</f>
        <v>0</v>
      </c>
      <c r="L289" s="196">
        <f t="shared" ref="L289" ca="1" si="1018">IF($I286="N",L288,IF($G286="1. In Flight",1,$G$4)*MIN(MAX($C288:$L288)*_xlfn.XLOOKUP($G286,$B$4:$B$8,$F$4:$F$8),MAX(IF(IFERROR(OFFSET(L288,0,_xlfn.XLOOKUP($G286,$B$4:$B$8,$C$4:$C$8)),0)=MAX($C288:$L288),_xlfn.MINIFS($C288:$L288,$C288:$L288,"&gt;0")*_xlfn.XLOOKUP($G286,$B$4:$B$8,$D$4:$D$8),IFERROR(OFFSET(L288,0,_xlfn.XLOOKUP($G286,$B$4:$B$8,$C$4:$C$8))*_xlfn.XLOOKUP($G286,$B$4:$B$8,$D$4:$D$8),0)),IFERROR(OFFSET(L288,0,_xlfn.XLOOKUP($G286,$B$4:$B$8,$E$4:$E$8))*_xlfn.XLOOKUP($G286,$B$4:$B$8,$F$4:$F$8),0),J289)))</f>
        <v>4.2998079343365241</v>
      </c>
    </row>
    <row r="290" spans="1:12" ht="15" thickBot="1">
      <c r="A290" s="195" t="s">
        <v>108</v>
      </c>
      <c r="B290" s="196">
        <f>B288</f>
        <v>0</v>
      </c>
      <c r="C290" s="196">
        <f ca="1">IF($I286="N",C288,IF($G286="1. In Flight",1,$G$9)*MIN(MAX($C288:$L288)*_xlfn.XLOOKUP($G286,$B$9:$B$13,$F$9:$F$13),MAX(IF(IFERROR(OFFSET(C288,0,_xlfn.XLOOKUP($G286,$B$9:$B$13,$C$9:$C$13)),0)=MAX($C288:$L288),_xlfn.MINIFS($C288:$L288,$C288:$L288,"&gt;0")*_xlfn.XLOOKUP($G286,$B$9:$B$13,$D$9:$D$13),IFERROR(OFFSET(C288,0,_xlfn.XLOOKUP($G286,$B$9:$B$13,$C$9:$C$13))*_xlfn.XLOOKUP($G286,$B$9:$B$13,$D$9:$D$13),0)),IFERROR(OFFSET(C288,0,_xlfn.XLOOKUP($G286,$B$9:$B$13,$E$9:$E$13))*_xlfn.XLOOKUP($G286,$B$9:$B$13,$F$9:$F$13),0),A290)))</f>
        <v>0</v>
      </c>
      <c r="D290" s="196">
        <f t="shared" ref="D290" ca="1" si="1019">IF($I286="N",D288,IF($G286="1. In Flight",1,$G$9)*MIN(MAX($C288:$L288)*_xlfn.XLOOKUP($G286,$B$9:$B$13,$F$9:$F$13),MAX(IF(IFERROR(OFFSET(D288,0,_xlfn.XLOOKUP($G286,$B$9:$B$13,$C$9:$C$13)),0)=MAX($C288:$L288),_xlfn.MINIFS($C288:$L288,$C288:$L288,"&gt;0")*_xlfn.XLOOKUP($G286,$B$9:$B$13,$D$9:$D$13),IFERROR(OFFSET(D288,0,_xlfn.XLOOKUP($G286,$B$9:$B$13,$C$9:$C$13))*_xlfn.XLOOKUP($G286,$B$9:$B$13,$D$9:$D$13),0)),IFERROR(OFFSET(D288,0,_xlfn.XLOOKUP($G286,$B$9:$B$13,$E$9:$E$13))*_xlfn.XLOOKUP($G286,$B$9:$B$13,$F$9:$F$13),0),B290)))</f>
        <v>0</v>
      </c>
      <c r="E290" s="196">
        <f t="shared" ref="E290" ca="1" si="1020">IF($I286="N",E288,IF($G286="1. In Flight",1,$G$9)*MIN(MAX($C288:$L288)*_xlfn.XLOOKUP($G286,$B$9:$B$13,$F$9:$F$13),MAX(IF(IFERROR(OFFSET(E288,0,_xlfn.XLOOKUP($G286,$B$9:$B$13,$C$9:$C$13)),0)=MAX($C288:$L288),_xlfn.MINIFS($C288:$L288,$C288:$L288,"&gt;0")*_xlfn.XLOOKUP($G286,$B$9:$B$13,$D$9:$D$13),IFERROR(OFFSET(E288,0,_xlfn.XLOOKUP($G286,$B$9:$B$13,$C$9:$C$13))*_xlfn.XLOOKUP($G286,$B$9:$B$13,$D$9:$D$13),0)),IFERROR(OFFSET(E288,0,_xlfn.XLOOKUP($G286,$B$9:$B$13,$E$9:$E$13))*_xlfn.XLOOKUP($G286,$B$9:$B$13,$F$9:$F$13),0),C290)))</f>
        <v>0</v>
      </c>
      <c r="F290" s="196">
        <f t="shared" ref="F290" ca="1" si="1021">IF($I286="N",F288,IF($G286="1. In Flight",1,$G$9)*MIN(MAX($C288:$L288)*_xlfn.XLOOKUP($G286,$B$9:$B$13,$F$9:$F$13),MAX(IF(IFERROR(OFFSET(F288,0,_xlfn.XLOOKUP($G286,$B$9:$B$13,$C$9:$C$13)),0)=MAX($C288:$L288),_xlfn.MINIFS($C288:$L288,$C288:$L288,"&gt;0")*_xlfn.XLOOKUP($G286,$B$9:$B$13,$D$9:$D$13),IFERROR(OFFSET(F288,0,_xlfn.XLOOKUP($G286,$B$9:$B$13,$C$9:$C$13))*_xlfn.XLOOKUP($G286,$B$9:$B$13,$D$9:$D$13),0)),IFERROR(OFFSET(F288,0,_xlfn.XLOOKUP($G286,$B$9:$B$13,$E$9:$E$13))*_xlfn.XLOOKUP($G286,$B$9:$B$13,$F$9:$F$13),0),D290)))</f>
        <v>0</v>
      </c>
      <c r="G290" s="196">
        <f t="shared" ref="G290" ca="1" si="1022">IF($I286="N",G288,IF($G286="1. In Flight",1,$G$9)*MIN(MAX($C288:$L288)*_xlfn.XLOOKUP($G286,$B$9:$B$13,$F$9:$F$13),MAX(IF(IFERROR(OFFSET(G288,0,_xlfn.XLOOKUP($G286,$B$9:$B$13,$C$9:$C$13)),0)=MAX($C288:$L288),_xlfn.MINIFS($C288:$L288,$C288:$L288,"&gt;0")*_xlfn.XLOOKUP($G286,$B$9:$B$13,$D$9:$D$13),IFERROR(OFFSET(G288,0,_xlfn.XLOOKUP($G286,$B$9:$B$13,$C$9:$C$13))*_xlfn.XLOOKUP($G286,$B$9:$B$13,$D$9:$D$13),0)),IFERROR(OFFSET(G288,0,_xlfn.XLOOKUP($G286,$B$9:$B$13,$E$9:$E$13))*_xlfn.XLOOKUP($G286,$B$9:$B$13,$F$9:$F$13),0),E290)))</f>
        <v>0</v>
      </c>
      <c r="H290" s="196">
        <f t="shared" ref="H290" ca="1" si="1023">IF($I286="N",H288,IF($G286="1. In Flight",1,$G$9)*MIN(MAX($C288:$L288)*_xlfn.XLOOKUP($G286,$B$9:$B$13,$F$9:$F$13),MAX(IF(IFERROR(OFFSET(H288,0,_xlfn.XLOOKUP($G286,$B$9:$B$13,$C$9:$C$13)),0)=MAX($C288:$L288),_xlfn.MINIFS($C288:$L288,$C288:$L288,"&gt;0")*_xlfn.XLOOKUP($G286,$B$9:$B$13,$D$9:$D$13),IFERROR(OFFSET(H288,0,_xlfn.XLOOKUP($G286,$B$9:$B$13,$C$9:$C$13))*_xlfn.XLOOKUP($G286,$B$9:$B$13,$D$9:$D$13),0)),IFERROR(OFFSET(H288,0,_xlfn.XLOOKUP($G286,$B$9:$B$13,$E$9:$E$13))*_xlfn.XLOOKUP($G286,$B$9:$B$13,$F$9:$F$13),0),F290)))</f>
        <v>0</v>
      </c>
      <c r="I290" s="196">
        <f t="shared" ref="I290" ca="1" si="1024">IF($I286="N",I288,IF($G286="1. In Flight",1,$G$9)*MIN(MAX($C288:$L288)*_xlfn.XLOOKUP($G286,$B$9:$B$13,$F$9:$F$13),MAX(IF(IFERROR(OFFSET(I288,0,_xlfn.XLOOKUP($G286,$B$9:$B$13,$C$9:$C$13)),0)=MAX($C288:$L288),_xlfn.MINIFS($C288:$L288,$C288:$L288,"&gt;0")*_xlfn.XLOOKUP($G286,$B$9:$B$13,$D$9:$D$13),IFERROR(OFFSET(I288,0,_xlfn.XLOOKUP($G286,$B$9:$B$13,$C$9:$C$13))*_xlfn.XLOOKUP($G286,$B$9:$B$13,$D$9:$D$13),0)),IFERROR(OFFSET(I288,0,_xlfn.XLOOKUP($G286,$B$9:$B$13,$E$9:$E$13))*_xlfn.XLOOKUP($G286,$B$9:$B$13,$F$9:$F$13),0),G290)))</f>
        <v>0</v>
      </c>
      <c r="J290" s="196">
        <f t="shared" ref="J290" ca="1" si="1025">IF($I286="N",J288,IF($G286="1. In Flight",1,$G$9)*MIN(MAX($C288:$L288)*_xlfn.XLOOKUP($G286,$B$9:$B$13,$F$9:$F$13),MAX(IF(IFERROR(OFFSET(J288,0,_xlfn.XLOOKUP($G286,$B$9:$B$13,$C$9:$C$13)),0)=MAX($C288:$L288),_xlfn.MINIFS($C288:$L288,$C288:$L288,"&gt;0")*_xlfn.XLOOKUP($G286,$B$9:$B$13,$D$9:$D$13),IFERROR(OFFSET(J288,0,_xlfn.XLOOKUP($G286,$B$9:$B$13,$C$9:$C$13))*_xlfn.XLOOKUP($G286,$B$9:$B$13,$D$9:$D$13),0)),IFERROR(OFFSET(J288,0,_xlfn.XLOOKUP($G286,$B$9:$B$13,$E$9:$E$13))*_xlfn.XLOOKUP($G286,$B$9:$B$13,$F$9:$F$13),0),H290)))</f>
        <v>0</v>
      </c>
      <c r="K290" s="196">
        <f t="shared" ref="K290" ca="1" si="1026">IF($I286="N",K288,IF($G286="1. In Flight",1,$G$9)*MIN(MAX($C288:$L288)*_xlfn.XLOOKUP($G286,$B$9:$B$13,$F$9:$F$13),MAX(IF(IFERROR(OFFSET(K288,0,_xlfn.XLOOKUP($G286,$B$9:$B$13,$C$9:$C$13)),0)=MAX($C288:$L288),_xlfn.MINIFS($C288:$L288,$C288:$L288,"&gt;0")*_xlfn.XLOOKUP($G286,$B$9:$B$13,$D$9:$D$13),IFERROR(OFFSET(K288,0,_xlfn.XLOOKUP($G286,$B$9:$B$13,$C$9:$C$13))*_xlfn.XLOOKUP($G286,$B$9:$B$13,$D$9:$D$13),0)),IFERROR(OFFSET(K288,0,_xlfn.XLOOKUP($G286,$B$9:$B$13,$E$9:$E$13))*_xlfn.XLOOKUP($G286,$B$9:$B$13,$F$9:$F$13),0),I290)))</f>
        <v>0</v>
      </c>
      <c r="L290" s="196">
        <f t="shared" ref="L290" ca="1" si="1027">IF($I286="N",L288,IF($G286="1. In Flight",1,$G$9)*MIN(MAX($C288:$L288)*_xlfn.XLOOKUP($G286,$B$9:$B$13,$F$9:$F$13),MAX(IF(IFERROR(OFFSET(L288,0,_xlfn.XLOOKUP($G286,$B$9:$B$13,$C$9:$C$13)),0)=MAX($C288:$L288),_xlfn.MINIFS($C288:$L288,$C288:$L288,"&gt;0")*_xlfn.XLOOKUP($G286,$B$9:$B$13,$D$9:$D$13),IFERROR(OFFSET(L288,0,_xlfn.XLOOKUP($G286,$B$9:$B$13,$C$9:$C$13))*_xlfn.XLOOKUP($G286,$B$9:$B$13,$D$9:$D$13),0)),IFERROR(OFFSET(L288,0,_xlfn.XLOOKUP($G286,$B$9:$B$13,$E$9:$E$13))*_xlfn.XLOOKUP($G286,$B$9:$B$13,$F$9:$F$13),0),J290)))</f>
        <v>0</v>
      </c>
    </row>
    <row r="291" spans="1:12" ht="15" thickBot="1">
      <c r="A291" s="197" t="s">
        <v>109</v>
      </c>
      <c r="B291" s="198">
        <f>B288</f>
        <v>0</v>
      </c>
      <c r="C291" s="198">
        <f ca="1">IF($I286="N",C288,IF($G286="1. In Flight",1,$G$14)*MIN(MAX($C288:$L288)*_xlfn.XLOOKUP($G286,$B$14:$B$18,$F$14:$F$18),MAX(IF(IFERROR(OFFSET(C288,0,_xlfn.XLOOKUP($G286,$B$14:$B$18,$C$14:$C$18)),0)=MAX($C288:$L288),_xlfn.MINIFS($C288:$L288,$C288:$L288,"&gt;0")*_xlfn.XLOOKUP($G286,$B$14:$B$18,$D$14:$D$18),IFERROR(OFFSET(C288,0,_xlfn.XLOOKUP($G286,$B$14:$B$18,$C$14:$C$18))*_xlfn.XLOOKUP($G286,$B$14:$B$18,$D$14:$D$18),0)),IFERROR(OFFSET(C288,0,_xlfn.XLOOKUP($G286,$B$14:$B$18,$E$14:$E$18))*_xlfn.XLOOKUP($G286,$B$14:$B$18,$F$14:$F$18),0),A291)))</f>
        <v>0</v>
      </c>
      <c r="D291" s="198">
        <f t="shared" ref="D291" ca="1" si="1028">IF($I286="N",D288,IF($G286="1. In Flight",1,$G$14)*MIN(MAX($C288:$L288)*_xlfn.XLOOKUP($G286,$B$14:$B$18,$F$14:$F$18),MAX(IF(IFERROR(OFFSET(D288,0,_xlfn.XLOOKUP($G286,$B$14:$B$18,$C$14:$C$18)),0)=MAX($C288:$L288),_xlfn.MINIFS($C288:$L288,$C288:$L288,"&gt;0")*_xlfn.XLOOKUP($G286,$B$14:$B$18,$D$14:$D$18),IFERROR(OFFSET(D288,0,_xlfn.XLOOKUP($G286,$B$14:$B$18,$C$14:$C$18))*_xlfn.XLOOKUP($G286,$B$14:$B$18,$D$14:$D$18),0)),IFERROR(OFFSET(D288,0,_xlfn.XLOOKUP($G286,$B$14:$B$18,$E$14:$E$18))*_xlfn.XLOOKUP($G286,$B$14:$B$18,$F$14:$F$18),0),B291)))</f>
        <v>0</v>
      </c>
      <c r="E291" s="198">
        <f t="shared" ref="E291" ca="1" si="1029">IF($I286="N",E288,IF($G286="1. In Flight",1,$G$14)*MIN(MAX($C288:$L288)*_xlfn.XLOOKUP($G286,$B$14:$B$18,$F$14:$F$18),MAX(IF(IFERROR(OFFSET(E288,0,_xlfn.XLOOKUP($G286,$B$14:$B$18,$C$14:$C$18)),0)=MAX($C288:$L288),_xlfn.MINIFS($C288:$L288,$C288:$L288,"&gt;0")*_xlfn.XLOOKUP($G286,$B$14:$B$18,$D$14:$D$18),IFERROR(OFFSET(E288,0,_xlfn.XLOOKUP($G286,$B$14:$B$18,$C$14:$C$18))*_xlfn.XLOOKUP($G286,$B$14:$B$18,$D$14:$D$18),0)),IFERROR(OFFSET(E288,0,_xlfn.XLOOKUP($G286,$B$14:$B$18,$E$14:$E$18))*_xlfn.XLOOKUP($G286,$B$14:$B$18,$F$14:$F$18),0),C291)))</f>
        <v>0</v>
      </c>
      <c r="F291" s="198">
        <f t="shared" ref="F291" ca="1" si="1030">IF($I286="N",F288,IF($G286="1. In Flight",1,$G$14)*MIN(MAX($C288:$L288)*_xlfn.XLOOKUP($G286,$B$14:$B$18,$F$14:$F$18),MAX(IF(IFERROR(OFFSET(F288,0,_xlfn.XLOOKUP($G286,$B$14:$B$18,$C$14:$C$18)),0)=MAX($C288:$L288),_xlfn.MINIFS($C288:$L288,$C288:$L288,"&gt;0")*_xlfn.XLOOKUP($G286,$B$14:$B$18,$D$14:$D$18),IFERROR(OFFSET(F288,0,_xlfn.XLOOKUP($G286,$B$14:$B$18,$C$14:$C$18))*_xlfn.XLOOKUP($G286,$B$14:$B$18,$D$14:$D$18),0)),IFERROR(OFFSET(F288,0,_xlfn.XLOOKUP($G286,$B$14:$B$18,$E$14:$E$18))*_xlfn.XLOOKUP($G286,$B$14:$B$18,$F$14:$F$18),0),D291)))</f>
        <v>0</v>
      </c>
      <c r="G291" s="198">
        <f t="shared" ref="G291" ca="1" si="1031">IF($I286="N",G288,IF($G286="1. In Flight",1,$G$14)*MIN(MAX($C288:$L288)*_xlfn.XLOOKUP($G286,$B$14:$B$18,$F$14:$F$18),MAX(IF(IFERROR(OFFSET(G288,0,_xlfn.XLOOKUP($G286,$B$14:$B$18,$C$14:$C$18)),0)=MAX($C288:$L288),_xlfn.MINIFS($C288:$L288,$C288:$L288,"&gt;0")*_xlfn.XLOOKUP($G286,$B$14:$B$18,$D$14:$D$18),IFERROR(OFFSET(G288,0,_xlfn.XLOOKUP($G286,$B$14:$B$18,$C$14:$C$18))*_xlfn.XLOOKUP($G286,$B$14:$B$18,$D$14:$D$18),0)),IFERROR(OFFSET(G288,0,_xlfn.XLOOKUP($G286,$B$14:$B$18,$E$14:$E$18))*_xlfn.XLOOKUP($G286,$B$14:$B$18,$F$14:$F$18),0),E291)))</f>
        <v>0</v>
      </c>
      <c r="H291" s="198">
        <f t="shared" ref="H291" ca="1" si="1032">IF($I286="N",H288,IF($G286="1. In Flight",1,$G$14)*MIN(MAX($C288:$L288)*_xlfn.XLOOKUP($G286,$B$14:$B$18,$F$14:$F$18),MAX(IF(IFERROR(OFFSET(H288,0,_xlfn.XLOOKUP($G286,$B$14:$B$18,$C$14:$C$18)),0)=MAX($C288:$L288),_xlfn.MINIFS($C288:$L288,$C288:$L288,"&gt;0")*_xlfn.XLOOKUP($G286,$B$14:$B$18,$D$14:$D$18),IFERROR(OFFSET(H288,0,_xlfn.XLOOKUP($G286,$B$14:$B$18,$C$14:$C$18))*_xlfn.XLOOKUP($G286,$B$14:$B$18,$D$14:$D$18),0)),IFERROR(OFFSET(H288,0,_xlfn.XLOOKUP($G286,$B$14:$B$18,$E$14:$E$18))*_xlfn.XLOOKUP($G286,$B$14:$B$18,$F$14:$F$18),0),F291)))</f>
        <v>0</v>
      </c>
      <c r="I291" s="198">
        <f t="shared" ref="I291" ca="1" si="1033">IF($I286="N",I288,IF($G286="1. In Flight",1,$G$14)*MIN(MAX($C288:$L288)*_xlfn.XLOOKUP($G286,$B$14:$B$18,$F$14:$F$18),MAX(IF(IFERROR(OFFSET(I288,0,_xlfn.XLOOKUP($G286,$B$14:$B$18,$C$14:$C$18)),0)=MAX($C288:$L288),_xlfn.MINIFS($C288:$L288,$C288:$L288,"&gt;0")*_xlfn.XLOOKUP($G286,$B$14:$B$18,$D$14:$D$18),IFERROR(OFFSET(I288,0,_xlfn.XLOOKUP($G286,$B$14:$B$18,$C$14:$C$18))*_xlfn.XLOOKUP($G286,$B$14:$B$18,$D$14:$D$18),0)),IFERROR(OFFSET(I288,0,_xlfn.XLOOKUP($G286,$B$14:$B$18,$E$14:$E$18))*_xlfn.XLOOKUP($G286,$B$14:$B$18,$F$14:$F$18),0),G291)))</f>
        <v>0</v>
      </c>
      <c r="J291" s="198">
        <f t="shared" ref="J291" ca="1" si="1034">IF($I286="N",J288,IF($G286="1. In Flight",1,$G$14)*MIN(MAX($C288:$L288)*_xlfn.XLOOKUP($G286,$B$14:$B$18,$F$14:$F$18),MAX(IF(IFERROR(OFFSET(J288,0,_xlfn.XLOOKUP($G286,$B$14:$B$18,$C$14:$C$18)),0)=MAX($C288:$L288),_xlfn.MINIFS($C288:$L288,$C288:$L288,"&gt;0")*_xlfn.XLOOKUP($G286,$B$14:$B$18,$D$14:$D$18),IFERROR(OFFSET(J288,0,_xlfn.XLOOKUP($G286,$B$14:$B$18,$C$14:$C$18))*_xlfn.XLOOKUP($G286,$B$14:$B$18,$D$14:$D$18),0)),IFERROR(OFFSET(J288,0,_xlfn.XLOOKUP($G286,$B$14:$B$18,$E$14:$E$18))*_xlfn.XLOOKUP($G286,$B$14:$B$18,$F$14:$F$18),0),H291)))</f>
        <v>0</v>
      </c>
      <c r="K291" s="198">
        <f t="shared" ref="K291" ca="1" si="1035">IF($I286="N",K288,IF($G286="1. In Flight",1,$G$14)*MIN(MAX($C288:$L288)*_xlfn.XLOOKUP($G286,$B$14:$B$18,$F$14:$F$18),MAX(IF(IFERROR(OFFSET(K288,0,_xlfn.XLOOKUP($G286,$B$14:$B$18,$C$14:$C$18)),0)=MAX($C288:$L288),_xlfn.MINIFS($C288:$L288,$C288:$L288,"&gt;0")*_xlfn.XLOOKUP($G286,$B$14:$B$18,$D$14:$D$18),IFERROR(OFFSET(K288,0,_xlfn.XLOOKUP($G286,$B$14:$B$18,$C$14:$C$18))*_xlfn.XLOOKUP($G286,$B$14:$B$18,$D$14:$D$18),0)),IFERROR(OFFSET(K288,0,_xlfn.XLOOKUP($G286,$B$14:$B$18,$E$14:$E$18))*_xlfn.XLOOKUP($G286,$B$14:$B$18,$F$14:$F$18),0),I291)))</f>
        <v>6.3180851280046904</v>
      </c>
      <c r="L291" s="198">
        <f t="shared" ref="L291" ca="1" si="1036">IF($I286="N",L288,IF($G286="1. In Flight",1,$G$14)*MIN(MAX($C288:$L288)*_xlfn.XLOOKUP($G286,$B$14:$B$18,$F$14:$F$18),MAX(IF(IFERROR(OFFSET(L288,0,_xlfn.XLOOKUP($G286,$B$14:$B$18,$C$14:$C$18)),0)=MAX($C288:$L288),_xlfn.MINIFS($C288:$L288,$C288:$L288,"&gt;0")*_xlfn.XLOOKUP($G286,$B$14:$B$18,$D$14:$D$18),IFERROR(OFFSET(L288,0,_xlfn.XLOOKUP($G286,$B$14:$B$18,$C$14:$C$18))*_xlfn.XLOOKUP($G286,$B$14:$B$18,$D$14:$D$18),0)),IFERROR(OFFSET(L288,0,_xlfn.XLOOKUP($G286,$B$14:$B$18,$E$14:$E$18))*_xlfn.XLOOKUP($G286,$B$14:$B$18,$F$14:$F$18),0),J291)))</f>
        <v>9.002399413718976</v>
      </c>
    </row>
    <row r="292" spans="1:12" ht="15" thickTop="1"/>
    <row r="293" spans="1:12" ht="15" thickBot="1">
      <c r="A293" s="231">
        <f>_xlfn.XLOOKUP(F293,FEED!D:D,FEED!E:E,FALSE)</f>
        <v>0</v>
      </c>
      <c r="B293" s="232"/>
      <c r="C293" s="188"/>
      <c r="D293" s="200" t="s">
        <v>127</v>
      </c>
      <c r="E293" s="189" t="s">
        <v>123</v>
      </c>
      <c r="F293" s="189" t="s">
        <v>66</v>
      </c>
      <c r="G293" s="189" t="str">
        <f>IFERROR(_xlfn.XLOOKUP(F293,FEED!$D:$D,FEED!$S:$S),$B$8)</f>
        <v>5. Unlikely</v>
      </c>
      <c r="H293" s="189" t="str">
        <f>IFERROR(_xlfn.XLOOKUP(F293,FEED!$D:$D,FEED!$Y:$Y),"Major Load")</f>
        <v>Data Centre</v>
      </c>
      <c r="I293" s="189" t="str">
        <f>IFERROR(_xlfn.XLOOKUP(F293,FEED!$D:$D,FEED!$C:$C),"N")</f>
        <v>Y</v>
      </c>
      <c r="J293" s="190"/>
      <c r="K293" s="190"/>
      <c r="L293" s="190"/>
    </row>
    <row r="294" spans="1:12" ht="15" thickBot="1">
      <c r="A294" s="191" t="str">
        <f>A266</f>
        <v>Uptake Scenario</v>
      </c>
      <c r="B294" s="192">
        <f>B287</f>
        <v>2023</v>
      </c>
      <c r="C294" s="192">
        <f t="shared" ref="C294:L294" si="1037">C287</f>
        <v>2024</v>
      </c>
      <c r="D294" s="192">
        <f t="shared" si="1037"/>
        <v>2025</v>
      </c>
      <c r="E294" s="192">
        <f t="shared" si="1037"/>
        <v>2026</v>
      </c>
      <c r="F294" s="192">
        <f t="shared" si="1037"/>
        <v>2027</v>
      </c>
      <c r="G294" s="192">
        <f t="shared" si="1037"/>
        <v>2028</v>
      </c>
      <c r="H294" s="192">
        <f t="shared" si="1037"/>
        <v>2029</v>
      </c>
      <c r="I294" s="192">
        <f t="shared" si="1037"/>
        <v>2030</v>
      </c>
      <c r="J294" s="192">
        <f t="shared" si="1037"/>
        <v>2031</v>
      </c>
      <c r="K294" s="192">
        <f t="shared" si="1037"/>
        <v>2032</v>
      </c>
      <c r="L294" s="192">
        <f t="shared" si="1037"/>
        <v>2033</v>
      </c>
    </row>
    <row r="295" spans="1:12" ht="15.6" thickTop="1" thickBot="1">
      <c r="A295" s="193" t="s">
        <v>111</v>
      </c>
      <c r="B295" s="194">
        <v>0</v>
      </c>
      <c r="C295" s="194">
        <f>SUMIF(FEED!$D:$D,$F293,FEED!F:F)+B295</f>
        <v>0</v>
      </c>
      <c r="D295" s="194">
        <f>SUMIF(FEED!$D:$D,$F293,FEED!G:G)+C295</f>
        <v>0</v>
      </c>
      <c r="E295" s="194">
        <f>SUMIF(FEED!$D:$D,$F293,FEED!H:H)+D295</f>
        <v>0</v>
      </c>
      <c r="F295" s="194">
        <f>SUMIF(FEED!$D:$D,$F293,FEED!I:I)+E295</f>
        <v>0</v>
      </c>
      <c r="G295" s="194">
        <f>SUMIF(FEED!$D:$D,$F293,FEED!J:J)+F295</f>
        <v>0</v>
      </c>
      <c r="H295" s="194">
        <f>SUMIF(FEED!$D:$D,$F293,FEED!K:K)+G295</f>
        <v>0</v>
      </c>
      <c r="I295" s="194">
        <f>SUMIF(FEED!$D:$D,$F293,FEED!L:L)+H295</f>
        <v>0</v>
      </c>
      <c r="J295" s="194">
        <f>SUMIF(FEED!$D:$D,$F293,FEED!M:M)+I295</f>
        <v>0</v>
      </c>
      <c r="K295" s="194">
        <f>SUMIF(FEED!$D:$D,$F293,FEED!N:N)+J295</f>
        <v>17.550236466679692</v>
      </c>
      <c r="L295" s="194">
        <f>SUMIF(FEED!$D:$D,$F293,FEED!O:O)+K295</f>
        <v>35.100472933359384</v>
      </c>
    </row>
    <row r="296" spans="1:12" ht="15" thickBot="1">
      <c r="A296" s="195" t="s">
        <v>107</v>
      </c>
      <c r="B296" s="196">
        <f>B295</f>
        <v>0</v>
      </c>
      <c r="C296" s="196">
        <f ca="1">IF($I293="N",C295,IF($G293="1. In Flight",1,$G$4)*MIN(MAX($C295:$L295)*_xlfn.XLOOKUP($G293,$B$4:$B$8,$F$4:$F$8),MAX(IF(IFERROR(OFFSET(C295,0,_xlfn.XLOOKUP($G293,$B$4:$B$8,$C$4:$C$8)),0)=MAX($C295:$L295),_xlfn.MINIFS($C295:$L295,$C295:$L295,"&gt;0")*_xlfn.XLOOKUP($G293,$B$4:$B$8,$D$4:$D$8),IFERROR(OFFSET(C295,0,_xlfn.XLOOKUP($G293,$B$4:$B$8,$C$4:$C$8))*_xlfn.XLOOKUP($G293,$B$4:$B$8,$D$4:$D$8),0)),IFERROR(OFFSET(C295,0,_xlfn.XLOOKUP($G293,$B$4:$B$8,$E$4:$E$8))*_xlfn.XLOOKUP($G293,$B$4:$B$8,$F$4:$F$8),0),A296)))</f>
        <v>0</v>
      </c>
      <c r="D296" s="196">
        <f t="shared" ref="D296" ca="1" si="1038">IF($I293="N",D295,IF($G293="1. In Flight",1,$G$4)*MIN(MAX($C295:$L295)*_xlfn.XLOOKUP($G293,$B$4:$B$8,$F$4:$F$8),MAX(IF(IFERROR(OFFSET(D295,0,_xlfn.XLOOKUP($G293,$B$4:$B$8,$C$4:$C$8)),0)=MAX($C295:$L295),_xlfn.MINIFS($C295:$L295,$C295:$L295,"&gt;0")*_xlfn.XLOOKUP($G293,$B$4:$B$8,$D$4:$D$8),IFERROR(OFFSET(D295,0,_xlfn.XLOOKUP($G293,$B$4:$B$8,$C$4:$C$8))*_xlfn.XLOOKUP($G293,$B$4:$B$8,$D$4:$D$8),0)),IFERROR(OFFSET(D295,0,_xlfn.XLOOKUP($G293,$B$4:$B$8,$E$4:$E$8))*_xlfn.XLOOKUP($G293,$B$4:$B$8,$F$4:$F$8),0),B296)))</f>
        <v>0</v>
      </c>
      <c r="E296" s="196">
        <f t="shared" ref="E296" ca="1" si="1039">IF($I293="N",E295,IF($G293="1. In Flight",1,$G$4)*MIN(MAX($C295:$L295)*_xlfn.XLOOKUP($G293,$B$4:$B$8,$F$4:$F$8),MAX(IF(IFERROR(OFFSET(E295,0,_xlfn.XLOOKUP($G293,$B$4:$B$8,$C$4:$C$8)),0)=MAX($C295:$L295),_xlfn.MINIFS($C295:$L295,$C295:$L295,"&gt;0")*_xlfn.XLOOKUP($G293,$B$4:$B$8,$D$4:$D$8),IFERROR(OFFSET(E295,0,_xlfn.XLOOKUP($G293,$B$4:$B$8,$C$4:$C$8))*_xlfn.XLOOKUP($G293,$B$4:$B$8,$D$4:$D$8),0)),IFERROR(OFFSET(E295,0,_xlfn.XLOOKUP($G293,$B$4:$B$8,$E$4:$E$8))*_xlfn.XLOOKUP($G293,$B$4:$B$8,$F$4:$F$8),0),C296)))</f>
        <v>0</v>
      </c>
      <c r="F296" s="196">
        <f t="shared" ref="F296" ca="1" si="1040">IF($I293="N",F295,IF($G293="1. In Flight",1,$G$4)*MIN(MAX($C295:$L295)*_xlfn.XLOOKUP($G293,$B$4:$B$8,$F$4:$F$8),MAX(IF(IFERROR(OFFSET(F295,0,_xlfn.XLOOKUP($G293,$B$4:$B$8,$C$4:$C$8)),0)=MAX($C295:$L295),_xlfn.MINIFS($C295:$L295,$C295:$L295,"&gt;0")*_xlfn.XLOOKUP($G293,$B$4:$B$8,$D$4:$D$8),IFERROR(OFFSET(F295,0,_xlfn.XLOOKUP($G293,$B$4:$B$8,$C$4:$C$8))*_xlfn.XLOOKUP($G293,$B$4:$B$8,$D$4:$D$8),0)),IFERROR(OFFSET(F295,0,_xlfn.XLOOKUP($G293,$B$4:$B$8,$E$4:$E$8))*_xlfn.XLOOKUP($G293,$B$4:$B$8,$F$4:$F$8),0),D296)))</f>
        <v>0</v>
      </c>
      <c r="G296" s="196">
        <f t="shared" ref="G296" ca="1" si="1041">IF($I293="N",G295,IF($G293="1. In Flight",1,$G$4)*MIN(MAX($C295:$L295)*_xlfn.XLOOKUP($G293,$B$4:$B$8,$F$4:$F$8),MAX(IF(IFERROR(OFFSET(G295,0,_xlfn.XLOOKUP($G293,$B$4:$B$8,$C$4:$C$8)),0)=MAX($C295:$L295),_xlfn.MINIFS($C295:$L295,$C295:$L295,"&gt;0")*_xlfn.XLOOKUP($G293,$B$4:$B$8,$D$4:$D$8),IFERROR(OFFSET(G295,0,_xlfn.XLOOKUP($G293,$B$4:$B$8,$C$4:$C$8))*_xlfn.XLOOKUP($G293,$B$4:$B$8,$D$4:$D$8),0)),IFERROR(OFFSET(G295,0,_xlfn.XLOOKUP($G293,$B$4:$B$8,$E$4:$E$8))*_xlfn.XLOOKUP($G293,$B$4:$B$8,$F$4:$F$8),0),E296)))</f>
        <v>0</v>
      </c>
      <c r="H296" s="196">
        <f t="shared" ref="H296" ca="1" si="1042">IF($I293="N",H295,IF($G293="1. In Flight",1,$G$4)*MIN(MAX($C295:$L295)*_xlfn.XLOOKUP($G293,$B$4:$B$8,$F$4:$F$8),MAX(IF(IFERROR(OFFSET(H295,0,_xlfn.XLOOKUP($G293,$B$4:$B$8,$C$4:$C$8)),0)=MAX($C295:$L295),_xlfn.MINIFS($C295:$L295,$C295:$L295,"&gt;0")*_xlfn.XLOOKUP($G293,$B$4:$B$8,$D$4:$D$8),IFERROR(OFFSET(H295,0,_xlfn.XLOOKUP($G293,$B$4:$B$8,$C$4:$C$8))*_xlfn.XLOOKUP($G293,$B$4:$B$8,$D$4:$D$8),0)),IFERROR(OFFSET(H295,0,_xlfn.XLOOKUP($G293,$B$4:$B$8,$E$4:$E$8))*_xlfn.XLOOKUP($G293,$B$4:$B$8,$F$4:$F$8),0),F296)))</f>
        <v>0</v>
      </c>
      <c r="I296" s="196">
        <f t="shared" ref="I296" ca="1" si="1043">IF($I293="N",I295,IF($G293="1. In Flight",1,$G$4)*MIN(MAX($C295:$L295)*_xlfn.XLOOKUP($G293,$B$4:$B$8,$F$4:$F$8),MAX(IF(IFERROR(OFFSET(I295,0,_xlfn.XLOOKUP($G293,$B$4:$B$8,$C$4:$C$8)),0)=MAX($C295:$L295),_xlfn.MINIFS($C295:$L295,$C295:$L295,"&gt;0")*_xlfn.XLOOKUP($G293,$B$4:$B$8,$D$4:$D$8),IFERROR(OFFSET(I295,0,_xlfn.XLOOKUP($G293,$B$4:$B$8,$C$4:$C$8))*_xlfn.XLOOKUP($G293,$B$4:$B$8,$D$4:$D$8),0)),IFERROR(OFFSET(I295,0,_xlfn.XLOOKUP($G293,$B$4:$B$8,$E$4:$E$8))*_xlfn.XLOOKUP($G293,$B$4:$B$8,$F$4:$F$8),0),G296)))</f>
        <v>0</v>
      </c>
      <c r="J296" s="196">
        <f t="shared" ref="J296" ca="1" si="1044">IF($I293="N",J295,IF($G293="1. In Flight",1,$G$4)*MIN(MAX($C295:$L295)*_xlfn.XLOOKUP($G293,$B$4:$B$8,$F$4:$F$8),MAX(IF(IFERROR(OFFSET(J295,0,_xlfn.XLOOKUP($G293,$B$4:$B$8,$C$4:$C$8)),0)=MAX($C295:$L295),_xlfn.MINIFS($C295:$L295,$C295:$L295,"&gt;0")*_xlfn.XLOOKUP($G293,$B$4:$B$8,$D$4:$D$8),IFERROR(OFFSET(J295,0,_xlfn.XLOOKUP($G293,$B$4:$B$8,$C$4:$C$8))*_xlfn.XLOOKUP($G293,$B$4:$B$8,$D$4:$D$8),0)),IFERROR(OFFSET(J295,0,_xlfn.XLOOKUP($G293,$B$4:$B$8,$E$4:$E$8))*_xlfn.XLOOKUP($G293,$B$4:$B$8,$F$4:$F$8),0),H296)))</f>
        <v>0</v>
      </c>
      <c r="K296" s="196">
        <f t="shared" ref="K296" ca="1" si="1045">IF($I293="N",K295,IF($G293="1. In Flight",1,$G$4)*MIN(MAX($C295:$L295)*_xlfn.XLOOKUP($G293,$B$4:$B$8,$F$4:$F$8),MAX(IF(IFERROR(OFFSET(K295,0,_xlfn.XLOOKUP($G293,$B$4:$B$8,$C$4:$C$8)),0)=MAX($C295:$L295),_xlfn.MINIFS($C295:$L295,$C295:$L295,"&gt;0")*_xlfn.XLOOKUP($G293,$B$4:$B$8,$D$4:$D$8),IFERROR(OFFSET(K295,0,_xlfn.XLOOKUP($G293,$B$4:$B$8,$C$4:$C$8))*_xlfn.XLOOKUP($G293,$B$4:$B$8,$D$4:$D$8),0)),IFERROR(OFFSET(K295,0,_xlfn.XLOOKUP($G293,$B$4:$B$8,$E$4:$E$8))*_xlfn.XLOOKUP($G293,$B$4:$B$8,$F$4:$F$8),0),I296)))</f>
        <v>0</v>
      </c>
      <c r="L296" s="196">
        <f t="shared" ref="L296" ca="1" si="1046">IF($I293="N",L295,IF($G293="1. In Flight",1,$G$4)*MIN(MAX($C295:$L295)*_xlfn.XLOOKUP($G293,$B$4:$B$8,$F$4:$F$8),MAX(IF(IFERROR(OFFSET(L295,0,_xlfn.XLOOKUP($G293,$B$4:$B$8,$C$4:$C$8)),0)=MAX($C295:$L295),_xlfn.MINIFS($C295:$L295,$C295:$L295,"&gt;0")*_xlfn.XLOOKUP($G293,$B$4:$B$8,$D$4:$D$8),IFERROR(OFFSET(L295,0,_xlfn.XLOOKUP($G293,$B$4:$B$8,$C$4:$C$8))*_xlfn.XLOOKUP($G293,$B$4:$B$8,$D$4:$D$8),0)),IFERROR(OFFSET(L295,0,_xlfn.XLOOKUP($G293,$B$4:$B$8,$E$4:$E$8))*_xlfn.XLOOKUP($G293,$B$4:$B$8,$F$4:$F$8),0),J296)))</f>
        <v>0</v>
      </c>
    </row>
    <row r="297" spans="1:12" ht="15" thickBot="1">
      <c r="A297" s="195" t="s">
        <v>108</v>
      </c>
      <c r="B297" s="196">
        <f>B295</f>
        <v>0</v>
      </c>
      <c r="C297" s="196">
        <f ca="1">IF($I293="N",C295,IF($G293="1. In Flight",1,$G$9)*MIN(MAX($C295:$L295)*_xlfn.XLOOKUP($G293,$B$9:$B$13,$F$9:$F$13),MAX(IF(IFERROR(OFFSET(C295,0,_xlfn.XLOOKUP($G293,$B$9:$B$13,$C$9:$C$13)),0)=MAX($C295:$L295),_xlfn.MINIFS($C295:$L295,$C295:$L295,"&gt;0")*_xlfn.XLOOKUP($G293,$B$9:$B$13,$D$9:$D$13),IFERROR(OFFSET(C295,0,_xlfn.XLOOKUP($G293,$B$9:$B$13,$C$9:$C$13))*_xlfn.XLOOKUP($G293,$B$9:$B$13,$D$9:$D$13),0)),IFERROR(OFFSET(C295,0,_xlfn.XLOOKUP($G293,$B$9:$B$13,$E$9:$E$13))*_xlfn.XLOOKUP($G293,$B$9:$B$13,$F$9:$F$13),0),A297)))</f>
        <v>0</v>
      </c>
      <c r="D297" s="196">
        <f t="shared" ref="D297" ca="1" si="1047">IF($I293="N",D295,IF($G293="1. In Flight",1,$G$9)*MIN(MAX($C295:$L295)*_xlfn.XLOOKUP($G293,$B$9:$B$13,$F$9:$F$13),MAX(IF(IFERROR(OFFSET(D295,0,_xlfn.XLOOKUP($G293,$B$9:$B$13,$C$9:$C$13)),0)=MAX($C295:$L295),_xlfn.MINIFS($C295:$L295,$C295:$L295,"&gt;0")*_xlfn.XLOOKUP($G293,$B$9:$B$13,$D$9:$D$13),IFERROR(OFFSET(D295,0,_xlfn.XLOOKUP($G293,$B$9:$B$13,$C$9:$C$13))*_xlfn.XLOOKUP($G293,$B$9:$B$13,$D$9:$D$13),0)),IFERROR(OFFSET(D295,0,_xlfn.XLOOKUP($G293,$B$9:$B$13,$E$9:$E$13))*_xlfn.XLOOKUP($G293,$B$9:$B$13,$F$9:$F$13),0),B297)))</f>
        <v>0</v>
      </c>
      <c r="E297" s="196">
        <f t="shared" ref="E297" ca="1" si="1048">IF($I293="N",E295,IF($G293="1. In Flight",1,$G$9)*MIN(MAX($C295:$L295)*_xlfn.XLOOKUP($G293,$B$9:$B$13,$F$9:$F$13),MAX(IF(IFERROR(OFFSET(E295,0,_xlfn.XLOOKUP($G293,$B$9:$B$13,$C$9:$C$13)),0)=MAX($C295:$L295),_xlfn.MINIFS($C295:$L295,$C295:$L295,"&gt;0")*_xlfn.XLOOKUP($G293,$B$9:$B$13,$D$9:$D$13),IFERROR(OFFSET(E295,0,_xlfn.XLOOKUP($G293,$B$9:$B$13,$C$9:$C$13))*_xlfn.XLOOKUP($G293,$B$9:$B$13,$D$9:$D$13),0)),IFERROR(OFFSET(E295,0,_xlfn.XLOOKUP($G293,$B$9:$B$13,$E$9:$E$13))*_xlfn.XLOOKUP($G293,$B$9:$B$13,$F$9:$F$13),0),C297)))</f>
        <v>0</v>
      </c>
      <c r="F297" s="196">
        <f t="shared" ref="F297" ca="1" si="1049">IF($I293="N",F295,IF($G293="1. In Flight",1,$G$9)*MIN(MAX($C295:$L295)*_xlfn.XLOOKUP($G293,$B$9:$B$13,$F$9:$F$13),MAX(IF(IFERROR(OFFSET(F295,0,_xlfn.XLOOKUP($G293,$B$9:$B$13,$C$9:$C$13)),0)=MAX($C295:$L295),_xlfn.MINIFS($C295:$L295,$C295:$L295,"&gt;0")*_xlfn.XLOOKUP($G293,$B$9:$B$13,$D$9:$D$13),IFERROR(OFFSET(F295,0,_xlfn.XLOOKUP($G293,$B$9:$B$13,$C$9:$C$13))*_xlfn.XLOOKUP($G293,$B$9:$B$13,$D$9:$D$13),0)),IFERROR(OFFSET(F295,0,_xlfn.XLOOKUP($G293,$B$9:$B$13,$E$9:$E$13))*_xlfn.XLOOKUP($G293,$B$9:$B$13,$F$9:$F$13),0),D297)))</f>
        <v>0</v>
      </c>
      <c r="G297" s="196">
        <f t="shared" ref="G297" ca="1" si="1050">IF($I293="N",G295,IF($G293="1. In Flight",1,$G$9)*MIN(MAX($C295:$L295)*_xlfn.XLOOKUP($G293,$B$9:$B$13,$F$9:$F$13),MAX(IF(IFERROR(OFFSET(G295,0,_xlfn.XLOOKUP($G293,$B$9:$B$13,$C$9:$C$13)),0)=MAX($C295:$L295),_xlfn.MINIFS($C295:$L295,$C295:$L295,"&gt;0")*_xlfn.XLOOKUP($G293,$B$9:$B$13,$D$9:$D$13),IFERROR(OFFSET(G295,0,_xlfn.XLOOKUP($G293,$B$9:$B$13,$C$9:$C$13))*_xlfn.XLOOKUP($G293,$B$9:$B$13,$D$9:$D$13),0)),IFERROR(OFFSET(G295,0,_xlfn.XLOOKUP($G293,$B$9:$B$13,$E$9:$E$13))*_xlfn.XLOOKUP($G293,$B$9:$B$13,$F$9:$F$13),0),E297)))</f>
        <v>0</v>
      </c>
      <c r="H297" s="196">
        <f t="shared" ref="H297" ca="1" si="1051">IF($I293="N",H295,IF($G293="1. In Flight",1,$G$9)*MIN(MAX($C295:$L295)*_xlfn.XLOOKUP($G293,$B$9:$B$13,$F$9:$F$13),MAX(IF(IFERROR(OFFSET(H295,0,_xlfn.XLOOKUP($G293,$B$9:$B$13,$C$9:$C$13)),0)=MAX($C295:$L295),_xlfn.MINIFS($C295:$L295,$C295:$L295,"&gt;0")*_xlfn.XLOOKUP($G293,$B$9:$B$13,$D$9:$D$13),IFERROR(OFFSET(H295,0,_xlfn.XLOOKUP($G293,$B$9:$B$13,$C$9:$C$13))*_xlfn.XLOOKUP($G293,$B$9:$B$13,$D$9:$D$13),0)),IFERROR(OFFSET(H295,0,_xlfn.XLOOKUP($G293,$B$9:$B$13,$E$9:$E$13))*_xlfn.XLOOKUP($G293,$B$9:$B$13,$F$9:$F$13),0),F297)))</f>
        <v>0</v>
      </c>
      <c r="I297" s="196">
        <f t="shared" ref="I297" ca="1" si="1052">IF($I293="N",I295,IF($G293="1. In Flight",1,$G$9)*MIN(MAX($C295:$L295)*_xlfn.XLOOKUP($G293,$B$9:$B$13,$F$9:$F$13),MAX(IF(IFERROR(OFFSET(I295,0,_xlfn.XLOOKUP($G293,$B$9:$B$13,$C$9:$C$13)),0)=MAX($C295:$L295),_xlfn.MINIFS($C295:$L295,$C295:$L295,"&gt;0")*_xlfn.XLOOKUP($G293,$B$9:$B$13,$D$9:$D$13),IFERROR(OFFSET(I295,0,_xlfn.XLOOKUP($G293,$B$9:$B$13,$C$9:$C$13))*_xlfn.XLOOKUP($G293,$B$9:$B$13,$D$9:$D$13),0)),IFERROR(OFFSET(I295,0,_xlfn.XLOOKUP($G293,$B$9:$B$13,$E$9:$E$13))*_xlfn.XLOOKUP($G293,$B$9:$B$13,$F$9:$F$13),0),G297)))</f>
        <v>0</v>
      </c>
      <c r="J297" s="196">
        <f t="shared" ref="J297" ca="1" si="1053">IF($I293="N",J295,IF($G293="1. In Flight",1,$G$9)*MIN(MAX($C295:$L295)*_xlfn.XLOOKUP($G293,$B$9:$B$13,$F$9:$F$13),MAX(IF(IFERROR(OFFSET(J295,0,_xlfn.XLOOKUP($G293,$B$9:$B$13,$C$9:$C$13)),0)=MAX($C295:$L295),_xlfn.MINIFS($C295:$L295,$C295:$L295,"&gt;0")*_xlfn.XLOOKUP($G293,$B$9:$B$13,$D$9:$D$13),IFERROR(OFFSET(J295,0,_xlfn.XLOOKUP($G293,$B$9:$B$13,$C$9:$C$13))*_xlfn.XLOOKUP($G293,$B$9:$B$13,$D$9:$D$13),0)),IFERROR(OFFSET(J295,0,_xlfn.XLOOKUP($G293,$B$9:$B$13,$E$9:$E$13))*_xlfn.XLOOKUP($G293,$B$9:$B$13,$F$9:$F$13),0),H297)))</f>
        <v>0</v>
      </c>
      <c r="K297" s="196">
        <f t="shared" ref="K297" ca="1" si="1054">IF($I293="N",K295,IF($G293="1. In Flight",1,$G$9)*MIN(MAX($C295:$L295)*_xlfn.XLOOKUP($G293,$B$9:$B$13,$F$9:$F$13),MAX(IF(IFERROR(OFFSET(K295,0,_xlfn.XLOOKUP($G293,$B$9:$B$13,$C$9:$C$13)),0)=MAX($C295:$L295),_xlfn.MINIFS($C295:$L295,$C295:$L295,"&gt;0")*_xlfn.XLOOKUP($G293,$B$9:$B$13,$D$9:$D$13),IFERROR(OFFSET(K295,0,_xlfn.XLOOKUP($G293,$B$9:$B$13,$C$9:$C$13))*_xlfn.XLOOKUP($G293,$B$9:$B$13,$D$9:$D$13),0)),IFERROR(OFFSET(K295,0,_xlfn.XLOOKUP($G293,$B$9:$B$13,$E$9:$E$13))*_xlfn.XLOOKUP($G293,$B$9:$B$13,$F$9:$F$13),0),I297)))</f>
        <v>0</v>
      </c>
      <c r="L297" s="196">
        <f t="shared" ref="L297" ca="1" si="1055">IF($I293="N",L295,IF($G293="1. In Flight",1,$G$9)*MIN(MAX($C295:$L295)*_xlfn.XLOOKUP($G293,$B$9:$B$13,$F$9:$F$13),MAX(IF(IFERROR(OFFSET(L295,0,_xlfn.XLOOKUP($G293,$B$9:$B$13,$C$9:$C$13)),0)=MAX($C295:$L295),_xlfn.MINIFS($C295:$L295,$C295:$L295,"&gt;0")*_xlfn.XLOOKUP($G293,$B$9:$B$13,$D$9:$D$13),IFERROR(OFFSET(L295,0,_xlfn.XLOOKUP($G293,$B$9:$B$13,$C$9:$C$13))*_xlfn.XLOOKUP($G293,$B$9:$B$13,$D$9:$D$13),0)),IFERROR(OFFSET(L295,0,_xlfn.XLOOKUP($G293,$B$9:$B$13,$E$9:$E$13))*_xlfn.XLOOKUP($G293,$B$9:$B$13,$F$9:$F$13),0),J297)))</f>
        <v>0</v>
      </c>
    </row>
    <row r="298" spans="1:12" ht="15" thickBot="1">
      <c r="A298" s="197" t="s">
        <v>109</v>
      </c>
      <c r="B298" s="198">
        <f>B295</f>
        <v>0</v>
      </c>
      <c r="C298" s="198">
        <f ca="1">IF($I293="N",C295,IF($G293="1. In Flight",1,$G$14)*MIN(MAX($C295:$L295)*_xlfn.XLOOKUP($G293,$B$14:$B$18,$F$14:$F$18),MAX(IF(IFERROR(OFFSET(C295,0,_xlfn.XLOOKUP($G293,$B$14:$B$18,$C$14:$C$18)),0)=MAX($C295:$L295),_xlfn.MINIFS($C295:$L295,$C295:$L295,"&gt;0")*_xlfn.XLOOKUP($G293,$B$14:$B$18,$D$14:$D$18),IFERROR(OFFSET(C295,0,_xlfn.XLOOKUP($G293,$B$14:$B$18,$C$14:$C$18))*_xlfn.XLOOKUP($G293,$B$14:$B$18,$D$14:$D$18),0)),IFERROR(OFFSET(C295,0,_xlfn.XLOOKUP($G293,$B$14:$B$18,$E$14:$E$18))*_xlfn.XLOOKUP($G293,$B$14:$B$18,$F$14:$F$18),0),A298)))</f>
        <v>0</v>
      </c>
      <c r="D298" s="198">
        <f t="shared" ref="D298" ca="1" si="1056">IF($I293="N",D295,IF($G293="1. In Flight",1,$G$14)*MIN(MAX($C295:$L295)*_xlfn.XLOOKUP($G293,$B$14:$B$18,$F$14:$F$18),MAX(IF(IFERROR(OFFSET(D295,0,_xlfn.XLOOKUP($G293,$B$14:$B$18,$C$14:$C$18)),0)=MAX($C295:$L295),_xlfn.MINIFS($C295:$L295,$C295:$L295,"&gt;0")*_xlfn.XLOOKUP($G293,$B$14:$B$18,$D$14:$D$18),IFERROR(OFFSET(D295,0,_xlfn.XLOOKUP($G293,$B$14:$B$18,$C$14:$C$18))*_xlfn.XLOOKUP($G293,$B$14:$B$18,$D$14:$D$18),0)),IFERROR(OFFSET(D295,0,_xlfn.XLOOKUP($G293,$B$14:$B$18,$E$14:$E$18))*_xlfn.XLOOKUP($G293,$B$14:$B$18,$F$14:$F$18),0),B298)))</f>
        <v>0</v>
      </c>
      <c r="E298" s="198">
        <f t="shared" ref="E298" ca="1" si="1057">IF($I293="N",E295,IF($G293="1. In Flight",1,$G$14)*MIN(MAX($C295:$L295)*_xlfn.XLOOKUP($G293,$B$14:$B$18,$F$14:$F$18),MAX(IF(IFERROR(OFFSET(E295,0,_xlfn.XLOOKUP($G293,$B$14:$B$18,$C$14:$C$18)),0)=MAX($C295:$L295),_xlfn.MINIFS($C295:$L295,$C295:$L295,"&gt;0")*_xlfn.XLOOKUP($G293,$B$14:$B$18,$D$14:$D$18),IFERROR(OFFSET(E295,0,_xlfn.XLOOKUP($G293,$B$14:$B$18,$C$14:$C$18))*_xlfn.XLOOKUP($G293,$B$14:$B$18,$D$14:$D$18),0)),IFERROR(OFFSET(E295,0,_xlfn.XLOOKUP($G293,$B$14:$B$18,$E$14:$E$18))*_xlfn.XLOOKUP($G293,$B$14:$B$18,$F$14:$F$18),0),C298)))</f>
        <v>0</v>
      </c>
      <c r="F298" s="198">
        <f t="shared" ref="F298" ca="1" si="1058">IF($I293="N",F295,IF($G293="1. In Flight",1,$G$14)*MIN(MAX($C295:$L295)*_xlfn.XLOOKUP($G293,$B$14:$B$18,$F$14:$F$18),MAX(IF(IFERROR(OFFSET(F295,0,_xlfn.XLOOKUP($G293,$B$14:$B$18,$C$14:$C$18)),0)=MAX($C295:$L295),_xlfn.MINIFS($C295:$L295,$C295:$L295,"&gt;0")*_xlfn.XLOOKUP($G293,$B$14:$B$18,$D$14:$D$18),IFERROR(OFFSET(F295,0,_xlfn.XLOOKUP($G293,$B$14:$B$18,$C$14:$C$18))*_xlfn.XLOOKUP($G293,$B$14:$B$18,$D$14:$D$18),0)),IFERROR(OFFSET(F295,0,_xlfn.XLOOKUP($G293,$B$14:$B$18,$E$14:$E$18))*_xlfn.XLOOKUP($G293,$B$14:$B$18,$F$14:$F$18),0),D298)))</f>
        <v>0</v>
      </c>
      <c r="G298" s="198">
        <f t="shared" ref="G298" ca="1" si="1059">IF($I293="N",G295,IF($G293="1. In Flight",1,$G$14)*MIN(MAX($C295:$L295)*_xlfn.XLOOKUP($G293,$B$14:$B$18,$F$14:$F$18),MAX(IF(IFERROR(OFFSET(G295,0,_xlfn.XLOOKUP($G293,$B$14:$B$18,$C$14:$C$18)),0)=MAX($C295:$L295),_xlfn.MINIFS($C295:$L295,$C295:$L295,"&gt;0")*_xlfn.XLOOKUP($G293,$B$14:$B$18,$D$14:$D$18),IFERROR(OFFSET(G295,0,_xlfn.XLOOKUP($G293,$B$14:$B$18,$C$14:$C$18))*_xlfn.XLOOKUP($G293,$B$14:$B$18,$D$14:$D$18),0)),IFERROR(OFFSET(G295,0,_xlfn.XLOOKUP($G293,$B$14:$B$18,$E$14:$E$18))*_xlfn.XLOOKUP($G293,$B$14:$B$18,$F$14:$F$18),0),E298)))</f>
        <v>0</v>
      </c>
      <c r="H298" s="198">
        <f t="shared" ref="H298" ca="1" si="1060">IF($I293="N",H295,IF($G293="1. In Flight",1,$G$14)*MIN(MAX($C295:$L295)*_xlfn.XLOOKUP($G293,$B$14:$B$18,$F$14:$F$18),MAX(IF(IFERROR(OFFSET(H295,0,_xlfn.XLOOKUP($G293,$B$14:$B$18,$C$14:$C$18)),0)=MAX($C295:$L295),_xlfn.MINIFS($C295:$L295,$C295:$L295,"&gt;0")*_xlfn.XLOOKUP($G293,$B$14:$B$18,$D$14:$D$18),IFERROR(OFFSET(H295,0,_xlfn.XLOOKUP($G293,$B$14:$B$18,$C$14:$C$18))*_xlfn.XLOOKUP($G293,$B$14:$B$18,$D$14:$D$18),0)),IFERROR(OFFSET(H295,0,_xlfn.XLOOKUP($G293,$B$14:$B$18,$E$14:$E$18))*_xlfn.XLOOKUP($G293,$B$14:$B$18,$F$14:$F$18),0),F298)))</f>
        <v>0</v>
      </c>
      <c r="I298" s="198">
        <f t="shared" ref="I298" ca="1" si="1061">IF($I293="N",I295,IF($G293="1. In Flight",1,$G$14)*MIN(MAX($C295:$L295)*_xlfn.XLOOKUP($G293,$B$14:$B$18,$F$14:$F$18),MAX(IF(IFERROR(OFFSET(I295,0,_xlfn.XLOOKUP($G293,$B$14:$B$18,$C$14:$C$18)),0)=MAX($C295:$L295),_xlfn.MINIFS($C295:$L295,$C295:$L295,"&gt;0")*_xlfn.XLOOKUP($G293,$B$14:$B$18,$D$14:$D$18),IFERROR(OFFSET(I295,0,_xlfn.XLOOKUP($G293,$B$14:$B$18,$C$14:$C$18))*_xlfn.XLOOKUP($G293,$B$14:$B$18,$D$14:$D$18),0)),IFERROR(OFFSET(I295,0,_xlfn.XLOOKUP($G293,$B$14:$B$18,$E$14:$E$18))*_xlfn.XLOOKUP($G293,$B$14:$B$18,$F$14:$F$18),0),G298)))</f>
        <v>0</v>
      </c>
      <c r="J298" s="198">
        <f t="shared" ref="J298" ca="1" si="1062">IF($I293="N",J295,IF($G293="1. In Flight",1,$G$14)*MIN(MAX($C295:$L295)*_xlfn.XLOOKUP($G293,$B$14:$B$18,$F$14:$F$18),MAX(IF(IFERROR(OFFSET(J295,0,_xlfn.XLOOKUP($G293,$B$14:$B$18,$C$14:$C$18)),0)=MAX($C295:$L295),_xlfn.MINIFS($C295:$L295,$C295:$L295,"&gt;0")*_xlfn.XLOOKUP($G293,$B$14:$B$18,$D$14:$D$18),IFERROR(OFFSET(J295,0,_xlfn.XLOOKUP($G293,$B$14:$B$18,$C$14:$C$18))*_xlfn.XLOOKUP($G293,$B$14:$B$18,$D$14:$D$18),0)),IFERROR(OFFSET(J295,0,_xlfn.XLOOKUP($G293,$B$14:$B$18,$E$14:$E$18))*_xlfn.XLOOKUP($G293,$B$14:$B$18,$F$14:$F$18),0),H298)))</f>
        <v>0</v>
      </c>
      <c r="K298" s="198">
        <f t="shared" ref="K298" ca="1" si="1063">IF($I293="N",K295,IF($G293="1. In Flight",1,$G$14)*MIN(MAX($C295:$L295)*_xlfn.XLOOKUP($G293,$B$14:$B$18,$F$14:$F$18),MAX(IF(IFERROR(OFFSET(K295,0,_xlfn.XLOOKUP($G293,$B$14:$B$18,$C$14:$C$18)),0)=MAX($C295:$L295),_xlfn.MINIFS($C295:$L295,$C295:$L295,"&gt;0")*_xlfn.XLOOKUP($G293,$B$14:$B$18,$D$14:$D$18),IFERROR(OFFSET(K295,0,_xlfn.XLOOKUP($G293,$B$14:$B$18,$C$14:$C$18))*_xlfn.XLOOKUP($G293,$B$14:$B$18,$D$14:$D$18),0)),IFERROR(OFFSET(K295,0,_xlfn.XLOOKUP($G293,$B$14:$B$18,$E$14:$E$18))*_xlfn.XLOOKUP($G293,$B$14:$B$18,$F$14:$F$18),0),I298)))</f>
        <v>0</v>
      </c>
      <c r="L298" s="198">
        <f t="shared" ref="L298" ca="1" si="1064">IF($I293="N",L295,IF($G293="1. In Flight",1,$G$14)*MIN(MAX($C295:$L295)*_xlfn.XLOOKUP($G293,$B$14:$B$18,$F$14:$F$18),MAX(IF(IFERROR(OFFSET(L295,0,_xlfn.XLOOKUP($G293,$B$14:$B$18,$C$14:$C$18)),0)=MAX($C295:$L295),_xlfn.MINIFS($C295:$L295,$C295:$L295,"&gt;0")*_xlfn.XLOOKUP($G293,$B$14:$B$18,$D$14:$D$18),IFERROR(OFFSET(L295,0,_xlfn.XLOOKUP($G293,$B$14:$B$18,$C$14:$C$18))*_xlfn.XLOOKUP($G293,$B$14:$B$18,$D$14:$D$18),0)),IFERROR(OFFSET(L295,0,_xlfn.XLOOKUP($G293,$B$14:$B$18,$E$14:$E$18))*_xlfn.XLOOKUP($G293,$B$14:$B$18,$F$14:$F$18),0),J298)))</f>
        <v>0</v>
      </c>
    </row>
    <row r="299" spans="1:12" ht="15" thickTop="1"/>
    <row r="300" spans="1:12" ht="15" thickBot="1">
      <c r="A300" s="231">
        <f>_xlfn.XLOOKUP(F300,FEED!D:D,FEED!E:E,FALSE)</f>
        <v>0</v>
      </c>
      <c r="B300" s="232"/>
      <c r="C300" s="189"/>
      <c r="D300" s="189" t="s">
        <v>122</v>
      </c>
      <c r="E300" s="189" t="s">
        <v>123</v>
      </c>
      <c r="F300" s="189" t="s">
        <v>74</v>
      </c>
      <c r="G300" s="189" t="str">
        <f>IFERROR(_xlfn.XLOOKUP(F300,FEED!$D:$D,FEED!$S:$S),$B$8)</f>
        <v>2. High</v>
      </c>
      <c r="H300" s="189" t="str">
        <f>IFERROR(_xlfn.XLOOKUP(F300,FEED!$D:$D,FEED!$Y:$Y),"Major Load")</f>
        <v>Data Centre</v>
      </c>
      <c r="I300" s="189" t="str">
        <f>IFERROR(_xlfn.XLOOKUP(F300,FEED!$D:$D,FEED!$C:$C),"N")</f>
        <v>Y</v>
      </c>
      <c r="J300" s="190"/>
      <c r="K300" s="190"/>
      <c r="L300" s="190"/>
    </row>
    <row r="301" spans="1:12" ht="15" thickBot="1">
      <c r="A301" s="191" t="str">
        <f t="shared" ref="A301" si="1065">A231</f>
        <v>Uptake Scenario</v>
      </c>
      <c r="B301" s="192">
        <f>B238</f>
        <v>2023</v>
      </c>
      <c r="C301" s="192">
        <f t="shared" ref="C301:L301" si="1066">C238</f>
        <v>2024</v>
      </c>
      <c r="D301" s="192">
        <f t="shared" si="1066"/>
        <v>2025</v>
      </c>
      <c r="E301" s="192">
        <f t="shared" si="1066"/>
        <v>2026</v>
      </c>
      <c r="F301" s="192">
        <f t="shared" si="1066"/>
        <v>2027</v>
      </c>
      <c r="G301" s="192">
        <f t="shared" si="1066"/>
        <v>2028</v>
      </c>
      <c r="H301" s="192">
        <f t="shared" si="1066"/>
        <v>2029</v>
      </c>
      <c r="I301" s="192">
        <f t="shared" si="1066"/>
        <v>2030</v>
      </c>
      <c r="J301" s="192">
        <f t="shared" si="1066"/>
        <v>2031</v>
      </c>
      <c r="K301" s="192">
        <f t="shared" si="1066"/>
        <v>2032</v>
      </c>
      <c r="L301" s="192">
        <f t="shared" si="1066"/>
        <v>2033</v>
      </c>
    </row>
    <row r="302" spans="1:12" ht="15.6" thickTop="1" thickBot="1">
      <c r="A302" s="193" t="s">
        <v>111</v>
      </c>
      <c r="B302" s="194">
        <v>0</v>
      </c>
      <c r="C302" s="194">
        <f>SUMIF(FEED!$D:$D,$F300,FEED!F:F)+B302</f>
        <v>0</v>
      </c>
      <c r="D302" s="194">
        <f>SUMIF(FEED!$D:$D,$F300,FEED!G:G)+C302</f>
        <v>0</v>
      </c>
      <c r="E302" s="194">
        <f>SUMIF(FEED!$D:$D,$F300,FEED!H:H)+D302</f>
        <v>14.74</v>
      </c>
      <c r="F302" s="194">
        <f>SUMIF(FEED!$D:$D,$F300,FEED!I:I)+E302</f>
        <v>29.97</v>
      </c>
      <c r="G302" s="194">
        <f>SUMIF(FEED!$D:$D,$F300,FEED!J:J)+F302</f>
        <v>29.97</v>
      </c>
      <c r="H302" s="194">
        <f>SUMIF(FEED!$D:$D,$F300,FEED!K:K)+G302</f>
        <v>29.97</v>
      </c>
      <c r="I302" s="194">
        <f>SUMIF(FEED!$D:$D,$F300,FEED!L:L)+H302</f>
        <v>29.97</v>
      </c>
      <c r="J302" s="194">
        <f>SUMIF(FEED!$D:$D,$F300,FEED!M:M)+I302</f>
        <v>29.97</v>
      </c>
      <c r="K302" s="194">
        <f>SUMIF(FEED!$D:$D,$F300,FEED!N:N)+J302</f>
        <v>29.97</v>
      </c>
      <c r="L302" s="194">
        <f>SUMIF(FEED!$D:$D,$F300,FEED!O:O)+K302</f>
        <v>29.97</v>
      </c>
    </row>
    <row r="303" spans="1:12" ht="15" thickBot="1">
      <c r="A303" s="195" t="s">
        <v>107</v>
      </c>
      <c r="B303" s="196">
        <f>B302</f>
        <v>0</v>
      </c>
      <c r="C303" s="196">
        <f ca="1">IF($I300="N",C302,IF($G300="1. In Flight",1,$G$4)*MIN(MAX($C302:$L302)*_xlfn.XLOOKUP($G300,$B$4:$B$8,$F$4:$F$8),MAX(IF(IFERROR(OFFSET(C302,0,_xlfn.XLOOKUP($G300,$B$4:$B$8,$C$4:$C$8)),0)=MAX($C302:$L302),_xlfn.MINIFS($C302:$L302,$C302:$L302,"&gt;0")*_xlfn.XLOOKUP($G300,$B$4:$B$8,$D$4:$D$8),IFERROR(OFFSET(C302,0,_xlfn.XLOOKUP($G300,$B$4:$B$8,$C$4:$C$8))*_xlfn.XLOOKUP($G300,$B$4:$B$8,$D$4:$D$8),0)),IFERROR(OFFSET(C302,0,_xlfn.XLOOKUP($G300,$B$4:$B$8,$E$4:$E$8))*_xlfn.XLOOKUP($G300,$B$4:$B$8,$F$4:$F$8),0),A303)))</f>
        <v>0</v>
      </c>
      <c r="D303" s="196">
        <f t="shared" ref="D303" ca="1" si="1067">IF($I300="N",D302,IF($G300="1. In Flight",1,$G$4)*MIN(MAX($C302:$L302)*_xlfn.XLOOKUP($G300,$B$4:$B$8,$F$4:$F$8),MAX(IF(IFERROR(OFFSET(D302,0,_xlfn.XLOOKUP($G300,$B$4:$B$8,$C$4:$C$8)),0)=MAX($C302:$L302),_xlfn.MINIFS($C302:$L302,$C302:$L302,"&gt;0")*_xlfn.XLOOKUP($G300,$B$4:$B$8,$D$4:$D$8),IFERROR(OFFSET(D302,0,_xlfn.XLOOKUP($G300,$B$4:$B$8,$C$4:$C$8))*_xlfn.XLOOKUP($G300,$B$4:$B$8,$D$4:$D$8),0)),IFERROR(OFFSET(D302,0,_xlfn.XLOOKUP($G300,$B$4:$B$8,$E$4:$E$8))*_xlfn.XLOOKUP($G300,$B$4:$B$8,$F$4:$F$8),0),B303)))</f>
        <v>0</v>
      </c>
      <c r="E303" s="196">
        <f t="shared" ref="E303" ca="1" si="1068">IF($I300="N",E302,IF($G300="1. In Flight",1,$G$4)*MIN(MAX($C302:$L302)*_xlfn.XLOOKUP($G300,$B$4:$B$8,$F$4:$F$8),MAX(IF(IFERROR(OFFSET(E302,0,_xlfn.XLOOKUP($G300,$B$4:$B$8,$C$4:$C$8)),0)=MAX($C302:$L302),_xlfn.MINIFS($C302:$L302,$C302:$L302,"&gt;0")*_xlfn.XLOOKUP($G300,$B$4:$B$8,$D$4:$D$8),IFERROR(OFFSET(E302,0,_xlfn.XLOOKUP($G300,$B$4:$B$8,$C$4:$C$8))*_xlfn.XLOOKUP($G300,$B$4:$B$8,$D$4:$D$8),0)),IFERROR(OFFSET(E302,0,_xlfn.XLOOKUP($G300,$B$4:$B$8,$E$4:$E$8))*_xlfn.XLOOKUP($G300,$B$4:$B$8,$F$4:$F$8),0),C303)))</f>
        <v>0</v>
      </c>
      <c r="F303" s="196">
        <f t="shared" ref="F303" ca="1" si="1069">IF($I300="N",F302,IF($G300="1. In Flight",1,$G$4)*MIN(MAX($C302:$L302)*_xlfn.XLOOKUP($G300,$B$4:$B$8,$F$4:$F$8),MAX(IF(IFERROR(OFFSET(F302,0,_xlfn.XLOOKUP($G300,$B$4:$B$8,$C$4:$C$8)),0)=MAX($C302:$L302),_xlfn.MINIFS($C302:$L302,$C302:$L302,"&gt;0")*_xlfn.XLOOKUP($G300,$B$4:$B$8,$D$4:$D$8),IFERROR(OFFSET(F302,0,_xlfn.XLOOKUP($G300,$B$4:$B$8,$C$4:$C$8))*_xlfn.XLOOKUP($G300,$B$4:$B$8,$D$4:$D$8),0)),IFERROR(OFFSET(F302,0,_xlfn.XLOOKUP($G300,$B$4:$B$8,$E$4:$E$8))*_xlfn.XLOOKUP($G300,$B$4:$B$8,$F$4:$F$8),0),D303)))</f>
        <v>0</v>
      </c>
      <c r="G303" s="196">
        <f t="shared" ref="G303" ca="1" si="1070">IF($I300="N",G302,IF($G300="1. In Flight",1,$G$4)*MIN(MAX($C302:$L302)*_xlfn.XLOOKUP($G300,$B$4:$B$8,$F$4:$F$8),MAX(IF(IFERROR(OFFSET(G302,0,_xlfn.XLOOKUP($G300,$B$4:$B$8,$C$4:$C$8)),0)=MAX($C302:$L302),_xlfn.MINIFS($C302:$L302,$C302:$L302,"&gt;0")*_xlfn.XLOOKUP($G300,$B$4:$B$8,$D$4:$D$8),IFERROR(OFFSET(G302,0,_xlfn.XLOOKUP($G300,$B$4:$B$8,$C$4:$C$8))*_xlfn.XLOOKUP($G300,$B$4:$B$8,$D$4:$D$8),0)),IFERROR(OFFSET(G302,0,_xlfn.XLOOKUP($G300,$B$4:$B$8,$E$4:$E$8))*_xlfn.XLOOKUP($G300,$B$4:$B$8,$F$4:$F$8),0),E303)))</f>
        <v>7.222599999999999</v>
      </c>
      <c r="H303" s="196">
        <f t="shared" ref="H303" ca="1" si="1071">IF($I300="N",H302,IF($G300="1. In Flight",1,$G$4)*MIN(MAX($C302:$L302)*_xlfn.XLOOKUP($G300,$B$4:$B$8,$F$4:$F$8),MAX(IF(IFERROR(OFFSET(H302,0,_xlfn.XLOOKUP($G300,$B$4:$B$8,$C$4:$C$8)),0)=MAX($C302:$L302),_xlfn.MINIFS($C302:$L302,$C302:$L302,"&gt;0")*_xlfn.XLOOKUP($G300,$B$4:$B$8,$D$4:$D$8),IFERROR(OFFSET(H302,0,_xlfn.XLOOKUP($G300,$B$4:$B$8,$C$4:$C$8))*_xlfn.XLOOKUP($G300,$B$4:$B$8,$D$4:$D$8),0)),IFERROR(OFFSET(H302,0,_xlfn.XLOOKUP($G300,$B$4:$B$8,$E$4:$E$8))*_xlfn.XLOOKUP($G300,$B$4:$B$8,$F$4:$F$8),0),F303)))</f>
        <v>7.222599999999999</v>
      </c>
      <c r="I303" s="196">
        <f t="shared" ref="I303" ca="1" si="1072">IF($I300="N",I302,IF($G300="1. In Flight",1,$G$4)*MIN(MAX($C302:$L302)*_xlfn.XLOOKUP($G300,$B$4:$B$8,$F$4:$F$8),MAX(IF(IFERROR(OFFSET(I302,0,_xlfn.XLOOKUP($G300,$B$4:$B$8,$C$4:$C$8)),0)=MAX($C302:$L302),_xlfn.MINIFS($C302:$L302,$C302:$L302,"&gt;0")*_xlfn.XLOOKUP($G300,$B$4:$B$8,$D$4:$D$8),IFERROR(OFFSET(I302,0,_xlfn.XLOOKUP($G300,$B$4:$B$8,$C$4:$C$8))*_xlfn.XLOOKUP($G300,$B$4:$B$8,$D$4:$D$8),0)),IFERROR(OFFSET(I302,0,_xlfn.XLOOKUP($G300,$B$4:$B$8,$E$4:$E$8))*_xlfn.XLOOKUP($G300,$B$4:$B$8,$F$4:$F$8),0),G303)))</f>
        <v>7.222599999999999</v>
      </c>
      <c r="J303" s="196">
        <f t="shared" ref="J303" ca="1" si="1073">IF($I300="N",J302,IF($G300="1. In Flight",1,$G$4)*MIN(MAX($C302:$L302)*_xlfn.XLOOKUP($G300,$B$4:$B$8,$F$4:$F$8),MAX(IF(IFERROR(OFFSET(J302,0,_xlfn.XLOOKUP($G300,$B$4:$B$8,$C$4:$C$8)),0)=MAX($C302:$L302),_xlfn.MINIFS($C302:$L302,$C302:$L302,"&gt;0")*_xlfn.XLOOKUP($G300,$B$4:$B$8,$D$4:$D$8),IFERROR(OFFSET(J302,0,_xlfn.XLOOKUP($G300,$B$4:$B$8,$C$4:$C$8))*_xlfn.XLOOKUP($G300,$B$4:$B$8,$D$4:$D$8),0)),IFERROR(OFFSET(J302,0,_xlfn.XLOOKUP($G300,$B$4:$B$8,$E$4:$E$8))*_xlfn.XLOOKUP($G300,$B$4:$B$8,$F$4:$F$8),0),H303)))</f>
        <v>7.222599999999999</v>
      </c>
      <c r="K303" s="196">
        <f t="shared" ref="K303" ca="1" si="1074">IF($I300="N",K302,IF($G300="1. In Flight",1,$G$4)*MIN(MAX($C302:$L302)*_xlfn.XLOOKUP($G300,$B$4:$B$8,$F$4:$F$8),MAX(IF(IFERROR(OFFSET(K302,0,_xlfn.XLOOKUP($G300,$B$4:$B$8,$C$4:$C$8)),0)=MAX($C302:$L302),_xlfn.MINIFS($C302:$L302,$C302:$L302,"&gt;0")*_xlfn.XLOOKUP($G300,$B$4:$B$8,$D$4:$D$8),IFERROR(OFFSET(K302,0,_xlfn.XLOOKUP($G300,$B$4:$B$8,$C$4:$C$8))*_xlfn.XLOOKUP($G300,$B$4:$B$8,$D$4:$D$8),0)),IFERROR(OFFSET(K302,0,_xlfn.XLOOKUP($G300,$B$4:$B$8,$E$4:$E$8))*_xlfn.XLOOKUP($G300,$B$4:$B$8,$F$4:$F$8),0),I303)))</f>
        <v>10.4895</v>
      </c>
      <c r="L303" s="196">
        <f t="shared" ref="L303" ca="1" si="1075">IF($I300="N",L302,IF($G300="1. In Flight",1,$G$4)*MIN(MAX($C302:$L302)*_xlfn.XLOOKUP($G300,$B$4:$B$8,$F$4:$F$8),MAX(IF(IFERROR(OFFSET(L302,0,_xlfn.XLOOKUP($G300,$B$4:$B$8,$C$4:$C$8)),0)=MAX($C302:$L302),_xlfn.MINIFS($C302:$L302,$C302:$L302,"&gt;0")*_xlfn.XLOOKUP($G300,$B$4:$B$8,$D$4:$D$8),IFERROR(OFFSET(L302,0,_xlfn.XLOOKUP($G300,$B$4:$B$8,$C$4:$C$8))*_xlfn.XLOOKUP($G300,$B$4:$B$8,$D$4:$D$8),0)),IFERROR(OFFSET(L302,0,_xlfn.XLOOKUP($G300,$B$4:$B$8,$E$4:$E$8))*_xlfn.XLOOKUP($G300,$B$4:$B$8,$F$4:$F$8),0),J303)))</f>
        <v>10.4895</v>
      </c>
    </row>
    <row r="304" spans="1:12" ht="15" thickBot="1">
      <c r="A304" s="195" t="s">
        <v>108</v>
      </c>
      <c r="B304" s="196">
        <f>B302</f>
        <v>0</v>
      </c>
      <c r="C304" s="196">
        <f ca="1">IF($I300="N",C302,IF($G300="1. In Flight",1,$G$9)*MIN(MAX($C302:$L302)*_xlfn.XLOOKUP($G300,$B$9:$B$13,$F$9:$F$13),MAX(IF(IFERROR(OFFSET(C302,0,_xlfn.XLOOKUP($G300,$B$9:$B$13,$C$9:$C$13)),0)=MAX($C302:$L302),_xlfn.MINIFS($C302:$L302,$C302:$L302,"&gt;0")*_xlfn.XLOOKUP($G300,$B$9:$B$13,$D$9:$D$13),IFERROR(OFFSET(C302,0,_xlfn.XLOOKUP($G300,$B$9:$B$13,$C$9:$C$13))*_xlfn.XLOOKUP($G300,$B$9:$B$13,$D$9:$D$13),0)),IFERROR(OFFSET(C302,0,_xlfn.XLOOKUP($G300,$B$9:$B$13,$E$9:$E$13))*_xlfn.XLOOKUP($G300,$B$9:$B$13,$F$9:$F$13),0),A304)))</f>
        <v>0</v>
      </c>
      <c r="D304" s="196">
        <f t="shared" ref="D304" ca="1" si="1076">IF($I300="N",D302,IF($G300="1. In Flight",1,$G$9)*MIN(MAX($C302:$L302)*_xlfn.XLOOKUP($G300,$B$9:$B$13,$F$9:$F$13),MAX(IF(IFERROR(OFFSET(D302,0,_xlfn.XLOOKUP($G300,$B$9:$B$13,$C$9:$C$13)),0)=MAX($C302:$L302),_xlfn.MINIFS($C302:$L302,$C302:$L302,"&gt;0")*_xlfn.XLOOKUP($G300,$B$9:$B$13,$D$9:$D$13),IFERROR(OFFSET(D302,0,_xlfn.XLOOKUP($G300,$B$9:$B$13,$C$9:$C$13))*_xlfn.XLOOKUP($G300,$B$9:$B$13,$D$9:$D$13),0)),IFERROR(OFFSET(D302,0,_xlfn.XLOOKUP($G300,$B$9:$B$13,$E$9:$E$13))*_xlfn.XLOOKUP($G300,$B$9:$B$13,$F$9:$F$13),0),B304)))</f>
        <v>0</v>
      </c>
      <c r="E304" s="196">
        <f t="shared" ref="E304" ca="1" si="1077">IF($I300="N",E302,IF($G300="1. In Flight",1,$G$9)*MIN(MAX($C302:$L302)*_xlfn.XLOOKUP($G300,$B$9:$B$13,$F$9:$F$13),MAX(IF(IFERROR(OFFSET(E302,0,_xlfn.XLOOKUP($G300,$B$9:$B$13,$C$9:$C$13)),0)=MAX($C302:$L302),_xlfn.MINIFS($C302:$L302,$C302:$L302,"&gt;0")*_xlfn.XLOOKUP($G300,$B$9:$B$13,$D$9:$D$13),IFERROR(OFFSET(E302,0,_xlfn.XLOOKUP($G300,$B$9:$B$13,$C$9:$C$13))*_xlfn.XLOOKUP($G300,$B$9:$B$13,$D$9:$D$13),0)),IFERROR(OFFSET(E302,0,_xlfn.XLOOKUP($G300,$B$9:$B$13,$E$9:$E$13))*_xlfn.XLOOKUP($G300,$B$9:$B$13,$F$9:$F$13),0),C304)))</f>
        <v>0</v>
      </c>
      <c r="F304" s="196">
        <f t="shared" ref="F304" ca="1" si="1078">IF($I300="N",F302,IF($G300="1. In Flight",1,$G$9)*MIN(MAX($C302:$L302)*_xlfn.XLOOKUP($G300,$B$9:$B$13,$F$9:$F$13),MAX(IF(IFERROR(OFFSET(F302,0,_xlfn.XLOOKUP($G300,$B$9:$B$13,$C$9:$C$13)),0)=MAX($C302:$L302),_xlfn.MINIFS($C302:$L302,$C302:$L302,"&gt;0")*_xlfn.XLOOKUP($G300,$B$9:$B$13,$D$9:$D$13),IFERROR(OFFSET(F302,0,_xlfn.XLOOKUP($G300,$B$9:$B$13,$C$9:$C$13))*_xlfn.XLOOKUP($G300,$B$9:$B$13,$D$9:$D$13),0)),IFERROR(OFFSET(F302,0,_xlfn.XLOOKUP($G300,$B$9:$B$13,$E$9:$E$13))*_xlfn.XLOOKUP($G300,$B$9:$B$13,$F$9:$F$13),0),D304)))</f>
        <v>0</v>
      </c>
      <c r="G304" s="196">
        <f t="shared" ref="G304" ca="1" si="1079">IF($I300="N",G302,IF($G300="1. In Flight",1,$G$9)*MIN(MAX($C302:$L302)*_xlfn.XLOOKUP($G300,$B$9:$B$13,$F$9:$F$13),MAX(IF(IFERROR(OFFSET(G302,0,_xlfn.XLOOKUP($G300,$B$9:$B$13,$C$9:$C$13)),0)=MAX($C302:$L302),_xlfn.MINIFS($C302:$L302,$C302:$L302,"&gt;0")*_xlfn.XLOOKUP($G300,$B$9:$B$13,$D$9:$D$13),IFERROR(OFFSET(G302,0,_xlfn.XLOOKUP($G300,$B$9:$B$13,$C$9:$C$13))*_xlfn.XLOOKUP($G300,$B$9:$B$13,$D$9:$D$13),0)),IFERROR(OFFSET(G302,0,_xlfn.XLOOKUP($G300,$B$9:$B$13,$E$9:$E$13))*_xlfn.XLOOKUP($G300,$B$9:$B$13,$F$9:$F$13),0),E304)))</f>
        <v>0</v>
      </c>
      <c r="H304" s="196">
        <f t="shared" ref="H304" ca="1" si="1080">IF($I300="N",H302,IF($G300="1. In Flight",1,$G$9)*MIN(MAX($C302:$L302)*_xlfn.XLOOKUP($G300,$B$9:$B$13,$F$9:$F$13),MAX(IF(IFERROR(OFFSET(H302,0,_xlfn.XLOOKUP($G300,$B$9:$B$13,$C$9:$C$13)),0)=MAX($C302:$L302),_xlfn.MINIFS($C302:$L302,$C302:$L302,"&gt;0")*_xlfn.XLOOKUP($G300,$B$9:$B$13,$D$9:$D$13),IFERROR(OFFSET(H302,0,_xlfn.XLOOKUP($G300,$B$9:$B$13,$C$9:$C$13))*_xlfn.XLOOKUP($G300,$B$9:$B$13,$D$9:$D$13),0)),IFERROR(OFFSET(H302,0,_xlfn.XLOOKUP($G300,$B$9:$B$13,$E$9:$E$13))*_xlfn.XLOOKUP($G300,$B$9:$B$13,$F$9:$F$13),0),F304)))</f>
        <v>2.9480000000000004</v>
      </c>
      <c r="I304" s="196">
        <f t="shared" ref="I304" ca="1" si="1081">IF($I300="N",I302,IF($G300="1. In Flight",1,$G$9)*MIN(MAX($C302:$L302)*_xlfn.XLOOKUP($G300,$B$9:$B$13,$F$9:$F$13),MAX(IF(IFERROR(OFFSET(I302,0,_xlfn.XLOOKUP($G300,$B$9:$B$13,$C$9:$C$13)),0)=MAX($C302:$L302),_xlfn.MINIFS($C302:$L302,$C302:$L302,"&gt;0")*_xlfn.XLOOKUP($G300,$B$9:$B$13,$D$9:$D$13),IFERROR(OFFSET(I302,0,_xlfn.XLOOKUP($G300,$B$9:$B$13,$C$9:$C$13))*_xlfn.XLOOKUP($G300,$B$9:$B$13,$D$9:$D$13),0)),IFERROR(OFFSET(I302,0,_xlfn.XLOOKUP($G300,$B$9:$B$13,$E$9:$E$13))*_xlfn.XLOOKUP($G300,$B$9:$B$13,$F$9:$F$13),0),G304)))</f>
        <v>2.9480000000000004</v>
      </c>
      <c r="J304" s="196">
        <f t="shared" ref="J304" ca="1" si="1082">IF($I300="N",J302,IF($G300="1. In Flight",1,$G$9)*MIN(MAX($C302:$L302)*_xlfn.XLOOKUP($G300,$B$9:$B$13,$F$9:$F$13),MAX(IF(IFERROR(OFFSET(J302,0,_xlfn.XLOOKUP($G300,$B$9:$B$13,$C$9:$C$13)),0)=MAX($C302:$L302),_xlfn.MINIFS($C302:$L302,$C302:$L302,"&gt;0")*_xlfn.XLOOKUP($G300,$B$9:$B$13,$D$9:$D$13),IFERROR(OFFSET(J302,0,_xlfn.XLOOKUP($G300,$B$9:$B$13,$C$9:$C$13))*_xlfn.XLOOKUP($G300,$B$9:$B$13,$D$9:$D$13),0)),IFERROR(OFFSET(J302,0,_xlfn.XLOOKUP($G300,$B$9:$B$13,$E$9:$E$13))*_xlfn.XLOOKUP($G300,$B$9:$B$13,$F$9:$F$13),0),H304)))</f>
        <v>2.9480000000000004</v>
      </c>
      <c r="K304" s="196">
        <f t="shared" ref="K304" ca="1" si="1083">IF($I300="N",K302,IF($G300="1. In Flight",1,$G$9)*MIN(MAX($C302:$L302)*_xlfn.XLOOKUP($G300,$B$9:$B$13,$F$9:$F$13),MAX(IF(IFERROR(OFFSET(K302,0,_xlfn.XLOOKUP($G300,$B$9:$B$13,$C$9:$C$13)),0)=MAX($C302:$L302),_xlfn.MINIFS($C302:$L302,$C302:$L302,"&gt;0")*_xlfn.XLOOKUP($G300,$B$9:$B$13,$D$9:$D$13),IFERROR(OFFSET(K302,0,_xlfn.XLOOKUP($G300,$B$9:$B$13,$C$9:$C$13))*_xlfn.XLOOKUP($G300,$B$9:$B$13,$D$9:$D$13),0)),IFERROR(OFFSET(K302,0,_xlfn.XLOOKUP($G300,$B$9:$B$13,$E$9:$E$13))*_xlfn.XLOOKUP($G300,$B$9:$B$13,$F$9:$F$13),0),I304)))</f>
        <v>2.9480000000000004</v>
      </c>
      <c r="L304" s="196">
        <f t="shared" ref="L304" ca="1" si="1084">IF($I300="N",L302,IF($G300="1. In Flight",1,$G$9)*MIN(MAX($C302:$L302)*_xlfn.XLOOKUP($G300,$B$9:$B$13,$F$9:$F$13),MAX(IF(IFERROR(OFFSET(L302,0,_xlfn.XLOOKUP($G300,$B$9:$B$13,$C$9:$C$13)),0)=MAX($C302:$L302),_xlfn.MINIFS($C302:$L302,$C302:$L302,"&gt;0")*_xlfn.XLOOKUP($G300,$B$9:$B$13,$D$9:$D$13),IFERROR(OFFSET(L302,0,_xlfn.XLOOKUP($G300,$B$9:$B$13,$C$9:$C$13))*_xlfn.XLOOKUP($G300,$B$9:$B$13,$D$9:$D$13),0)),IFERROR(OFFSET(L302,0,_xlfn.XLOOKUP($G300,$B$9:$B$13,$E$9:$E$13))*_xlfn.XLOOKUP($G300,$B$9:$B$13,$F$9:$F$13),0),J304)))</f>
        <v>2.9480000000000004</v>
      </c>
    </row>
    <row r="305" spans="1:12" ht="15" thickBot="1">
      <c r="A305" s="197" t="s">
        <v>109</v>
      </c>
      <c r="B305" s="198">
        <f>B302</f>
        <v>0</v>
      </c>
      <c r="C305" s="198">
        <f ca="1">IF($I300="N",C302,IF($G300="1. In Flight",1,$G$14)*MIN(MAX($C302:$L302)*_xlfn.XLOOKUP($G300,$B$14:$B$18,$F$14:$F$18),MAX(IF(IFERROR(OFFSET(C302,0,_xlfn.XLOOKUP($G300,$B$14:$B$18,$C$14:$C$18)),0)=MAX($C302:$L302),_xlfn.MINIFS($C302:$L302,$C302:$L302,"&gt;0")*_xlfn.XLOOKUP($G300,$B$14:$B$18,$D$14:$D$18),IFERROR(OFFSET(C302,0,_xlfn.XLOOKUP($G300,$B$14:$B$18,$C$14:$C$18))*_xlfn.XLOOKUP($G300,$B$14:$B$18,$D$14:$D$18),0)),IFERROR(OFFSET(C302,0,_xlfn.XLOOKUP($G300,$B$14:$B$18,$E$14:$E$18))*_xlfn.XLOOKUP($G300,$B$14:$B$18,$F$14:$F$18),0),A305)))</f>
        <v>0</v>
      </c>
      <c r="D305" s="198">
        <f t="shared" ref="D305" ca="1" si="1085">IF($I300="N",D302,IF($G300="1. In Flight",1,$G$14)*MIN(MAX($C302:$L302)*_xlfn.XLOOKUP($G300,$B$14:$B$18,$F$14:$F$18),MAX(IF(IFERROR(OFFSET(D302,0,_xlfn.XLOOKUP($G300,$B$14:$B$18,$C$14:$C$18)),0)=MAX($C302:$L302),_xlfn.MINIFS($C302:$L302,$C302:$L302,"&gt;0")*_xlfn.XLOOKUP($G300,$B$14:$B$18,$D$14:$D$18),IFERROR(OFFSET(D302,0,_xlfn.XLOOKUP($G300,$B$14:$B$18,$C$14:$C$18))*_xlfn.XLOOKUP($G300,$B$14:$B$18,$D$14:$D$18),0)),IFERROR(OFFSET(D302,0,_xlfn.XLOOKUP($G300,$B$14:$B$18,$E$14:$E$18))*_xlfn.XLOOKUP($G300,$B$14:$B$18,$F$14:$F$18),0),B305)))</f>
        <v>0</v>
      </c>
      <c r="E305" s="198">
        <f t="shared" ref="E305" ca="1" si="1086">IF($I300="N",E302,IF($G300="1. In Flight",1,$G$14)*MIN(MAX($C302:$L302)*_xlfn.XLOOKUP($G300,$B$14:$B$18,$F$14:$F$18),MAX(IF(IFERROR(OFFSET(E302,0,_xlfn.XLOOKUP($G300,$B$14:$B$18,$C$14:$C$18)),0)=MAX($C302:$L302),_xlfn.MINIFS($C302:$L302,$C302:$L302,"&gt;0")*_xlfn.XLOOKUP($G300,$B$14:$B$18,$D$14:$D$18),IFERROR(OFFSET(E302,0,_xlfn.XLOOKUP($G300,$B$14:$B$18,$C$14:$C$18))*_xlfn.XLOOKUP($G300,$B$14:$B$18,$D$14:$D$18),0)),IFERROR(OFFSET(E302,0,_xlfn.XLOOKUP($G300,$B$14:$B$18,$E$14:$E$18))*_xlfn.XLOOKUP($G300,$B$14:$B$18,$F$14:$F$18),0),C305)))</f>
        <v>0</v>
      </c>
      <c r="F305" s="198">
        <f t="shared" ref="F305" ca="1" si="1087">IF($I300="N",F302,IF($G300="1. In Flight",1,$G$14)*MIN(MAX($C302:$L302)*_xlfn.XLOOKUP($G300,$B$14:$B$18,$F$14:$F$18),MAX(IF(IFERROR(OFFSET(F302,0,_xlfn.XLOOKUP($G300,$B$14:$B$18,$C$14:$C$18)),0)=MAX($C302:$L302),_xlfn.MINIFS($C302:$L302,$C302:$L302,"&gt;0")*_xlfn.XLOOKUP($G300,$B$14:$B$18,$D$14:$D$18),IFERROR(OFFSET(F302,0,_xlfn.XLOOKUP($G300,$B$14:$B$18,$C$14:$C$18))*_xlfn.XLOOKUP($G300,$B$14:$B$18,$D$14:$D$18),0)),IFERROR(OFFSET(F302,0,_xlfn.XLOOKUP($G300,$B$14:$B$18,$E$14:$E$18))*_xlfn.XLOOKUP($G300,$B$14:$B$18,$F$14:$F$18),0),D305)))</f>
        <v>10.612800000000002</v>
      </c>
      <c r="G305" s="198">
        <f t="shared" ref="G305" ca="1" si="1088">IF($I300="N",G302,IF($G300="1. In Flight",1,$G$14)*MIN(MAX($C302:$L302)*_xlfn.XLOOKUP($G300,$B$14:$B$18,$F$14:$F$18),MAX(IF(IFERROR(OFFSET(G302,0,_xlfn.XLOOKUP($G300,$B$14:$B$18,$C$14:$C$18)),0)=MAX($C302:$L302),_xlfn.MINIFS($C302:$L302,$C302:$L302,"&gt;0")*_xlfn.XLOOKUP($G300,$B$14:$B$18,$D$14:$D$18),IFERROR(OFFSET(G302,0,_xlfn.XLOOKUP($G300,$B$14:$B$18,$C$14:$C$18))*_xlfn.XLOOKUP($G300,$B$14:$B$18,$D$14:$D$18),0)),IFERROR(OFFSET(G302,0,_xlfn.XLOOKUP($G300,$B$14:$B$18,$E$14:$E$18))*_xlfn.XLOOKUP($G300,$B$14:$B$18,$F$14:$F$18),0),E305)))</f>
        <v>10.612800000000002</v>
      </c>
      <c r="H305" s="198">
        <f t="shared" ref="H305" ca="1" si="1089">IF($I300="N",H302,IF($G300="1. In Flight",1,$G$14)*MIN(MAX($C302:$L302)*_xlfn.XLOOKUP($G300,$B$14:$B$18,$F$14:$F$18),MAX(IF(IFERROR(OFFSET(H302,0,_xlfn.XLOOKUP($G300,$B$14:$B$18,$C$14:$C$18)),0)=MAX($C302:$L302),_xlfn.MINIFS($C302:$L302,$C302:$L302,"&gt;0")*_xlfn.XLOOKUP($G300,$B$14:$B$18,$D$14:$D$18),IFERROR(OFFSET(H302,0,_xlfn.XLOOKUP($G300,$B$14:$B$18,$C$14:$C$18))*_xlfn.XLOOKUP($G300,$B$14:$B$18,$D$14:$D$18),0)),IFERROR(OFFSET(H302,0,_xlfn.XLOOKUP($G300,$B$14:$B$18,$E$14:$E$18))*_xlfn.XLOOKUP($G300,$B$14:$B$18,$F$14:$F$18),0),F305)))</f>
        <v>10.612800000000002</v>
      </c>
      <c r="I305" s="198">
        <f t="shared" ref="I305" ca="1" si="1090">IF($I300="N",I302,IF($G300="1. In Flight",1,$G$14)*MIN(MAX($C302:$L302)*_xlfn.XLOOKUP($G300,$B$14:$B$18,$F$14:$F$18),MAX(IF(IFERROR(OFFSET(I302,0,_xlfn.XLOOKUP($G300,$B$14:$B$18,$C$14:$C$18)),0)=MAX($C302:$L302),_xlfn.MINIFS($C302:$L302,$C302:$L302,"&gt;0")*_xlfn.XLOOKUP($G300,$B$14:$B$18,$D$14:$D$18),IFERROR(OFFSET(I302,0,_xlfn.XLOOKUP($G300,$B$14:$B$18,$C$14:$C$18))*_xlfn.XLOOKUP($G300,$B$14:$B$18,$D$14:$D$18),0)),IFERROR(OFFSET(I302,0,_xlfn.XLOOKUP($G300,$B$14:$B$18,$E$14:$E$18))*_xlfn.XLOOKUP($G300,$B$14:$B$18,$F$14:$F$18),0),G305)))</f>
        <v>21.578399999999998</v>
      </c>
      <c r="J305" s="198">
        <f t="shared" ref="J305" ca="1" si="1091">IF($I300="N",J302,IF($G300="1. In Flight",1,$G$14)*MIN(MAX($C302:$L302)*_xlfn.XLOOKUP($G300,$B$14:$B$18,$F$14:$F$18),MAX(IF(IFERROR(OFFSET(J302,0,_xlfn.XLOOKUP($G300,$B$14:$B$18,$C$14:$C$18)),0)=MAX($C302:$L302),_xlfn.MINIFS($C302:$L302,$C302:$L302,"&gt;0")*_xlfn.XLOOKUP($G300,$B$14:$B$18,$D$14:$D$18),IFERROR(OFFSET(J302,0,_xlfn.XLOOKUP($G300,$B$14:$B$18,$C$14:$C$18))*_xlfn.XLOOKUP($G300,$B$14:$B$18,$D$14:$D$18),0)),IFERROR(OFFSET(J302,0,_xlfn.XLOOKUP($G300,$B$14:$B$18,$E$14:$E$18))*_xlfn.XLOOKUP($G300,$B$14:$B$18,$F$14:$F$18),0),H305)))</f>
        <v>21.578399999999998</v>
      </c>
      <c r="K305" s="198">
        <f t="shared" ref="K305" ca="1" si="1092">IF($I300="N",K302,IF($G300="1. In Flight",1,$G$14)*MIN(MAX($C302:$L302)*_xlfn.XLOOKUP($G300,$B$14:$B$18,$F$14:$F$18),MAX(IF(IFERROR(OFFSET(K302,0,_xlfn.XLOOKUP($G300,$B$14:$B$18,$C$14:$C$18)),0)=MAX($C302:$L302),_xlfn.MINIFS($C302:$L302,$C302:$L302,"&gt;0")*_xlfn.XLOOKUP($G300,$B$14:$B$18,$D$14:$D$18),IFERROR(OFFSET(K302,0,_xlfn.XLOOKUP($G300,$B$14:$B$18,$C$14:$C$18))*_xlfn.XLOOKUP($G300,$B$14:$B$18,$D$14:$D$18),0)),IFERROR(OFFSET(K302,0,_xlfn.XLOOKUP($G300,$B$14:$B$18,$E$14:$E$18))*_xlfn.XLOOKUP($G300,$B$14:$B$18,$F$14:$F$18),0),I305)))</f>
        <v>21.578399999999998</v>
      </c>
      <c r="L305" s="198">
        <f t="shared" ref="L305" ca="1" si="1093">IF($I300="N",L302,IF($G300="1. In Flight",1,$G$14)*MIN(MAX($C302:$L302)*_xlfn.XLOOKUP($G300,$B$14:$B$18,$F$14:$F$18),MAX(IF(IFERROR(OFFSET(L302,0,_xlfn.XLOOKUP($G300,$B$14:$B$18,$C$14:$C$18)),0)=MAX($C302:$L302),_xlfn.MINIFS($C302:$L302,$C302:$L302,"&gt;0")*_xlfn.XLOOKUP($G300,$B$14:$B$18,$D$14:$D$18),IFERROR(OFFSET(L302,0,_xlfn.XLOOKUP($G300,$B$14:$B$18,$C$14:$C$18))*_xlfn.XLOOKUP($G300,$B$14:$B$18,$D$14:$D$18),0)),IFERROR(OFFSET(L302,0,_xlfn.XLOOKUP($G300,$B$14:$B$18,$E$14:$E$18))*_xlfn.XLOOKUP($G300,$B$14:$B$18,$F$14:$F$18),0),J305)))</f>
        <v>21.578399999999998</v>
      </c>
    </row>
    <row r="306" spans="1:12" ht="15" thickTop="1">
      <c r="A306" s="50"/>
      <c r="B306" s="199"/>
      <c r="C306" s="199"/>
      <c r="D306" s="199"/>
      <c r="E306" s="199"/>
      <c r="F306" s="199"/>
      <c r="G306" s="199"/>
      <c r="H306" s="199"/>
      <c r="I306" s="199"/>
      <c r="J306" s="199"/>
      <c r="K306" s="199"/>
      <c r="L306" s="199"/>
    </row>
    <row r="307" spans="1:12" ht="15" thickBot="1">
      <c r="A307" s="231">
        <f>_xlfn.XLOOKUP(F307,FEED!D:D,FEED!E:E,FALSE)</f>
        <v>0</v>
      </c>
      <c r="B307" s="232"/>
      <c r="C307" s="189"/>
      <c r="D307" s="189" t="s">
        <v>122</v>
      </c>
      <c r="E307" s="189" t="s">
        <v>123</v>
      </c>
      <c r="F307" s="189" t="s">
        <v>75</v>
      </c>
      <c r="G307" s="189" t="str">
        <f>IFERROR(_xlfn.XLOOKUP(F307,FEED!$D:$D,FEED!$S:$S),$B$8)</f>
        <v>3. Medium</v>
      </c>
      <c r="H307" s="189" t="str">
        <f>IFERROR(_xlfn.XLOOKUP(F307,FEED!$D:$D,FEED!$Y:$Y),"Major Load")</f>
        <v>Data Centre</v>
      </c>
      <c r="I307" s="189" t="str">
        <f>IFERROR(_xlfn.XLOOKUP(F307,FEED!$D:$D,FEED!$C:$C),"N")</f>
        <v>Y</v>
      </c>
      <c r="J307" s="190"/>
      <c r="K307" s="190"/>
      <c r="L307" s="190"/>
    </row>
    <row r="308" spans="1:12" ht="15" thickBot="1">
      <c r="A308" s="191" t="str">
        <f t="shared" ref="A308" si="1094">A238</f>
        <v>Uptake Scenario</v>
      </c>
      <c r="B308" s="192">
        <f>B301</f>
        <v>2023</v>
      </c>
      <c r="C308" s="192">
        <f t="shared" ref="C308:L308" si="1095">C301</f>
        <v>2024</v>
      </c>
      <c r="D308" s="192">
        <f t="shared" si="1095"/>
        <v>2025</v>
      </c>
      <c r="E308" s="192">
        <f t="shared" si="1095"/>
        <v>2026</v>
      </c>
      <c r="F308" s="192">
        <f t="shared" si="1095"/>
        <v>2027</v>
      </c>
      <c r="G308" s="192">
        <f t="shared" si="1095"/>
        <v>2028</v>
      </c>
      <c r="H308" s="192">
        <f t="shared" si="1095"/>
        <v>2029</v>
      </c>
      <c r="I308" s="192">
        <f t="shared" si="1095"/>
        <v>2030</v>
      </c>
      <c r="J308" s="192">
        <f t="shared" si="1095"/>
        <v>2031</v>
      </c>
      <c r="K308" s="192">
        <f t="shared" si="1095"/>
        <v>2032</v>
      </c>
      <c r="L308" s="192">
        <f t="shared" si="1095"/>
        <v>2033</v>
      </c>
    </row>
    <row r="309" spans="1:12" ht="15.6" thickTop="1" thickBot="1">
      <c r="A309" s="193" t="s">
        <v>111</v>
      </c>
      <c r="B309" s="194">
        <v>0</v>
      </c>
      <c r="C309" s="194">
        <f>SUMIF(FEED!$D:$D,$F307,FEED!F:F)+B309</f>
        <v>0</v>
      </c>
      <c r="D309" s="194">
        <f>SUMIF(FEED!$D:$D,$F307,FEED!G:G)+C309</f>
        <v>0</v>
      </c>
      <c r="E309" s="194">
        <f>SUMIF(FEED!$D:$D,$F307,FEED!H:H)+D309</f>
        <v>0</v>
      </c>
      <c r="F309" s="194">
        <f>SUMIF(FEED!$D:$D,$F307,FEED!I:I)+E309</f>
        <v>0</v>
      </c>
      <c r="G309" s="194">
        <f>SUMIF(FEED!$D:$D,$F307,FEED!J:J)+F309</f>
        <v>14.240000000000002</v>
      </c>
      <c r="H309" s="194">
        <f>SUMIF(FEED!$D:$D,$F307,FEED!K:K)+G309</f>
        <v>54.239999999999995</v>
      </c>
      <c r="I309" s="194">
        <f>SUMIF(FEED!$D:$D,$F307,FEED!L:L)+H309</f>
        <v>68.98</v>
      </c>
      <c r="J309" s="194">
        <f>SUMIF(FEED!$D:$D,$F307,FEED!M:M)+I309</f>
        <v>83.710000000000008</v>
      </c>
      <c r="K309" s="194">
        <f>SUMIF(FEED!$D:$D,$F307,FEED!N:N)+J309</f>
        <v>98.449999999999989</v>
      </c>
      <c r="L309" s="194">
        <f>SUMIF(FEED!$D:$D,$F307,FEED!O:O)+K309</f>
        <v>110.03</v>
      </c>
    </row>
    <row r="310" spans="1:12" ht="15" thickBot="1">
      <c r="A310" s="195" t="s">
        <v>107</v>
      </c>
      <c r="B310" s="196">
        <f>B309</f>
        <v>0</v>
      </c>
      <c r="C310" s="196">
        <f ca="1">IF($I307="N",C309,IF($G307="1. In Flight",1,$G$4)*MIN(MAX($C309:$L309)*_xlfn.XLOOKUP($G307,$B$4:$B$8,$F$4:$F$8),MAX(IF(IFERROR(OFFSET(C309,0,_xlfn.XLOOKUP($G307,$B$4:$B$8,$C$4:$C$8)),0)=MAX($C309:$L309),_xlfn.MINIFS($C309:$L309,$C309:$L309,"&gt;0")*_xlfn.XLOOKUP($G307,$B$4:$B$8,$D$4:$D$8),IFERROR(OFFSET(C309,0,_xlfn.XLOOKUP($G307,$B$4:$B$8,$C$4:$C$8))*_xlfn.XLOOKUP($G307,$B$4:$B$8,$D$4:$D$8),0)),IFERROR(OFFSET(C309,0,_xlfn.XLOOKUP($G307,$B$4:$B$8,$E$4:$E$8))*_xlfn.XLOOKUP($G307,$B$4:$B$8,$F$4:$F$8),0),A310)))</f>
        <v>0</v>
      </c>
      <c r="D310" s="196">
        <f t="shared" ref="D310" ca="1" si="1096">IF($I307="N",D309,IF($G307="1. In Flight",1,$G$4)*MIN(MAX($C309:$L309)*_xlfn.XLOOKUP($G307,$B$4:$B$8,$F$4:$F$8),MAX(IF(IFERROR(OFFSET(D309,0,_xlfn.XLOOKUP($G307,$B$4:$B$8,$C$4:$C$8)),0)=MAX($C309:$L309),_xlfn.MINIFS($C309:$L309,$C309:$L309,"&gt;0")*_xlfn.XLOOKUP($G307,$B$4:$B$8,$D$4:$D$8),IFERROR(OFFSET(D309,0,_xlfn.XLOOKUP($G307,$B$4:$B$8,$C$4:$C$8))*_xlfn.XLOOKUP($G307,$B$4:$B$8,$D$4:$D$8),0)),IFERROR(OFFSET(D309,0,_xlfn.XLOOKUP($G307,$B$4:$B$8,$E$4:$E$8))*_xlfn.XLOOKUP($G307,$B$4:$B$8,$F$4:$F$8),0),B310)))</f>
        <v>0</v>
      </c>
      <c r="E310" s="196">
        <f t="shared" ref="E310" ca="1" si="1097">IF($I307="N",E309,IF($G307="1. In Flight",1,$G$4)*MIN(MAX($C309:$L309)*_xlfn.XLOOKUP($G307,$B$4:$B$8,$F$4:$F$8),MAX(IF(IFERROR(OFFSET(E309,0,_xlfn.XLOOKUP($G307,$B$4:$B$8,$C$4:$C$8)),0)=MAX($C309:$L309),_xlfn.MINIFS($C309:$L309,$C309:$L309,"&gt;0")*_xlfn.XLOOKUP($G307,$B$4:$B$8,$D$4:$D$8),IFERROR(OFFSET(E309,0,_xlfn.XLOOKUP($G307,$B$4:$B$8,$C$4:$C$8))*_xlfn.XLOOKUP($G307,$B$4:$B$8,$D$4:$D$8),0)),IFERROR(OFFSET(E309,0,_xlfn.XLOOKUP($G307,$B$4:$B$8,$E$4:$E$8))*_xlfn.XLOOKUP($G307,$B$4:$B$8,$F$4:$F$8),0),C310)))</f>
        <v>0</v>
      </c>
      <c r="F310" s="196">
        <f t="shared" ref="F310" ca="1" si="1098">IF($I307="N",F309,IF($G307="1. In Flight",1,$G$4)*MIN(MAX($C309:$L309)*_xlfn.XLOOKUP($G307,$B$4:$B$8,$F$4:$F$8),MAX(IF(IFERROR(OFFSET(F309,0,_xlfn.XLOOKUP($G307,$B$4:$B$8,$C$4:$C$8)),0)=MAX($C309:$L309),_xlfn.MINIFS($C309:$L309,$C309:$L309,"&gt;0")*_xlfn.XLOOKUP($G307,$B$4:$B$8,$D$4:$D$8),IFERROR(OFFSET(F309,0,_xlfn.XLOOKUP($G307,$B$4:$B$8,$C$4:$C$8))*_xlfn.XLOOKUP($G307,$B$4:$B$8,$D$4:$D$8),0)),IFERROR(OFFSET(F309,0,_xlfn.XLOOKUP($G307,$B$4:$B$8,$E$4:$E$8))*_xlfn.XLOOKUP($G307,$B$4:$B$8,$F$4:$F$8),0),D310)))</f>
        <v>0</v>
      </c>
      <c r="G310" s="196">
        <f t="shared" ref="G310" ca="1" si="1099">IF($I307="N",G309,IF($G307="1. In Flight",1,$G$4)*MIN(MAX($C309:$L309)*_xlfn.XLOOKUP($G307,$B$4:$B$8,$F$4:$F$8),MAX(IF(IFERROR(OFFSET(G309,0,_xlfn.XLOOKUP($G307,$B$4:$B$8,$C$4:$C$8)),0)=MAX($C309:$L309),_xlfn.MINIFS($C309:$L309,$C309:$L309,"&gt;0")*_xlfn.XLOOKUP($G307,$B$4:$B$8,$D$4:$D$8),IFERROR(OFFSET(G309,0,_xlfn.XLOOKUP($G307,$B$4:$B$8,$C$4:$C$8))*_xlfn.XLOOKUP($G307,$B$4:$B$8,$D$4:$D$8),0)),IFERROR(OFFSET(G309,0,_xlfn.XLOOKUP($G307,$B$4:$B$8,$E$4:$E$8))*_xlfn.XLOOKUP($G307,$B$4:$B$8,$F$4:$F$8),0),E310)))</f>
        <v>0</v>
      </c>
      <c r="H310" s="196">
        <f t="shared" ref="H310" ca="1" si="1100">IF($I307="N",H309,IF($G307="1. In Flight",1,$G$4)*MIN(MAX($C309:$L309)*_xlfn.XLOOKUP($G307,$B$4:$B$8,$F$4:$F$8),MAX(IF(IFERROR(OFFSET(H309,0,_xlfn.XLOOKUP($G307,$B$4:$B$8,$C$4:$C$8)),0)=MAX($C309:$L309),_xlfn.MINIFS($C309:$L309,$C309:$L309,"&gt;0")*_xlfn.XLOOKUP($G307,$B$4:$B$8,$D$4:$D$8),IFERROR(OFFSET(H309,0,_xlfn.XLOOKUP($G307,$B$4:$B$8,$C$4:$C$8))*_xlfn.XLOOKUP($G307,$B$4:$B$8,$D$4:$D$8),0)),IFERROR(OFFSET(H309,0,_xlfn.XLOOKUP($G307,$B$4:$B$8,$E$4:$E$8))*_xlfn.XLOOKUP($G307,$B$4:$B$8,$F$4:$F$8),0),F310)))</f>
        <v>0</v>
      </c>
      <c r="I310" s="196">
        <f t="shared" ref="I310" ca="1" si="1101">IF($I307="N",I309,IF($G307="1. In Flight",1,$G$4)*MIN(MAX($C309:$L309)*_xlfn.XLOOKUP($G307,$B$4:$B$8,$F$4:$F$8),MAX(IF(IFERROR(OFFSET(I309,0,_xlfn.XLOOKUP($G307,$B$4:$B$8,$C$4:$C$8)),0)=MAX($C309:$L309),_xlfn.MINIFS($C309:$L309,$C309:$L309,"&gt;0")*_xlfn.XLOOKUP($G307,$B$4:$B$8,$D$4:$D$8),IFERROR(OFFSET(I309,0,_xlfn.XLOOKUP($G307,$B$4:$B$8,$C$4:$C$8))*_xlfn.XLOOKUP($G307,$B$4:$B$8,$D$4:$D$8),0)),IFERROR(OFFSET(I309,0,_xlfn.XLOOKUP($G307,$B$4:$B$8,$E$4:$E$8))*_xlfn.XLOOKUP($G307,$B$4:$B$8,$F$4:$F$8),0),G310)))</f>
        <v>0</v>
      </c>
      <c r="J310" s="196">
        <f t="shared" ref="J310" ca="1" si="1102">IF($I307="N",J309,IF($G307="1. In Flight",1,$G$4)*MIN(MAX($C309:$L309)*_xlfn.XLOOKUP($G307,$B$4:$B$8,$F$4:$F$8),MAX(IF(IFERROR(OFFSET(J309,0,_xlfn.XLOOKUP($G307,$B$4:$B$8,$C$4:$C$8)),0)=MAX($C309:$L309),_xlfn.MINIFS($C309:$L309,$C309:$L309,"&gt;0")*_xlfn.XLOOKUP($G307,$B$4:$B$8,$D$4:$D$8),IFERROR(OFFSET(J309,0,_xlfn.XLOOKUP($G307,$B$4:$B$8,$C$4:$C$8))*_xlfn.XLOOKUP($G307,$B$4:$B$8,$D$4:$D$8),0)),IFERROR(OFFSET(J309,0,_xlfn.XLOOKUP($G307,$B$4:$B$8,$E$4:$E$8))*_xlfn.XLOOKUP($G307,$B$4:$B$8,$F$4:$F$8),0),H310)))</f>
        <v>4.984</v>
      </c>
      <c r="K310" s="196">
        <f t="shared" ref="K310" ca="1" si="1103">IF($I307="N",K309,IF($G307="1. In Flight",1,$G$4)*MIN(MAX($C309:$L309)*_xlfn.XLOOKUP($G307,$B$4:$B$8,$F$4:$F$8),MAX(IF(IFERROR(OFFSET(K309,0,_xlfn.XLOOKUP($G307,$B$4:$B$8,$C$4:$C$8)),0)=MAX($C309:$L309),_xlfn.MINIFS($C309:$L309,$C309:$L309,"&gt;0")*_xlfn.XLOOKUP($G307,$B$4:$B$8,$D$4:$D$8),IFERROR(OFFSET(K309,0,_xlfn.XLOOKUP($G307,$B$4:$B$8,$C$4:$C$8))*_xlfn.XLOOKUP($G307,$B$4:$B$8,$D$4:$D$8),0)),IFERROR(OFFSET(K309,0,_xlfn.XLOOKUP($G307,$B$4:$B$8,$E$4:$E$8))*_xlfn.XLOOKUP($G307,$B$4:$B$8,$F$4:$F$8),0),I310)))</f>
        <v>18.983999999999998</v>
      </c>
      <c r="L310" s="196">
        <f t="shared" ref="L310" ca="1" si="1104">IF($I307="N",L309,IF($G307="1. In Flight",1,$G$4)*MIN(MAX($C309:$L309)*_xlfn.XLOOKUP($G307,$B$4:$B$8,$F$4:$F$8),MAX(IF(IFERROR(OFFSET(L309,0,_xlfn.XLOOKUP($G307,$B$4:$B$8,$C$4:$C$8)),0)=MAX($C309:$L309),_xlfn.MINIFS($C309:$L309,$C309:$L309,"&gt;0")*_xlfn.XLOOKUP($G307,$B$4:$B$8,$D$4:$D$8),IFERROR(OFFSET(L309,0,_xlfn.XLOOKUP($G307,$B$4:$B$8,$C$4:$C$8))*_xlfn.XLOOKUP($G307,$B$4:$B$8,$D$4:$D$8),0)),IFERROR(OFFSET(L309,0,_xlfn.XLOOKUP($G307,$B$4:$B$8,$E$4:$E$8))*_xlfn.XLOOKUP($G307,$B$4:$B$8,$F$4:$F$8),0),J310)))</f>
        <v>23.106299999999997</v>
      </c>
    </row>
    <row r="311" spans="1:12" ht="15" thickBot="1">
      <c r="A311" s="195" t="s">
        <v>108</v>
      </c>
      <c r="B311" s="196">
        <f>B309</f>
        <v>0</v>
      </c>
      <c r="C311" s="196">
        <f ca="1">IF($I307="N",C309,IF($G307="1. In Flight",1,$G$9)*MIN(MAX($C309:$L309)*_xlfn.XLOOKUP($G307,$B$9:$B$13,$F$9:$F$13),MAX(IF(IFERROR(OFFSET(C309,0,_xlfn.XLOOKUP($G307,$B$9:$B$13,$C$9:$C$13)),0)=MAX($C309:$L309),_xlfn.MINIFS($C309:$L309,$C309:$L309,"&gt;0")*_xlfn.XLOOKUP($G307,$B$9:$B$13,$D$9:$D$13),IFERROR(OFFSET(C309,0,_xlfn.XLOOKUP($G307,$B$9:$B$13,$C$9:$C$13))*_xlfn.XLOOKUP($G307,$B$9:$B$13,$D$9:$D$13),0)),IFERROR(OFFSET(C309,0,_xlfn.XLOOKUP($G307,$B$9:$B$13,$E$9:$E$13))*_xlfn.XLOOKUP($G307,$B$9:$B$13,$F$9:$F$13),0),A311)))</f>
        <v>0</v>
      </c>
      <c r="D311" s="196">
        <f t="shared" ref="D311" ca="1" si="1105">IF($I307="N",D309,IF($G307="1. In Flight",1,$G$9)*MIN(MAX($C309:$L309)*_xlfn.XLOOKUP($G307,$B$9:$B$13,$F$9:$F$13),MAX(IF(IFERROR(OFFSET(D309,0,_xlfn.XLOOKUP($G307,$B$9:$B$13,$C$9:$C$13)),0)=MAX($C309:$L309),_xlfn.MINIFS($C309:$L309,$C309:$L309,"&gt;0")*_xlfn.XLOOKUP($G307,$B$9:$B$13,$D$9:$D$13),IFERROR(OFFSET(D309,0,_xlfn.XLOOKUP($G307,$B$9:$B$13,$C$9:$C$13))*_xlfn.XLOOKUP($G307,$B$9:$B$13,$D$9:$D$13),0)),IFERROR(OFFSET(D309,0,_xlfn.XLOOKUP($G307,$B$9:$B$13,$E$9:$E$13))*_xlfn.XLOOKUP($G307,$B$9:$B$13,$F$9:$F$13),0),B311)))</f>
        <v>0</v>
      </c>
      <c r="E311" s="196">
        <f t="shared" ref="E311" ca="1" si="1106">IF($I307="N",E309,IF($G307="1. In Flight",1,$G$9)*MIN(MAX($C309:$L309)*_xlfn.XLOOKUP($G307,$B$9:$B$13,$F$9:$F$13),MAX(IF(IFERROR(OFFSET(E309,0,_xlfn.XLOOKUP($G307,$B$9:$B$13,$C$9:$C$13)),0)=MAX($C309:$L309),_xlfn.MINIFS($C309:$L309,$C309:$L309,"&gt;0")*_xlfn.XLOOKUP($G307,$B$9:$B$13,$D$9:$D$13),IFERROR(OFFSET(E309,0,_xlfn.XLOOKUP($G307,$B$9:$B$13,$C$9:$C$13))*_xlfn.XLOOKUP($G307,$B$9:$B$13,$D$9:$D$13),0)),IFERROR(OFFSET(E309,0,_xlfn.XLOOKUP($G307,$B$9:$B$13,$E$9:$E$13))*_xlfn.XLOOKUP($G307,$B$9:$B$13,$F$9:$F$13),0),C311)))</f>
        <v>0</v>
      </c>
      <c r="F311" s="196">
        <f t="shared" ref="F311" ca="1" si="1107">IF($I307="N",F309,IF($G307="1. In Flight",1,$G$9)*MIN(MAX($C309:$L309)*_xlfn.XLOOKUP($G307,$B$9:$B$13,$F$9:$F$13),MAX(IF(IFERROR(OFFSET(F309,0,_xlfn.XLOOKUP($G307,$B$9:$B$13,$C$9:$C$13)),0)=MAX($C309:$L309),_xlfn.MINIFS($C309:$L309,$C309:$L309,"&gt;0")*_xlfn.XLOOKUP($G307,$B$9:$B$13,$D$9:$D$13),IFERROR(OFFSET(F309,0,_xlfn.XLOOKUP($G307,$B$9:$B$13,$C$9:$C$13))*_xlfn.XLOOKUP($G307,$B$9:$B$13,$D$9:$D$13),0)),IFERROR(OFFSET(F309,0,_xlfn.XLOOKUP($G307,$B$9:$B$13,$E$9:$E$13))*_xlfn.XLOOKUP($G307,$B$9:$B$13,$F$9:$F$13),0),D311)))</f>
        <v>0</v>
      </c>
      <c r="G311" s="196">
        <f t="shared" ref="G311" ca="1" si="1108">IF($I307="N",G309,IF($G307="1. In Flight",1,$G$9)*MIN(MAX($C309:$L309)*_xlfn.XLOOKUP($G307,$B$9:$B$13,$F$9:$F$13),MAX(IF(IFERROR(OFFSET(G309,0,_xlfn.XLOOKUP($G307,$B$9:$B$13,$C$9:$C$13)),0)=MAX($C309:$L309),_xlfn.MINIFS($C309:$L309,$C309:$L309,"&gt;0")*_xlfn.XLOOKUP($G307,$B$9:$B$13,$D$9:$D$13),IFERROR(OFFSET(G309,0,_xlfn.XLOOKUP($G307,$B$9:$B$13,$C$9:$C$13))*_xlfn.XLOOKUP($G307,$B$9:$B$13,$D$9:$D$13),0)),IFERROR(OFFSET(G309,0,_xlfn.XLOOKUP($G307,$B$9:$B$13,$E$9:$E$13))*_xlfn.XLOOKUP($G307,$B$9:$B$13,$F$9:$F$13),0),E311)))</f>
        <v>0</v>
      </c>
      <c r="H311" s="196">
        <f t="shared" ref="H311" ca="1" si="1109">IF($I307="N",H309,IF($G307="1. In Flight",1,$G$9)*MIN(MAX($C309:$L309)*_xlfn.XLOOKUP($G307,$B$9:$B$13,$F$9:$F$13),MAX(IF(IFERROR(OFFSET(H309,0,_xlfn.XLOOKUP($G307,$B$9:$B$13,$C$9:$C$13)),0)=MAX($C309:$L309),_xlfn.MINIFS($C309:$L309,$C309:$L309,"&gt;0")*_xlfn.XLOOKUP($G307,$B$9:$B$13,$D$9:$D$13),IFERROR(OFFSET(H309,0,_xlfn.XLOOKUP($G307,$B$9:$B$13,$C$9:$C$13))*_xlfn.XLOOKUP($G307,$B$9:$B$13,$D$9:$D$13),0)),IFERROR(OFFSET(H309,0,_xlfn.XLOOKUP($G307,$B$9:$B$13,$E$9:$E$13))*_xlfn.XLOOKUP($G307,$B$9:$B$13,$F$9:$F$13),0),F311)))</f>
        <v>0</v>
      </c>
      <c r="I311" s="196">
        <f t="shared" ref="I311" ca="1" si="1110">IF($I307="N",I309,IF($G307="1. In Flight",1,$G$9)*MIN(MAX($C309:$L309)*_xlfn.XLOOKUP($G307,$B$9:$B$13,$F$9:$F$13),MAX(IF(IFERROR(OFFSET(I309,0,_xlfn.XLOOKUP($G307,$B$9:$B$13,$C$9:$C$13)),0)=MAX($C309:$L309),_xlfn.MINIFS($C309:$L309,$C309:$L309,"&gt;0")*_xlfn.XLOOKUP($G307,$B$9:$B$13,$D$9:$D$13),IFERROR(OFFSET(I309,0,_xlfn.XLOOKUP($G307,$B$9:$B$13,$C$9:$C$13))*_xlfn.XLOOKUP($G307,$B$9:$B$13,$D$9:$D$13),0)),IFERROR(OFFSET(I309,0,_xlfn.XLOOKUP($G307,$B$9:$B$13,$E$9:$E$13))*_xlfn.XLOOKUP($G307,$B$9:$B$13,$F$9:$F$13),0),G311)))</f>
        <v>0</v>
      </c>
      <c r="J311" s="196">
        <f t="shared" ref="J311" ca="1" si="1111">IF($I307="N",J309,IF($G307="1. In Flight",1,$G$9)*MIN(MAX($C309:$L309)*_xlfn.XLOOKUP($G307,$B$9:$B$13,$F$9:$F$13),MAX(IF(IFERROR(OFFSET(J309,0,_xlfn.XLOOKUP($G307,$B$9:$B$13,$C$9:$C$13)),0)=MAX($C309:$L309),_xlfn.MINIFS($C309:$L309,$C309:$L309,"&gt;0")*_xlfn.XLOOKUP($G307,$B$9:$B$13,$D$9:$D$13),IFERROR(OFFSET(J309,0,_xlfn.XLOOKUP($G307,$B$9:$B$13,$C$9:$C$13))*_xlfn.XLOOKUP($G307,$B$9:$B$13,$D$9:$D$13),0)),IFERROR(OFFSET(J309,0,_xlfn.XLOOKUP($G307,$B$9:$B$13,$E$9:$E$13))*_xlfn.XLOOKUP($G307,$B$9:$B$13,$F$9:$F$13),0),H311)))</f>
        <v>0</v>
      </c>
      <c r="K311" s="196">
        <f t="shared" ref="K311" ca="1" si="1112">IF($I307="N",K309,IF($G307="1. In Flight",1,$G$9)*MIN(MAX($C309:$L309)*_xlfn.XLOOKUP($G307,$B$9:$B$13,$F$9:$F$13),MAX(IF(IFERROR(OFFSET(K309,0,_xlfn.XLOOKUP($G307,$B$9:$B$13,$C$9:$C$13)),0)=MAX($C309:$L309),_xlfn.MINIFS($C309:$L309,$C309:$L309,"&gt;0")*_xlfn.XLOOKUP($G307,$B$9:$B$13,$D$9:$D$13),IFERROR(OFFSET(K309,0,_xlfn.XLOOKUP($G307,$B$9:$B$13,$C$9:$C$13))*_xlfn.XLOOKUP($G307,$B$9:$B$13,$D$9:$D$13),0)),IFERROR(OFFSET(K309,0,_xlfn.XLOOKUP($G307,$B$9:$B$13,$E$9:$E$13))*_xlfn.XLOOKUP($G307,$B$9:$B$13,$F$9:$F$13),0),I311)))</f>
        <v>0</v>
      </c>
      <c r="L311" s="196">
        <f t="shared" ref="L311" ca="1" si="1113">IF($I307="N",L309,IF($G307="1. In Flight",1,$G$9)*MIN(MAX($C309:$L309)*_xlfn.XLOOKUP($G307,$B$9:$B$13,$F$9:$F$13),MAX(IF(IFERROR(OFFSET(L309,0,_xlfn.XLOOKUP($G307,$B$9:$B$13,$C$9:$C$13)),0)=MAX($C309:$L309),_xlfn.MINIFS($C309:$L309,$C309:$L309,"&gt;0")*_xlfn.XLOOKUP($G307,$B$9:$B$13,$D$9:$D$13),IFERROR(OFFSET(L309,0,_xlfn.XLOOKUP($G307,$B$9:$B$13,$C$9:$C$13))*_xlfn.XLOOKUP($G307,$B$9:$B$13,$D$9:$D$13),0)),IFERROR(OFFSET(L309,0,_xlfn.XLOOKUP($G307,$B$9:$B$13,$E$9:$E$13))*_xlfn.XLOOKUP($G307,$B$9:$B$13,$F$9:$F$13),0),J311)))</f>
        <v>1.4240000000000004</v>
      </c>
    </row>
    <row r="312" spans="1:12" ht="15" thickBot="1">
      <c r="A312" s="197" t="s">
        <v>109</v>
      </c>
      <c r="B312" s="198">
        <f>B309</f>
        <v>0</v>
      </c>
      <c r="C312" s="198">
        <f ca="1">IF($I307="N",C309,IF($G307="1. In Flight",1,$G$14)*MIN(MAX($C309:$L309)*_xlfn.XLOOKUP($G307,$B$14:$B$18,$F$14:$F$18),MAX(IF(IFERROR(OFFSET(C309,0,_xlfn.XLOOKUP($G307,$B$14:$B$18,$C$14:$C$18)),0)=MAX($C309:$L309),_xlfn.MINIFS($C309:$L309,$C309:$L309,"&gt;0")*_xlfn.XLOOKUP($G307,$B$14:$B$18,$D$14:$D$18),IFERROR(OFFSET(C309,0,_xlfn.XLOOKUP($G307,$B$14:$B$18,$C$14:$C$18))*_xlfn.XLOOKUP($G307,$B$14:$B$18,$D$14:$D$18),0)),IFERROR(OFFSET(C309,0,_xlfn.XLOOKUP($G307,$B$14:$B$18,$E$14:$E$18))*_xlfn.XLOOKUP($G307,$B$14:$B$18,$F$14:$F$18),0),A312)))</f>
        <v>0</v>
      </c>
      <c r="D312" s="198">
        <f t="shared" ref="D312" ca="1" si="1114">IF($I307="N",D309,IF($G307="1. In Flight",1,$G$14)*MIN(MAX($C309:$L309)*_xlfn.XLOOKUP($G307,$B$14:$B$18,$F$14:$F$18),MAX(IF(IFERROR(OFFSET(D309,0,_xlfn.XLOOKUP($G307,$B$14:$B$18,$C$14:$C$18)),0)=MAX($C309:$L309),_xlfn.MINIFS($C309:$L309,$C309:$L309,"&gt;0")*_xlfn.XLOOKUP($G307,$B$14:$B$18,$D$14:$D$18),IFERROR(OFFSET(D309,0,_xlfn.XLOOKUP($G307,$B$14:$B$18,$C$14:$C$18))*_xlfn.XLOOKUP($G307,$B$14:$B$18,$D$14:$D$18),0)),IFERROR(OFFSET(D309,0,_xlfn.XLOOKUP($G307,$B$14:$B$18,$E$14:$E$18))*_xlfn.XLOOKUP($G307,$B$14:$B$18,$F$14:$F$18),0),B312)))</f>
        <v>0</v>
      </c>
      <c r="E312" s="198">
        <f t="shared" ref="E312" ca="1" si="1115">IF($I307="N",E309,IF($G307="1. In Flight",1,$G$14)*MIN(MAX($C309:$L309)*_xlfn.XLOOKUP($G307,$B$14:$B$18,$F$14:$F$18),MAX(IF(IFERROR(OFFSET(E309,0,_xlfn.XLOOKUP($G307,$B$14:$B$18,$C$14:$C$18)),0)=MAX($C309:$L309),_xlfn.MINIFS($C309:$L309,$C309:$L309,"&gt;0")*_xlfn.XLOOKUP($G307,$B$14:$B$18,$D$14:$D$18),IFERROR(OFFSET(E309,0,_xlfn.XLOOKUP($G307,$B$14:$B$18,$C$14:$C$18))*_xlfn.XLOOKUP($G307,$B$14:$B$18,$D$14:$D$18),0)),IFERROR(OFFSET(E309,0,_xlfn.XLOOKUP($G307,$B$14:$B$18,$E$14:$E$18))*_xlfn.XLOOKUP($G307,$B$14:$B$18,$F$14:$F$18),0),C312)))</f>
        <v>0</v>
      </c>
      <c r="F312" s="198">
        <f t="shared" ref="F312" ca="1" si="1116">IF($I307="N",F309,IF($G307="1. In Flight",1,$G$14)*MIN(MAX($C309:$L309)*_xlfn.XLOOKUP($G307,$B$14:$B$18,$F$14:$F$18),MAX(IF(IFERROR(OFFSET(F309,0,_xlfn.XLOOKUP($G307,$B$14:$B$18,$C$14:$C$18)),0)=MAX($C309:$L309),_xlfn.MINIFS($C309:$L309,$C309:$L309,"&gt;0")*_xlfn.XLOOKUP($G307,$B$14:$B$18,$D$14:$D$18),IFERROR(OFFSET(F309,0,_xlfn.XLOOKUP($G307,$B$14:$B$18,$C$14:$C$18))*_xlfn.XLOOKUP($G307,$B$14:$B$18,$D$14:$D$18),0)),IFERROR(OFFSET(F309,0,_xlfn.XLOOKUP($G307,$B$14:$B$18,$E$14:$E$18))*_xlfn.XLOOKUP($G307,$B$14:$B$18,$F$14:$F$18),0),D312)))</f>
        <v>0</v>
      </c>
      <c r="G312" s="198">
        <f t="shared" ref="G312" ca="1" si="1117">IF($I307="N",G309,IF($G307="1. In Flight",1,$G$14)*MIN(MAX($C309:$L309)*_xlfn.XLOOKUP($G307,$B$14:$B$18,$F$14:$F$18),MAX(IF(IFERROR(OFFSET(G309,0,_xlfn.XLOOKUP($G307,$B$14:$B$18,$C$14:$C$18)),0)=MAX($C309:$L309),_xlfn.MINIFS($C309:$L309,$C309:$L309,"&gt;0")*_xlfn.XLOOKUP($G307,$B$14:$B$18,$D$14:$D$18),IFERROR(OFFSET(G309,0,_xlfn.XLOOKUP($G307,$B$14:$B$18,$C$14:$C$18))*_xlfn.XLOOKUP($G307,$B$14:$B$18,$D$14:$D$18),0)),IFERROR(OFFSET(G309,0,_xlfn.XLOOKUP($G307,$B$14:$B$18,$E$14:$E$18))*_xlfn.XLOOKUP($G307,$B$14:$B$18,$F$14:$F$18),0),E312)))</f>
        <v>0</v>
      </c>
      <c r="H312" s="198">
        <f t="shared" ref="H312" ca="1" si="1118">IF($I307="N",H309,IF($G307="1. In Flight",1,$G$14)*MIN(MAX($C309:$L309)*_xlfn.XLOOKUP($G307,$B$14:$B$18,$F$14:$F$18),MAX(IF(IFERROR(OFFSET(H309,0,_xlfn.XLOOKUP($G307,$B$14:$B$18,$C$14:$C$18)),0)=MAX($C309:$L309),_xlfn.MINIFS($C309:$L309,$C309:$L309,"&gt;0")*_xlfn.XLOOKUP($G307,$B$14:$B$18,$D$14:$D$18),IFERROR(OFFSET(H309,0,_xlfn.XLOOKUP($G307,$B$14:$B$18,$C$14:$C$18))*_xlfn.XLOOKUP($G307,$B$14:$B$18,$D$14:$D$18),0)),IFERROR(OFFSET(H309,0,_xlfn.XLOOKUP($G307,$B$14:$B$18,$E$14:$E$18))*_xlfn.XLOOKUP($G307,$B$14:$B$18,$F$14:$F$18),0),F312)))</f>
        <v>0</v>
      </c>
      <c r="I312" s="198">
        <f t="shared" ref="I312" ca="1" si="1119">IF($I307="N",I309,IF($G307="1. In Flight",1,$G$14)*MIN(MAX($C309:$L309)*_xlfn.XLOOKUP($G307,$B$14:$B$18,$F$14:$F$18),MAX(IF(IFERROR(OFFSET(I309,0,_xlfn.XLOOKUP($G307,$B$14:$B$18,$C$14:$C$18)),0)=MAX($C309:$L309),_xlfn.MINIFS($C309:$L309,$C309:$L309,"&gt;0")*_xlfn.XLOOKUP($G307,$B$14:$B$18,$D$14:$D$18),IFERROR(OFFSET(I309,0,_xlfn.XLOOKUP($G307,$B$14:$B$18,$C$14:$C$18))*_xlfn.XLOOKUP($G307,$B$14:$B$18,$D$14:$D$18),0)),IFERROR(OFFSET(I309,0,_xlfn.XLOOKUP($G307,$B$14:$B$18,$E$14:$E$18))*_xlfn.XLOOKUP($G307,$B$14:$B$18,$F$14:$F$18),0),G312)))</f>
        <v>7.6896000000000004</v>
      </c>
      <c r="J312" s="198">
        <f t="shared" ref="J312" ca="1" si="1120">IF($I307="N",J309,IF($G307="1. In Flight",1,$G$14)*MIN(MAX($C309:$L309)*_xlfn.XLOOKUP($G307,$B$14:$B$18,$F$14:$F$18),MAX(IF(IFERROR(OFFSET(J309,0,_xlfn.XLOOKUP($G307,$B$14:$B$18,$C$14:$C$18)),0)=MAX($C309:$L309),_xlfn.MINIFS($C309:$L309,$C309:$L309,"&gt;0")*_xlfn.XLOOKUP($G307,$B$14:$B$18,$D$14:$D$18),IFERROR(OFFSET(J309,0,_xlfn.XLOOKUP($G307,$B$14:$B$18,$C$14:$C$18))*_xlfn.XLOOKUP($G307,$B$14:$B$18,$D$14:$D$18),0)),IFERROR(OFFSET(J309,0,_xlfn.XLOOKUP($G307,$B$14:$B$18,$E$14:$E$18))*_xlfn.XLOOKUP($G307,$B$14:$B$18,$F$14:$F$18),0),H312)))</f>
        <v>29.289599999999997</v>
      </c>
      <c r="K312" s="198">
        <f t="shared" ref="K312" ca="1" si="1121">IF($I307="N",K309,IF($G307="1. In Flight",1,$G$14)*MIN(MAX($C309:$L309)*_xlfn.XLOOKUP($G307,$B$14:$B$18,$F$14:$F$18),MAX(IF(IFERROR(OFFSET(K309,0,_xlfn.XLOOKUP($G307,$B$14:$B$18,$C$14:$C$18)),0)=MAX($C309:$L309),_xlfn.MINIFS($C309:$L309,$C309:$L309,"&gt;0")*_xlfn.XLOOKUP($G307,$B$14:$B$18,$D$14:$D$18),IFERROR(OFFSET(K309,0,_xlfn.XLOOKUP($G307,$B$14:$B$18,$C$14:$C$18))*_xlfn.XLOOKUP($G307,$B$14:$B$18,$D$14:$D$18),0)),IFERROR(OFFSET(K309,0,_xlfn.XLOOKUP($G307,$B$14:$B$18,$E$14:$E$18))*_xlfn.XLOOKUP($G307,$B$14:$B$18,$F$14:$F$18),0),I312)))</f>
        <v>37.249200000000002</v>
      </c>
      <c r="L312" s="198">
        <f t="shared" ref="L312" ca="1" si="1122">IF($I307="N",L309,IF($G307="1. In Flight",1,$G$14)*MIN(MAX($C309:$L309)*_xlfn.XLOOKUP($G307,$B$14:$B$18,$F$14:$F$18),MAX(IF(IFERROR(OFFSET(L309,0,_xlfn.XLOOKUP($G307,$B$14:$B$18,$C$14:$C$18)),0)=MAX($C309:$L309),_xlfn.MINIFS($C309:$L309,$C309:$L309,"&gt;0")*_xlfn.XLOOKUP($G307,$B$14:$B$18,$D$14:$D$18),IFERROR(OFFSET(L309,0,_xlfn.XLOOKUP($G307,$B$14:$B$18,$C$14:$C$18))*_xlfn.XLOOKUP($G307,$B$14:$B$18,$D$14:$D$18),0)),IFERROR(OFFSET(L309,0,_xlfn.XLOOKUP($G307,$B$14:$B$18,$E$14:$E$18))*_xlfn.XLOOKUP($G307,$B$14:$B$18,$F$14:$F$18),0),J312)))</f>
        <v>45.203400000000009</v>
      </c>
    </row>
    <row r="313" spans="1:12" ht="15" thickTop="1">
      <c r="A313" s="50"/>
      <c r="B313" s="199"/>
      <c r="C313" s="199"/>
      <c r="D313" s="199"/>
      <c r="E313" s="199"/>
      <c r="F313" s="199"/>
      <c r="G313" s="199"/>
      <c r="H313" s="199"/>
      <c r="I313" s="199"/>
      <c r="J313" s="199"/>
      <c r="K313" s="199"/>
      <c r="L313" s="199"/>
    </row>
    <row r="314" spans="1:12" ht="15" thickBot="1">
      <c r="A314" s="231">
        <f>_xlfn.XLOOKUP(F314,FEED!D:D,FEED!E:E,FALSE)</f>
        <v>0</v>
      </c>
      <c r="B314" s="232"/>
      <c r="C314" s="189"/>
      <c r="D314" s="189" t="s">
        <v>119</v>
      </c>
      <c r="E314" s="189" t="s">
        <v>120</v>
      </c>
      <c r="F314" s="189" t="s">
        <v>77</v>
      </c>
      <c r="G314" s="189" t="str">
        <f>IFERROR(_xlfn.XLOOKUP(F314,FEED!$D:$D,FEED!$S:$S),$B$8)</f>
        <v>4. Low</v>
      </c>
      <c r="H314" s="189" t="str">
        <f>IFERROR(_xlfn.XLOOKUP(F314,FEED!$D:$D,FEED!$Y:$Y),"Major Load")</f>
        <v>Data Centre</v>
      </c>
      <c r="I314" s="189" t="str">
        <f>IFERROR(_xlfn.XLOOKUP(F314,FEED!$D:$D,FEED!$C:$C),"N")</f>
        <v>Y</v>
      </c>
      <c r="J314" s="190"/>
      <c r="K314" s="190"/>
      <c r="L314" s="190"/>
    </row>
    <row r="315" spans="1:12" ht="15" thickBot="1">
      <c r="A315" s="191" t="str">
        <f>A301</f>
        <v>Uptake Scenario</v>
      </c>
      <c r="B315" s="192">
        <f>B301</f>
        <v>2023</v>
      </c>
      <c r="C315" s="192">
        <f t="shared" ref="C315:L315" si="1123">C301</f>
        <v>2024</v>
      </c>
      <c r="D315" s="192">
        <f t="shared" si="1123"/>
        <v>2025</v>
      </c>
      <c r="E315" s="192">
        <f t="shared" si="1123"/>
        <v>2026</v>
      </c>
      <c r="F315" s="192">
        <f t="shared" si="1123"/>
        <v>2027</v>
      </c>
      <c r="G315" s="192">
        <f t="shared" si="1123"/>
        <v>2028</v>
      </c>
      <c r="H315" s="192">
        <f t="shared" si="1123"/>
        <v>2029</v>
      </c>
      <c r="I315" s="192">
        <f t="shared" si="1123"/>
        <v>2030</v>
      </c>
      <c r="J315" s="192">
        <f t="shared" si="1123"/>
        <v>2031</v>
      </c>
      <c r="K315" s="192">
        <f t="shared" si="1123"/>
        <v>2032</v>
      </c>
      <c r="L315" s="192">
        <f t="shared" si="1123"/>
        <v>2033</v>
      </c>
    </row>
    <row r="316" spans="1:12" ht="15.6" thickTop="1" thickBot="1">
      <c r="A316" s="193" t="s">
        <v>111</v>
      </c>
      <c r="B316" s="194">
        <v>0</v>
      </c>
      <c r="C316" s="194">
        <f>SUMIF(FEED!$D:$D,$F314,FEED!F:F)+B316</f>
        <v>0</v>
      </c>
      <c r="D316" s="194">
        <f>SUMIF(FEED!$D:$D,$F314,FEED!G:G)+C316</f>
        <v>0</v>
      </c>
      <c r="E316" s="194">
        <f>SUMIF(FEED!$D:$D,$F314,FEED!H:H)+D316</f>
        <v>0</v>
      </c>
      <c r="F316" s="194">
        <f>SUMIF(FEED!$D:$D,$F314,FEED!I:I)+E316</f>
        <v>0</v>
      </c>
      <c r="G316" s="194">
        <f>SUMIF(FEED!$D:$D,$F314,FEED!J:J)+F316</f>
        <v>0</v>
      </c>
      <c r="H316" s="194">
        <f>SUMIF(FEED!$D:$D,$F314,FEED!K:K)+G316</f>
        <v>0</v>
      </c>
      <c r="I316" s="194">
        <f>SUMIF(FEED!$D:$D,$F314,FEED!L:L)+H316</f>
        <v>0</v>
      </c>
      <c r="J316" s="194">
        <f>SUMIF(FEED!$D:$D,$F314,FEED!M:M)+I316</f>
        <v>0</v>
      </c>
      <c r="K316" s="194">
        <f>SUMIF(FEED!$D:$D,$F314,FEED!N:N)+J316</f>
        <v>0</v>
      </c>
      <c r="L316" s="194">
        <f>SUMIF(FEED!$D:$D,$F314,FEED!O:O)+K316</f>
        <v>0</v>
      </c>
    </row>
    <row r="317" spans="1:12" ht="15" thickBot="1">
      <c r="A317" s="195" t="s">
        <v>107</v>
      </c>
      <c r="B317" s="196">
        <f>B316</f>
        <v>0</v>
      </c>
      <c r="C317" s="196">
        <f ca="1">IFERROR(IF($I314="N",C316,IF($G314="1. In Flight",1,$G$4)*MIN(MAX($C316:$L316)*_xlfn.XLOOKUP($G314,$B$4:$B$8,$F$4:$F$8),MAX(IF(IFERROR(OFFSET(C316,0,_xlfn.XLOOKUP($G314,$B$4:$B$8,$C$4:$C$8)),0)=MAX($C316:$L316),_xlfn.MINIFS($C316:$L316,$C316:$L316,"&gt;0")*_xlfn.XLOOKUP($G314,$B$4:$B$8,$D$4:$D$8),IFERROR(OFFSET(C316,0,_xlfn.XLOOKUP($G314,$B$4:$B$8,$C$4:$C$8))*_xlfn.XLOOKUP($G314,$B$4:$B$8,$D$4:$D$8),0)),IFERROR(OFFSET(C316,0,_xlfn.XLOOKUP($G314,$B$4:$B$8,$E$4:$E$8))*_xlfn.XLOOKUP($G314,$B$4:$B$8,$F$4:$F$8),0),A317))),0)</f>
        <v>0</v>
      </c>
      <c r="D317" s="196">
        <f t="shared" ref="D317:L317" ca="1" si="1124">IFERROR(IF($I314="N",D316,IF($G314="1. In Flight",1,$G$4)*MIN(MAX($C316:$L316)*_xlfn.XLOOKUP($G314,$B$4:$B$8,$F$4:$F$8),MAX(IF(IFERROR(OFFSET(D316,0,_xlfn.XLOOKUP($G314,$B$4:$B$8,$C$4:$C$8)),0)=MAX($C316:$L316),_xlfn.MINIFS($C316:$L316,$C316:$L316,"&gt;0")*_xlfn.XLOOKUP($G314,$B$4:$B$8,$D$4:$D$8),IFERROR(OFFSET(D316,0,_xlfn.XLOOKUP($G314,$B$4:$B$8,$C$4:$C$8))*_xlfn.XLOOKUP($G314,$B$4:$B$8,$D$4:$D$8),0)),IFERROR(OFFSET(D316,0,_xlfn.XLOOKUP($G314,$B$4:$B$8,$E$4:$E$8))*_xlfn.XLOOKUP($G314,$B$4:$B$8,$F$4:$F$8),0),B317))),0)</f>
        <v>0</v>
      </c>
      <c r="E317" s="196">
        <f t="shared" ca="1" si="1124"/>
        <v>0</v>
      </c>
      <c r="F317" s="196">
        <f t="shared" ca="1" si="1124"/>
        <v>0</v>
      </c>
      <c r="G317" s="196">
        <f t="shared" ca="1" si="1124"/>
        <v>0</v>
      </c>
      <c r="H317" s="196">
        <f t="shared" ca="1" si="1124"/>
        <v>0</v>
      </c>
      <c r="I317" s="196">
        <f t="shared" ca="1" si="1124"/>
        <v>0</v>
      </c>
      <c r="J317" s="196">
        <f t="shared" ca="1" si="1124"/>
        <v>0</v>
      </c>
      <c r="K317" s="196">
        <f t="shared" ca="1" si="1124"/>
        <v>0</v>
      </c>
      <c r="L317" s="196">
        <f t="shared" ca="1" si="1124"/>
        <v>0</v>
      </c>
    </row>
    <row r="318" spans="1:12" ht="15" thickBot="1">
      <c r="A318" s="195" t="s">
        <v>108</v>
      </c>
      <c r="B318" s="196">
        <f>B316</f>
        <v>0</v>
      </c>
      <c r="C318" s="196">
        <f ca="1">IFERROR(IF($I314="N",C316,IF($G314="1. In Flight",1,$G$9)*MIN(MAX($C316:$L316)*_xlfn.XLOOKUP($G314,$B$9:$B$13,$F$9:$F$13),MAX(IF(IFERROR(OFFSET(C316,0,_xlfn.XLOOKUP($G314,$B$9:$B$13,$C$9:$C$13)),0)=MAX($C316:$L316),_xlfn.MINIFS($C316:$L316,$C316:$L316,"&gt;0")*_xlfn.XLOOKUP($G314,$B$9:$B$13,$D$9:$D$13),IFERROR(OFFSET(C316,0,_xlfn.XLOOKUP($G314,$B$9:$B$13,$C$9:$C$13))*_xlfn.XLOOKUP($G314,$B$9:$B$13,$D$9:$D$13),0)),IFERROR(OFFSET(C316,0,_xlfn.XLOOKUP($G314,$B$9:$B$13,$E$9:$E$13))*_xlfn.XLOOKUP($G314,$B$9:$B$13,$F$9:$F$13),0),A318))),0)</f>
        <v>0</v>
      </c>
      <c r="D318" s="196">
        <f t="shared" ref="D318:L318" ca="1" si="1125">IFERROR(IF($I314="N",D316,IF($G314="1. In Flight",1,$G$9)*MIN(MAX($C316:$L316)*_xlfn.XLOOKUP($G314,$B$9:$B$13,$F$9:$F$13),MAX(IF(IFERROR(OFFSET(D316,0,_xlfn.XLOOKUP($G314,$B$9:$B$13,$C$9:$C$13)),0)=MAX($C316:$L316),_xlfn.MINIFS($C316:$L316,$C316:$L316,"&gt;0")*_xlfn.XLOOKUP($G314,$B$9:$B$13,$D$9:$D$13),IFERROR(OFFSET(D316,0,_xlfn.XLOOKUP($G314,$B$9:$B$13,$C$9:$C$13))*_xlfn.XLOOKUP($G314,$B$9:$B$13,$D$9:$D$13),0)),IFERROR(OFFSET(D316,0,_xlfn.XLOOKUP($G314,$B$9:$B$13,$E$9:$E$13))*_xlfn.XLOOKUP($G314,$B$9:$B$13,$F$9:$F$13),0),B318))),0)</f>
        <v>0</v>
      </c>
      <c r="E318" s="196">
        <f t="shared" ca="1" si="1125"/>
        <v>0</v>
      </c>
      <c r="F318" s="196">
        <f t="shared" ca="1" si="1125"/>
        <v>0</v>
      </c>
      <c r="G318" s="196">
        <f t="shared" ca="1" si="1125"/>
        <v>0</v>
      </c>
      <c r="H318" s="196">
        <f t="shared" ca="1" si="1125"/>
        <v>0</v>
      </c>
      <c r="I318" s="196">
        <f t="shared" ca="1" si="1125"/>
        <v>0</v>
      </c>
      <c r="J318" s="196">
        <f t="shared" ca="1" si="1125"/>
        <v>0</v>
      </c>
      <c r="K318" s="196">
        <f t="shared" ca="1" si="1125"/>
        <v>0</v>
      </c>
      <c r="L318" s="196">
        <f t="shared" ca="1" si="1125"/>
        <v>0</v>
      </c>
    </row>
    <row r="319" spans="1:12" ht="15" thickBot="1">
      <c r="A319" s="197" t="s">
        <v>109</v>
      </c>
      <c r="B319" s="198">
        <f>B316</f>
        <v>0</v>
      </c>
      <c r="C319" s="198">
        <f ca="1">IFERROR(IF($I314="N",C316,IF($G314="1. In Flight",1,$G$14)*MIN(MAX($C316:$L316)*_xlfn.XLOOKUP($G314,$B$14:$B$18,$F$14:$F$18),MAX(IF(IFERROR(OFFSET(C316,0,_xlfn.XLOOKUP($G314,$B$14:$B$18,$C$14:$C$18)),0)=MAX($C316:$L316),_xlfn.MINIFS($C316:$L316,$C316:$L316,"&gt;0")*_xlfn.XLOOKUP($G314,$B$14:$B$18,$D$14:$D$18),IFERROR(OFFSET(C316,0,_xlfn.XLOOKUP($G314,$B$14:$B$18,$C$14:$C$18))*_xlfn.XLOOKUP($G314,$B$14:$B$18,$D$14:$D$18),0)),IFERROR(OFFSET(C316,0,_xlfn.XLOOKUP($G314,$B$14:$B$18,$E$14:$E$18))*_xlfn.XLOOKUP($G314,$B$14:$B$18,$F$14:$F$18),0),A319))),0)</f>
        <v>0</v>
      </c>
      <c r="D319" s="198">
        <f t="shared" ref="D319:L319" ca="1" si="1126">IFERROR(IF($I314="N",D316,IF($G314="1. In Flight",1,$G$14)*MIN(MAX($C316:$L316)*_xlfn.XLOOKUP($G314,$B$14:$B$18,$F$14:$F$18),MAX(IF(IFERROR(OFFSET(D316,0,_xlfn.XLOOKUP($G314,$B$14:$B$18,$C$14:$C$18)),0)=MAX($C316:$L316),_xlfn.MINIFS($C316:$L316,$C316:$L316,"&gt;0")*_xlfn.XLOOKUP($G314,$B$14:$B$18,$D$14:$D$18),IFERROR(OFFSET(D316,0,_xlfn.XLOOKUP($G314,$B$14:$B$18,$C$14:$C$18))*_xlfn.XLOOKUP($G314,$B$14:$B$18,$D$14:$D$18),0)),IFERROR(OFFSET(D316,0,_xlfn.XLOOKUP($G314,$B$14:$B$18,$E$14:$E$18))*_xlfn.XLOOKUP($G314,$B$14:$B$18,$F$14:$F$18),0),B319))),0)</f>
        <v>0</v>
      </c>
      <c r="E319" s="198">
        <f t="shared" ca="1" si="1126"/>
        <v>0</v>
      </c>
      <c r="F319" s="198">
        <f t="shared" ca="1" si="1126"/>
        <v>0</v>
      </c>
      <c r="G319" s="198">
        <f t="shared" ca="1" si="1126"/>
        <v>0</v>
      </c>
      <c r="H319" s="198">
        <f t="shared" ca="1" si="1126"/>
        <v>0</v>
      </c>
      <c r="I319" s="198">
        <f t="shared" ca="1" si="1126"/>
        <v>0</v>
      </c>
      <c r="J319" s="198">
        <f t="shared" ca="1" si="1126"/>
        <v>0</v>
      </c>
      <c r="K319" s="198">
        <f t="shared" ca="1" si="1126"/>
        <v>0</v>
      </c>
      <c r="L319" s="198">
        <f t="shared" ca="1" si="1126"/>
        <v>0</v>
      </c>
    </row>
    <row r="320" spans="1:12" ht="15" thickTop="1"/>
    <row r="321" spans="1:12" ht="15" thickBot="1">
      <c r="A321" s="231">
        <f>_xlfn.XLOOKUP(F321,FEED!D:D,FEED!E:E,FALSE)</f>
        <v>0</v>
      </c>
      <c r="B321" s="232"/>
      <c r="C321" s="189"/>
      <c r="D321" s="189" t="s">
        <v>124</v>
      </c>
      <c r="E321" s="189" t="s">
        <v>125</v>
      </c>
      <c r="F321" s="189" t="s">
        <v>78</v>
      </c>
      <c r="G321" s="189" t="str">
        <f>IFERROR(_xlfn.XLOOKUP(F321,FEED!$D:$D,FEED!$S:$S),$B$8)</f>
        <v>2. High</v>
      </c>
      <c r="H321" s="189" t="str">
        <f>IFERROR(_xlfn.XLOOKUP(F321,FEED!$D:$D,FEED!$Y:$Y),"Major Load")</f>
        <v>Data Centre</v>
      </c>
      <c r="I321" s="189" t="str">
        <f>IFERROR(_xlfn.XLOOKUP(F321,FEED!$D:$D,FEED!$C:$C),"N")</f>
        <v>Y</v>
      </c>
      <c r="J321" s="190"/>
      <c r="K321" s="190"/>
      <c r="L321" s="190"/>
    </row>
    <row r="322" spans="1:12" ht="15" thickBot="1">
      <c r="A322" s="191" t="str">
        <f t="shared" ref="A322" si="1127">A189</f>
        <v>Uptake Scenario</v>
      </c>
      <c r="B322" s="192">
        <f>B301</f>
        <v>2023</v>
      </c>
      <c r="C322" s="192">
        <f t="shared" ref="C322:L322" si="1128">C301</f>
        <v>2024</v>
      </c>
      <c r="D322" s="192">
        <f t="shared" si="1128"/>
        <v>2025</v>
      </c>
      <c r="E322" s="192">
        <f t="shared" si="1128"/>
        <v>2026</v>
      </c>
      <c r="F322" s="192">
        <f t="shared" si="1128"/>
        <v>2027</v>
      </c>
      <c r="G322" s="192">
        <f t="shared" si="1128"/>
        <v>2028</v>
      </c>
      <c r="H322" s="192">
        <f t="shared" si="1128"/>
        <v>2029</v>
      </c>
      <c r="I322" s="192">
        <f t="shared" si="1128"/>
        <v>2030</v>
      </c>
      <c r="J322" s="192">
        <f t="shared" si="1128"/>
        <v>2031</v>
      </c>
      <c r="K322" s="192">
        <f t="shared" si="1128"/>
        <v>2032</v>
      </c>
      <c r="L322" s="192">
        <f t="shared" si="1128"/>
        <v>2033</v>
      </c>
    </row>
    <row r="323" spans="1:12" ht="15.6" thickTop="1" thickBot="1">
      <c r="A323" s="193" t="s">
        <v>111</v>
      </c>
      <c r="B323" s="194">
        <v>0</v>
      </c>
      <c r="C323" s="194">
        <f>SUMIF(FEED!$D:$D,$F321,FEED!F:F)+B323</f>
        <v>0</v>
      </c>
      <c r="D323" s="194">
        <f>SUMIF(FEED!$D:$D,$F321,FEED!G:G)+C323</f>
        <v>0</v>
      </c>
      <c r="E323" s="194">
        <f>SUMIF(FEED!$D:$D,$F321,FEED!H:H)+D323</f>
        <v>0</v>
      </c>
      <c r="F323" s="194">
        <f>SUMIF(FEED!$D:$D,$F321,FEED!I:I)+E323</f>
        <v>0</v>
      </c>
      <c r="G323" s="194">
        <f>SUMIF(FEED!$D:$D,$F321,FEED!J:J)+F323</f>
        <v>0</v>
      </c>
      <c r="H323" s="194">
        <f>SUMIF(FEED!$D:$D,$F321,FEED!K:K)+G323</f>
        <v>5.8500788222265641</v>
      </c>
      <c r="I323" s="194">
        <f>SUMIF(FEED!$D:$D,$F321,FEED!L:L)+H323</f>
        <v>8.3355550127027556</v>
      </c>
      <c r="J323" s="194">
        <f>SUMIF(FEED!$D:$D,$F321,FEED!M:M)+I323</f>
        <v>10.181269298417043</v>
      </c>
      <c r="K323" s="194">
        <f>SUMIF(FEED!$D:$D,$F321,FEED!N:N)+J323</f>
        <v>15.691935965083708</v>
      </c>
      <c r="L323" s="194">
        <f>SUMIF(FEED!$D:$D,$F321,FEED!O:O)+K323</f>
        <v>19.294793107940848</v>
      </c>
    </row>
    <row r="324" spans="1:12" ht="15" thickBot="1">
      <c r="A324" s="195" t="s">
        <v>107</v>
      </c>
      <c r="B324" s="196">
        <f>B323</f>
        <v>0</v>
      </c>
      <c r="C324" s="196">
        <f ca="1">IF($I321="N",C323,IF($G321="1. In Flight",1,$G$4)*MIN(MAX($C323:$L323)*_xlfn.XLOOKUP($G321,$B$4:$B$8,$F$4:$F$8),MAX(IF(IFERROR(OFFSET(C323,0,_xlfn.XLOOKUP($G321,$B$4:$B$8,$C$4:$C$8)),0)=MAX($C323:$L323),_xlfn.MINIFS($C323:$L323,$C323:$L323,"&gt;0")*_xlfn.XLOOKUP($G321,$B$4:$B$8,$D$4:$D$8),IFERROR(OFFSET(C323,0,_xlfn.XLOOKUP($G321,$B$4:$B$8,$C$4:$C$8))*_xlfn.XLOOKUP($G321,$B$4:$B$8,$D$4:$D$8),0)),IFERROR(OFFSET(C323,0,_xlfn.XLOOKUP($G321,$B$4:$B$8,$E$4:$E$8))*_xlfn.XLOOKUP($G321,$B$4:$B$8,$F$4:$F$8),0),A324)))</f>
        <v>0</v>
      </c>
      <c r="D324" s="196">
        <f t="shared" ref="D324" ca="1" si="1129">IF($I321="N",D323,IF($G321="1. In Flight",1,$G$4)*MIN(MAX($C323:$L323)*_xlfn.XLOOKUP($G321,$B$4:$B$8,$F$4:$F$8),MAX(IF(IFERROR(OFFSET(D323,0,_xlfn.XLOOKUP($G321,$B$4:$B$8,$C$4:$C$8)),0)=MAX($C323:$L323),_xlfn.MINIFS($C323:$L323,$C323:$L323,"&gt;0")*_xlfn.XLOOKUP($G321,$B$4:$B$8,$D$4:$D$8),IFERROR(OFFSET(D323,0,_xlfn.XLOOKUP($G321,$B$4:$B$8,$C$4:$C$8))*_xlfn.XLOOKUP($G321,$B$4:$B$8,$D$4:$D$8),0)),IFERROR(OFFSET(D323,0,_xlfn.XLOOKUP($G321,$B$4:$B$8,$E$4:$E$8))*_xlfn.XLOOKUP($G321,$B$4:$B$8,$F$4:$F$8),0),B324)))</f>
        <v>0</v>
      </c>
      <c r="E324" s="196">
        <f t="shared" ref="E324" ca="1" si="1130">IF($I321="N",E323,IF($G321="1. In Flight",1,$G$4)*MIN(MAX($C323:$L323)*_xlfn.XLOOKUP($G321,$B$4:$B$8,$F$4:$F$8),MAX(IF(IFERROR(OFFSET(E323,0,_xlfn.XLOOKUP($G321,$B$4:$B$8,$C$4:$C$8)),0)=MAX($C323:$L323),_xlfn.MINIFS($C323:$L323,$C323:$L323,"&gt;0")*_xlfn.XLOOKUP($G321,$B$4:$B$8,$D$4:$D$8),IFERROR(OFFSET(E323,0,_xlfn.XLOOKUP($G321,$B$4:$B$8,$C$4:$C$8))*_xlfn.XLOOKUP($G321,$B$4:$B$8,$D$4:$D$8),0)),IFERROR(OFFSET(E323,0,_xlfn.XLOOKUP($G321,$B$4:$B$8,$E$4:$E$8))*_xlfn.XLOOKUP($G321,$B$4:$B$8,$F$4:$F$8),0),C324)))</f>
        <v>0</v>
      </c>
      <c r="F324" s="196">
        <f t="shared" ref="F324" ca="1" si="1131">IF($I321="N",F323,IF($G321="1. In Flight",1,$G$4)*MIN(MAX($C323:$L323)*_xlfn.XLOOKUP($G321,$B$4:$B$8,$F$4:$F$8),MAX(IF(IFERROR(OFFSET(F323,0,_xlfn.XLOOKUP($G321,$B$4:$B$8,$C$4:$C$8)),0)=MAX($C323:$L323),_xlfn.MINIFS($C323:$L323,$C323:$L323,"&gt;0")*_xlfn.XLOOKUP($G321,$B$4:$B$8,$D$4:$D$8),IFERROR(OFFSET(F323,0,_xlfn.XLOOKUP($G321,$B$4:$B$8,$C$4:$C$8))*_xlfn.XLOOKUP($G321,$B$4:$B$8,$D$4:$D$8),0)),IFERROR(OFFSET(F323,0,_xlfn.XLOOKUP($G321,$B$4:$B$8,$E$4:$E$8))*_xlfn.XLOOKUP($G321,$B$4:$B$8,$F$4:$F$8),0),D324)))</f>
        <v>0</v>
      </c>
      <c r="G324" s="196">
        <f t="shared" ref="G324" ca="1" si="1132">IF($I321="N",G323,IF($G321="1. In Flight",1,$G$4)*MIN(MAX($C323:$L323)*_xlfn.XLOOKUP($G321,$B$4:$B$8,$F$4:$F$8),MAX(IF(IFERROR(OFFSET(G323,0,_xlfn.XLOOKUP($G321,$B$4:$B$8,$C$4:$C$8)),0)=MAX($C323:$L323),_xlfn.MINIFS($C323:$L323,$C323:$L323,"&gt;0")*_xlfn.XLOOKUP($G321,$B$4:$B$8,$D$4:$D$8),IFERROR(OFFSET(G323,0,_xlfn.XLOOKUP($G321,$B$4:$B$8,$C$4:$C$8))*_xlfn.XLOOKUP($G321,$B$4:$B$8,$D$4:$D$8),0)),IFERROR(OFFSET(G323,0,_xlfn.XLOOKUP($G321,$B$4:$B$8,$E$4:$E$8))*_xlfn.XLOOKUP($G321,$B$4:$B$8,$F$4:$F$8),0),E324)))</f>
        <v>0</v>
      </c>
      <c r="H324" s="196">
        <f t="shared" ref="H324" ca="1" si="1133">IF($I321="N",H323,IF($G321="1. In Flight",1,$G$4)*MIN(MAX($C323:$L323)*_xlfn.XLOOKUP($G321,$B$4:$B$8,$F$4:$F$8),MAX(IF(IFERROR(OFFSET(H323,0,_xlfn.XLOOKUP($G321,$B$4:$B$8,$C$4:$C$8)),0)=MAX($C323:$L323),_xlfn.MINIFS($C323:$L323,$C323:$L323,"&gt;0")*_xlfn.XLOOKUP($G321,$B$4:$B$8,$D$4:$D$8),IFERROR(OFFSET(H323,0,_xlfn.XLOOKUP($G321,$B$4:$B$8,$C$4:$C$8))*_xlfn.XLOOKUP($G321,$B$4:$B$8,$D$4:$D$8),0)),IFERROR(OFFSET(H323,0,_xlfn.XLOOKUP($G321,$B$4:$B$8,$E$4:$E$8))*_xlfn.XLOOKUP($G321,$B$4:$B$8,$F$4:$F$8),0),F324)))</f>
        <v>0</v>
      </c>
      <c r="I324" s="196">
        <f t="shared" ref="I324" ca="1" si="1134">IF($I321="N",I323,IF($G321="1. In Flight",1,$G$4)*MIN(MAX($C323:$L323)*_xlfn.XLOOKUP($G321,$B$4:$B$8,$F$4:$F$8),MAX(IF(IFERROR(OFFSET(I323,0,_xlfn.XLOOKUP($G321,$B$4:$B$8,$C$4:$C$8)),0)=MAX($C323:$L323),_xlfn.MINIFS($C323:$L323,$C323:$L323,"&gt;0")*_xlfn.XLOOKUP($G321,$B$4:$B$8,$D$4:$D$8),IFERROR(OFFSET(I323,0,_xlfn.XLOOKUP($G321,$B$4:$B$8,$C$4:$C$8))*_xlfn.XLOOKUP($G321,$B$4:$B$8,$D$4:$D$8),0)),IFERROR(OFFSET(I323,0,_xlfn.XLOOKUP($G321,$B$4:$B$8,$E$4:$E$8))*_xlfn.XLOOKUP($G321,$B$4:$B$8,$F$4:$F$8),0),G324)))</f>
        <v>0</v>
      </c>
      <c r="J324" s="196">
        <f t="shared" ref="J324" ca="1" si="1135">IF($I321="N",J323,IF($G321="1. In Flight",1,$G$4)*MIN(MAX($C323:$L323)*_xlfn.XLOOKUP($G321,$B$4:$B$8,$F$4:$F$8),MAX(IF(IFERROR(OFFSET(J323,0,_xlfn.XLOOKUP($G321,$B$4:$B$8,$C$4:$C$8)),0)=MAX($C323:$L323),_xlfn.MINIFS($C323:$L323,$C323:$L323,"&gt;0")*_xlfn.XLOOKUP($G321,$B$4:$B$8,$D$4:$D$8),IFERROR(OFFSET(J323,0,_xlfn.XLOOKUP($G321,$B$4:$B$8,$C$4:$C$8))*_xlfn.XLOOKUP($G321,$B$4:$B$8,$D$4:$D$8),0)),IFERROR(OFFSET(J323,0,_xlfn.XLOOKUP($G321,$B$4:$B$8,$E$4:$E$8))*_xlfn.XLOOKUP($G321,$B$4:$B$8,$F$4:$F$8),0),H324)))</f>
        <v>2.8665386228910159</v>
      </c>
      <c r="K324" s="196">
        <f t="shared" ref="K324" ca="1" si="1136">IF($I321="N",K323,IF($G321="1. In Flight",1,$G$4)*MIN(MAX($C323:$L323)*_xlfn.XLOOKUP($G321,$B$4:$B$8,$F$4:$F$8),MAX(IF(IFERROR(OFFSET(K323,0,_xlfn.XLOOKUP($G321,$B$4:$B$8,$C$4:$C$8)),0)=MAX($C323:$L323),_xlfn.MINIFS($C323:$L323,$C323:$L323,"&gt;0")*_xlfn.XLOOKUP($G321,$B$4:$B$8,$D$4:$D$8),IFERROR(OFFSET(K323,0,_xlfn.XLOOKUP($G321,$B$4:$B$8,$C$4:$C$8))*_xlfn.XLOOKUP($G321,$B$4:$B$8,$D$4:$D$8),0)),IFERROR(OFFSET(K323,0,_xlfn.XLOOKUP($G321,$B$4:$B$8,$E$4:$E$8))*_xlfn.XLOOKUP($G321,$B$4:$B$8,$F$4:$F$8),0),I324)))</f>
        <v>4.0844219562243502</v>
      </c>
      <c r="L324" s="196">
        <f t="shared" ref="L324" ca="1" si="1137">IF($I321="N",L323,IF($G321="1. In Flight",1,$G$4)*MIN(MAX($C323:$L323)*_xlfn.XLOOKUP($G321,$B$4:$B$8,$F$4:$F$8),MAX(IF(IFERROR(OFFSET(L323,0,_xlfn.XLOOKUP($G321,$B$4:$B$8,$C$4:$C$8)),0)=MAX($C323:$L323),_xlfn.MINIFS($C323:$L323,$C323:$L323,"&gt;0")*_xlfn.XLOOKUP($G321,$B$4:$B$8,$D$4:$D$8),IFERROR(OFFSET(L323,0,_xlfn.XLOOKUP($G321,$B$4:$B$8,$C$4:$C$8))*_xlfn.XLOOKUP($G321,$B$4:$B$8,$D$4:$D$8),0)),IFERROR(OFFSET(L323,0,_xlfn.XLOOKUP($G321,$B$4:$B$8,$E$4:$E$8))*_xlfn.XLOOKUP($G321,$B$4:$B$8,$F$4:$F$8),0),J324)))</f>
        <v>4.9888219562243501</v>
      </c>
    </row>
    <row r="325" spans="1:12" ht="15" thickBot="1">
      <c r="A325" s="195" t="s">
        <v>108</v>
      </c>
      <c r="B325" s="196">
        <f>B323</f>
        <v>0</v>
      </c>
      <c r="C325" s="196">
        <f ca="1">IF($I321="N",C323,IF($G321="1. In Flight",1,$G$9)*MIN(MAX($C323:$L323)*_xlfn.XLOOKUP($G321,$B$9:$B$13,$F$9:$F$13),MAX(IF(IFERROR(OFFSET(C323,0,_xlfn.XLOOKUP($G321,$B$9:$B$13,$C$9:$C$13)),0)=MAX($C323:$L323),_xlfn.MINIFS($C323:$L323,$C323:$L323,"&gt;0")*_xlfn.XLOOKUP($G321,$B$9:$B$13,$D$9:$D$13),IFERROR(OFFSET(C323,0,_xlfn.XLOOKUP($G321,$B$9:$B$13,$C$9:$C$13))*_xlfn.XLOOKUP($G321,$B$9:$B$13,$D$9:$D$13),0)),IFERROR(OFFSET(C323,0,_xlfn.XLOOKUP($G321,$B$9:$B$13,$E$9:$E$13))*_xlfn.XLOOKUP($G321,$B$9:$B$13,$F$9:$F$13),0),A325)))</f>
        <v>0</v>
      </c>
      <c r="D325" s="196">
        <f t="shared" ref="D325" ca="1" si="1138">IF($I321="N",D323,IF($G321="1. In Flight",1,$G$9)*MIN(MAX($C323:$L323)*_xlfn.XLOOKUP($G321,$B$9:$B$13,$F$9:$F$13),MAX(IF(IFERROR(OFFSET(D323,0,_xlfn.XLOOKUP($G321,$B$9:$B$13,$C$9:$C$13)),0)=MAX($C323:$L323),_xlfn.MINIFS($C323:$L323,$C323:$L323,"&gt;0")*_xlfn.XLOOKUP($G321,$B$9:$B$13,$D$9:$D$13),IFERROR(OFFSET(D323,0,_xlfn.XLOOKUP($G321,$B$9:$B$13,$C$9:$C$13))*_xlfn.XLOOKUP($G321,$B$9:$B$13,$D$9:$D$13),0)),IFERROR(OFFSET(D323,0,_xlfn.XLOOKUP($G321,$B$9:$B$13,$E$9:$E$13))*_xlfn.XLOOKUP($G321,$B$9:$B$13,$F$9:$F$13),0),B325)))</f>
        <v>0</v>
      </c>
      <c r="E325" s="196">
        <f t="shared" ref="E325" ca="1" si="1139">IF($I321="N",E323,IF($G321="1. In Flight",1,$G$9)*MIN(MAX($C323:$L323)*_xlfn.XLOOKUP($G321,$B$9:$B$13,$F$9:$F$13),MAX(IF(IFERROR(OFFSET(E323,0,_xlfn.XLOOKUP($G321,$B$9:$B$13,$C$9:$C$13)),0)=MAX($C323:$L323),_xlfn.MINIFS($C323:$L323,$C323:$L323,"&gt;0")*_xlfn.XLOOKUP($G321,$B$9:$B$13,$D$9:$D$13),IFERROR(OFFSET(E323,0,_xlfn.XLOOKUP($G321,$B$9:$B$13,$C$9:$C$13))*_xlfn.XLOOKUP($G321,$B$9:$B$13,$D$9:$D$13),0)),IFERROR(OFFSET(E323,0,_xlfn.XLOOKUP($G321,$B$9:$B$13,$E$9:$E$13))*_xlfn.XLOOKUP($G321,$B$9:$B$13,$F$9:$F$13),0),C325)))</f>
        <v>0</v>
      </c>
      <c r="F325" s="196">
        <f t="shared" ref="F325" ca="1" si="1140">IF($I321="N",F323,IF($G321="1. In Flight",1,$G$9)*MIN(MAX($C323:$L323)*_xlfn.XLOOKUP($G321,$B$9:$B$13,$F$9:$F$13),MAX(IF(IFERROR(OFFSET(F323,0,_xlfn.XLOOKUP($G321,$B$9:$B$13,$C$9:$C$13)),0)=MAX($C323:$L323),_xlfn.MINIFS($C323:$L323,$C323:$L323,"&gt;0")*_xlfn.XLOOKUP($G321,$B$9:$B$13,$D$9:$D$13),IFERROR(OFFSET(F323,0,_xlfn.XLOOKUP($G321,$B$9:$B$13,$C$9:$C$13))*_xlfn.XLOOKUP($G321,$B$9:$B$13,$D$9:$D$13),0)),IFERROR(OFFSET(F323,0,_xlfn.XLOOKUP($G321,$B$9:$B$13,$E$9:$E$13))*_xlfn.XLOOKUP($G321,$B$9:$B$13,$F$9:$F$13),0),D325)))</f>
        <v>0</v>
      </c>
      <c r="G325" s="196">
        <f t="shared" ref="G325" ca="1" si="1141">IF($I321="N",G323,IF($G321="1. In Flight",1,$G$9)*MIN(MAX($C323:$L323)*_xlfn.XLOOKUP($G321,$B$9:$B$13,$F$9:$F$13),MAX(IF(IFERROR(OFFSET(G323,0,_xlfn.XLOOKUP($G321,$B$9:$B$13,$C$9:$C$13)),0)=MAX($C323:$L323),_xlfn.MINIFS($C323:$L323,$C323:$L323,"&gt;0")*_xlfn.XLOOKUP($G321,$B$9:$B$13,$D$9:$D$13),IFERROR(OFFSET(G323,0,_xlfn.XLOOKUP($G321,$B$9:$B$13,$C$9:$C$13))*_xlfn.XLOOKUP($G321,$B$9:$B$13,$D$9:$D$13),0)),IFERROR(OFFSET(G323,0,_xlfn.XLOOKUP($G321,$B$9:$B$13,$E$9:$E$13))*_xlfn.XLOOKUP($G321,$B$9:$B$13,$F$9:$F$13),0),E325)))</f>
        <v>0</v>
      </c>
      <c r="H325" s="196">
        <f t="shared" ref="H325" ca="1" si="1142">IF($I321="N",H323,IF($G321="1. In Flight",1,$G$9)*MIN(MAX($C323:$L323)*_xlfn.XLOOKUP($G321,$B$9:$B$13,$F$9:$F$13),MAX(IF(IFERROR(OFFSET(H323,0,_xlfn.XLOOKUP($G321,$B$9:$B$13,$C$9:$C$13)),0)=MAX($C323:$L323),_xlfn.MINIFS($C323:$L323,$C323:$L323,"&gt;0")*_xlfn.XLOOKUP($G321,$B$9:$B$13,$D$9:$D$13),IFERROR(OFFSET(H323,0,_xlfn.XLOOKUP($G321,$B$9:$B$13,$C$9:$C$13))*_xlfn.XLOOKUP($G321,$B$9:$B$13,$D$9:$D$13),0)),IFERROR(OFFSET(H323,0,_xlfn.XLOOKUP($G321,$B$9:$B$13,$E$9:$E$13))*_xlfn.XLOOKUP($G321,$B$9:$B$13,$F$9:$F$13),0),F325)))</f>
        <v>0</v>
      </c>
      <c r="I325" s="196">
        <f t="shared" ref="I325" ca="1" si="1143">IF($I321="N",I323,IF($G321="1. In Flight",1,$G$9)*MIN(MAX($C323:$L323)*_xlfn.XLOOKUP($G321,$B$9:$B$13,$F$9:$F$13),MAX(IF(IFERROR(OFFSET(I323,0,_xlfn.XLOOKUP($G321,$B$9:$B$13,$C$9:$C$13)),0)=MAX($C323:$L323),_xlfn.MINIFS($C323:$L323,$C323:$L323,"&gt;0")*_xlfn.XLOOKUP($G321,$B$9:$B$13,$D$9:$D$13),IFERROR(OFFSET(I323,0,_xlfn.XLOOKUP($G321,$B$9:$B$13,$C$9:$C$13))*_xlfn.XLOOKUP($G321,$B$9:$B$13,$D$9:$D$13),0)),IFERROR(OFFSET(I323,0,_xlfn.XLOOKUP($G321,$B$9:$B$13,$E$9:$E$13))*_xlfn.XLOOKUP($G321,$B$9:$B$13,$F$9:$F$13),0),G325)))</f>
        <v>0</v>
      </c>
      <c r="J325" s="196">
        <f t="shared" ref="J325" ca="1" si="1144">IF($I321="N",J323,IF($G321="1. In Flight",1,$G$9)*MIN(MAX($C323:$L323)*_xlfn.XLOOKUP($G321,$B$9:$B$13,$F$9:$F$13),MAX(IF(IFERROR(OFFSET(J323,0,_xlfn.XLOOKUP($G321,$B$9:$B$13,$C$9:$C$13)),0)=MAX($C323:$L323),_xlfn.MINIFS($C323:$L323,$C323:$L323,"&gt;0")*_xlfn.XLOOKUP($G321,$B$9:$B$13,$D$9:$D$13),IFERROR(OFFSET(J323,0,_xlfn.XLOOKUP($G321,$B$9:$B$13,$C$9:$C$13))*_xlfn.XLOOKUP($G321,$B$9:$B$13,$D$9:$D$13),0)),IFERROR(OFFSET(J323,0,_xlfn.XLOOKUP($G321,$B$9:$B$13,$E$9:$E$13))*_xlfn.XLOOKUP($G321,$B$9:$B$13,$F$9:$F$13),0),H325)))</f>
        <v>0</v>
      </c>
      <c r="K325" s="196">
        <f t="shared" ref="K325" ca="1" si="1145">IF($I321="N",K323,IF($G321="1. In Flight",1,$G$9)*MIN(MAX($C323:$L323)*_xlfn.XLOOKUP($G321,$B$9:$B$13,$F$9:$F$13),MAX(IF(IFERROR(OFFSET(K323,0,_xlfn.XLOOKUP($G321,$B$9:$B$13,$C$9:$C$13)),0)=MAX($C323:$L323),_xlfn.MINIFS($C323:$L323,$C323:$L323,"&gt;0")*_xlfn.XLOOKUP($G321,$B$9:$B$13,$D$9:$D$13),IFERROR(OFFSET(K323,0,_xlfn.XLOOKUP($G321,$B$9:$B$13,$C$9:$C$13))*_xlfn.XLOOKUP($G321,$B$9:$B$13,$D$9:$D$13),0)),IFERROR(OFFSET(K323,0,_xlfn.XLOOKUP($G321,$B$9:$B$13,$E$9:$E$13))*_xlfn.XLOOKUP($G321,$B$9:$B$13,$F$9:$F$13),0),I325)))</f>
        <v>1.1700157644453129</v>
      </c>
      <c r="L325" s="196">
        <f t="shared" ref="L325" ca="1" si="1146">IF($I321="N",L323,IF($G321="1. In Flight",1,$G$9)*MIN(MAX($C323:$L323)*_xlfn.XLOOKUP($G321,$B$9:$B$13,$F$9:$F$13),MAX(IF(IFERROR(OFFSET(L323,0,_xlfn.XLOOKUP($G321,$B$9:$B$13,$C$9:$C$13)),0)=MAX($C323:$L323),_xlfn.MINIFS($C323:$L323,$C323:$L323,"&gt;0")*_xlfn.XLOOKUP($G321,$B$9:$B$13,$D$9:$D$13),IFERROR(OFFSET(L323,0,_xlfn.XLOOKUP($G321,$B$9:$B$13,$C$9:$C$13))*_xlfn.XLOOKUP($G321,$B$9:$B$13,$D$9:$D$13),0)),IFERROR(OFFSET(L323,0,_xlfn.XLOOKUP($G321,$B$9:$B$13,$E$9:$E$13))*_xlfn.XLOOKUP($G321,$B$9:$B$13,$F$9:$F$13),0),J325)))</f>
        <v>1.6671110025405511</v>
      </c>
    </row>
    <row r="326" spans="1:12" ht="15" thickBot="1">
      <c r="A326" s="197" t="s">
        <v>109</v>
      </c>
      <c r="B326" s="198">
        <f>B323</f>
        <v>0</v>
      </c>
      <c r="C326" s="198">
        <f ca="1">IF($I321="N",C323,IF($G321="1. In Flight",1,$G$14)*MIN(MAX($C323:$L323)*_xlfn.XLOOKUP($G321,$B$14:$B$18,$F$14:$F$18),MAX(IF(IFERROR(OFFSET(C323,0,_xlfn.XLOOKUP($G321,$B$14:$B$18,$C$14:$C$18)),0)=MAX($C323:$L323),_xlfn.MINIFS($C323:$L323,$C323:$L323,"&gt;0")*_xlfn.XLOOKUP($G321,$B$14:$B$18,$D$14:$D$18),IFERROR(OFFSET(C323,0,_xlfn.XLOOKUP($G321,$B$14:$B$18,$C$14:$C$18))*_xlfn.XLOOKUP($G321,$B$14:$B$18,$D$14:$D$18),0)),IFERROR(OFFSET(C323,0,_xlfn.XLOOKUP($G321,$B$14:$B$18,$E$14:$E$18))*_xlfn.XLOOKUP($G321,$B$14:$B$18,$F$14:$F$18),0),A326)))</f>
        <v>0</v>
      </c>
      <c r="D326" s="198">
        <f t="shared" ref="D326" ca="1" si="1147">IF($I321="N",D323,IF($G321="1. In Flight",1,$G$14)*MIN(MAX($C323:$L323)*_xlfn.XLOOKUP($G321,$B$14:$B$18,$F$14:$F$18),MAX(IF(IFERROR(OFFSET(D323,0,_xlfn.XLOOKUP($G321,$B$14:$B$18,$C$14:$C$18)),0)=MAX($C323:$L323),_xlfn.MINIFS($C323:$L323,$C323:$L323,"&gt;0")*_xlfn.XLOOKUP($G321,$B$14:$B$18,$D$14:$D$18),IFERROR(OFFSET(D323,0,_xlfn.XLOOKUP($G321,$B$14:$B$18,$C$14:$C$18))*_xlfn.XLOOKUP($G321,$B$14:$B$18,$D$14:$D$18),0)),IFERROR(OFFSET(D323,0,_xlfn.XLOOKUP($G321,$B$14:$B$18,$E$14:$E$18))*_xlfn.XLOOKUP($G321,$B$14:$B$18,$F$14:$F$18),0),B326)))</f>
        <v>0</v>
      </c>
      <c r="E326" s="198">
        <f t="shared" ref="E326" ca="1" si="1148">IF($I321="N",E323,IF($G321="1. In Flight",1,$G$14)*MIN(MAX($C323:$L323)*_xlfn.XLOOKUP($G321,$B$14:$B$18,$F$14:$F$18),MAX(IF(IFERROR(OFFSET(E323,0,_xlfn.XLOOKUP($G321,$B$14:$B$18,$C$14:$C$18)),0)=MAX($C323:$L323),_xlfn.MINIFS($C323:$L323,$C323:$L323,"&gt;0")*_xlfn.XLOOKUP($G321,$B$14:$B$18,$D$14:$D$18),IFERROR(OFFSET(E323,0,_xlfn.XLOOKUP($G321,$B$14:$B$18,$C$14:$C$18))*_xlfn.XLOOKUP($G321,$B$14:$B$18,$D$14:$D$18),0)),IFERROR(OFFSET(E323,0,_xlfn.XLOOKUP($G321,$B$14:$B$18,$E$14:$E$18))*_xlfn.XLOOKUP($G321,$B$14:$B$18,$F$14:$F$18),0),C326)))</f>
        <v>0</v>
      </c>
      <c r="F326" s="198">
        <f t="shared" ref="F326" ca="1" si="1149">IF($I321="N",F323,IF($G321="1. In Flight",1,$G$14)*MIN(MAX($C323:$L323)*_xlfn.XLOOKUP($G321,$B$14:$B$18,$F$14:$F$18),MAX(IF(IFERROR(OFFSET(F323,0,_xlfn.XLOOKUP($G321,$B$14:$B$18,$C$14:$C$18)),0)=MAX($C323:$L323),_xlfn.MINIFS($C323:$L323,$C323:$L323,"&gt;0")*_xlfn.XLOOKUP($G321,$B$14:$B$18,$D$14:$D$18),IFERROR(OFFSET(F323,0,_xlfn.XLOOKUP($G321,$B$14:$B$18,$C$14:$C$18))*_xlfn.XLOOKUP($G321,$B$14:$B$18,$D$14:$D$18),0)),IFERROR(OFFSET(F323,0,_xlfn.XLOOKUP($G321,$B$14:$B$18,$E$14:$E$18))*_xlfn.XLOOKUP($G321,$B$14:$B$18,$F$14:$F$18),0),D326)))</f>
        <v>0</v>
      </c>
      <c r="G326" s="198">
        <f t="shared" ref="G326" ca="1" si="1150">IF($I321="N",G323,IF($G321="1. In Flight",1,$G$14)*MIN(MAX($C323:$L323)*_xlfn.XLOOKUP($G321,$B$14:$B$18,$F$14:$F$18),MAX(IF(IFERROR(OFFSET(G323,0,_xlfn.XLOOKUP($G321,$B$14:$B$18,$C$14:$C$18)),0)=MAX($C323:$L323),_xlfn.MINIFS($C323:$L323,$C323:$L323,"&gt;0")*_xlfn.XLOOKUP($G321,$B$14:$B$18,$D$14:$D$18),IFERROR(OFFSET(G323,0,_xlfn.XLOOKUP($G321,$B$14:$B$18,$C$14:$C$18))*_xlfn.XLOOKUP($G321,$B$14:$B$18,$D$14:$D$18),0)),IFERROR(OFFSET(G323,0,_xlfn.XLOOKUP($G321,$B$14:$B$18,$E$14:$E$18))*_xlfn.XLOOKUP($G321,$B$14:$B$18,$F$14:$F$18),0),E326)))</f>
        <v>0</v>
      </c>
      <c r="H326" s="198">
        <f t="shared" ref="H326" ca="1" si="1151">IF($I321="N",H323,IF($G321="1. In Flight",1,$G$14)*MIN(MAX($C323:$L323)*_xlfn.XLOOKUP($G321,$B$14:$B$18,$F$14:$F$18),MAX(IF(IFERROR(OFFSET(H323,0,_xlfn.XLOOKUP($G321,$B$14:$B$18,$C$14:$C$18)),0)=MAX($C323:$L323),_xlfn.MINIFS($C323:$L323,$C323:$L323,"&gt;0")*_xlfn.XLOOKUP($G321,$B$14:$B$18,$D$14:$D$18),IFERROR(OFFSET(H323,0,_xlfn.XLOOKUP($G321,$B$14:$B$18,$C$14:$C$18))*_xlfn.XLOOKUP($G321,$B$14:$B$18,$D$14:$D$18),0)),IFERROR(OFFSET(H323,0,_xlfn.XLOOKUP($G321,$B$14:$B$18,$E$14:$E$18))*_xlfn.XLOOKUP($G321,$B$14:$B$18,$F$14:$F$18),0),F326)))</f>
        <v>0</v>
      </c>
      <c r="I326" s="198">
        <f t="shared" ref="I326" ca="1" si="1152">IF($I321="N",I323,IF($G321="1. In Flight",1,$G$14)*MIN(MAX($C323:$L323)*_xlfn.XLOOKUP($G321,$B$14:$B$18,$F$14:$F$18),MAX(IF(IFERROR(OFFSET(I323,0,_xlfn.XLOOKUP($G321,$B$14:$B$18,$C$14:$C$18)),0)=MAX($C323:$L323),_xlfn.MINIFS($C323:$L323,$C323:$L323,"&gt;0")*_xlfn.XLOOKUP($G321,$B$14:$B$18,$D$14:$D$18),IFERROR(OFFSET(I323,0,_xlfn.XLOOKUP($G321,$B$14:$B$18,$C$14:$C$18))*_xlfn.XLOOKUP($G321,$B$14:$B$18,$D$14:$D$18),0)),IFERROR(OFFSET(I323,0,_xlfn.XLOOKUP($G321,$B$14:$B$18,$E$14:$E$18))*_xlfn.XLOOKUP($G321,$B$14:$B$18,$F$14:$F$18),0),G326)))</f>
        <v>4.212056752003126</v>
      </c>
      <c r="J326" s="198">
        <f t="shared" ref="J326" ca="1" si="1153">IF($I321="N",J323,IF($G321="1. In Flight",1,$G$14)*MIN(MAX($C323:$L323)*_xlfn.XLOOKUP($G321,$B$14:$B$18,$F$14:$F$18),MAX(IF(IFERROR(OFFSET(J323,0,_xlfn.XLOOKUP($G321,$B$14:$B$18,$C$14:$C$18)),0)=MAX($C323:$L323),_xlfn.MINIFS($C323:$L323,$C323:$L323,"&gt;0")*_xlfn.XLOOKUP($G321,$B$14:$B$18,$D$14:$D$18),IFERROR(OFFSET(J323,0,_xlfn.XLOOKUP($G321,$B$14:$B$18,$C$14:$C$18))*_xlfn.XLOOKUP($G321,$B$14:$B$18,$D$14:$D$18),0)),IFERROR(OFFSET(J323,0,_xlfn.XLOOKUP($G321,$B$14:$B$18,$E$14:$E$18))*_xlfn.XLOOKUP($G321,$B$14:$B$18,$F$14:$F$18),0),H326)))</f>
        <v>6.001599609145984</v>
      </c>
      <c r="K326" s="198">
        <f t="shared" ref="K326" ca="1" si="1154">IF($I321="N",K323,IF($G321="1. In Flight",1,$G$14)*MIN(MAX($C323:$L323)*_xlfn.XLOOKUP($G321,$B$14:$B$18,$F$14:$F$18),MAX(IF(IFERROR(OFFSET(K323,0,_xlfn.XLOOKUP($G321,$B$14:$B$18,$C$14:$C$18)),0)=MAX($C323:$L323),_xlfn.MINIFS($C323:$L323,$C323:$L323,"&gt;0")*_xlfn.XLOOKUP($G321,$B$14:$B$18,$D$14:$D$18),IFERROR(OFFSET(K323,0,_xlfn.XLOOKUP($G321,$B$14:$B$18,$C$14:$C$18))*_xlfn.XLOOKUP($G321,$B$14:$B$18,$D$14:$D$18),0)),IFERROR(OFFSET(K323,0,_xlfn.XLOOKUP($G321,$B$14:$B$18,$E$14:$E$18))*_xlfn.XLOOKUP($G321,$B$14:$B$18,$F$14:$F$18),0),I326)))</f>
        <v>7.3305138948602719</v>
      </c>
      <c r="L326" s="198">
        <f t="shared" ref="L326" ca="1" si="1155">IF($I321="N",L323,IF($G321="1. In Flight",1,$G$14)*MIN(MAX($C323:$L323)*_xlfn.XLOOKUP($G321,$B$14:$B$18,$F$14:$F$18),MAX(IF(IFERROR(OFFSET(L323,0,_xlfn.XLOOKUP($G321,$B$14:$B$18,$C$14:$C$18)),0)=MAX($C323:$L323),_xlfn.MINIFS($C323:$L323,$C323:$L323,"&gt;0")*_xlfn.XLOOKUP($G321,$B$14:$B$18,$D$14:$D$18),IFERROR(OFFSET(L323,0,_xlfn.XLOOKUP($G321,$B$14:$B$18,$C$14:$C$18))*_xlfn.XLOOKUP($G321,$B$14:$B$18,$D$14:$D$18),0)),IFERROR(OFFSET(L323,0,_xlfn.XLOOKUP($G321,$B$14:$B$18,$E$14:$E$18))*_xlfn.XLOOKUP($G321,$B$14:$B$18,$F$14:$F$18),0),J326)))</f>
        <v>11.298193894860271</v>
      </c>
    </row>
    <row r="327" spans="1:12" ht="15" thickTop="1"/>
    <row r="328" spans="1:12" ht="15" thickBot="1">
      <c r="A328" s="231">
        <f>_xlfn.XLOOKUP(F328,FEED!D:D,FEED!E:E,FALSE)</f>
        <v>0</v>
      </c>
      <c r="B328" s="232"/>
      <c r="C328" s="189"/>
      <c r="D328" s="189" t="s">
        <v>124</v>
      </c>
      <c r="E328" s="189" t="s">
        <v>125</v>
      </c>
      <c r="F328" s="189" t="s">
        <v>79</v>
      </c>
      <c r="G328" s="189" t="str">
        <f>IFERROR(_xlfn.XLOOKUP(F328,FEED!$D:$D,FEED!$S:$S),$B$8)</f>
        <v>4. Low</v>
      </c>
      <c r="H328" s="189" t="str">
        <f>IFERROR(_xlfn.XLOOKUP(F328,FEED!$D:$D,FEED!$Y:$Y),"Major Load")</f>
        <v>Data Centre</v>
      </c>
      <c r="I328" s="189" t="str">
        <f>IFERROR(_xlfn.XLOOKUP(F328,FEED!$D:$D,FEED!$C:$C),"N")</f>
        <v>Y</v>
      </c>
      <c r="J328" s="190"/>
      <c r="K328" s="190"/>
      <c r="L328" s="190"/>
    </row>
    <row r="329" spans="1:12" ht="15" thickBot="1">
      <c r="A329" s="191" t="str">
        <f t="shared" ref="A329" si="1156">A196</f>
        <v>Uptake Scenario</v>
      </c>
      <c r="B329" s="192">
        <f>B308</f>
        <v>2023</v>
      </c>
      <c r="C329" s="192">
        <f t="shared" ref="C329:L329" si="1157">C308</f>
        <v>2024</v>
      </c>
      <c r="D329" s="192">
        <f t="shared" si="1157"/>
        <v>2025</v>
      </c>
      <c r="E329" s="192">
        <f t="shared" si="1157"/>
        <v>2026</v>
      </c>
      <c r="F329" s="192">
        <f t="shared" si="1157"/>
        <v>2027</v>
      </c>
      <c r="G329" s="192">
        <f t="shared" si="1157"/>
        <v>2028</v>
      </c>
      <c r="H329" s="192">
        <f t="shared" si="1157"/>
        <v>2029</v>
      </c>
      <c r="I329" s="192">
        <f t="shared" si="1157"/>
        <v>2030</v>
      </c>
      <c r="J329" s="192">
        <f t="shared" si="1157"/>
        <v>2031</v>
      </c>
      <c r="K329" s="192">
        <f t="shared" si="1157"/>
        <v>2032</v>
      </c>
      <c r="L329" s="192">
        <f t="shared" si="1157"/>
        <v>2033</v>
      </c>
    </row>
    <row r="330" spans="1:12" ht="15.6" thickTop="1" thickBot="1">
      <c r="A330" s="193" t="s">
        <v>111</v>
      </c>
      <c r="B330" s="194">
        <v>0</v>
      </c>
      <c r="C330" s="194">
        <f>SUMIF(FEED!$D:$D,$F328,FEED!F:F)+B330</f>
        <v>0</v>
      </c>
      <c r="D330" s="194">
        <f>SUMIF(FEED!$D:$D,$F328,FEED!G:G)+C330</f>
        <v>0</v>
      </c>
      <c r="E330" s="194">
        <f>SUMIF(FEED!$D:$D,$F328,FEED!H:H)+D330</f>
        <v>0</v>
      </c>
      <c r="F330" s="194">
        <f>SUMIF(FEED!$D:$D,$F328,FEED!I:I)+E330</f>
        <v>0</v>
      </c>
      <c r="G330" s="194">
        <f>SUMIF(FEED!$D:$D,$F328,FEED!J:J)+F330</f>
        <v>0</v>
      </c>
      <c r="H330" s="194">
        <f>SUMIF(FEED!$D:$D,$F328,FEED!K:K)+G330</f>
        <v>0</v>
      </c>
      <c r="I330" s="194">
        <f>SUMIF(FEED!$D:$D,$F328,FEED!L:L)+H330</f>
        <v>22.230299524460943</v>
      </c>
      <c r="J330" s="194">
        <f>SUMIF(FEED!$D:$D,$F328,FEED!M:M)+I330</f>
        <v>31.675109048270471</v>
      </c>
      <c r="K330" s="194">
        <f>SUMIF(FEED!$D:$D,$F328,FEED!N:N)+J330</f>
        <v>38.688823333984757</v>
      </c>
      <c r="L330" s="194">
        <f>SUMIF(FEED!$D:$D,$F328,FEED!O:O)+K330</f>
        <v>59.629356667318092</v>
      </c>
    </row>
    <row r="331" spans="1:12" ht="15" thickBot="1">
      <c r="A331" s="195" t="s">
        <v>107</v>
      </c>
      <c r="B331" s="196">
        <f>B330</f>
        <v>0</v>
      </c>
      <c r="C331" s="196">
        <f ca="1">IF($I328="N",C330,IF($G328="1. In Flight",1,$G$4)*MIN(MAX($C330:$L330)*_xlfn.XLOOKUP($G328,$B$4:$B$8,$F$4:$F$8),MAX(IF(IFERROR(OFFSET(C330,0,_xlfn.XLOOKUP($G328,$B$4:$B$8,$C$4:$C$8)),0)=MAX($C330:$L330),_xlfn.MINIFS($C330:$L330,$C330:$L330,"&gt;0")*_xlfn.XLOOKUP($G328,$B$4:$B$8,$D$4:$D$8),IFERROR(OFFSET(C330,0,_xlfn.XLOOKUP($G328,$B$4:$B$8,$C$4:$C$8))*_xlfn.XLOOKUP($G328,$B$4:$B$8,$D$4:$D$8),0)),IFERROR(OFFSET(C330,0,_xlfn.XLOOKUP($G328,$B$4:$B$8,$E$4:$E$8))*_xlfn.XLOOKUP($G328,$B$4:$B$8,$F$4:$F$8),0),A331)))</f>
        <v>0</v>
      </c>
      <c r="D331" s="196">
        <f t="shared" ref="D331" ca="1" si="1158">IF($I328="N",D330,IF($G328="1. In Flight",1,$G$4)*MIN(MAX($C330:$L330)*_xlfn.XLOOKUP($G328,$B$4:$B$8,$F$4:$F$8),MAX(IF(IFERROR(OFFSET(D330,0,_xlfn.XLOOKUP($G328,$B$4:$B$8,$C$4:$C$8)),0)=MAX($C330:$L330),_xlfn.MINIFS($C330:$L330,$C330:$L330,"&gt;0")*_xlfn.XLOOKUP($G328,$B$4:$B$8,$D$4:$D$8),IFERROR(OFFSET(D330,0,_xlfn.XLOOKUP($G328,$B$4:$B$8,$C$4:$C$8))*_xlfn.XLOOKUP($G328,$B$4:$B$8,$D$4:$D$8),0)),IFERROR(OFFSET(D330,0,_xlfn.XLOOKUP($G328,$B$4:$B$8,$E$4:$E$8))*_xlfn.XLOOKUP($G328,$B$4:$B$8,$F$4:$F$8),0),B331)))</f>
        <v>0</v>
      </c>
      <c r="E331" s="196">
        <f t="shared" ref="E331" ca="1" si="1159">IF($I328="N",E330,IF($G328="1. In Flight",1,$G$4)*MIN(MAX($C330:$L330)*_xlfn.XLOOKUP($G328,$B$4:$B$8,$F$4:$F$8),MAX(IF(IFERROR(OFFSET(E330,0,_xlfn.XLOOKUP($G328,$B$4:$B$8,$C$4:$C$8)),0)=MAX($C330:$L330),_xlfn.MINIFS($C330:$L330,$C330:$L330,"&gt;0")*_xlfn.XLOOKUP($G328,$B$4:$B$8,$D$4:$D$8),IFERROR(OFFSET(E330,0,_xlfn.XLOOKUP($G328,$B$4:$B$8,$C$4:$C$8))*_xlfn.XLOOKUP($G328,$B$4:$B$8,$D$4:$D$8),0)),IFERROR(OFFSET(E330,0,_xlfn.XLOOKUP($G328,$B$4:$B$8,$E$4:$E$8))*_xlfn.XLOOKUP($G328,$B$4:$B$8,$F$4:$F$8),0),C331)))</f>
        <v>0</v>
      </c>
      <c r="F331" s="196">
        <f t="shared" ref="F331" ca="1" si="1160">IF($I328="N",F330,IF($G328="1. In Flight",1,$G$4)*MIN(MAX($C330:$L330)*_xlfn.XLOOKUP($G328,$B$4:$B$8,$F$4:$F$8),MAX(IF(IFERROR(OFFSET(F330,0,_xlfn.XLOOKUP($G328,$B$4:$B$8,$C$4:$C$8)),0)=MAX($C330:$L330),_xlfn.MINIFS($C330:$L330,$C330:$L330,"&gt;0")*_xlfn.XLOOKUP($G328,$B$4:$B$8,$D$4:$D$8),IFERROR(OFFSET(F330,0,_xlfn.XLOOKUP($G328,$B$4:$B$8,$C$4:$C$8))*_xlfn.XLOOKUP($G328,$B$4:$B$8,$D$4:$D$8),0)),IFERROR(OFFSET(F330,0,_xlfn.XLOOKUP($G328,$B$4:$B$8,$E$4:$E$8))*_xlfn.XLOOKUP($G328,$B$4:$B$8,$F$4:$F$8),0),D331)))</f>
        <v>0</v>
      </c>
      <c r="G331" s="196">
        <f t="shared" ref="G331" ca="1" si="1161">IF($I328="N",G330,IF($G328="1. In Flight",1,$G$4)*MIN(MAX($C330:$L330)*_xlfn.XLOOKUP($G328,$B$4:$B$8,$F$4:$F$8),MAX(IF(IFERROR(OFFSET(G330,0,_xlfn.XLOOKUP($G328,$B$4:$B$8,$C$4:$C$8)),0)=MAX($C330:$L330),_xlfn.MINIFS($C330:$L330,$C330:$L330,"&gt;0")*_xlfn.XLOOKUP($G328,$B$4:$B$8,$D$4:$D$8),IFERROR(OFFSET(G330,0,_xlfn.XLOOKUP($G328,$B$4:$B$8,$C$4:$C$8))*_xlfn.XLOOKUP($G328,$B$4:$B$8,$D$4:$D$8),0)),IFERROR(OFFSET(G330,0,_xlfn.XLOOKUP($G328,$B$4:$B$8,$E$4:$E$8))*_xlfn.XLOOKUP($G328,$B$4:$B$8,$F$4:$F$8),0),E331)))</f>
        <v>0</v>
      </c>
      <c r="H331" s="196">
        <f t="shared" ref="H331" ca="1" si="1162">IF($I328="N",H330,IF($G328="1. In Flight",1,$G$4)*MIN(MAX($C330:$L330)*_xlfn.XLOOKUP($G328,$B$4:$B$8,$F$4:$F$8),MAX(IF(IFERROR(OFFSET(H330,0,_xlfn.XLOOKUP($G328,$B$4:$B$8,$C$4:$C$8)),0)=MAX($C330:$L330),_xlfn.MINIFS($C330:$L330,$C330:$L330,"&gt;0")*_xlfn.XLOOKUP($G328,$B$4:$B$8,$D$4:$D$8),IFERROR(OFFSET(H330,0,_xlfn.XLOOKUP($G328,$B$4:$B$8,$C$4:$C$8))*_xlfn.XLOOKUP($G328,$B$4:$B$8,$D$4:$D$8),0)),IFERROR(OFFSET(H330,0,_xlfn.XLOOKUP($G328,$B$4:$B$8,$E$4:$E$8))*_xlfn.XLOOKUP($G328,$B$4:$B$8,$F$4:$F$8),0),F331)))</f>
        <v>0</v>
      </c>
      <c r="I331" s="196">
        <f t="shared" ref="I331" ca="1" si="1163">IF($I328="N",I330,IF($G328="1. In Flight",1,$G$4)*MIN(MAX($C330:$L330)*_xlfn.XLOOKUP($G328,$B$4:$B$8,$F$4:$F$8),MAX(IF(IFERROR(OFFSET(I330,0,_xlfn.XLOOKUP($G328,$B$4:$B$8,$C$4:$C$8)),0)=MAX($C330:$L330),_xlfn.MINIFS($C330:$L330,$C330:$L330,"&gt;0")*_xlfn.XLOOKUP($G328,$B$4:$B$8,$D$4:$D$8),IFERROR(OFFSET(I330,0,_xlfn.XLOOKUP($G328,$B$4:$B$8,$C$4:$C$8))*_xlfn.XLOOKUP($G328,$B$4:$B$8,$D$4:$D$8),0)),IFERROR(OFFSET(I330,0,_xlfn.XLOOKUP($G328,$B$4:$B$8,$E$4:$E$8))*_xlfn.XLOOKUP($G328,$B$4:$B$8,$F$4:$F$8),0),G331)))</f>
        <v>0</v>
      </c>
      <c r="J331" s="196">
        <f t="shared" ref="J331" ca="1" si="1164">IF($I328="N",J330,IF($G328="1. In Flight",1,$G$4)*MIN(MAX($C330:$L330)*_xlfn.XLOOKUP($G328,$B$4:$B$8,$F$4:$F$8),MAX(IF(IFERROR(OFFSET(J330,0,_xlfn.XLOOKUP($G328,$B$4:$B$8,$C$4:$C$8)),0)=MAX($C330:$L330),_xlfn.MINIFS($C330:$L330,$C330:$L330,"&gt;0")*_xlfn.XLOOKUP($G328,$B$4:$B$8,$D$4:$D$8),IFERROR(OFFSET(J330,0,_xlfn.XLOOKUP($G328,$B$4:$B$8,$C$4:$C$8))*_xlfn.XLOOKUP($G328,$B$4:$B$8,$D$4:$D$8),0)),IFERROR(OFFSET(J330,0,_xlfn.XLOOKUP($G328,$B$4:$B$8,$E$4:$E$8))*_xlfn.XLOOKUP($G328,$B$4:$B$8,$F$4:$F$8),0),H331)))</f>
        <v>0</v>
      </c>
      <c r="K331" s="196">
        <f t="shared" ref="K331" ca="1" si="1165">IF($I328="N",K330,IF($G328="1. In Flight",1,$G$4)*MIN(MAX($C330:$L330)*_xlfn.XLOOKUP($G328,$B$4:$B$8,$F$4:$F$8),MAX(IF(IFERROR(OFFSET(K330,0,_xlfn.XLOOKUP($G328,$B$4:$B$8,$C$4:$C$8)),0)=MAX($C330:$L330),_xlfn.MINIFS($C330:$L330,$C330:$L330,"&gt;0")*_xlfn.XLOOKUP($G328,$B$4:$B$8,$D$4:$D$8),IFERROR(OFFSET(K330,0,_xlfn.XLOOKUP($G328,$B$4:$B$8,$C$4:$C$8))*_xlfn.XLOOKUP($G328,$B$4:$B$8,$D$4:$D$8),0)),IFERROR(OFFSET(K330,0,_xlfn.XLOOKUP($G328,$B$4:$B$8,$E$4:$E$8))*_xlfn.XLOOKUP($G328,$B$4:$B$8,$F$4:$F$8),0),I331)))</f>
        <v>0</v>
      </c>
      <c r="L331" s="196">
        <f t="shared" ref="L331" ca="1" si="1166">IF($I328="N",L330,IF($G328="1. In Flight",1,$G$4)*MIN(MAX($C330:$L330)*_xlfn.XLOOKUP($G328,$B$4:$B$8,$F$4:$F$8),MAX(IF(IFERROR(OFFSET(L330,0,_xlfn.XLOOKUP($G328,$B$4:$B$8,$C$4:$C$8)),0)=MAX($C330:$L330),_xlfn.MINIFS($C330:$L330,$C330:$L330,"&gt;0")*_xlfn.XLOOKUP($G328,$B$4:$B$8,$D$4:$D$8),IFERROR(OFFSET(L330,0,_xlfn.XLOOKUP($G328,$B$4:$B$8,$C$4:$C$8))*_xlfn.XLOOKUP($G328,$B$4:$B$8,$D$4:$D$8),0)),IFERROR(OFFSET(L330,0,_xlfn.XLOOKUP($G328,$B$4:$B$8,$E$4:$E$8))*_xlfn.XLOOKUP($G328,$B$4:$B$8,$F$4:$F$8),0),J331)))</f>
        <v>0</v>
      </c>
    </row>
    <row r="332" spans="1:12" ht="15" thickBot="1">
      <c r="A332" s="195" t="s">
        <v>108</v>
      </c>
      <c r="B332" s="196">
        <f>B330</f>
        <v>0</v>
      </c>
      <c r="C332" s="196">
        <f ca="1">IF($I328="N",C330,IF($G328="1. In Flight",1,$G$9)*MIN(MAX($C330:$L330)*_xlfn.XLOOKUP($G328,$B$9:$B$13,$F$9:$F$13),MAX(IF(IFERROR(OFFSET(C330,0,_xlfn.XLOOKUP($G328,$B$9:$B$13,$C$9:$C$13)),0)=MAX($C330:$L330),_xlfn.MINIFS($C330:$L330,$C330:$L330,"&gt;0")*_xlfn.XLOOKUP($G328,$B$9:$B$13,$D$9:$D$13),IFERROR(OFFSET(C330,0,_xlfn.XLOOKUP($G328,$B$9:$B$13,$C$9:$C$13))*_xlfn.XLOOKUP($G328,$B$9:$B$13,$D$9:$D$13),0)),IFERROR(OFFSET(C330,0,_xlfn.XLOOKUP($G328,$B$9:$B$13,$E$9:$E$13))*_xlfn.XLOOKUP($G328,$B$9:$B$13,$F$9:$F$13),0),A332)))</f>
        <v>0</v>
      </c>
      <c r="D332" s="196">
        <f t="shared" ref="D332" ca="1" si="1167">IF($I328="N",D330,IF($G328="1. In Flight",1,$G$9)*MIN(MAX($C330:$L330)*_xlfn.XLOOKUP($G328,$B$9:$B$13,$F$9:$F$13),MAX(IF(IFERROR(OFFSET(D330,0,_xlfn.XLOOKUP($G328,$B$9:$B$13,$C$9:$C$13)),0)=MAX($C330:$L330),_xlfn.MINIFS($C330:$L330,$C330:$L330,"&gt;0")*_xlfn.XLOOKUP($G328,$B$9:$B$13,$D$9:$D$13),IFERROR(OFFSET(D330,0,_xlfn.XLOOKUP($G328,$B$9:$B$13,$C$9:$C$13))*_xlfn.XLOOKUP($G328,$B$9:$B$13,$D$9:$D$13),0)),IFERROR(OFFSET(D330,0,_xlfn.XLOOKUP($G328,$B$9:$B$13,$E$9:$E$13))*_xlfn.XLOOKUP($G328,$B$9:$B$13,$F$9:$F$13),0),B332)))</f>
        <v>0</v>
      </c>
      <c r="E332" s="196">
        <f t="shared" ref="E332" ca="1" si="1168">IF($I328="N",E330,IF($G328="1. In Flight",1,$G$9)*MIN(MAX($C330:$L330)*_xlfn.XLOOKUP($G328,$B$9:$B$13,$F$9:$F$13),MAX(IF(IFERROR(OFFSET(E330,0,_xlfn.XLOOKUP($G328,$B$9:$B$13,$C$9:$C$13)),0)=MAX($C330:$L330),_xlfn.MINIFS($C330:$L330,$C330:$L330,"&gt;0")*_xlfn.XLOOKUP($G328,$B$9:$B$13,$D$9:$D$13),IFERROR(OFFSET(E330,0,_xlfn.XLOOKUP($G328,$B$9:$B$13,$C$9:$C$13))*_xlfn.XLOOKUP($G328,$B$9:$B$13,$D$9:$D$13),0)),IFERROR(OFFSET(E330,0,_xlfn.XLOOKUP($G328,$B$9:$B$13,$E$9:$E$13))*_xlfn.XLOOKUP($G328,$B$9:$B$13,$F$9:$F$13),0),C332)))</f>
        <v>0</v>
      </c>
      <c r="F332" s="196">
        <f t="shared" ref="F332" ca="1" si="1169">IF($I328="N",F330,IF($G328="1. In Flight",1,$G$9)*MIN(MAX($C330:$L330)*_xlfn.XLOOKUP($G328,$B$9:$B$13,$F$9:$F$13),MAX(IF(IFERROR(OFFSET(F330,0,_xlfn.XLOOKUP($G328,$B$9:$B$13,$C$9:$C$13)),0)=MAX($C330:$L330),_xlfn.MINIFS($C330:$L330,$C330:$L330,"&gt;0")*_xlfn.XLOOKUP($G328,$B$9:$B$13,$D$9:$D$13),IFERROR(OFFSET(F330,0,_xlfn.XLOOKUP($G328,$B$9:$B$13,$C$9:$C$13))*_xlfn.XLOOKUP($G328,$B$9:$B$13,$D$9:$D$13),0)),IFERROR(OFFSET(F330,0,_xlfn.XLOOKUP($G328,$B$9:$B$13,$E$9:$E$13))*_xlfn.XLOOKUP($G328,$B$9:$B$13,$F$9:$F$13),0),D332)))</f>
        <v>0</v>
      </c>
      <c r="G332" s="196">
        <f t="shared" ref="G332" ca="1" si="1170">IF($I328="N",G330,IF($G328="1. In Flight",1,$G$9)*MIN(MAX($C330:$L330)*_xlfn.XLOOKUP($G328,$B$9:$B$13,$F$9:$F$13),MAX(IF(IFERROR(OFFSET(G330,0,_xlfn.XLOOKUP($G328,$B$9:$B$13,$C$9:$C$13)),0)=MAX($C330:$L330),_xlfn.MINIFS($C330:$L330,$C330:$L330,"&gt;0")*_xlfn.XLOOKUP($G328,$B$9:$B$13,$D$9:$D$13),IFERROR(OFFSET(G330,0,_xlfn.XLOOKUP($G328,$B$9:$B$13,$C$9:$C$13))*_xlfn.XLOOKUP($G328,$B$9:$B$13,$D$9:$D$13),0)),IFERROR(OFFSET(G330,0,_xlfn.XLOOKUP($G328,$B$9:$B$13,$E$9:$E$13))*_xlfn.XLOOKUP($G328,$B$9:$B$13,$F$9:$F$13),0),E332)))</f>
        <v>0</v>
      </c>
      <c r="H332" s="196">
        <f t="shared" ref="H332" ca="1" si="1171">IF($I328="N",H330,IF($G328="1. In Flight",1,$G$9)*MIN(MAX($C330:$L330)*_xlfn.XLOOKUP($G328,$B$9:$B$13,$F$9:$F$13),MAX(IF(IFERROR(OFFSET(H330,0,_xlfn.XLOOKUP($G328,$B$9:$B$13,$C$9:$C$13)),0)=MAX($C330:$L330),_xlfn.MINIFS($C330:$L330,$C330:$L330,"&gt;0")*_xlfn.XLOOKUP($G328,$B$9:$B$13,$D$9:$D$13),IFERROR(OFFSET(H330,0,_xlfn.XLOOKUP($G328,$B$9:$B$13,$C$9:$C$13))*_xlfn.XLOOKUP($G328,$B$9:$B$13,$D$9:$D$13),0)),IFERROR(OFFSET(H330,0,_xlfn.XLOOKUP($G328,$B$9:$B$13,$E$9:$E$13))*_xlfn.XLOOKUP($G328,$B$9:$B$13,$F$9:$F$13),0),F332)))</f>
        <v>0</v>
      </c>
      <c r="I332" s="196">
        <f t="shared" ref="I332" ca="1" si="1172">IF($I328="N",I330,IF($G328="1. In Flight",1,$G$9)*MIN(MAX($C330:$L330)*_xlfn.XLOOKUP($G328,$B$9:$B$13,$F$9:$F$13),MAX(IF(IFERROR(OFFSET(I330,0,_xlfn.XLOOKUP($G328,$B$9:$B$13,$C$9:$C$13)),0)=MAX($C330:$L330),_xlfn.MINIFS($C330:$L330,$C330:$L330,"&gt;0")*_xlfn.XLOOKUP($G328,$B$9:$B$13,$D$9:$D$13),IFERROR(OFFSET(I330,0,_xlfn.XLOOKUP($G328,$B$9:$B$13,$C$9:$C$13))*_xlfn.XLOOKUP($G328,$B$9:$B$13,$D$9:$D$13),0)),IFERROR(OFFSET(I330,0,_xlfn.XLOOKUP($G328,$B$9:$B$13,$E$9:$E$13))*_xlfn.XLOOKUP($G328,$B$9:$B$13,$F$9:$F$13),0),G332)))</f>
        <v>0</v>
      </c>
      <c r="J332" s="196">
        <f t="shared" ref="J332" ca="1" si="1173">IF($I328="N",J330,IF($G328="1. In Flight",1,$G$9)*MIN(MAX($C330:$L330)*_xlfn.XLOOKUP($G328,$B$9:$B$13,$F$9:$F$13),MAX(IF(IFERROR(OFFSET(J330,0,_xlfn.XLOOKUP($G328,$B$9:$B$13,$C$9:$C$13)),0)=MAX($C330:$L330),_xlfn.MINIFS($C330:$L330,$C330:$L330,"&gt;0")*_xlfn.XLOOKUP($G328,$B$9:$B$13,$D$9:$D$13),IFERROR(OFFSET(J330,0,_xlfn.XLOOKUP($G328,$B$9:$B$13,$C$9:$C$13))*_xlfn.XLOOKUP($G328,$B$9:$B$13,$D$9:$D$13),0)),IFERROR(OFFSET(J330,0,_xlfn.XLOOKUP($G328,$B$9:$B$13,$E$9:$E$13))*_xlfn.XLOOKUP($G328,$B$9:$B$13,$F$9:$F$13),0),H332)))</f>
        <v>0</v>
      </c>
      <c r="K332" s="196">
        <f t="shared" ref="K332" ca="1" si="1174">IF($I328="N",K330,IF($G328="1. In Flight",1,$G$9)*MIN(MAX($C330:$L330)*_xlfn.XLOOKUP($G328,$B$9:$B$13,$F$9:$F$13),MAX(IF(IFERROR(OFFSET(K330,0,_xlfn.XLOOKUP($G328,$B$9:$B$13,$C$9:$C$13)),0)=MAX($C330:$L330),_xlfn.MINIFS($C330:$L330,$C330:$L330,"&gt;0")*_xlfn.XLOOKUP($G328,$B$9:$B$13,$D$9:$D$13),IFERROR(OFFSET(K330,0,_xlfn.XLOOKUP($G328,$B$9:$B$13,$C$9:$C$13))*_xlfn.XLOOKUP($G328,$B$9:$B$13,$D$9:$D$13),0)),IFERROR(OFFSET(K330,0,_xlfn.XLOOKUP($G328,$B$9:$B$13,$E$9:$E$13))*_xlfn.XLOOKUP($G328,$B$9:$B$13,$F$9:$F$13),0),I332)))</f>
        <v>0</v>
      </c>
      <c r="L332" s="196">
        <f t="shared" ref="L332" ca="1" si="1175">IF($I328="N",L330,IF($G328="1. In Flight",1,$G$9)*MIN(MAX($C330:$L330)*_xlfn.XLOOKUP($G328,$B$9:$B$13,$F$9:$F$13),MAX(IF(IFERROR(OFFSET(L330,0,_xlfn.XLOOKUP($G328,$B$9:$B$13,$C$9:$C$13)),0)=MAX($C330:$L330),_xlfn.MINIFS($C330:$L330,$C330:$L330,"&gt;0")*_xlfn.XLOOKUP($G328,$B$9:$B$13,$D$9:$D$13),IFERROR(OFFSET(L330,0,_xlfn.XLOOKUP($G328,$B$9:$B$13,$C$9:$C$13))*_xlfn.XLOOKUP($G328,$B$9:$B$13,$D$9:$D$13),0)),IFERROR(OFFSET(L330,0,_xlfn.XLOOKUP($G328,$B$9:$B$13,$E$9:$E$13))*_xlfn.XLOOKUP($G328,$B$9:$B$13,$F$9:$F$13),0),J332)))</f>
        <v>0</v>
      </c>
    </row>
    <row r="333" spans="1:12" ht="15" thickBot="1">
      <c r="A333" s="197" t="s">
        <v>109</v>
      </c>
      <c r="B333" s="198">
        <f>B330</f>
        <v>0</v>
      </c>
      <c r="C333" s="198">
        <f ca="1">IF($I328="N",C330,IF($G328="1. In Flight",1,$G$14)*MIN(MAX($C330:$L330)*_xlfn.XLOOKUP($G328,$B$14:$B$18,$F$14:$F$18),MAX(IF(IFERROR(OFFSET(C330,0,_xlfn.XLOOKUP($G328,$B$14:$B$18,$C$14:$C$18)),0)=MAX($C330:$L330),_xlfn.MINIFS($C330:$L330,$C330:$L330,"&gt;0")*_xlfn.XLOOKUP($G328,$B$14:$B$18,$D$14:$D$18),IFERROR(OFFSET(C330,0,_xlfn.XLOOKUP($G328,$B$14:$B$18,$C$14:$C$18))*_xlfn.XLOOKUP($G328,$B$14:$B$18,$D$14:$D$18),0)),IFERROR(OFFSET(C330,0,_xlfn.XLOOKUP($G328,$B$14:$B$18,$E$14:$E$18))*_xlfn.XLOOKUP($G328,$B$14:$B$18,$F$14:$F$18),0),A333)))</f>
        <v>0</v>
      </c>
      <c r="D333" s="198">
        <f t="shared" ref="D333" ca="1" si="1176">IF($I328="N",D330,IF($G328="1. In Flight",1,$G$14)*MIN(MAX($C330:$L330)*_xlfn.XLOOKUP($G328,$B$14:$B$18,$F$14:$F$18),MAX(IF(IFERROR(OFFSET(D330,0,_xlfn.XLOOKUP($G328,$B$14:$B$18,$C$14:$C$18)),0)=MAX($C330:$L330),_xlfn.MINIFS($C330:$L330,$C330:$L330,"&gt;0")*_xlfn.XLOOKUP($G328,$B$14:$B$18,$D$14:$D$18),IFERROR(OFFSET(D330,0,_xlfn.XLOOKUP($G328,$B$14:$B$18,$C$14:$C$18))*_xlfn.XLOOKUP($G328,$B$14:$B$18,$D$14:$D$18),0)),IFERROR(OFFSET(D330,0,_xlfn.XLOOKUP($G328,$B$14:$B$18,$E$14:$E$18))*_xlfn.XLOOKUP($G328,$B$14:$B$18,$F$14:$F$18),0),B333)))</f>
        <v>0</v>
      </c>
      <c r="E333" s="198">
        <f t="shared" ref="E333" ca="1" si="1177">IF($I328="N",E330,IF($G328="1. In Flight",1,$G$14)*MIN(MAX($C330:$L330)*_xlfn.XLOOKUP($G328,$B$14:$B$18,$F$14:$F$18),MAX(IF(IFERROR(OFFSET(E330,0,_xlfn.XLOOKUP($G328,$B$14:$B$18,$C$14:$C$18)),0)=MAX($C330:$L330),_xlfn.MINIFS($C330:$L330,$C330:$L330,"&gt;0")*_xlfn.XLOOKUP($G328,$B$14:$B$18,$D$14:$D$18),IFERROR(OFFSET(E330,0,_xlfn.XLOOKUP($G328,$B$14:$B$18,$C$14:$C$18))*_xlfn.XLOOKUP($G328,$B$14:$B$18,$D$14:$D$18),0)),IFERROR(OFFSET(E330,0,_xlfn.XLOOKUP($G328,$B$14:$B$18,$E$14:$E$18))*_xlfn.XLOOKUP($G328,$B$14:$B$18,$F$14:$F$18),0),C333)))</f>
        <v>0</v>
      </c>
      <c r="F333" s="198">
        <f t="shared" ref="F333" ca="1" si="1178">IF($I328="N",F330,IF($G328="1. In Flight",1,$G$14)*MIN(MAX($C330:$L330)*_xlfn.XLOOKUP($G328,$B$14:$B$18,$F$14:$F$18),MAX(IF(IFERROR(OFFSET(F330,0,_xlfn.XLOOKUP($G328,$B$14:$B$18,$C$14:$C$18)),0)=MAX($C330:$L330),_xlfn.MINIFS($C330:$L330,$C330:$L330,"&gt;0")*_xlfn.XLOOKUP($G328,$B$14:$B$18,$D$14:$D$18),IFERROR(OFFSET(F330,0,_xlfn.XLOOKUP($G328,$B$14:$B$18,$C$14:$C$18))*_xlfn.XLOOKUP($G328,$B$14:$B$18,$D$14:$D$18),0)),IFERROR(OFFSET(F330,0,_xlfn.XLOOKUP($G328,$B$14:$B$18,$E$14:$E$18))*_xlfn.XLOOKUP($G328,$B$14:$B$18,$F$14:$F$18),0),D333)))</f>
        <v>0</v>
      </c>
      <c r="G333" s="198">
        <f t="shared" ref="G333" ca="1" si="1179">IF($I328="N",G330,IF($G328="1. In Flight",1,$G$14)*MIN(MAX($C330:$L330)*_xlfn.XLOOKUP($G328,$B$14:$B$18,$F$14:$F$18),MAX(IF(IFERROR(OFFSET(G330,0,_xlfn.XLOOKUP($G328,$B$14:$B$18,$C$14:$C$18)),0)=MAX($C330:$L330),_xlfn.MINIFS($C330:$L330,$C330:$L330,"&gt;0")*_xlfn.XLOOKUP($G328,$B$14:$B$18,$D$14:$D$18),IFERROR(OFFSET(G330,0,_xlfn.XLOOKUP($G328,$B$14:$B$18,$C$14:$C$18))*_xlfn.XLOOKUP($G328,$B$14:$B$18,$D$14:$D$18),0)),IFERROR(OFFSET(G330,0,_xlfn.XLOOKUP($G328,$B$14:$B$18,$E$14:$E$18))*_xlfn.XLOOKUP($G328,$B$14:$B$18,$F$14:$F$18),0),E333)))</f>
        <v>0</v>
      </c>
      <c r="H333" s="198">
        <f t="shared" ref="H333" ca="1" si="1180">IF($I328="N",H330,IF($G328="1. In Flight",1,$G$14)*MIN(MAX($C330:$L330)*_xlfn.XLOOKUP($G328,$B$14:$B$18,$F$14:$F$18),MAX(IF(IFERROR(OFFSET(H330,0,_xlfn.XLOOKUP($G328,$B$14:$B$18,$C$14:$C$18)),0)=MAX($C330:$L330),_xlfn.MINIFS($C330:$L330,$C330:$L330,"&gt;0")*_xlfn.XLOOKUP($G328,$B$14:$B$18,$D$14:$D$18),IFERROR(OFFSET(H330,0,_xlfn.XLOOKUP($G328,$B$14:$B$18,$C$14:$C$18))*_xlfn.XLOOKUP($G328,$B$14:$B$18,$D$14:$D$18),0)),IFERROR(OFFSET(H330,0,_xlfn.XLOOKUP($G328,$B$14:$B$18,$E$14:$E$18))*_xlfn.XLOOKUP($G328,$B$14:$B$18,$F$14:$F$18),0),F333)))</f>
        <v>0</v>
      </c>
      <c r="I333" s="198">
        <f t="shared" ref="I333" ca="1" si="1181">IF($I328="N",I330,IF($G328="1. In Flight",1,$G$14)*MIN(MAX($C330:$L330)*_xlfn.XLOOKUP($G328,$B$14:$B$18,$F$14:$F$18),MAX(IF(IFERROR(OFFSET(I330,0,_xlfn.XLOOKUP($G328,$B$14:$B$18,$C$14:$C$18)),0)=MAX($C330:$L330),_xlfn.MINIFS($C330:$L330,$C330:$L330,"&gt;0")*_xlfn.XLOOKUP($G328,$B$14:$B$18,$D$14:$D$18),IFERROR(OFFSET(I330,0,_xlfn.XLOOKUP($G328,$B$14:$B$18,$C$14:$C$18))*_xlfn.XLOOKUP($G328,$B$14:$B$18,$D$14:$D$18),0)),IFERROR(OFFSET(I330,0,_xlfn.XLOOKUP($G328,$B$14:$B$18,$E$14:$E$18))*_xlfn.XLOOKUP($G328,$B$14:$B$18,$F$14:$F$18),0),G333)))</f>
        <v>0</v>
      </c>
      <c r="J333" s="198">
        <f t="shared" ref="J333" ca="1" si="1182">IF($I328="N",J330,IF($G328="1. In Flight",1,$G$14)*MIN(MAX($C330:$L330)*_xlfn.XLOOKUP($G328,$B$14:$B$18,$F$14:$F$18),MAX(IF(IFERROR(OFFSET(J330,0,_xlfn.XLOOKUP($G328,$B$14:$B$18,$C$14:$C$18)),0)=MAX($C330:$L330),_xlfn.MINIFS($C330:$L330,$C330:$L330,"&gt;0")*_xlfn.XLOOKUP($G328,$B$14:$B$18,$D$14:$D$18),IFERROR(OFFSET(J330,0,_xlfn.XLOOKUP($G328,$B$14:$B$18,$C$14:$C$18))*_xlfn.XLOOKUP($G328,$B$14:$B$18,$D$14:$D$18),0)),IFERROR(OFFSET(J330,0,_xlfn.XLOOKUP($G328,$B$14:$B$18,$E$14:$E$18))*_xlfn.XLOOKUP($G328,$B$14:$B$18,$F$14:$F$18),0),H333)))</f>
        <v>0</v>
      </c>
      <c r="K333" s="198">
        <f t="shared" ref="K333" ca="1" si="1183">IF($I328="N",K330,IF($G328="1. In Flight",1,$G$14)*MIN(MAX($C330:$L330)*_xlfn.XLOOKUP($G328,$B$14:$B$18,$F$14:$F$18),MAX(IF(IFERROR(OFFSET(K330,0,_xlfn.XLOOKUP($G328,$B$14:$B$18,$C$14:$C$18)),0)=MAX($C330:$L330),_xlfn.MINIFS($C330:$L330,$C330:$L330,"&gt;0")*_xlfn.XLOOKUP($G328,$B$14:$B$18,$D$14:$D$18),IFERROR(OFFSET(K330,0,_xlfn.XLOOKUP($G328,$B$14:$B$18,$C$14:$C$18))*_xlfn.XLOOKUP($G328,$B$14:$B$18,$D$14:$D$18),0)),IFERROR(OFFSET(K330,0,_xlfn.XLOOKUP($G328,$B$14:$B$18,$E$14:$E$18))*_xlfn.XLOOKUP($G328,$B$14:$B$18,$F$14:$F$18),0),I333)))</f>
        <v>0</v>
      </c>
      <c r="L333" s="198">
        <f t="shared" ref="L333" ca="1" si="1184">IF($I328="N",L330,IF($G328="1. In Flight",1,$G$14)*MIN(MAX($C330:$L330)*_xlfn.XLOOKUP($G328,$B$14:$B$18,$F$14:$F$18),MAX(IF(IFERROR(OFFSET(L330,0,_xlfn.XLOOKUP($G328,$B$14:$B$18,$C$14:$C$18)),0)=MAX($C330:$L330),_xlfn.MINIFS($C330:$L330,$C330:$L330,"&gt;0")*_xlfn.XLOOKUP($G328,$B$14:$B$18,$D$14:$D$18),IFERROR(OFFSET(L330,0,_xlfn.XLOOKUP($G328,$B$14:$B$18,$C$14:$C$18))*_xlfn.XLOOKUP($G328,$B$14:$B$18,$D$14:$D$18),0)),IFERROR(OFFSET(L330,0,_xlfn.XLOOKUP($G328,$B$14:$B$18,$E$14:$E$18))*_xlfn.XLOOKUP($G328,$B$14:$B$18,$F$14:$F$18),0),J333)))</f>
        <v>8.0029078288059399</v>
      </c>
    </row>
    <row r="334" spans="1:12" ht="15" thickTop="1"/>
    <row r="335" spans="1:12" ht="15" thickBot="1">
      <c r="A335" s="231">
        <f>_xlfn.XLOOKUP(F335,FEED!D:D,FEED!E:E,FALSE)</f>
        <v>0</v>
      </c>
      <c r="B335" s="232"/>
      <c r="C335" s="189"/>
      <c r="D335" s="189" t="s">
        <v>124</v>
      </c>
      <c r="E335" s="189" t="s">
        <v>125</v>
      </c>
      <c r="F335" s="189" t="s">
        <v>91</v>
      </c>
      <c r="G335" s="189" t="str">
        <f>IFERROR(_xlfn.XLOOKUP(F335,FEED!$D:$D,FEED!$S:$S),$B$8)</f>
        <v>4. Low</v>
      </c>
      <c r="H335" s="189" t="str">
        <f>IFERROR(_xlfn.XLOOKUP(F335,FEED!$D:$D,FEED!$Y:$Y),"Major Load")</f>
        <v>Data Centre</v>
      </c>
      <c r="I335" s="189" t="str">
        <f>IFERROR(_xlfn.XLOOKUP(F335,FEED!$D:$D,FEED!$C:$C),"N")</f>
        <v>Y</v>
      </c>
      <c r="J335" s="190"/>
      <c r="K335" s="190"/>
      <c r="L335" s="190"/>
    </row>
    <row r="336" spans="1:12" ht="15" thickBot="1">
      <c r="A336" s="191" t="str">
        <f t="shared" ref="A336" si="1185">A203</f>
        <v>Uptake Scenario</v>
      </c>
      <c r="B336" s="192">
        <f>B315</f>
        <v>2023</v>
      </c>
      <c r="C336" s="192">
        <f t="shared" ref="C336:L336" si="1186">C315</f>
        <v>2024</v>
      </c>
      <c r="D336" s="192">
        <f t="shared" si="1186"/>
        <v>2025</v>
      </c>
      <c r="E336" s="192">
        <f t="shared" si="1186"/>
        <v>2026</v>
      </c>
      <c r="F336" s="192">
        <f t="shared" si="1186"/>
        <v>2027</v>
      </c>
      <c r="G336" s="192">
        <f t="shared" si="1186"/>
        <v>2028</v>
      </c>
      <c r="H336" s="192">
        <f t="shared" si="1186"/>
        <v>2029</v>
      </c>
      <c r="I336" s="192">
        <f t="shared" si="1186"/>
        <v>2030</v>
      </c>
      <c r="J336" s="192">
        <f t="shared" si="1186"/>
        <v>2031</v>
      </c>
      <c r="K336" s="192">
        <f t="shared" si="1186"/>
        <v>2032</v>
      </c>
      <c r="L336" s="192">
        <f t="shared" si="1186"/>
        <v>2033</v>
      </c>
    </row>
    <row r="337" spans="1:12" ht="15.6" thickTop="1" thickBot="1">
      <c r="A337" s="193" t="s">
        <v>111</v>
      </c>
      <c r="B337" s="194">
        <v>0</v>
      </c>
      <c r="C337" s="194">
        <f>SUMIF(FEED!$D:$D,$F335,FEED!F:F)+B337</f>
        <v>0</v>
      </c>
      <c r="D337" s="194">
        <f>SUMIF(FEED!$D:$D,$F335,FEED!G:G)+C337</f>
        <v>0</v>
      </c>
      <c r="E337" s="194">
        <f>SUMIF(FEED!$D:$D,$F335,FEED!H:H)+D337</f>
        <v>0</v>
      </c>
      <c r="F337" s="194">
        <f>SUMIF(FEED!$D:$D,$F335,FEED!I:I)+E337</f>
        <v>0</v>
      </c>
      <c r="G337" s="194">
        <f>SUMIF(FEED!$D:$D,$F335,FEED!J:J)+F337</f>
        <v>0</v>
      </c>
      <c r="H337" s="194">
        <f>SUMIF(FEED!$D:$D,$F335,FEED!K:K)+G337</f>
        <v>0</v>
      </c>
      <c r="I337" s="194">
        <f>SUMIF(FEED!$D:$D,$F335,FEED!L:L)+H337</f>
        <v>0</v>
      </c>
      <c r="J337" s="194">
        <f>SUMIF(FEED!$D:$D,$F335,FEED!M:M)+I337</f>
        <v>0</v>
      </c>
      <c r="K337" s="194">
        <f>SUMIF(FEED!$D:$D,$F335,FEED!N:N)+J337</f>
        <v>0</v>
      </c>
      <c r="L337" s="194">
        <f>SUMIF(FEED!$D:$D,$F335,FEED!O:O)+K337</f>
        <v>26.325354700019538</v>
      </c>
    </row>
    <row r="338" spans="1:12" ht="15" thickBot="1">
      <c r="A338" s="195" t="s">
        <v>107</v>
      </c>
      <c r="B338" s="196">
        <f>B337</f>
        <v>0</v>
      </c>
      <c r="C338" s="196">
        <f ca="1">IF($I335="N",C337,IF($G335="1. In Flight",1,$G$4)*MIN(MAX($C337:$L337)*_xlfn.XLOOKUP($G335,$B$4:$B$8,$F$4:$F$8),MAX(IF(IFERROR(OFFSET(C337,0,_xlfn.XLOOKUP($G335,$B$4:$B$8,$C$4:$C$8)),0)=MAX($C337:$L337),_xlfn.MINIFS($C337:$L337,$C337:$L337,"&gt;0")*_xlfn.XLOOKUP($G335,$B$4:$B$8,$D$4:$D$8),IFERROR(OFFSET(C337,0,_xlfn.XLOOKUP($G335,$B$4:$B$8,$C$4:$C$8))*_xlfn.XLOOKUP($G335,$B$4:$B$8,$D$4:$D$8),0)),IFERROR(OFFSET(C337,0,_xlfn.XLOOKUP($G335,$B$4:$B$8,$E$4:$E$8))*_xlfn.XLOOKUP($G335,$B$4:$B$8,$F$4:$F$8),0),A338)))</f>
        <v>0</v>
      </c>
      <c r="D338" s="196">
        <f t="shared" ref="D338" ca="1" si="1187">IF($I335="N",D337,IF($G335="1. In Flight",1,$G$4)*MIN(MAX($C337:$L337)*_xlfn.XLOOKUP($G335,$B$4:$B$8,$F$4:$F$8),MAX(IF(IFERROR(OFFSET(D337,0,_xlfn.XLOOKUP($G335,$B$4:$B$8,$C$4:$C$8)),0)=MAX($C337:$L337),_xlfn.MINIFS($C337:$L337,$C337:$L337,"&gt;0")*_xlfn.XLOOKUP($G335,$B$4:$B$8,$D$4:$D$8),IFERROR(OFFSET(D337,0,_xlfn.XLOOKUP($G335,$B$4:$B$8,$C$4:$C$8))*_xlfn.XLOOKUP($G335,$B$4:$B$8,$D$4:$D$8),0)),IFERROR(OFFSET(D337,0,_xlfn.XLOOKUP($G335,$B$4:$B$8,$E$4:$E$8))*_xlfn.XLOOKUP($G335,$B$4:$B$8,$F$4:$F$8),0),B338)))</f>
        <v>0</v>
      </c>
      <c r="E338" s="196">
        <f t="shared" ref="E338" ca="1" si="1188">IF($I335="N",E337,IF($G335="1. In Flight",1,$G$4)*MIN(MAX($C337:$L337)*_xlfn.XLOOKUP($G335,$B$4:$B$8,$F$4:$F$8),MAX(IF(IFERROR(OFFSET(E337,0,_xlfn.XLOOKUP($G335,$B$4:$B$8,$C$4:$C$8)),0)=MAX($C337:$L337),_xlfn.MINIFS($C337:$L337,$C337:$L337,"&gt;0")*_xlfn.XLOOKUP($G335,$B$4:$B$8,$D$4:$D$8),IFERROR(OFFSET(E337,0,_xlfn.XLOOKUP($G335,$B$4:$B$8,$C$4:$C$8))*_xlfn.XLOOKUP($G335,$B$4:$B$8,$D$4:$D$8),0)),IFERROR(OFFSET(E337,0,_xlfn.XLOOKUP($G335,$B$4:$B$8,$E$4:$E$8))*_xlfn.XLOOKUP($G335,$B$4:$B$8,$F$4:$F$8),0),C338)))</f>
        <v>0</v>
      </c>
      <c r="F338" s="196">
        <f t="shared" ref="F338" ca="1" si="1189">IF($I335="N",F337,IF($G335="1. In Flight",1,$G$4)*MIN(MAX($C337:$L337)*_xlfn.XLOOKUP($G335,$B$4:$B$8,$F$4:$F$8),MAX(IF(IFERROR(OFFSET(F337,0,_xlfn.XLOOKUP($G335,$B$4:$B$8,$C$4:$C$8)),0)=MAX($C337:$L337),_xlfn.MINIFS($C337:$L337,$C337:$L337,"&gt;0")*_xlfn.XLOOKUP($G335,$B$4:$B$8,$D$4:$D$8),IFERROR(OFFSET(F337,0,_xlfn.XLOOKUP($G335,$B$4:$B$8,$C$4:$C$8))*_xlfn.XLOOKUP($G335,$B$4:$B$8,$D$4:$D$8),0)),IFERROR(OFFSET(F337,0,_xlfn.XLOOKUP($G335,$B$4:$B$8,$E$4:$E$8))*_xlfn.XLOOKUP($G335,$B$4:$B$8,$F$4:$F$8),0),D338)))</f>
        <v>0</v>
      </c>
      <c r="G338" s="196">
        <f t="shared" ref="G338" ca="1" si="1190">IF($I335="N",G337,IF($G335="1. In Flight",1,$G$4)*MIN(MAX($C337:$L337)*_xlfn.XLOOKUP($G335,$B$4:$B$8,$F$4:$F$8),MAX(IF(IFERROR(OFFSET(G337,0,_xlfn.XLOOKUP($G335,$B$4:$B$8,$C$4:$C$8)),0)=MAX($C337:$L337),_xlfn.MINIFS($C337:$L337,$C337:$L337,"&gt;0")*_xlfn.XLOOKUP($G335,$B$4:$B$8,$D$4:$D$8),IFERROR(OFFSET(G337,0,_xlfn.XLOOKUP($G335,$B$4:$B$8,$C$4:$C$8))*_xlfn.XLOOKUP($G335,$B$4:$B$8,$D$4:$D$8),0)),IFERROR(OFFSET(G337,0,_xlfn.XLOOKUP($G335,$B$4:$B$8,$E$4:$E$8))*_xlfn.XLOOKUP($G335,$B$4:$B$8,$F$4:$F$8),0),E338)))</f>
        <v>0</v>
      </c>
      <c r="H338" s="196">
        <f t="shared" ref="H338" ca="1" si="1191">IF($I335="N",H337,IF($G335="1. In Flight",1,$G$4)*MIN(MAX($C337:$L337)*_xlfn.XLOOKUP($G335,$B$4:$B$8,$F$4:$F$8),MAX(IF(IFERROR(OFFSET(H337,0,_xlfn.XLOOKUP($G335,$B$4:$B$8,$C$4:$C$8)),0)=MAX($C337:$L337),_xlfn.MINIFS($C337:$L337,$C337:$L337,"&gt;0")*_xlfn.XLOOKUP($G335,$B$4:$B$8,$D$4:$D$8),IFERROR(OFFSET(H337,0,_xlfn.XLOOKUP($G335,$B$4:$B$8,$C$4:$C$8))*_xlfn.XLOOKUP($G335,$B$4:$B$8,$D$4:$D$8),0)),IFERROR(OFFSET(H337,0,_xlfn.XLOOKUP($G335,$B$4:$B$8,$E$4:$E$8))*_xlfn.XLOOKUP($G335,$B$4:$B$8,$F$4:$F$8),0),F338)))</f>
        <v>0</v>
      </c>
      <c r="I338" s="196">
        <f t="shared" ref="I338" ca="1" si="1192">IF($I335="N",I337,IF($G335="1. In Flight",1,$G$4)*MIN(MAX($C337:$L337)*_xlfn.XLOOKUP($G335,$B$4:$B$8,$F$4:$F$8),MAX(IF(IFERROR(OFFSET(I337,0,_xlfn.XLOOKUP($G335,$B$4:$B$8,$C$4:$C$8)),0)=MAX($C337:$L337),_xlfn.MINIFS($C337:$L337,$C337:$L337,"&gt;0")*_xlfn.XLOOKUP($G335,$B$4:$B$8,$D$4:$D$8),IFERROR(OFFSET(I337,0,_xlfn.XLOOKUP($G335,$B$4:$B$8,$C$4:$C$8))*_xlfn.XLOOKUP($G335,$B$4:$B$8,$D$4:$D$8),0)),IFERROR(OFFSET(I337,0,_xlfn.XLOOKUP($G335,$B$4:$B$8,$E$4:$E$8))*_xlfn.XLOOKUP($G335,$B$4:$B$8,$F$4:$F$8),0),G338)))</f>
        <v>0</v>
      </c>
      <c r="J338" s="196">
        <f t="shared" ref="J338" ca="1" si="1193">IF($I335="N",J337,IF($G335="1. In Flight",1,$G$4)*MIN(MAX($C337:$L337)*_xlfn.XLOOKUP($G335,$B$4:$B$8,$F$4:$F$8),MAX(IF(IFERROR(OFFSET(J337,0,_xlfn.XLOOKUP($G335,$B$4:$B$8,$C$4:$C$8)),0)=MAX($C337:$L337),_xlfn.MINIFS($C337:$L337,$C337:$L337,"&gt;0")*_xlfn.XLOOKUP($G335,$B$4:$B$8,$D$4:$D$8),IFERROR(OFFSET(J337,0,_xlfn.XLOOKUP($G335,$B$4:$B$8,$C$4:$C$8))*_xlfn.XLOOKUP($G335,$B$4:$B$8,$D$4:$D$8),0)),IFERROR(OFFSET(J337,0,_xlfn.XLOOKUP($G335,$B$4:$B$8,$E$4:$E$8))*_xlfn.XLOOKUP($G335,$B$4:$B$8,$F$4:$F$8),0),H338)))</f>
        <v>0</v>
      </c>
      <c r="K338" s="196">
        <f t="shared" ref="K338" ca="1" si="1194">IF($I335="N",K337,IF($G335="1. In Flight",1,$G$4)*MIN(MAX($C337:$L337)*_xlfn.XLOOKUP($G335,$B$4:$B$8,$F$4:$F$8),MAX(IF(IFERROR(OFFSET(K337,0,_xlfn.XLOOKUP($G335,$B$4:$B$8,$C$4:$C$8)),0)=MAX($C337:$L337),_xlfn.MINIFS($C337:$L337,$C337:$L337,"&gt;0")*_xlfn.XLOOKUP($G335,$B$4:$B$8,$D$4:$D$8),IFERROR(OFFSET(K337,0,_xlfn.XLOOKUP($G335,$B$4:$B$8,$C$4:$C$8))*_xlfn.XLOOKUP($G335,$B$4:$B$8,$D$4:$D$8),0)),IFERROR(OFFSET(K337,0,_xlfn.XLOOKUP($G335,$B$4:$B$8,$E$4:$E$8))*_xlfn.XLOOKUP($G335,$B$4:$B$8,$F$4:$F$8),0),I338)))</f>
        <v>0</v>
      </c>
      <c r="L338" s="196">
        <f t="shared" ref="L338" ca="1" si="1195">IF($I335="N",L337,IF($G335="1. In Flight",1,$G$4)*MIN(MAX($C337:$L337)*_xlfn.XLOOKUP($G335,$B$4:$B$8,$F$4:$F$8),MAX(IF(IFERROR(OFFSET(L337,0,_xlfn.XLOOKUP($G335,$B$4:$B$8,$C$4:$C$8)),0)=MAX($C337:$L337),_xlfn.MINIFS($C337:$L337,$C337:$L337,"&gt;0")*_xlfn.XLOOKUP($G335,$B$4:$B$8,$D$4:$D$8),IFERROR(OFFSET(L337,0,_xlfn.XLOOKUP($G335,$B$4:$B$8,$C$4:$C$8))*_xlfn.XLOOKUP($G335,$B$4:$B$8,$D$4:$D$8),0)),IFERROR(OFFSET(L337,0,_xlfn.XLOOKUP($G335,$B$4:$B$8,$E$4:$E$8))*_xlfn.XLOOKUP($G335,$B$4:$B$8,$F$4:$F$8),0),J338)))</f>
        <v>0</v>
      </c>
    </row>
    <row r="339" spans="1:12" ht="15" thickBot="1">
      <c r="A339" s="195" t="s">
        <v>108</v>
      </c>
      <c r="B339" s="196">
        <f>B337</f>
        <v>0</v>
      </c>
      <c r="C339" s="196">
        <f ca="1">IF($I335="N",C337,IF($G335="1. In Flight",1,$G$9)*MIN(MAX($C337:$L337)*_xlfn.XLOOKUP($G335,$B$9:$B$13,$F$9:$F$13),MAX(IF(IFERROR(OFFSET(C337,0,_xlfn.XLOOKUP($G335,$B$9:$B$13,$C$9:$C$13)),0)=MAX($C337:$L337),_xlfn.MINIFS($C337:$L337,$C337:$L337,"&gt;0")*_xlfn.XLOOKUP($G335,$B$9:$B$13,$D$9:$D$13),IFERROR(OFFSET(C337,0,_xlfn.XLOOKUP($G335,$B$9:$B$13,$C$9:$C$13))*_xlfn.XLOOKUP($G335,$B$9:$B$13,$D$9:$D$13),0)),IFERROR(OFFSET(C337,0,_xlfn.XLOOKUP($G335,$B$9:$B$13,$E$9:$E$13))*_xlfn.XLOOKUP($G335,$B$9:$B$13,$F$9:$F$13),0),A339)))</f>
        <v>0</v>
      </c>
      <c r="D339" s="196">
        <f t="shared" ref="D339" ca="1" si="1196">IF($I335="N",D337,IF($G335="1. In Flight",1,$G$9)*MIN(MAX($C337:$L337)*_xlfn.XLOOKUP($G335,$B$9:$B$13,$F$9:$F$13),MAX(IF(IFERROR(OFFSET(D337,0,_xlfn.XLOOKUP($G335,$B$9:$B$13,$C$9:$C$13)),0)=MAX($C337:$L337),_xlfn.MINIFS($C337:$L337,$C337:$L337,"&gt;0")*_xlfn.XLOOKUP($G335,$B$9:$B$13,$D$9:$D$13),IFERROR(OFFSET(D337,0,_xlfn.XLOOKUP($G335,$B$9:$B$13,$C$9:$C$13))*_xlfn.XLOOKUP($G335,$B$9:$B$13,$D$9:$D$13),0)),IFERROR(OFFSET(D337,0,_xlfn.XLOOKUP($G335,$B$9:$B$13,$E$9:$E$13))*_xlfn.XLOOKUP($G335,$B$9:$B$13,$F$9:$F$13),0),B339)))</f>
        <v>0</v>
      </c>
      <c r="E339" s="196">
        <f t="shared" ref="E339" ca="1" si="1197">IF($I335="N",E337,IF($G335="1. In Flight",1,$G$9)*MIN(MAX($C337:$L337)*_xlfn.XLOOKUP($G335,$B$9:$B$13,$F$9:$F$13),MAX(IF(IFERROR(OFFSET(E337,0,_xlfn.XLOOKUP($G335,$B$9:$B$13,$C$9:$C$13)),0)=MAX($C337:$L337),_xlfn.MINIFS($C337:$L337,$C337:$L337,"&gt;0")*_xlfn.XLOOKUP($G335,$B$9:$B$13,$D$9:$D$13),IFERROR(OFFSET(E337,0,_xlfn.XLOOKUP($G335,$B$9:$B$13,$C$9:$C$13))*_xlfn.XLOOKUP($G335,$B$9:$B$13,$D$9:$D$13),0)),IFERROR(OFFSET(E337,0,_xlfn.XLOOKUP($G335,$B$9:$B$13,$E$9:$E$13))*_xlfn.XLOOKUP($G335,$B$9:$B$13,$F$9:$F$13),0),C339)))</f>
        <v>0</v>
      </c>
      <c r="F339" s="196">
        <f t="shared" ref="F339" ca="1" si="1198">IF($I335="N",F337,IF($G335="1. In Flight",1,$G$9)*MIN(MAX($C337:$L337)*_xlfn.XLOOKUP($G335,$B$9:$B$13,$F$9:$F$13),MAX(IF(IFERROR(OFFSET(F337,0,_xlfn.XLOOKUP($G335,$B$9:$B$13,$C$9:$C$13)),0)=MAX($C337:$L337),_xlfn.MINIFS($C337:$L337,$C337:$L337,"&gt;0")*_xlfn.XLOOKUP($G335,$B$9:$B$13,$D$9:$D$13),IFERROR(OFFSET(F337,0,_xlfn.XLOOKUP($G335,$B$9:$B$13,$C$9:$C$13))*_xlfn.XLOOKUP($G335,$B$9:$B$13,$D$9:$D$13),0)),IFERROR(OFFSET(F337,0,_xlfn.XLOOKUP($G335,$B$9:$B$13,$E$9:$E$13))*_xlfn.XLOOKUP($G335,$B$9:$B$13,$F$9:$F$13),0),D339)))</f>
        <v>0</v>
      </c>
      <c r="G339" s="196">
        <f t="shared" ref="G339" ca="1" si="1199">IF($I335="N",G337,IF($G335="1. In Flight",1,$G$9)*MIN(MAX($C337:$L337)*_xlfn.XLOOKUP($G335,$B$9:$B$13,$F$9:$F$13),MAX(IF(IFERROR(OFFSET(G337,0,_xlfn.XLOOKUP($G335,$B$9:$B$13,$C$9:$C$13)),0)=MAX($C337:$L337),_xlfn.MINIFS($C337:$L337,$C337:$L337,"&gt;0")*_xlfn.XLOOKUP($G335,$B$9:$B$13,$D$9:$D$13),IFERROR(OFFSET(G337,0,_xlfn.XLOOKUP($G335,$B$9:$B$13,$C$9:$C$13))*_xlfn.XLOOKUP($G335,$B$9:$B$13,$D$9:$D$13),0)),IFERROR(OFFSET(G337,0,_xlfn.XLOOKUP($G335,$B$9:$B$13,$E$9:$E$13))*_xlfn.XLOOKUP($G335,$B$9:$B$13,$F$9:$F$13),0),E339)))</f>
        <v>0</v>
      </c>
      <c r="H339" s="196">
        <f t="shared" ref="H339" ca="1" si="1200">IF($I335="N",H337,IF($G335="1. In Flight",1,$G$9)*MIN(MAX($C337:$L337)*_xlfn.XLOOKUP($G335,$B$9:$B$13,$F$9:$F$13),MAX(IF(IFERROR(OFFSET(H337,0,_xlfn.XLOOKUP($G335,$B$9:$B$13,$C$9:$C$13)),0)=MAX($C337:$L337),_xlfn.MINIFS($C337:$L337,$C337:$L337,"&gt;0")*_xlfn.XLOOKUP($G335,$B$9:$B$13,$D$9:$D$13),IFERROR(OFFSET(H337,0,_xlfn.XLOOKUP($G335,$B$9:$B$13,$C$9:$C$13))*_xlfn.XLOOKUP($G335,$B$9:$B$13,$D$9:$D$13),0)),IFERROR(OFFSET(H337,0,_xlfn.XLOOKUP($G335,$B$9:$B$13,$E$9:$E$13))*_xlfn.XLOOKUP($G335,$B$9:$B$13,$F$9:$F$13),0),F339)))</f>
        <v>0</v>
      </c>
      <c r="I339" s="196">
        <f t="shared" ref="I339" ca="1" si="1201">IF($I335="N",I337,IF($G335="1. In Flight",1,$G$9)*MIN(MAX($C337:$L337)*_xlfn.XLOOKUP($G335,$B$9:$B$13,$F$9:$F$13),MAX(IF(IFERROR(OFFSET(I337,0,_xlfn.XLOOKUP($G335,$B$9:$B$13,$C$9:$C$13)),0)=MAX($C337:$L337),_xlfn.MINIFS($C337:$L337,$C337:$L337,"&gt;0")*_xlfn.XLOOKUP($G335,$B$9:$B$13,$D$9:$D$13),IFERROR(OFFSET(I337,0,_xlfn.XLOOKUP($G335,$B$9:$B$13,$C$9:$C$13))*_xlfn.XLOOKUP($G335,$B$9:$B$13,$D$9:$D$13),0)),IFERROR(OFFSET(I337,0,_xlfn.XLOOKUP($G335,$B$9:$B$13,$E$9:$E$13))*_xlfn.XLOOKUP($G335,$B$9:$B$13,$F$9:$F$13),0),G339)))</f>
        <v>0</v>
      </c>
      <c r="J339" s="196">
        <f t="shared" ref="J339" ca="1" si="1202">IF($I335="N",J337,IF($G335="1. In Flight",1,$G$9)*MIN(MAX($C337:$L337)*_xlfn.XLOOKUP($G335,$B$9:$B$13,$F$9:$F$13),MAX(IF(IFERROR(OFFSET(J337,0,_xlfn.XLOOKUP($G335,$B$9:$B$13,$C$9:$C$13)),0)=MAX($C337:$L337),_xlfn.MINIFS($C337:$L337,$C337:$L337,"&gt;0")*_xlfn.XLOOKUP($G335,$B$9:$B$13,$D$9:$D$13),IFERROR(OFFSET(J337,0,_xlfn.XLOOKUP($G335,$B$9:$B$13,$C$9:$C$13))*_xlfn.XLOOKUP($G335,$B$9:$B$13,$D$9:$D$13),0)),IFERROR(OFFSET(J337,0,_xlfn.XLOOKUP($G335,$B$9:$B$13,$E$9:$E$13))*_xlfn.XLOOKUP($G335,$B$9:$B$13,$F$9:$F$13),0),H339)))</f>
        <v>0</v>
      </c>
      <c r="K339" s="196">
        <f t="shared" ref="K339" ca="1" si="1203">IF($I335="N",K337,IF($G335="1. In Flight",1,$G$9)*MIN(MAX($C337:$L337)*_xlfn.XLOOKUP($G335,$B$9:$B$13,$F$9:$F$13),MAX(IF(IFERROR(OFFSET(K337,0,_xlfn.XLOOKUP($G335,$B$9:$B$13,$C$9:$C$13)),0)=MAX($C337:$L337),_xlfn.MINIFS($C337:$L337,$C337:$L337,"&gt;0")*_xlfn.XLOOKUP($G335,$B$9:$B$13,$D$9:$D$13),IFERROR(OFFSET(K337,0,_xlfn.XLOOKUP($G335,$B$9:$B$13,$C$9:$C$13))*_xlfn.XLOOKUP($G335,$B$9:$B$13,$D$9:$D$13),0)),IFERROR(OFFSET(K337,0,_xlfn.XLOOKUP($G335,$B$9:$B$13,$E$9:$E$13))*_xlfn.XLOOKUP($G335,$B$9:$B$13,$F$9:$F$13),0),I339)))</f>
        <v>0</v>
      </c>
      <c r="L339" s="196">
        <f t="shared" ref="L339" ca="1" si="1204">IF($I335="N",L337,IF($G335="1. In Flight",1,$G$9)*MIN(MAX($C337:$L337)*_xlfn.XLOOKUP($G335,$B$9:$B$13,$F$9:$F$13),MAX(IF(IFERROR(OFFSET(L337,0,_xlfn.XLOOKUP($G335,$B$9:$B$13,$C$9:$C$13)),0)=MAX($C337:$L337),_xlfn.MINIFS($C337:$L337,$C337:$L337,"&gt;0")*_xlfn.XLOOKUP($G335,$B$9:$B$13,$D$9:$D$13),IFERROR(OFFSET(L337,0,_xlfn.XLOOKUP($G335,$B$9:$B$13,$C$9:$C$13))*_xlfn.XLOOKUP($G335,$B$9:$B$13,$D$9:$D$13),0)),IFERROR(OFFSET(L337,0,_xlfn.XLOOKUP($G335,$B$9:$B$13,$E$9:$E$13))*_xlfn.XLOOKUP($G335,$B$9:$B$13,$F$9:$F$13),0),J339)))</f>
        <v>0</v>
      </c>
    </row>
    <row r="340" spans="1:12" ht="15" thickBot="1">
      <c r="A340" s="197" t="s">
        <v>109</v>
      </c>
      <c r="B340" s="198">
        <f>B337</f>
        <v>0</v>
      </c>
      <c r="C340" s="198">
        <f ca="1">IF($I335="N",C337,IF($G335="1. In Flight",1,$G$14)*MIN(MAX($C337:$L337)*_xlfn.XLOOKUP($G335,$B$14:$B$18,$F$14:$F$18),MAX(IF(IFERROR(OFFSET(C337,0,_xlfn.XLOOKUP($G335,$B$14:$B$18,$C$14:$C$18)),0)=MAX($C337:$L337),_xlfn.MINIFS($C337:$L337,$C337:$L337,"&gt;0")*_xlfn.XLOOKUP($G335,$B$14:$B$18,$D$14:$D$18),IFERROR(OFFSET(C337,0,_xlfn.XLOOKUP($G335,$B$14:$B$18,$C$14:$C$18))*_xlfn.XLOOKUP($G335,$B$14:$B$18,$D$14:$D$18),0)),IFERROR(OFFSET(C337,0,_xlfn.XLOOKUP($G335,$B$14:$B$18,$E$14:$E$18))*_xlfn.XLOOKUP($G335,$B$14:$B$18,$F$14:$F$18),0),A340)))</f>
        <v>0</v>
      </c>
      <c r="D340" s="198">
        <f t="shared" ref="D340" ca="1" si="1205">IF($I335="N",D337,IF($G335="1. In Flight",1,$G$14)*MIN(MAX($C337:$L337)*_xlfn.XLOOKUP($G335,$B$14:$B$18,$F$14:$F$18),MAX(IF(IFERROR(OFFSET(D337,0,_xlfn.XLOOKUP($G335,$B$14:$B$18,$C$14:$C$18)),0)=MAX($C337:$L337),_xlfn.MINIFS($C337:$L337,$C337:$L337,"&gt;0")*_xlfn.XLOOKUP($G335,$B$14:$B$18,$D$14:$D$18),IFERROR(OFFSET(D337,0,_xlfn.XLOOKUP($G335,$B$14:$B$18,$C$14:$C$18))*_xlfn.XLOOKUP($G335,$B$14:$B$18,$D$14:$D$18),0)),IFERROR(OFFSET(D337,0,_xlfn.XLOOKUP($G335,$B$14:$B$18,$E$14:$E$18))*_xlfn.XLOOKUP($G335,$B$14:$B$18,$F$14:$F$18),0),B340)))</f>
        <v>0</v>
      </c>
      <c r="E340" s="198">
        <f t="shared" ref="E340" ca="1" si="1206">IF($I335="N",E337,IF($G335="1. In Flight",1,$G$14)*MIN(MAX($C337:$L337)*_xlfn.XLOOKUP($G335,$B$14:$B$18,$F$14:$F$18),MAX(IF(IFERROR(OFFSET(E337,0,_xlfn.XLOOKUP($G335,$B$14:$B$18,$C$14:$C$18)),0)=MAX($C337:$L337),_xlfn.MINIFS($C337:$L337,$C337:$L337,"&gt;0")*_xlfn.XLOOKUP($G335,$B$14:$B$18,$D$14:$D$18),IFERROR(OFFSET(E337,0,_xlfn.XLOOKUP($G335,$B$14:$B$18,$C$14:$C$18))*_xlfn.XLOOKUP($G335,$B$14:$B$18,$D$14:$D$18),0)),IFERROR(OFFSET(E337,0,_xlfn.XLOOKUP($G335,$B$14:$B$18,$E$14:$E$18))*_xlfn.XLOOKUP($G335,$B$14:$B$18,$F$14:$F$18),0),C340)))</f>
        <v>0</v>
      </c>
      <c r="F340" s="198">
        <f t="shared" ref="F340" ca="1" si="1207">IF($I335="N",F337,IF($G335="1. In Flight",1,$G$14)*MIN(MAX($C337:$L337)*_xlfn.XLOOKUP($G335,$B$14:$B$18,$F$14:$F$18),MAX(IF(IFERROR(OFFSET(F337,0,_xlfn.XLOOKUP($G335,$B$14:$B$18,$C$14:$C$18)),0)=MAX($C337:$L337),_xlfn.MINIFS($C337:$L337,$C337:$L337,"&gt;0")*_xlfn.XLOOKUP($G335,$B$14:$B$18,$D$14:$D$18),IFERROR(OFFSET(F337,0,_xlfn.XLOOKUP($G335,$B$14:$B$18,$C$14:$C$18))*_xlfn.XLOOKUP($G335,$B$14:$B$18,$D$14:$D$18),0)),IFERROR(OFFSET(F337,0,_xlfn.XLOOKUP($G335,$B$14:$B$18,$E$14:$E$18))*_xlfn.XLOOKUP($G335,$B$14:$B$18,$F$14:$F$18),0),D340)))</f>
        <v>0</v>
      </c>
      <c r="G340" s="198">
        <f t="shared" ref="G340" ca="1" si="1208">IF($I335="N",G337,IF($G335="1. In Flight",1,$G$14)*MIN(MAX($C337:$L337)*_xlfn.XLOOKUP($G335,$B$14:$B$18,$F$14:$F$18),MAX(IF(IFERROR(OFFSET(G337,0,_xlfn.XLOOKUP($G335,$B$14:$B$18,$C$14:$C$18)),0)=MAX($C337:$L337),_xlfn.MINIFS($C337:$L337,$C337:$L337,"&gt;0")*_xlfn.XLOOKUP($G335,$B$14:$B$18,$D$14:$D$18),IFERROR(OFFSET(G337,0,_xlfn.XLOOKUP($G335,$B$14:$B$18,$C$14:$C$18))*_xlfn.XLOOKUP($G335,$B$14:$B$18,$D$14:$D$18),0)),IFERROR(OFFSET(G337,0,_xlfn.XLOOKUP($G335,$B$14:$B$18,$E$14:$E$18))*_xlfn.XLOOKUP($G335,$B$14:$B$18,$F$14:$F$18),0),E340)))</f>
        <v>0</v>
      </c>
      <c r="H340" s="198">
        <f t="shared" ref="H340" ca="1" si="1209">IF($I335="N",H337,IF($G335="1. In Flight",1,$G$14)*MIN(MAX($C337:$L337)*_xlfn.XLOOKUP($G335,$B$14:$B$18,$F$14:$F$18),MAX(IF(IFERROR(OFFSET(H337,0,_xlfn.XLOOKUP($G335,$B$14:$B$18,$C$14:$C$18)),0)=MAX($C337:$L337),_xlfn.MINIFS($C337:$L337,$C337:$L337,"&gt;0")*_xlfn.XLOOKUP($G335,$B$14:$B$18,$D$14:$D$18),IFERROR(OFFSET(H337,0,_xlfn.XLOOKUP($G335,$B$14:$B$18,$C$14:$C$18))*_xlfn.XLOOKUP($G335,$B$14:$B$18,$D$14:$D$18),0)),IFERROR(OFFSET(H337,0,_xlfn.XLOOKUP($G335,$B$14:$B$18,$E$14:$E$18))*_xlfn.XLOOKUP($G335,$B$14:$B$18,$F$14:$F$18),0),F340)))</f>
        <v>0</v>
      </c>
      <c r="I340" s="198">
        <f t="shared" ref="I340" ca="1" si="1210">IF($I335="N",I337,IF($G335="1. In Flight",1,$G$14)*MIN(MAX($C337:$L337)*_xlfn.XLOOKUP($G335,$B$14:$B$18,$F$14:$F$18),MAX(IF(IFERROR(OFFSET(I337,0,_xlfn.XLOOKUP($G335,$B$14:$B$18,$C$14:$C$18)),0)=MAX($C337:$L337),_xlfn.MINIFS($C337:$L337,$C337:$L337,"&gt;0")*_xlfn.XLOOKUP($G335,$B$14:$B$18,$D$14:$D$18),IFERROR(OFFSET(I337,0,_xlfn.XLOOKUP($G335,$B$14:$B$18,$C$14:$C$18))*_xlfn.XLOOKUP($G335,$B$14:$B$18,$D$14:$D$18),0)),IFERROR(OFFSET(I337,0,_xlfn.XLOOKUP($G335,$B$14:$B$18,$E$14:$E$18))*_xlfn.XLOOKUP($G335,$B$14:$B$18,$F$14:$F$18),0),G340)))</f>
        <v>0</v>
      </c>
      <c r="J340" s="198">
        <f t="shared" ref="J340" ca="1" si="1211">IF($I335="N",J337,IF($G335="1. In Flight",1,$G$14)*MIN(MAX($C337:$L337)*_xlfn.XLOOKUP($G335,$B$14:$B$18,$F$14:$F$18),MAX(IF(IFERROR(OFFSET(J337,0,_xlfn.XLOOKUP($G335,$B$14:$B$18,$C$14:$C$18)),0)=MAX($C337:$L337),_xlfn.MINIFS($C337:$L337,$C337:$L337,"&gt;0")*_xlfn.XLOOKUP($G335,$B$14:$B$18,$D$14:$D$18),IFERROR(OFFSET(J337,0,_xlfn.XLOOKUP($G335,$B$14:$B$18,$C$14:$C$18))*_xlfn.XLOOKUP($G335,$B$14:$B$18,$D$14:$D$18),0)),IFERROR(OFFSET(J337,0,_xlfn.XLOOKUP($G335,$B$14:$B$18,$E$14:$E$18))*_xlfn.XLOOKUP($G335,$B$14:$B$18,$F$14:$F$18),0),H340)))</f>
        <v>0</v>
      </c>
      <c r="K340" s="198">
        <f t="shared" ref="K340" ca="1" si="1212">IF($I335="N",K337,IF($G335="1. In Flight",1,$G$14)*MIN(MAX($C337:$L337)*_xlfn.XLOOKUP($G335,$B$14:$B$18,$F$14:$F$18),MAX(IF(IFERROR(OFFSET(K337,0,_xlfn.XLOOKUP($G335,$B$14:$B$18,$C$14:$C$18)),0)=MAX($C337:$L337),_xlfn.MINIFS($C337:$L337,$C337:$L337,"&gt;0")*_xlfn.XLOOKUP($G335,$B$14:$B$18,$D$14:$D$18),IFERROR(OFFSET(K337,0,_xlfn.XLOOKUP($G335,$B$14:$B$18,$C$14:$C$18))*_xlfn.XLOOKUP($G335,$B$14:$B$18,$D$14:$D$18),0)),IFERROR(OFFSET(K337,0,_xlfn.XLOOKUP($G335,$B$14:$B$18,$E$14:$E$18))*_xlfn.XLOOKUP($G335,$B$14:$B$18,$F$14:$F$18),0),I340)))</f>
        <v>0</v>
      </c>
      <c r="L340" s="198">
        <f t="shared" ref="L340" ca="1" si="1213">IF($I335="N",L337,IF($G335="1. In Flight",1,$G$14)*MIN(MAX($C337:$L337)*_xlfn.XLOOKUP($G335,$B$14:$B$18,$F$14:$F$18),MAX(IF(IFERROR(OFFSET(L337,0,_xlfn.XLOOKUP($G335,$B$14:$B$18,$C$14:$C$18)),0)=MAX($C337:$L337),_xlfn.MINIFS($C337:$L337,$C337:$L337,"&gt;0")*_xlfn.XLOOKUP($G335,$B$14:$B$18,$D$14:$D$18),IFERROR(OFFSET(L337,0,_xlfn.XLOOKUP($G335,$B$14:$B$18,$C$14:$C$18))*_xlfn.XLOOKUP($G335,$B$14:$B$18,$D$14:$D$18),0)),IFERROR(OFFSET(L337,0,_xlfn.XLOOKUP($G335,$B$14:$B$18,$E$14:$E$18))*_xlfn.XLOOKUP($G335,$B$14:$B$18,$F$14:$F$18),0),J340)))</f>
        <v>0</v>
      </c>
    </row>
    <row r="341" spans="1:12" ht="15" thickTop="1"/>
    <row r="342" spans="1:12" ht="15" thickBot="1">
      <c r="A342" s="231">
        <f>_xlfn.XLOOKUP(F342,FEED!D:D,FEED!E:E,FALSE)</f>
        <v>0</v>
      </c>
      <c r="B342" s="232"/>
      <c r="C342" s="189"/>
      <c r="D342" s="189" t="s">
        <v>124</v>
      </c>
      <c r="E342" s="189" t="s">
        <v>125</v>
      </c>
      <c r="F342" s="189" t="s">
        <v>92</v>
      </c>
      <c r="G342" s="189" t="str">
        <f>IFERROR(_xlfn.XLOOKUP(F342,FEED!$D:$D,FEED!$S:$S),$B$8)</f>
        <v>4. Low</v>
      </c>
      <c r="H342" s="189" t="str">
        <f>IFERROR(_xlfn.XLOOKUP(F342,FEED!$D:$D,FEED!$Y:$Y),"Major Load")</f>
        <v>Data Centre</v>
      </c>
      <c r="I342" s="189" t="str">
        <f>IFERROR(_xlfn.XLOOKUP(F342,FEED!$D:$D,FEED!$C:$C),"N")</f>
        <v>Y</v>
      </c>
      <c r="J342" s="190"/>
      <c r="K342" s="190"/>
      <c r="L342" s="190"/>
    </row>
    <row r="343" spans="1:12" ht="15" thickBot="1">
      <c r="A343" s="191" t="str">
        <f t="shared" ref="A343" si="1214">A210</f>
        <v>Uptake Scenario</v>
      </c>
      <c r="B343" s="192">
        <f>B322</f>
        <v>2023</v>
      </c>
      <c r="C343" s="192">
        <f t="shared" ref="C343:L343" si="1215">C322</f>
        <v>2024</v>
      </c>
      <c r="D343" s="192">
        <f t="shared" si="1215"/>
        <v>2025</v>
      </c>
      <c r="E343" s="192">
        <f t="shared" si="1215"/>
        <v>2026</v>
      </c>
      <c r="F343" s="192">
        <f t="shared" si="1215"/>
        <v>2027</v>
      </c>
      <c r="G343" s="192">
        <f t="shared" si="1215"/>
        <v>2028</v>
      </c>
      <c r="H343" s="192">
        <f t="shared" si="1215"/>
        <v>2029</v>
      </c>
      <c r="I343" s="192">
        <f t="shared" si="1215"/>
        <v>2030</v>
      </c>
      <c r="J343" s="192">
        <f t="shared" si="1215"/>
        <v>2031</v>
      </c>
      <c r="K343" s="192">
        <f t="shared" si="1215"/>
        <v>2032</v>
      </c>
      <c r="L343" s="192">
        <f t="shared" si="1215"/>
        <v>2033</v>
      </c>
    </row>
    <row r="344" spans="1:12" ht="15.6" thickTop="1" thickBot="1">
      <c r="A344" s="193" t="s">
        <v>111</v>
      </c>
      <c r="B344" s="194">
        <v>0</v>
      </c>
      <c r="C344" s="194">
        <f>SUMIF(FEED!$D:$D,$F342,FEED!F:F)+B344</f>
        <v>0</v>
      </c>
      <c r="D344" s="194">
        <f>SUMIF(FEED!$D:$D,$F342,FEED!G:G)+C344</f>
        <v>0</v>
      </c>
      <c r="E344" s="194">
        <f>SUMIF(FEED!$D:$D,$F342,FEED!H:H)+D344</f>
        <v>0</v>
      </c>
      <c r="F344" s="194">
        <f>SUMIF(FEED!$D:$D,$F342,FEED!I:I)+E344</f>
        <v>0</v>
      </c>
      <c r="G344" s="194">
        <f>SUMIF(FEED!$D:$D,$F342,FEED!J:J)+F344</f>
        <v>0</v>
      </c>
      <c r="H344" s="194">
        <f>SUMIF(FEED!$D:$D,$F342,FEED!K:K)+G344</f>
        <v>0</v>
      </c>
      <c r="I344" s="194">
        <f>SUMIF(FEED!$D:$D,$F342,FEED!L:L)+H344</f>
        <v>0</v>
      </c>
      <c r="J344" s="194">
        <f>SUMIF(FEED!$D:$D,$F342,FEED!M:M)+I344</f>
        <v>0</v>
      </c>
      <c r="K344" s="194">
        <f>SUMIF(FEED!$D:$D,$F342,FEED!N:N)+J344</f>
        <v>0</v>
      </c>
      <c r="L344" s="194">
        <f>SUMIF(FEED!$D:$D,$F342,FEED!O:O)+K344</f>
        <v>26.325354700019538</v>
      </c>
    </row>
    <row r="345" spans="1:12" ht="15" thickBot="1">
      <c r="A345" s="195" t="s">
        <v>107</v>
      </c>
      <c r="B345" s="196">
        <f>B344</f>
        <v>0</v>
      </c>
      <c r="C345" s="196">
        <f ca="1">IF($I342="N",C344,IF($G342="1. In Flight",1,$G$4)*MIN(MAX($C344:$L344)*_xlfn.XLOOKUP($G342,$B$4:$B$8,$F$4:$F$8),MAX(IF(IFERROR(OFFSET(C344,0,_xlfn.XLOOKUP($G342,$B$4:$B$8,$C$4:$C$8)),0)=MAX($C344:$L344),_xlfn.MINIFS($C344:$L344,$C344:$L344,"&gt;0")*_xlfn.XLOOKUP($G342,$B$4:$B$8,$D$4:$D$8),IFERROR(OFFSET(C344,0,_xlfn.XLOOKUP($G342,$B$4:$B$8,$C$4:$C$8))*_xlfn.XLOOKUP($G342,$B$4:$B$8,$D$4:$D$8),0)),IFERROR(OFFSET(C344,0,_xlfn.XLOOKUP($G342,$B$4:$B$8,$E$4:$E$8))*_xlfn.XLOOKUP($G342,$B$4:$B$8,$F$4:$F$8),0),A345)))</f>
        <v>0</v>
      </c>
      <c r="D345" s="196">
        <f t="shared" ref="D345" ca="1" si="1216">IF($I342="N",D344,IF($G342="1. In Flight",1,$G$4)*MIN(MAX($C344:$L344)*_xlfn.XLOOKUP($G342,$B$4:$B$8,$F$4:$F$8),MAX(IF(IFERROR(OFFSET(D344,0,_xlfn.XLOOKUP($G342,$B$4:$B$8,$C$4:$C$8)),0)=MAX($C344:$L344),_xlfn.MINIFS($C344:$L344,$C344:$L344,"&gt;0")*_xlfn.XLOOKUP($G342,$B$4:$B$8,$D$4:$D$8),IFERROR(OFFSET(D344,0,_xlfn.XLOOKUP($G342,$B$4:$B$8,$C$4:$C$8))*_xlfn.XLOOKUP($G342,$B$4:$B$8,$D$4:$D$8),0)),IFERROR(OFFSET(D344,0,_xlfn.XLOOKUP($G342,$B$4:$B$8,$E$4:$E$8))*_xlfn.XLOOKUP($G342,$B$4:$B$8,$F$4:$F$8),0),B345)))</f>
        <v>0</v>
      </c>
      <c r="E345" s="196">
        <f t="shared" ref="E345" ca="1" si="1217">IF($I342="N",E344,IF($G342="1. In Flight",1,$G$4)*MIN(MAX($C344:$L344)*_xlfn.XLOOKUP($G342,$B$4:$B$8,$F$4:$F$8),MAX(IF(IFERROR(OFFSET(E344,0,_xlfn.XLOOKUP($G342,$B$4:$B$8,$C$4:$C$8)),0)=MAX($C344:$L344),_xlfn.MINIFS($C344:$L344,$C344:$L344,"&gt;0")*_xlfn.XLOOKUP($G342,$B$4:$B$8,$D$4:$D$8),IFERROR(OFFSET(E344,0,_xlfn.XLOOKUP($G342,$B$4:$B$8,$C$4:$C$8))*_xlfn.XLOOKUP($G342,$B$4:$B$8,$D$4:$D$8),0)),IFERROR(OFFSET(E344,0,_xlfn.XLOOKUP($G342,$B$4:$B$8,$E$4:$E$8))*_xlfn.XLOOKUP($G342,$B$4:$B$8,$F$4:$F$8),0),C345)))</f>
        <v>0</v>
      </c>
      <c r="F345" s="196">
        <f t="shared" ref="F345" ca="1" si="1218">IF($I342="N",F344,IF($G342="1. In Flight",1,$G$4)*MIN(MAX($C344:$L344)*_xlfn.XLOOKUP($G342,$B$4:$B$8,$F$4:$F$8),MAX(IF(IFERROR(OFFSET(F344,0,_xlfn.XLOOKUP($G342,$B$4:$B$8,$C$4:$C$8)),0)=MAX($C344:$L344),_xlfn.MINIFS($C344:$L344,$C344:$L344,"&gt;0")*_xlfn.XLOOKUP($G342,$B$4:$B$8,$D$4:$D$8),IFERROR(OFFSET(F344,0,_xlfn.XLOOKUP($G342,$B$4:$B$8,$C$4:$C$8))*_xlfn.XLOOKUP($G342,$B$4:$B$8,$D$4:$D$8),0)),IFERROR(OFFSET(F344,0,_xlfn.XLOOKUP($G342,$B$4:$B$8,$E$4:$E$8))*_xlfn.XLOOKUP($G342,$B$4:$B$8,$F$4:$F$8),0),D345)))</f>
        <v>0</v>
      </c>
      <c r="G345" s="196">
        <f t="shared" ref="G345" ca="1" si="1219">IF($I342="N",G344,IF($G342="1. In Flight",1,$G$4)*MIN(MAX($C344:$L344)*_xlfn.XLOOKUP($G342,$B$4:$B$8,$F$4:$F$8),MAX(IF(IFERROR(OFFSET(G344,0,_xlfn.XLOOKUP($G342,$B$4:$B$8,$C$4:$C$8)),0)=MAX($C344:$L344),_xlfn.MINIFS($C344:$L344,$C344:$L344,"&gt;0")*_xlfn.XLOOKUP($G342,$B$4:$B$8,$D$4:$D$8),IFERROR(OFFSET(G344,0,_xlfn.XLOOKUP($G342,$B$4:$B$8,$C$4:$C$8))*_xlfn.XLOOKUP($G342,$B$4:$B$8,$D$4:$D$8),0)),IFERROR(OFFSET(G344,0,_xlfn.XLOOKUP($G342,$B$4:$B$8,$E$4:$E$8))*_xlfn.XLOOKUP($G342,$B$4:$B$8,$F$4:$F$8),0),E345)))</f>
        <v>0</v>
      </c>
      <c r="H345" s="196">
        <f t="shared" ref="H345" ca="1" si="1220">IF($I342="N",H344,IF($G342="1. In Flight",1,$G$4)*MIN(MAX($C344:$L344)*_xlfn.XLOOKUP($G342,$B$4:$B$8,$F$4:$F$8),MAX(IF(IFERROR(OFFSET(H344,0,_xlfn.XLOOKUP($G342,$B$4:$B$8,$C$4:$C$8)),0)=MAX($C344:$L344),_xlfn.MINIFS($C344:$L344,$C344:$L344,"&gt;0")*_xlfn.XLOOKUP($G342,$B$4:$B$8,$D$4:$D$8),IFERROR(OFFSET(H344,0,_xlfn.XLOOKUP($G342,$B$4:$B$8,$C$4:$C$8))*_xlfn.XLOOKUP($G342,$B$4:$B$8,$D$4:$D$8),0)),IFERROR(OFFSET(H344,0,_xlfn.XLOOKUP($G342,$B$4:$B$8,$E$4:$E$8))*_xlfn.XLOOKUP($G342,$B$4:$B$8,$F$4:$F$8),0),F345)))</f>
        <v>0</v>
      </c>
      <c r="I345" s="196">
        <f t="shared" ref="I345" ca="1" si="1221">IF($I342="N",I344,IF($G342="1. In Flight",1,$G$4)*MIN(MAX($C344:$L344)*_xlfn.XLOOKUP($G342,$B$4:$B$8,$F$4:$F$8),MAX(IF(IFERROR(OFFSET(I344,0,_xlfn.XLOOKUP($G342,$B$4:$B$8,$C$4:$C$8)),0)=MAX($C344:$L344),_xlfn.MINIFS($C344:$L344,$C344:$L344,"&gt;0")*_xlfn.XLOOKUP($G342,$B$4:$B$8,$D$4:$D$8),IFERROR(OFFSET(I344,0,_xlfn.XLOOKUP($G342,$B$4:$B$8,$C$4:$C$8))*_xlfn.XLOOKUP($G342,$B$4:$B$8,$D$4:$D$8),0)),IFERROR(OFFSET(I344,0,_xlfn.XLOOKUP($G342,$B$4:$B$8,$E$4:$E$8))*_xlfn.XLOOKUP($G342,$B$4:$B$8,$F$4:$F$8),0),G345)))</f>
        <v>0</v>
      </c>
      <c r="J345" s="196">
        <f t="shared" ref="J345" ca="1" si="1222">IF($I342="N",J344,IF($G342="1. In Flight",1,$G$4)*MIN(MAX($C344:$L344)*_xlfn.XLOOKUP($G342,$B$4:$B$8,$F$4:$F$8),MAX(IF(IFERROR(OFFSET(J344,0,_xlfn.XLOOKUP($G342,$B$4:$B$8,$C$4:$C$8)),0)=MAX($C344:$L344),_xlfn.MINIFS($C344:$L344,$C344:$L344,"&gt;0")*_xlfn.XLOOKUP($G342,$B$4:$B$8,$D$4:$D$8),IFERROR(OFFSET(J344,0,_xlfn.XLOOKUP($G342,$B$4:$B$8,$C$4:$C$8))*_xlfn.XLOOKUP($G342,$B$4:$B$8,$D$4:$D$8),0)),IFERROR(OFFSET(J344,0,_xlfn.XLOOKUP($G342,$B$4:$B$8,$E$4:$E$8))*_xlfn.XLOOKUP($G342,$B$4:$B$8,$F$4:$F$8),0),H345)))</f>
        <v>0</v>
      </c>
      <c r="K345" s="196">
        <f t="shared" ref="K345" ca="1" si="1223">IF($I342="N",K344,IF($G342="1. In Flight",1,$G$4)*MIN(MAX($C344:$L344)*_xlfn.XLOOKUP($G342,$B$4:$B$8,$F$4:$F$8),MAX(IF(IFERROR(OFFSET(K344,0,_xlfn.XLOOKUP($G342,$B$4:$B$8,$C$4:$C$8)),0)=MAX($C344:$L344),_xlfn.MINIFS($C344:$L344,$C344:$L344,"&gt;0")*_xlfn.XLOOKUP($G342,$B$4:$B$8,$D$4:$D$8),IFERROR(OFFSET(K344,0,_xlfn.XLOOKUP($G342,$B$4:$B$8,$C$4:$C$8))*_xlfn.XLOOKUP($G342,$B$4:$B$8,$D$4:$D$8),0)),IFERROR(OFFSET(K344,0,_xlfn.XLOOKUP($G342,$B$4:$B$8,$E$4:$E$8))*_xlfn.XLOOKUP($G342,$B$4:$B$8,$F$4:$F$8),0),I345)))</f>
        <v>0</v>
      </c>
      <c r="L345" s="196">
        <f t="shared" ref="L345" ca="1" si="1224">IF($I342="N",L344,IF($G342="1. In Flight",1,$G$4)*MIN(MAX($C344:$L344)*_xlfn.XLOOKUP($G342,$B$4:$B$8,$F$4:$F$8),MAX(IF(IFERROR(OFFSET(L344,0,_xlfn.XLOOKUP($G342,$B$4:$B$8,$C$4:$C$8)),0)=MAX($C344:$L344),_xlfn.MINIFS($C344:$L344,$C344:$L344,"&gt;0")*_xlfn.XLOOKUP($G342,$B$4:$B$8,$D$4:$D$8),IFERROR(OFFSET(L344,0,_xlfn.XLOOKUP($G342,$B$4:$B$8,$C$4:$C$8))*_xlfn.XLOOKUP($G342,$B$4:$B$8,$D$4:$D$8),0)),IFERROR(OFFSET(L344,0,_xlfn.XLOOKUP($G342,$B$4:$B$8,$E$4:$E$8))*_xlfn.XLOOKUP($G342,$B$4:$B$8,$F$4:$F$8),0),J345)))</f>
        <v>0</v>
      </c>
    </row>
    <row r="346" spans="1:12" ht="15" thickBot="1">
      <c r="A346" s="195" t="s">
        <v>108</v>
      </c>
      <c r="B346" s="196">
        <f>B344</f>
        <v>0</v>
      </c>
      <c r="C346" s="196">
        <f ca="1">IF($I342="N",C344,IF($G342="1. In Flight",1,$G$9)*MIN(MAX($C344:$L344)*_xlfn.XLOOKUP($G342,$B$9:$B$13,$F$9:$F$13),MAX(IF(IFERROR(OFFSET(C344,0,_xlfn.XLOOKUP($G342,$B$9:$B$13,$C$9:$C$13)),0)=MAX($C344:$L344),_xlfn.MINIFS($C344:$L344,$C344:$L344,"&gt;0")*_xlfn.XLOOKUP($G342,$B$9:$B$13,$D$9:$D$13),IFERROR(OFFSET(C344,0,_xlfn.XLOOKUP($G342,$B$9:$B$13,$C$9:$C$13))*_xlfn.XLOOKUP($G342,$B$9:$B$13,$D$9:$D$13),0)),IFERROR(OFFSET(C344,0,_xlfn.XLOOKUP($G342,$B$9:$B$13,$E$9:$E$13))*_xlfn.XLOOKUP($G342,$B$9:$B$13,$F$9:$F$13),0),A346)))</f>
        <v>0</v>
      </c>
      <c r="D346" s="196">
        <f t="shared" ref="D346" ca="1" si="1225">IF($I342="N",D344,IF($G342="1. In Flight",1,$G$9)*MIN(MAX($C344:$L344)*_xlfn.XLOOKUP($G342,$B$9:$B$13,$F$9:$F$13),MAX(IF(IFERROR(OFFSET(D344,0,_xlfn.XLOOKUP($G342,$B$9:$B$13,$C$9:$C$13)),0)=MAX($C344:$L344),_xlfn.MINIFS($C344:$L344,$C344:$L344,"&gt;0")*_xlfn.XLOOKUP($G342,$B$9:$B$13,$D$9:$D$13),IFERROR(OFFSET(D344,0,_xlfn.XLOOKUP($G342,$B$9:$B$13,$C$9:$C$13))*_xlfn.XLOOKUP($G342,$B$9:$B$13,$D$9:$D$13),0)),IFERROR(OFFSET(D344,0,_xlfn.XLOOKUP($G342,$B$9:$B$13,$E$9:$E$13))*_xlfn.XLOOKUP($G342,$B$9:$B$13,$F$9:$F$13),0),B346)))</f>
        <v>0</v>
      </c>
      <c r="E346" s="196">
        <f t="shared" ref="E346" ca="1" si="1226">IF($I342="N",E344,IF($G342="1. In Flight",1,$G$9)*MIN(MAX($C344:$L344)*_xlfn.XLOOKUP($G342,$B$9:$B$13,$F$9:$F$13),MAX(IF(IFERROR(OFFSET(E344,0,_xlfn.XLOOKUP($G342,$B$9:$B$13,$C$9:$C$13)),0)=MAX($C344:$L344),_xlfn.MINIFS($C344:$L344,$C344:$L344,"&gt;0")*_xlfn.XLOOKUP($G342,$B$9:$B$13,$D$9:$D$13),IFERROR(OFFSET(E344,0,_xlfn.XLOOKUP($G342,$B$9:$B$13,$C$9:$C$13))*_xlfn.XLOOKUP($G342,$B$9:$B$13,$D$9:$D$13),0)),IFERROR(OFFSET(E344,0,_xlfn.XLOOKUP($G342,$B$9:$B$13,$E$9:$E$13))*_xlfn.XLOOKUP($G342,$B$9:$B$13,$F$9:$F$13),0),C346)))</f>
        <v>0</v>
      </c>
      <c r="F346" s="196">
        <f t="shared" ref="F346" ca="1" si="1227">IF($I342="N",F344,IF($G342="1. In Flight",1,$G$9)*MIN(MAX($C344:$L344)*_xlfn.XLOOKUP($G342,$B$9:$B$13,$F$9:$F$13),MAX(IF(IFERROR(OFFSET(F344,0,_xlfn.XLOOKUP($G342,$B$9:$B$13,$C$9:$C$13)),0)=MAX($C344:$L344),_xlfn.MINIFS($C344:$L344,$C344:$L344,"&gt;0")*_xlfn.XLOOKUP($G342,$B$9:$B$13,$D$9:$D$13),IFERROR(OFFSET(F344,0,_xlfn.XLOOKUP($G342,$B$9:$B$13,$C$9:$C$13))*_xlfn.XLOOKUP($G342,$B$9:$B$13,$D$9:$D$13),0)),IFERROR(OFFSET(F344,0,_xlfn.XLOOKUP($G342,$B$9:$B$13,$E$9:$E$13))*_xlfn.XLOOKUP($G342,$B$9:$B$13,$F$9:$F$13),0),D346)))</f>
        <v>0</v>
      </c>
      <c r="G346" s="196">
        <f t="shared" ref="G346" ca="1" si="1228">IF($I342="N",G344,IF($G342="1. In Flight",1,$G$9)*MIN(MAX($C344:$L344)*_xlfn.XLOOKUP($G342,$B$9:$B$13,$F$9:$F$13),MAX(IF(IFERROR(OFFSET(G344,0,_xlfn.XLOOKUP($G342,$B$9:$B$13,$C$9:$C$13)),0)=MAX($C344:$L344),_xlfn.MINIFS($C344:$L344,$C344:$L344,"&gt;0")*_xlfn.XLOOKUP($G342,$B$9:$B$13,$D$9:$D$13),IFERROR(OFFSET(G344,0,_xlfn.XLOOKUP($G342,$B$9:$B$13,$C$9:$C$13))*_xlfn.XLOOKUP($G342,$B$9:$B$13,$D$9:$D$13),0)),IFERROR(OFFSET(G344,0,_xlfn.XLOOKUP($G342,$B$9:$B$13,$E$9:$E$13))*_xlfn.XLOOKUP($G342,$B$9:$B$13,$F$9:$F$13),0),E346)))</f>
        <v>0</v>
      </c>
      <c r="H346" s="196">
        <f t="shared" ref="H346" ca="1" si="1229">IF($I342="N",H344,IF($G342="1. In Flight",1,$G$9)*MIN(MAX($C344:$L344)*_xlfn.XLOOKUP($G342,$B$9:$B$13,$F$9:$F$13),MAX(IF(IFERROR(OFFSET(H344,0,_xlfn.XLOOKUP($G342,$B$9:$B$13,$C$9:$C$13)),0)=MAX($C344:$L344),_xlfn.MINIFS($C344:$L344,$C344:$L344,"&gt;0")*_xlfn.XLOOKUP($G342,$B$9:$B$13,$D$9:$D$13),IFERROR(OFFSET(H344,0,_xlfn.XLOOKUP($G342,$B$9:$B$13,$C$9:$C$13))*_xlfn.XLOOKUP($G342,$B$9:$B$13,$D$9:$D$13),0)),IFERROR(OFFSET(H344,0,_xlfn.XLOOKUP($G342,$B$9:$B$13,$E$9:$E$13))*_xlfn.XLOOKUP($G342,$B$9:$B$13,$F$9:$F$13),0),F346)))</f>
        <v>0</v>
      </c>
      <c r="I346" s="196">
        <f t="shared" ref="I346" ca="1" si="1230">IF($I342="N",I344,IF($G342="1. In Flight",1,$G$9)*MIN(MAX($C344:$L344)*_xlfn.XLOOKUP($G342,$B$9:$B$13,$F$9:$F$13),MAX(IF(IFERROR(OFFSET(I344,0,_xlfn.XLOOKUP($G342,$B$9:$B$13,$C$9:$C$13)),0)=MAX($C344:$L344),_xlfn.MINIFS($C344:$L344,$C344:$L344,"&gt;0")*_xlfn.XLOOKUP($G342,$B$9:$B$13,$D$9:$D$13),IFERROR(OFFSET(I344,0,_xlfn.XLOOKUP($G342,$B$9:$B$13,$C$9:$C$13))*_xlfn.XLOOKUP($G342,$B$9:$B$13,$D$9:$D$13),0)),IFERROR(OFFSET(I344,0,_xlfn.XLOOKUP($G342,$B$9:$B$13,$E$9:$E$13))*_xlfn.XLOOKUP($G342,$B$9:$B$13,$F$9:$F$13),0),G346)))</f>
        <v>0</v>
      </c>
      <c r="J346" s="196">
        <f t="shared" ref="J346" ca="1" si="1231">IF($I342="N",J344,IF($G342="1. In Flight",1,$G$9)*MIN(MAX($C344:$L344)*_xlfn.XLOOKUP($G342,$B$9:$B$13,$F$9:$F$13),MAX(IF(IFERROR(OFFSET(J344,0,_xlfn.XLOOKUP($G342,$B$9:$B$13,$C$9:$C$13)),0)=MAX($C344:$L344),_xlfn.MINIFS($C344:$L344,$C344:$L344,"&gt;0")*_xlfn.XLOOKUP($G342,$B$9:$B$13,$D$9:$D$13),IFERROR(OFFSET(J344,0,_xlfn.XLOOKUP($G342,$B$9:$B$13,$C$9:$C$13))*_xlfn.XLOOKUP($G342,$B$9:$B$13,$D$9:$D$13),0)),IFERROR(OFFSET(J344,0,_xlfn.XLOOKUP($G342,$B$9:$B$13,$E$9:$E$13))*_xlfn.XLOOKUP($G342,$B$9:$B$13,$F$9:$F$13),0),H346)))</f>
        <v>0</v>
      </c>
      <c r="K346" s="196">
        <f t="shared" ref="K346" ca="1" si="1232">IF($I342="N",K344,IF($G342="1. In Flight",1,$G$9)*MIN(MAX($C344:$L344)*_xlfn.XLOOKUP($G342,$B$9:$B$13,$F$9:$F$13),MAX(IF(IFERROR(OFFSET(K344,0,_xlfn.XLOOKUP($G342,$B$9:$B$13,$C$9:$C$13)),0)=MAX($C344:$L344),_xlfn.MINIFS($C344:$L344,$C344:$L344,"&gt;0")*_xlfn.XLOOKUP($G342,$B$9:$B$13,$D$9:$D$13),IFERROR(OFFSET(K344,0,_xlfn.XLOOKUP($G342,$B$9:$B$13,$C$9:$C$13))*_xlfn.XLOOKUP($G342,$B$9:$B$13,$D$9:$D$13),0)),IFERROR(OFFSET(K344,0,_xlfn.XLOOKUP($G342,$B$9:$B$13,$E$9:$E$13))*_xlfn.XLOOKUP($G342,$B$9:$B$13,$F$9:$F$13),0),I346)))</f>
        <v>0</v>
      </c>
      <c r="L346" s="196">
        <f t="shared" ref="L346" ca="1" si="1233">IF($I342="N",L344,IF($G342="1. In Flight",1,$G$9)*MIN(MAX($C344:$L344)*_xlfn.XLOOKUP($G342,$B$9:$B$13,$F$9:$F$13),MAX(IF(IFERROR(OFFSET(L344,0,_xlfn.XLOOKUP($G342,$B$9:$B$13,$C$9:$C$13)),0)=MAX($C344:$L344),_xlfn.MINIFS($C344:$L344,$C344:$L344,"&gt;0")*_xlfn.XLOOKUP($G342,$B$9:$B$13,$D$9:$D$13),IFERROR(OFFSET(L344,0,_xlfn.XLOOKUP($G342,$B$9:$B$13,$C$9:$C$13))*_xlfn.XLOOKUP($G342,$B$9:$B$13,$D$9:$D$13),0)),IFERROR(OFFSET(L344,0,_xlfn.XLOOKUP($G342,$B$9:$B$13,$E$9:$E$13))*_xlfn.XLOOKUP($G342,$B$9:$B$13,$F$9:$F$13),0),J346)))</f>
        <v>0</v>
      </c>
    </row>
    <row r="347" spans="1:12" ht="15" thickBot="1">
      <c r="A347" s="197" t="s">
        <v>109</v>
      </c>
      <c r="B347" s="198">
        <f>B344</f>
        <v>0</v>
      </c>
      <c r="C347" s="198">
        <f ca="1">IF($I342="N",C344,IF($G342="1. In Flight",1,$G$14)*MIN(MAX($C344:$L344)*_xlfn.XLOOKUP($G342,$B$14:$B$18,$F$14:$F$18),MAX(IF(IFERROR(OFFSET(C344,0,_xlfn.XLOOKUP($G342,$B$14:$B$18,$C$14:$C$18)),0)=MAX($C344:$L344),_xlfn.MINIFS($C344:$L344,$C344:$L344,"&gt;0")*_xlfn.XLOOKUP($G342,$B$14:$B$18,$D$14:$D$18),IFERROR(OFFSET(C344,0,_xlfn.XLOOKUP($G342,$B$14:$B$18,$C$14:$C$18))*_xlfn.XLOOKUP($G342,$B$14:$B$18,$D$14:$D$18),0)),IFERROR(OFFSET(C344,0,_xlfn.XLOOKUP($G342,$B$14:$B$18,$E$14:$E$18))*_xlfn.XLOOKUP($G342,$B$14:$B$18,$F$14:$F$18),0),A347)))</f>
        <v>0</v>
      </c>
      <c r="D347" s="198">
        <f t="shared" ref="D347" ca="1" si="1234">IF($I342="N",D344,IF($G342="1. In Flight",1,$G$14)*MIN(MAX($C344:$L344)*_xlfn.XLOOKUP($G342,$B$14:$B$18,$F$14:$F$18),MAX(IF(IFERROR(OFFSET(D344,0,_xlfn.XLOOKUP($G342,$B$14:$B$18,$C$14:$C$18)),0)=MAX($C344:$L344),_xlfn.MINIFS($C344:$L344,$C344:$L344,"&gt;0")*_xlfn.XLOOKUP($G342,$B$14:$B$18,$D$14:$D$18),IFERROR(OFFSET(D344,0,_xlfn.XLOOKUP($G342,$B$14:$B$18,$C$14:$C$18))*_xlfn.XLOOKUP($G342,$B$14:$B$18,$D$14:$D$18),0)),IFERROR(OFFSET(D344,0,_xlfn.XLOOKUP($G342,$B$14:$B$18,$E$14:$E$18))*_xlfn.XLOOKUP($G342,$B$14:$B$18,$F$14:$F$18),0),B347)))</f>
        <v>0</v>
      </c>
      <c r="E347" s="198">
        <f t="shared" ref="E347" ca="1" si="1235">IF($I342="N",E344,IF($G342="1. In Flight",1,$G$14)*MIN(MAX($C344:$L344)*_xlfn.XLOOKUP($G342,$B$14:$B$18,$F$14:$F$18),MAX(IF(IFERROR(OFFSET(E344,0,_xlfn.XLOOKUP($G342,$B$14:$B$18,$C$14:$C$18)),0)=MAX($C344:$L344),_xlfn.MINIFS($C344:$L344,$C344:$L344,"&gt;0")*_xlfn.XLOOKUP($G342,$B$14:$B$18,$D$14:$D$18),IFERROR(OFFSET(E344,0,_xlfn.XLOOKUP($G342,$B$14:$B$18,$C$14:$C$18))*_xlfn.XLOOKUP($G342,$B$14:$B$18,$D$14:$D$18),0)),IFERROR(OFFSET(E344,0,_xlfn.XLOOKUP($G342,$B$14:$B$18,$E$14:$E$18))*_xlfn.XLOOKUP($G342,$B$14:$B$18,$F$14:$F$18),0),C347)))</f>
        <v>0</v>
      </c>
      <c r="F347" s="198">
        <f t="shared" ref="F347" ca="1" si="1236">IF($I342="N",F344,IF($G342="1. In Flight",1,$G$14)*MIN(MAX($C344:$L344)*_xlfn.XLOOKUP($G342,$B$14:$B$18,$F$14:$F$18),MAX(IF(IFERROR(OFFSET(F344,0,_xlfn.XLOOKUP($G342,$B$14:$B$18,$C$14:$C$18)),0)=MAX($C344:$L344),_xlfn.MINIFS($C344:$L344,$C344:$L344,"&gt;0")*_xlfn.XLOOKUP($G342,$B$14:$B$18,$D$14:$D$18),IFERROR(OFFSET(F344,0,_xlfn.XLOOKUP($G342,$B$14:$B$18,$C$14:$C$18))*_xlfn.XLOOKUP($G342,$B$14:$B$18,$D$14:$D$18),0)),IFERROR(OFFSET(F344,0,_xlfn.XLOOKUP($G342,$B$14:$B$18,$E$14:$E$18))*_xlfn.XLOOKUP($G342,$B$14:$B$18,$F$14:$F$18),0),D347)))</f>
        <v>0</v>
      </c>
      <c r="G347" s="198">
        <f t="shared" ref="G347" ca="1" si="1237">IF($I342="N",G344,IF($G342="1. In Flight",1,$G$14)*MIN(MAX($C344:$L344)*_xlfn.XLOOKUP($G342,$B$14:$B$18,$F$14:$F$18),MAX(IF(IFERROR(OFFSET(G344,0,_xlfn.XLOOKUP($G342,$B$14:$B$18,$C$14:$C$18)),0)=MAX($C344:$L344),_xlfn.MINIFS($C344:$L344,$C344:$L344,"&gt;0")*_xlfn.XLOOKUP($G342,$B$14:$B$18,$D$14:$D$18),IFERROR(OFFSET(G344,0,_xlfn.XLOOKUP($G342,$B$14:$B$18,$C$14:$C$18))*_xlfn.XLOOKUP($G342,$B$14:$B$18,$D$14:$D$18),0)),IFERROR(OFFSET(G344,0,_xlfn.XLOOKUP($G342,$B$14:$B$18,$E$14:$E$18))*_xlfn.XLOOKUP($G342,$B$14:$B$18,$F$14:$F$18),0),E347)))</f>
        <v>0</v>
      </c>
      <c r="H347" s="198">
        <f t="shared" ref="H347" ca="1" si="1238">IF($I342="N",H344,IF($G342="1. In Flight",1,$G$14)*MIN(MAX($C344:$L344)*_xlfn.XLOOKUP($G342,$B$14:$B$18,$F$14:$F$18),MAX(IF(IFERROR(OFFSET(H344,0,_xlfn.XLOOKUP($G342,$B$14:$B$18,$C$14:$C$18)),0)=MAX($C344:$L344),_xlfn.MINIFS($C344:$L344,$C344:$L344,"&gt;0")*_xlfn.XLOOKUP($G342,$B$14:$B$18,$D$14:$D$18),IFERROR(OFFSET(H344,0,_xlfn.XLOOKUP($G342,$B$14:$B$18,$C$14:$C$18))*_xlfn.XLOOKUP($G342,$B$14:$B$18,$D$14:$D$18),0)),IFERROR(OFFSET(H344,0,_xlfn.XLOOKUP($G342,$B$14:$B$18,$E$14:$E$18))*_xlfn.XLOOKUP($G342,$B$14:$B$18,$F$14:$F$18),0),F347)))</f>
        <v>0</v>
      </c>
      <c r="I347" s="198">
        <f t="shared" ref="I347" ca="1" si="1239">IF($I342="N",I344,IF($G342="1. In Flight",1,$G$14)*MIN(MAX($C344:$L344)*_xlfn.XLOOKUP($G342,$B$14:$B$18,$F$14:$F$18),MAX(IF(IFERROR(OFFSET(I344,0,_xlfn.XLOOKUP($G342,$B$14:$B$18,$C$14:$C$18)),0)=MAX($C344:$L344),_xlfn.MINIFS($C344:$L344,$C344:$L344,"&gt;0")*_xlfn.XLOOKUP($G342,$B$14:$B$18,$D$14:$D$18),IFERROR(OFFSET(I344,0,_xlfn.XLOOKUP($G342,$B$14:$B$18,$C$14:$C$18))*_xlfn.XLOOKUP($G342,$B$14:$B$18,$D$14:$D$18),0)),IFERROR(OFFSET(I344,0,_xlfn.XLOOKUP($G342,$B$14:$B$18,$E$14:$E$18))*_xlfn.XLOOKUP($G342,$B$14:$B$18,$F$14:$F$18),0),G347)))</f>
        <v>0</v>
      </c>
      <c r="J347" s="198">
        <f t="shared" ref="J347" ca="1" si="1240">IF($I342="N",J344,IF($G342="1. In Flight",1,$G$14)*MIN(MAX($C344:$L344)*_xlfn.XLOOKUP($G342,$B$14:$B$18,$F$14:$F$18),MAX(IF(IFERROR(OFFSET(J344,0,_xlfn.XLOOKUP($G342,$B$14:$B$18,$C$14:$C$18)),0)=MAX($C344:$L344),_xlfn.MINIFS($C344:$L344,$C344:$L344,"&gt;0")*_xlfn.XLOOKUP($G342,$B$14:$B$18,$D$14:$D$18),IFERROR(OFFSET(J344,0,_xlfn.XLOOKUP($G342,$B$14:$B$18,$C$14:$C$18))*_xlfn.XLOOKUP($G342,$B$14:$B$18,$D$14:$D$18),0)),IFERROR(OFFSET(J344,0,_xlfn.XLOOKUP($G342,$B$14:$B$18,$E$14:$E$18))*_xlfn.XLOOKUP($G342,$B$14:$B$18,$F$14:$F$18),0),H347)))</f>
        <v>0</v>
      </c>
      <c r="K347" s="198">
        <f t="shared" ref="K347" ca="1" si="1241">IF($I342="N",K344,IF($G342="1. In Flight",1,$G$14)*MIN(MAX($C344:$L344)*_xlfn.XLOOKUP($G342,$B$14:$B$18,$F$14:$F$18),MAX(IF(IFERROR(OFFSET(K344,0,_xlfn.XLOOKUP($G342,$B$14:$B$18,$C$14:$C$18)),0)=MAX($C344:$L344),_xlfn.MINIFS($C344:$L344,$C344:$L344,"&gt;0")*_xlfn.XLOOKUP($G342,$B$14:$B$18,$D$14:$D$18),IFERROR(OFFSET(K344,0,_xlfn.XLOOKUP($G342,$B$14:$B$18,$C$14:$C$18))*_xlfn.XLOOKUP($G342,$B$14:$B$18,$D$14:$D$18),0)),IFERROR(OFFSET(K344,0,_xlfn.XLOOKUP($G342,$B$14:$B$18,$E$14:$E$18))*_xlfn.XLOOKUP($G342,$B$14:$B$18,$F$14:$F$18),0),I347)))</f>
        <v>0</v>
      </c>
      <c r="L347" s="198">
        <f t="shared" ref="L347" ca="1" si="1242">IF($I342="N",L344,IF($G342="1. In Flight",1,$G$14)*MIN(MAX($C344:$L344)*_xlfn.XLOOKUP($G342,$B$14:$B$18,$F$14:$F$18),MAX(IF(IFERROR(OFFSET(L344,0,_xlfn.XLOOKUP($G342,$B$14:$B$18,$C$14:$C$18)),0)=MAX($C344:$L344),_xlfn.MINIFS($C344:$L344,$C344:$L344,"&gt;0")*_xlfn.XLOOKUP($G342,$B$14:$B$18,$D$14:$D$18),IFERROR(OFFSET(L344,0,_xlfn.XLOOKUP($G342,$B$14:$B$18,$C$14:$C$18))*_xlfn.XLOOKUP($G342,$B$14:$B$18,$D$14:$D$18),0)),IFERROR(OFFSET(L344,0,_xlfn.XLOOKUP($G342,$B$14:$B$18,$E$14:$E$18))*_xlfn.XLOOKUP($G342,$B$14:$B$18,$F$14:$F$18),0),J347)))</f>
        <v>0</v>
      </c>
    </row>
    <row r="348" spans="1:12" ht="15" thickTop="1"/>
    <row r="349" spans="1:12" ht="15" thickBot="1">
      <c r="A349" s="231">
        <f>_xlfn.XLOOKUP(F349,FEED!D:D,FEED!E:E,FALSE)</f>
        <v>0</v>
      </c>
      <c r="B349" s="232"/>
      <c r="C349" s="189"/>
      <c r="D349" s="189" t="s">
        <v>134</v>
      </c>
      <c r="E349" s="189" t="s">
        <v>120</v>
      </c>
      <c r="F349" s="189" t="s">
        <v>94</v>
      </c>
      <c r="G349" s="189" t="str">
        <f>IFERROR(_xlfn.XLOOKUP(F349,FEED!$D:$D,FEED!$S:$S),$B$8)</f>
        <v>4. Low</v>
      </c>
      <c r="H349" s="189" t="str">
        <f>IFERROR(_xlfn.XLOOKUP(F349,FEED!$D:$D,FEED!$Y:$Y),"Major Load")</f>
        <v>Data Centre</v>
      </c>
      <c r="I349" s="189" t="str">
        <f>IFERROR(_xlfn.XLOOKUP(F349,FEED!$D:$D,FEED!$C:$C),"N")</f>
        <v>Y</v>
      </c>
      <c r="J349" s="190"/>
      <c r="K349" s="190"/>
      <c r="L349" s="190"/>
    </row>
    <row r="350" spans="1:12" ht="15" thickBot="1">
      <c r="A350" s="191" t="str">
        <f t="shared" ref="A350" si="1243">A217</f>
        <v>Uptake Scenario</v>
      </c>
      <c r="B350" s="192">
        <f>B329</f>
        <v>2023</v>
      </c>
      <c r="C350" s="192">
        <f t="shared" ref="C350:L350" si="1244">C329</f>
        <v>2024</v>
      </c>
      <c r="D350" s="192">
        <f t="shared" si="1244"/>
        <v>2025</v>
      </c>
      <c r="E350" s="192">
        <f t="shared" si="1244"/>
        <v>2026</v>
      </c>
      <c r="F350" s="192">
        <f t="shared" si="1244"/>
        <v>2027</v>
      </c>
      <c r="G350" s="192">
        <f t="shared" si="1244"/>
        <v>2028</v>
      </c>
      <c r="H350" s="192">
        <f t="shared" si="1244"/>
        <v>2029</v>
      </c>
      <c r="I350" s="192">
        <f t="shared" si="1244"/>
        <v>2030</v>
      </c>
      <c r="J350" s="192">
        <f t="shared" si="1244"/>
        <v>2031</v>
      </c>
      <c r="K350" s="192">
        <f t="shared" si="1244"/>
        <v>2032</v>
      </c>
      <c r="L350" s="192">
        <f t="shared" si="1244"/>
        <v>2033</v>
      </c>
    </row>
    <row r="351" spans="1:12" ht="15.6" thickTop="1" thickBot="1">
      <c r="A351" s="193" t="s">
        <v>111</v>
      </c>
      <c r="B351" s="194">
        <v>0</v>
      </c>
      <c r="C351" s="194">
        <f>SUMIF(FEED!$D:$D,$F349,FEED!F:F)+B351</f>
        <v>0</v>
      </c>
      <c r="D351" s="194">
        <f>SUMIF(FEED!$D:$D,$F349,FEED!G:G)+C351</f>
        <v>0</v>
      </c>
      <c r="E351" s="194">
        <f>SUMIF(FEED!$D:$D,$F349,FEED!H:H)+D351</f>
        <v>0</v>
      </c>
      <c r="F351" s="194">
        <f>SUMIF(FEED!$D:$D,$F349,FEED!I:I)+E351</f>
        <v>0</v>
      </c>
      <c r="G351" s="194">
        <f>SUMIF(FEED!$D:$D,$F349,FEED!J:J)+F351</f>
        <v>0</v>
      </c>
      <c r="H351" s="194">
        <f>SUMIF(FEED!$D:$D,$F349,FEED!K:K)+G351</f>
        <v>0</v>
      </c>
      <c r="I351" s="194">
        <f>SUMIF(FEED!$D:$D,$F349,FEED!L:L)+H351</f>
        <v>0</v>
      </c>
      <c r="J351" s="194">
        <f>SUMIF(FEED!$D:$D,$F349,FEED!M:M)+I351</f>
        <v>0</v>
      </c>
      <c r="K351" s="194">
        <f>SUMIF(FEED!$D:$D,$F349,FEED!N:N)+J351</f>
        <v>0</v>
      </c>
      <c r="L351" s="194">
        <f>SUMIF(FEED!$D:$D,$F349,FEED!O:O)+K351</f>
        <v>17.550236466679692</v>
      </c>
    </row>
    <row r="352" spans="1:12" ht="15" thickBot="1">
      <c r="A352" s="195" t="s">
        <v>107</v>
      </c>
      <c r="B352" s="196">
        <f>B351</f>
        <v>0</v>
      </c>
      <c r="C352" s="196">
        <f ca="1">IF($I349="N",C351,IF($G349="1. In Flight",1,$G$4)*MIN(MAX($C351:$L351)*_xlfn.XLOOKUP($G349,$B$4:$B$8,$F$4:$F$8),MAX(IF(IFERROR(OFFSET(C351,0,_xlfn.XLOOKUP($G349,$B$4:$B$8,$C$4:$C$8)),0)=MAX($C351:$L351),_xlfn.MINIFS($C351:$L351,$C351:$L351,"&gt;0")*_xlfn.XLOOKUP($G349,$B$4:$B$8,$D$4:$D$8),IFERROR(OFFSET(C351,0,_xlfn.XLOOKUP($G349,$B$4:$B$8,$C$4:$C$8))*_xlfn.XLOOKUP($G349,$B$4:$B$8,$D$4:$D$8),0)),IFERROR(OFFSET(C351,0,_xlfn.XLOOKUP($G349,$B$4:$B$8,$E$4:$E$8))*_xlfn.XLOOKUP($G349,$B$4:$B$8,$F$4:$F$8),0),A352)))</f>
        <v>0</v>
      </c>
      <c r="D352" s="196">
        <f t="shared" ref="D352" ca="1" si="1245">IF($I349="N",D351,IF($G349="1. In Flight",1,$G$4)*MIN(MAX($C351:$L351)*_xlfn.XLOOKUP($G349,$B$4:$B$8,$F$4:$F$8),MAX(IF(IFERROR(OFFSET(D351,0,_xlfn.XLOOKUP($G349,$B$4:$B$8,$C$4:$C$8)),0)=MAX($C351:$L351),_xlfn.MINIFS($C351:$L351,$C351:$L351,"&gt;0")*_xlfn.XLOOKUP($G349,$B$4:$B$8,$D$4:$D$8),IFERROR(OFFSET(D351,0,_xlfn.XLOOKUP($G349,$B$4:$B$8,$C$4:$C$8))*_xlfn.XLOOKUP($G349,$B$4:$B$8,$D$4:$D$8),0)),IFERROR(OFFSET(D351,0,_xlfn.XLOOKUP($G349,$B$4:$B$8,$E$4:$E$8))*_xlfn.XLOOKUP($G349,$B$4:$B$8,$F$4:$F$8),0),B352)))</f>
        <v>0</v>
      </c>
      <c r="E352" s="196">
        <f t="shared" ref="E352" ca="1" si="1246">IF($I349="N",E351,IF($G349="1. In Flight",1,$G$4)*MIN(MAX($C351:$L351)*_xlfn.XLOOKUP($G349,$B$4:$B$8,$F$4:$F$8),MAX(IF(IFERROR(OFFSET(E351,0,_xlfn.XLOOKUP($G349,$B$4:$B$8,$C$4:$C$8)),0)=MAX($C351:$L351),_xlfn.MINIFS($C351:$L351,$C351:$L351,"&gt;0")*_xlfn.XLOOKUP($G349,$B$4:$B$8,$D$4:$D$8),IFERROR(OFFSET(E351,0,_xlfn.XLOOKUP($G349,$B$4:$B$8,$C$4:$C$8))*_xlfn.XLOOKUP($G349,$B$4:$B$8,$D$4:$D$8),0)),IFERROR(OFFSET(E351,0,_xlfn.XLOOKUP($G349,$B$4:$B$8,$E$4:$E$8))*_xlfn.XLOOKUP($G349,$B$4:$B$8,$F$4:$F$8),0),C352)))</f>
        <v>0</v>
      </c>
      <c r="F352" s="196">
        <f t="shared" ref="F352" ca="1" si="1247">IF($I349="N",F351,IF($G349="1. In Flight",1,$G$4)*MIN(MAX($C351:$L351)*_xlfn.XLOOKUP($G349,$B$4:$B$8,$F$4:$F$8),MAX(IF(IFERROR(OFFSET(F351,0,_xlfn.XLOOKUP($G349,$B$4:$B$8,$C$4:$C$8)),0)=MAX($C351:$L351),_xlfn.MINIFS($C351:$L351,$C351:$L351,"&gt;0")*_xlfn.XLOOKUP($G349,$B$4:$B$8,$D$4:$D$8),IFERROR(OFFSET(F351,0,_xlfn.XLOOKUP($G349,$B$4:$B$8,$C$4:$C$8))*_xlfn.XLOOKUP($G349,$B$4:$B$8,$D$4:$D$8),0)),IFERROR(OFFSET(F351,0,_xlfn.XLOOKUP($G349,$B$4:$B$8,$E$4:$E$8))*_xlfn.XLOOKUP($G349,$B$4:$B$8,$F$4:$F$8),0),D352)))</f>
        <v>0</v>
      </c>
      <c r="G352" s="196">
        <f t="shared" ref="G352" ca="1" si="1248">IF($I349="N",G351,IF($G349="1. In Flight",1,$G$4)*MIN(MAX($C351:$L351)*_xlfn.XLOOKUP($G349,$B$4:$B$8,$F$4:$F$8),MAX(IF(IFERROR(OFFSET(G351,0,_xlfn.XLOOKUP($G349,$B$4:$B$8,$C$4:$C$8)),0)=MAX($C351:$L351),_xlfn.MINIFS($C351:$L351,$C351:$L351,"&gt;0")*_xlfn.XLOOKUP($G349,$B$4:$B$8,$D$4:$D$8),IFERROR(OFFSET(G351,0,_xlfn.XLOOKUP($G349,$B$4:$B$8,$C$4:$C$8))*_xlfn.XLOOKUP($G349,$B$4:$B$8,$D$4:$D$8),0)),IFERROR(OFFSET(G351,0,_xlfn.XLOOKUP($G349,$B$4:$B$8,$E$4:$E$8))*_xlfn.XLOOKUP($G349,$B$4:$B$8,$F$4:$F$8),0),E352)))</f>
        <v>0</v>
      </c>
      <c r="H352" s="196">
        <f t="shared" ref="H352" ca="1" si="1249">IF($I349="N",H351,IF($G349="1. In Flight",1,$G$4)*MIN(MAX($C351:$L351)*_xlfn.XLOOKUP($G349,$B$4:$B$8,$F$4:$F$8),MAX(IF(IFERROR(OFFSET(H351,0,_xlfn.XLOOKUP($G349,$B$4:$B$8,$C$4:$C$8)),0)=MAX($C351:$L351),_xlfn.MINIFS($C351:$L351,$C351:$L351,"&gt;0")*_xlfn.XLOOKUP($G349,$B$4:$B$8,$D$4:$D$8),IFERROR(OFFSET(H351,0,_xlfn.XLOOKUP($G349,$B$4:$B$8,$C$4:$C$8))*_xlfn.XLOOKUP($G349,$B$4:$B$8,$D$4:$D$8),0)),IFERROR(OFFSET(H351,0,_xlfn.XLOOKUP($G349,$B$4:$B$8,$E$4:$E$8))*_xlfn.XLOOKUP($G349,$B$4:$B$8,$F$4:$F$8),0),F352)))</f>
        <v>0</v>
      </c>
      <c r="I352" s="196">
        <f t="shared" ref="I352" ca="1" si="1250">IF($I349="N",I351,IF($G349="1. In Flight",1,$G$4)*MIN(MAX($C351:$L351)*_xlfn.XLOOKUP($G349,$B$4:$B$8,$F$4:$F$8),MAX(IF(IFERROR(OFFSET(I351,0,_xlfn.XLOOKUP($G349,$B$4:$B$8,$C$4:$C$8)),0)=MAX($C351:$L351),_xlfn.MINIFS($C351:$L351,$C351:$L351,"&gt;0")*_xlfn.XLOOKUP($G349,$B$4:$B$8,$D$4:$D$8),IFERROR(OFFSET(I351,0,_xlfn.XLOOKUP($G349,$B$4:$B$8,$C$4:$C$8))*_xlfn.XLOOKUP($G349,$B$4:$B$8,$D$4:$D$8),0)),IFERROR(OFFSET(I351,0,_xlfn.XLOOKUP($G349,$B$4:$B$8,$E$4:$E$8))*_xlfn.XLOOKUP($G349,$B$4:$B$8,$F$4:$F$8),0),G352)))</f>
        <v>0</v>
      </c>
      <c r="J352" s="196">
        <f t="shared" ref="J352" ca="1" si="1251">IF($I349="N",J351,IF($G349="1. In Flight",1,$G$4)*MIN(MAX($C351:$L351)*_xlfn.XLOOKUP($G349,$B$4:$B$8,$F$4:$F$8),MAX(IF(IFERROR(OFFSET(J351,0,_xlfn.XLOOKUP($G349,$B$4:$B$8,$C$4:$C$8)),0)=MAX($C351:$L351),_xlfn.MINIFS($C351:$L351,$C351:$L351,"&gt;0")*_xlfn.XLOOKUP($G349,$B$4:$B$8,$D$4:$D$8),IFERROR(OFFSET(J351,0,_xlfn.XLOOKUP($G349,$B$4:$B$8,$C$4:$C$8))*_xlfn.XLOOKUP($G349,$B$4:$B$8,$D$4:$D$8),0)),IFERROR(OFFSET(J351,0,_xlfn.XLOOKUP($G349,$B$4:$B$8,$E$4:$E$8))*_xlfn.XLOOKUP($G349,$B$4:$B$8,$F$4:$F$8),0),H352)))</f>
        <v>0</v>
      </c>
      <c r="K352" s="196">
        <f t="shared" ref="K352" ca="1" si="1252">IF($I349="N",K351,IF($G349="1. In Flight",1,$G$4)*MIN(MAX($C351:$L351)*_xlfn.XLOOKUP($G349,$B$4:$B$8,$F$4:$F$8),MAX(IF(IFERROR(OFFSET(K351,0,_xlfn.XLOOKUP($G349,$B$4:$B$8,$C$4:$C$8)),0)=MAX($C351:$L351),_xlfn.MINIFS($C351:$L351,$C351:$L351,"&gt;0")*_xlfn.XLOOKUP($G349,$B$4:$B$8,$D$4:$D$8),IFERROR(OFFSET(K351,0,_xlfn.XLOOKUP($G349,$B$4:$B$8,$C$4:$C$8))*_xlfn.XLOOKUP($G349,$B$4:$B$8,$D$4:$D$8),0)),IFERROR(OFFSET(K351,0,_xlfn.XLOOKUP($G349,$B$4:$B$8,$E$4:$E$8))*_xlfn.XLOOKUP($G349,$B$4:$B$8,$F$4:$F$8),0),I352)))</f>
        <v>0</v>
      </c>
      <c r="L352" s="196">
        <f t="shared" ref="L352" ca="1" si="1253">IF($I349="N",L351,IF($G349="1. In Flight",1,$G$4)*MIN(MAX($C351:$L351)*_xlfn.XLOOKUP($G349,$B$4:$B$8,$F$4:$F$8),MAX(IF(IFERROR(OFFSET(L351,0,_xlfn.XLOOKUP($G349,$B$4:$B$8,$C$4:$C$8)),0)=MAX($C351:$L351),_xlfn.MINIFS($C351:$L351,$C351:$L351,"&gt;0")*_xlfn.XLOOKUP($G349,$B$4:$B$8,$D$4:$D$8),IFERROR(OFFSET(L351,0,_xlfn.XLOOKUP($G349,$B$4:$B$8,$C$4:$C$8))*_xlfn.XLOOKUP($G349,$B$4:$B$8,$D$4:$D$8),0)),IFERROR(OFFSET(L351,0,_xlfn.XLOOKUP($G349,$B$4:$B$8,$E$4:$E$8))*_xlfn.XLOOKUP($G349,$B$4:$B$8,$F$4:$F$8),0),J352)))</f>
        <v>0</v>
      </c>
    </row>
    <row r="353" spans="1:14" ht="15" thickBot="1">
      <c r="A353" s="195" t="s">
        <v>108</v>
      </c>
      <c r="B353" s="196">
        <f>B351</f>
        <v>0</v>
      </c>
      <c r="C353" s="196">
        <f ca="1">IF($I349="N",C351,IF($G349="1. In Flight",1,$G$9)*MIN(MAX($C351:$L351)*_xlfn.XLOOKUP($G349,$B$9:$B$13,$F$9:$F$13),MAX(IF(IFERROR(OFFSET(C351,0,_xlfn.XLOOKUP($G349,$B$9:$B$13,$C$9:$C$13)),0)=MAX($C351:$L351),_xlfn.MINIFS($C351:$L351,$C351:$L351,"&gt;0")*_xlfn.XLOOKUP($G349,$B$9:$B$13,$D$9:$D$13),IFERROR(OFFSET(C351,0,_xlfn.XLOOKUP($G349,$B$9:$B$13,$C$9:$C$13))*_xlfn.XLOOKUP($G349,$B$9:$B$13,$D$9:$D$13),0)),IFERROR(OFFSET(C351,0,_xlfn.XLOOKUP($G349,$B$9:$B$13,$E$9:$E$13))*_xlfn.XLOOKUP($G349,$B$9:$B$13,$F$9:$F$13),0),A353)))</f>
        <v>0</v>
      </c>
      <c r="D353" s="196">
        <f t="shared" ref="D353" ca="1" si="1254">IF($I349="N",D351,IF($G349="1. In Flight",1,$G$9)*MIN(MAX($C351:$L351)*_xlfn.XLOOKUP($G349,$B$9:$B$13,$F$9:$F$13),MAX(IF(IFERROR(OFFSET(D351,0,_xlfn.XLOOKUP($G349,$B$9:$B$13,$C$9:$C$13)),0)=MAX($C351:$L351),_xlfn.MINIFS($C351:$L351,$C351:$L351,"&gt;0")*_xlfn.XLOOKUP($G349,$B$9:$B$13,$D$9:$D$13),IFERROR(OFFSET(D351,0,_xlfn.XLOOKUP($G349,$B$9:$B$13,$C$9:$C$13))*_xlfn.XLOOKUP($G349,$B$9:$B$13,$D$9:$D$13),0)),IFERROR(OFFSET(D351,0,_xlfn.XLOOKUP($G349,$B$9:$B$13,$E$9:$E$13))*_xlfn.XLOOKUP($G349,$B$9:$B$13,$F$9:$F$13),0),B353)))</f>
        <v>0</v>
      </c>
      <c r="E353" s="196">
        <f t="shared" ref="E353" ca="1" si="1255">IF($I349="N",E351,IF($G349="1. In Flight",1,$G$9)*MIN(MAX($C351:$L351)*_xlfn.XLOOKUP($G349,$B$9:$B$13,$F$9:$F$13),MAX(IF(IFERROR(OFFSET(E351,0,_xlfn.XLOOKUP($G349,$B$9:$B$13,$C$9:$C$13)),0)=MAX($C351:$L351),_xlfn.MINIFS($C351:$L351,$C351:$L351,"&gt;0")*_xlfn.XLOOKUP($G349,$B$9:$B$13,$D$9:$D$13),IFERROR(OFFSET(E351,0,_xlfn.XLOOKUP($G349,$B$9:$B$13,$C$9:$C$13))*_xlfn.XLOOKUP($G349,$B$9:$B$13,$D$9:$D$13),0)),IFERROR(OFFSET(E351,0,_xlfn.XLOOKUP($G349,$B$9:$B$13,$E$9:$E$13))*_xlfn.XLOOKUP($G349,$B$9:$B$13,$F$9:$F$13),0),C353)))</f>
        <v>0</v>
      </c>
      <c r="F353" s="196">
        <f t="shared" ref="F353" ca="1" si="1256">IF($I349="N",F351,IF($G349="1. In Flight",1,$G$9)*MIN(MAX($C351:$L351)*_xlfn.XLOOKUP($G349,$B$9:$B$13,$F$9:$F$13),MAX(IF(IFERROR(OFFSET(F351,0,_xlfn.XLOOKUP($G349,$B$9:$B$13,$C$9:$C$13)),0)=MAX($C351:$L351),_xlfn.MINIFS($C351:$L351,$C351:$L351,"&gt;0")*_xlfn.XLOOKUP($G349,$B$9:$B$13,$D$9:$D$13),IFERROR(OFFSET(F351,0,_xlfn.XLOOKUP($G349,$B$9:$B$13,$C$9:$C$13))*_xlfn.XLOOKUP($G349,$B$9:$B$13,$D$9:$D$13),0)),IFERROR(OFFSET(F351,0,_xlfn.XLOOKUP($G349,$B$9:$B$13,$E$9:$E$13))*_xlfn.XLOOKUP($G349,$B$9:$B$13,$F$9:$F$13),0),D353)))</f>
        <v>0</v>
      </c>
      <c r="G353" s="196">
        <f t="shared" ref="G353" ca="1" si="1257">IF($I349="N",G351,IF($G349="1. In Flight",1,$G$9)*MIN(MAX($C351:$L351)*_xlfn.XLOOKUP($G349,$B$9:$B$13,$F$9:$F$13),MAX(IF(IFERROR(OFFSET(G351,0,_xlfn.XLOOKUP($G349,$B$9:$B$13,$C$9:$C$13)),0)=MAX($C351:$L351),_xlfn.MINIFS($C351:$L351,$C351:$L351,"&gt;0")*_xlfn.XLOOKUP($G349,$B$9:$B$13,$D$9:$D$13),IFERROR(OFFSET(G351,0,_xlfn.XLOOKUP($G349,$B$9:$B$13,$C$9:$C$13))*_xlfn.XLOOKUP($G349,$B$9:$B$13,$D$9:$D$13),0)),IFERROR(OFFSET(G351,0,_xlfn.XLOOKUP($G349,$B$9:$B$13,$E$9:$E$13))*_xlfn.XLOOKUP($G349,$B$9:$B$13,$F$9:$F$13),0),E353)))</f>
        <v>0</v>
      </c>
      <c r="H353" s="196">
        <f t="shared" ref="H353" ca="1" si="1258">IF($I349="N",H351,IF($G349="1. In Flight",1,$G$9)*MIN(MAX($C351:$L351)*_xlfn.XLOOKUP($G349,$B$9:$B$13,$F$9:$F$13),MAX(IF(IFERROR(OFFSET(H351,0,_xlfn.XLOOKUP($G349,$B$9:$B$13,$C$9:$C$13)),0)=MAX($C351:$L351),_xlfn.MINIFS($C351:$L351,$C351:$L351,"&gt;0")*_xlfn.XLOOKUP($G349,$B$9:$B$13,$D$9:$D$13),IFERROR(OFFSET(H351,0,_xlfn.XLOOKUP($G349,$B$9:$B$13,$C$9:$C$13))*_xlfn.XLOOKUP($G349,$B$9:$B$13,$D$9:$D$13),0)),IFERROR(OFFSET(H351,0,_xlfn.XLOOKUP($G349,$B$9:$B$13,$E$9:$E$13))*_xlfn.XLOOKUP($G349,$B$9:$B$13,$F$9:$F$13),0),F353)))</f>
        <v>0</v>
      </c>
      <c r="I353" s="196">
        <f t="shared" ref="I353" ca="1" si="1259">IF($I349="N",I351,IF($G349="1. In Flight",1,$G$9)*MIN(MAX($C351:$L351)*_xlfn.XLOOKUP($G349,$B$9:$B$13,$F$9:$F$13),MAX(IF(IFERROR(OFFSET(I351,0,_xlfn.XLOOKUP($G349,$B$9:$B$13,$C$9:$C$13)),0)=MAX($C351:$L351),_xlfn.MINIFS($C351:$L351,$C351:$L351,"&gt;0")*_xlfn.XLOOKUP($G349,$B$9:$B$13,$D$9:$D$13),IFERROR(OFFSET(I351,0,_xlfn.XLOOKUP($G349,$B$9:$B$13,$C$9:$C$13))*_xlfn.XLOOKUP($G349,$B$9:$B$13,$D$9:$D$13),0)),IFERROR(OFFSET(I351,0,_xlfn.XLOOKUP($G349,$B$9:$B$13,$E$9:$E$13))*_xlfn.XLOOKUP($G349,$B$9:$B$13,$F$9:$F$13),0),G353)))</f>
        <v>0</v>
      </c>
      <c r="J353" s="196">
        <f t="shared" ref="J353" ca="1" si="1260">IF($I349="N",J351,IF($G349="1. In Flight",1,$G$9)*MIN(MAX($C351:$L351)*_xlfn.XLOOKUP($G349,$B$9:$B$13,$F$9:$F$13),MAX(IF(IFERROR(OFFSET(J351,0,_xlfn.XLOOKUP($G349,$B$9:$B$13,$C$9:$C$13)),0)=MAX($C351:$L351),_xlfn.MINIFS($C351:$L351,$C351:$L351,"&gt;0")*_xlfn.XLOOKUP($G349,$B$9:$B$13,$D$9:$D$13),IFERROR(OFFSET(J351,0,_xlfn.XLOOKUP($G349,$B$9:$B$13,$C$9:$C$13))*_xlfn.XLOOKUP($G349,$B$9:$B$13,$D$9:$D$13),0)),IFERROR(OFFSET(J351,0,_xlfn.XLOOKUP($G349,$B$9:$B$13,$E$9:$E$13))*_xlfn.XLOOKUP($G349,$B$9:$B$13,$F$9:$F$13),0),H353)))</f>
        <v>0</v>
      </c>
      <c r="K353" s="196">
        <f t="shared" ref="K353" ca="1" si="1261">IF($I349="N",K351,IF($G349="1. In Flight",1,$G$9)*MIN(MAX($C351:$L351)*_xlfn.XLOOKUP($G349,$B$9:$B$13,$F$9:$F$13),MAX(IF(IFERROR(OFFSET(K351,0,_xlfn.XLOOKUP($G349,$B$9:$B$13,$C$9:$C$13)),0)=MAX($C351:$L351),_xlfn.MINIFS($C351:$L351,$C351:$L351,"&gt;0")*_xlfn.XLOOKUP($G349,$B$9:$B$13,$D$9:$D$13),IFERROR(OFFSET(K351,0,_xlfn.XLOOKUP($G349,$B$9:$B$13,$C$9:$C$13))*_xlfn.XLOOKUP($G349,$B$9:$B$13,$D$9:$D$13),0)),IFERROR(OFFSET(K351,0,_xlfn.XLOOKUP($G349,$B$9:$B$13,$E$9:$E$13))*_xlfn.XLOOKUP($G349,$B$9:$B$13,$F$9:$F$13),0),I353)))</f>
        <v>0</v>
      </c>
      <c r="L353" s="196">
        <f t="shared" ref="L353" ca="1" si="1262">IF($I349="N",L351,IF($G349="1. In Flight",1,$G$9)*MIN(MAX($C351:$L351)*_xlfn.XLOOKUP($G349,$B$9:$B$13,$F$9:$F$13),MAX(IF(IFERROR(OFFSET(L351,0,_xlfn.XLOOKUP($G349,$B$9:$B$13,$C$9:$C$13)),0)=MAX($C351:$L351),_xlfn.MINIFS($C351:$L351,$C351:$L351,"&gt;0")*_xlfn.XLOOKUP($G349,$B$9:$B$13,$D$9:$D$13),IFERROR(OFFSET(L351,0,_xlfn.XLOOKUP($G349,$B$9:$B$13,$C$9:$C$13))*_xlfn.XLOOKUP($G349,$B$9:$B$13,$D$9:$D$13),0)),IFERROR(OFFSET(L351,0,_xlfn.XLOOKUP($G349,$B$9:$B$13,$E$9:$E$13))*_xlfn.XLOOKUP($G349,$B$9:$B$13,$F$9:$F$13),0),J353)))</f>
        <v>0</v>
      </c>
    </row>
    <row r="354" spans="1:14" ht="15" thickBot="1">
      <c r="A354" s="197" t="s">
        <v>109</v>
      </c>
      <c r="B354" s="198">
        <f>B351</f>
        <v>0</v>
      </c>
      <c r="C354" s="198">
        <f ca="1">IF($I349="N",C351,IF($G349="1. In Flight",1,$G$14)*MIN(MAX($C351:$L351)*_xlfn.XLOOKUP($G349,$B$14:$B$18,$F$14:$F$18),MAX(IF(IFERROR(OFFSET(C351,0,_xlfn.XLOOKUP($G349,$B$14:$B$18,$C$14:$C$18)),0)=MAX($C351:$L351),_xlfn.MINIFS($C351:$L351,$C351:$L351,"&gt;0")*_xlfn.XLOOKUP($G349,$B$14:$B$18,$D$14:$D$18),IFERROR(OFFSET(C351,0,_xlfn.XLOOKUP($G349,$B$14:$B$18,$C$14:$C$18))*_xlfn.XLOOKUP($G349,$B$14:$B$18,$D$14:$D$18),0)),IFERROR(OFFSET(C351,0,_xlfn.XLOOKUP($G349,$B$14:$B$18,$E$14:$E$18))*_xlfn.XLOOKUP($G349,$B$14:$B$18,$F$14:$F$18),0),A354)))</f>
        <v>0</v>
      </c>
      <c r="D354" s="198">
        <f t="shared" ref="D354" ca="1" si="1263">IF($I349="N",D351,IF($G349="1. In Flight",1,$G$14)*MIN(MAX($C351:$L351)*_xlfn.XLOOKUP($G349,$B$14:$B$18,$F$14:$F$18),MAX(IF(IFERROR(OFFSET(D351,0,_xlfn.XLOOKUP($G349,$B$14:$B$18,$C$14:$C$18)),0)=MAX($C351:$L351),_xlfn.MINIFS($C351:$L351,$C351:$L351,"&gt;0")*_xlfn.XLOOKUP($G349,$B$14:$B$18,$D$14:$D$18),IFERROR(OFFSET(D351,0,_xlfn.XLOOKUP($G349,$B$14:$B$18,$C$14:$C$18))*_xlfn.XLOOKUP($G349,$B$14:$B$18,$D$14:$D$18),0)),IFERROR(OFFSET(D351,0,_xlfn.XLOOKUP($G349,$B$14:$B$18,$E$14:$E$18))*_xlfn.XLOOKUP($G349,$B$14:$B$18,$F$14:$F$18),0),B354)))</f>
        <v>0</v>
      </c>
      <c r="E354" s="198">
        <f t="shared" ref="E354" ca="1" si="1264">IF($I349="N",E351,IF($G349="1. In Flight",1,$G$14)*MIN(MAX($C351:$L351)*_xlfn.XLOOKUP($G349,$B$14:$B$18,$F$14:$F$18),MAX(IF(IFERROR(OFFSET(E351,0,_xlfn.XLOOKUP($G349,$B$14:$B$18,$C$14:$C$18)),0)=MAX($C351:$L351),_xlfn.MINIFS($C351:$L351,$C351:$L351,"&gt;0")*_xlfn.XLOOKUP($G349,$B$14:$B$18,$D$14:$D$18),IFERROR(OFFSET(E351,0,_xlfn.XLOOKUP($G349,$B$14:$B$18,$C$14:$C$18))*_xlfn.XLOOKUP($G349,$B$14:$B$18,$D$14:$D$18),0)),IFERROR(OFFSET(E351,0,_xlfn.XLOOKUP($G349,$B$14:$B$18,$E$14:$E$18))*_xlfn.XLOOKUP($G349,$B$14:$B$18,$F$14:$F$18),0),C354)))</f>
        <v>0</v>
      </c>
      <c r="F354" s="198">
        <f t="shared" ref="F354" ca="1" si="1265">IF($I349="N",F351,IF($G349="1. In Flight",1,$G$14)*MIN(MAX($C351:$L351)*_xlfn.XLOOKUP($G349,$B$14:$B$18,$F$14:$F$18),MAX(IF(IFERROR(OFFSET(F351,0,_xlfn.XLOOKUP($G349,$B$14:$B$18,$C$14:$C$18)),0)=MAX($C351:$L351),_xlfn.MINIFS($C351:$L351,$C351:$L351,"&gt;0")*_xlfn.XLOOKUP($G349,$B$14:$B$18,$D$14:$D$18),IFERROR(OFFSET(F351,0,_xlfn.XLOOKUP($G349,$B$14:$B$18,$C$14:$C$18))*_xlfn.XLOOKUP($G349,$B$14:$B$18,$D$14:$D$18),0)),IFERROR(OFFSET(F351,0,_xlfn.XLOOKUP($G349,$B$14:$B$18,$E$14:$E$18))*_xlfn.XLOOKUP($G349,$B$14:$B$18,$F$14:$F$18),0),D354)))</f>
        <v>0</v>
      </c>
      <c r="G354" s="198">
        <f t="shared" ref="G354" ca="1" si="1266">IF($I349="N",G351,IF($G349="1. In Flight",1,$G$14)*MIN(MAX($C351:$L351)*_xlfn.XLOOKUP($G349,$B$14:$B$18,$F$14:$F$18),MAX(IF(IFERROR(OFFSET(G351,0,_xlfn.XLOOKUP($G349,$B$14:$B$18,$C$14:$C$18)),0)=MAX($C351:$L351),_xlfn.MINIFS($C351:$L351,$C351:$L351,"&gt;0")*_xlfn.XLOOKUP($G349,$B$14:$B$18,$D$14:$D$18),IFERROR(OFFSET(G351,0,_xlfn.XLOOKUP($G349,$B$14:$B$18,$C$14:$C$18))*_xlfn.XLOOKUP($G349,$B$14:$B$18,$D$14:$D$18),0)),IFERROR(OFFSET(G351,0,_xlfn.XLOOKUP($G349,$B$14:$B$18,$E$14:$E$18))*_xlfn.XLOOKUP($G349,$B$14:$B$18,$F$14:$F$18),0),E354)))</f>
        <v>0</v>
      </c>
      <c r="H354" s="198">
        <f t="shared" ref="H354" ca="1" si="1267">IF($I349="N",H351,IF($G349="1. In Flight",1,$G$14)*MIN(MAX($C351:$L351)*_xlfn.XLOOKUP($G349,$B$14:$B$18,$F$14:$F$18),MAX(IF(IFERROR(OFFSET(H351,0,_xlfn.XLOOKUP($G349,$B$14:$B$18,$C$14:$C$18)),0)=MAX($C351:$L351),_xlfn.MINIFS($C351:$L351,$C351:$L351,"&gt;0")*_xlfn.XLOOKUP($G349,$B$14:$B$18,$D$14:$D$18),IFERROR(OFFSET(H351,0,_xlfn.XLOOKUP($G349,$B$14:$B$18,$C$14:$C$18))*_xlfn.XLOOKUP($G349,$B$14:$B$18,$D$14:$D$18),0)),IFERROR(OFFSET(H351,0,_xlfn.XLOOKUP($G349,$B$14:$B$18,$E$14:$E$18))*_xlfn.XLOOKUP($G349,$B$14:$B$18,$F$14:$F$18),0),F354)))</f>
        <v>0</v>
      </c>
      <c r="I354" s="198">
        <f t="shared" ref="I354" ca="1" si="1268">IF($I349="N",I351,IF($G349="1. In Flight",1,$G$14)*MIN(MAX($C351:$L351)*_xlfn.XLOOKUP($G349,$B$14:$B$18,$F$14:$F$18),MAX(IF(IFERROR(OFFSET(I351,0,_xlfn.XLOOKUP($G349,$B$14:$B$18,$C$14:$C$18)),0)=MAX($C351:$L351),_xlfn.MINIFS($C351:$L351,$C351:$L351,"&gt;0")*_xlfn.XLOOKUP($G349,$B$14:$B$18,$D$14:$D$18),IFERROR(OFFSET(I351,0,_xlfn.XLOOKUP($G349,$B$14:$B$18,$C$14:$C$18))*_xlfn.XLOOKUP($G349,$B$14:$B$18,$D$14:$D$18),0)),IFERROR(OFFSET(I351,0,_xlfn.XLOOKUP($G349,$B$14:$B$18,$E$14:$E$18))*_xlfn.XLOOKUP($G349,$B$14:$B$18,$F$14:$F$18),0),G354)))</f>
        <v>0</v>
      </c>
      <c r="J354" s="198">
        <f t="shared" ref="J354" ca="1" si="1269">IF($I349="N",J351,IF($G349="1. In Flight",1,$G$14)*MIN(MAX($C351:$L351)*_xlfn.XLOOKUP($G349,$B$14:$B$18,$F$14:$F$18),MAX(IF(IFERROR(OFFSET(J351,0,_xlfn.XLOOKUP($G349,$B$14:$B$18,$C$14:$C$18)),0)=MAX($C351:$L351),_xlfn.MINIFS($C351:$L351,$C351:$L351,"&gt;0")*_xlfn.XLOOKUP($G349,$B$14:$B$18,$D$14:$D$18),IFERROR(OFFSET(J351,0,_xlfn.XLOOKUP($G349,$B$14:$B$18,$C$14:$C$18))*_xlfn.XLOOKUP($G349,$B$14:$B$18,$D$14:$D$18),0)),IFERROR(OFFSET(J351,0,_xlfn.XLOOKUP($G349,$B$14:$B$18,$E$14:$E$18))*_xlfn.XLOOKUP($G349,$B$14:$B$18,$F$14:$F$18),0),H354)))</f>
        <v>0</v>
      </c>
      <c r="K354" s="198">
        <f t="shared" ref="K354" ca="1" si="1270">IF($I349="N",K351,IF($G349="1. In Flight",1,$G$14)*MIN(MAX($C351:$L351)*_xlfn.XLOOKUP($G349,$B$14:$B$18,$F$14:$F$18),MAX(IF(IFERROR(OFFSET(K351,0,_xlfn.XLOOKUP($G349,$B$14:$B$18,$C$14:$C$18)),0)=MAX($C351:$L351),_xlfn.MINIFS($C351:$L351,$C351:$L351,"&gt;0")*_xlfn.XLOOKUP($G349,$B$14:$B$18,$D$14:$D$18),IFERROR(OFFSET(K351,0,_xlfn.XLOOKUP($G349,$B$14:$B$18,$C$14:$C$18))*_xlfn.XLOOKUP($G349,$B$14:$B$18,$D$14:$D$18),0)),IFERROR(OFFSET(K351,0,_xlfn.XLOOKUP($G349,$B$14:$B$18,$E$14:$E$18))*_xlfn.XLOOKUP($G349,$B$14:$B$18,$F$14:$F$18),0),I354)))</f>
        <v>0</v>
      </c>
      <c r="L354" s="198">
        <f t="shared" ref="L354" ca="1" si="1271">IF($I349="N",L351,IF($G349="1. In Flight",1,$G$14)*MIN(MAX($C351:$L351)*_xlfn.XLOOKUP($G349,$B$14:$B$18,$F$14:$F$18),MAX(IF(IFERROR(OFFSET(L351,0,_xlfn.XLOOKUP($G349,$B$14:$B$18,$C$14:$C$18)),0)=MAX($C351:$L351),_xlfn.MINIFS($C351:$L351,$C351:$L351,"&gt;0")*_xlfn.XLOOKUP($G349,$B$14:$B$18,$D$14:$D$18),IFERROR(OFFSET(L351,0,_xlfn.XLOOKUP($G349,$B$14:$B$18,$C$14:$C$18))*_xlfn.XLOOKUP($G349,$B$14:$B$18,$D$14:$D$18),0)),IFERROR(OFFSET(L351,0,_xlfn.XLOOKUP($G349,$B$14:$B$18,$E$14:$E$18))*_xlfn.XLOOKUP($G349,$B$14:$B$18,$F$14:$F$18),0),J354)))</f>
        <v>0</v>
      </c>
    </row>
    <row r="355" spans="1:14" ht="15" thickTop="1"/>
    <row r="356" spans="1:14" ht="15" thickBot="1">
      <c r="A356" s="231">
        <f>_xlfn.XLOOKUP(F356,FEED!D:D,FEED!E:E,FALSE)</f>
        <v>0</v>
      </c>
      <c r="B356" s="232"/>
      <c r="C356" s="189"/>
      <c r="D356" s="189" t="s">
        <v>131</v>
      </c>
      <c r="E356" s="189" t="s">
        <v>132</v>
      </c>
      <c r="F356" s="189" t="s">
        <v>80</v>
      </c>
      <c r="G356" s="189" t="str">
        <f>IFERROR(_xlfn.XLOOKUP(F356,FEED!$D:$D,FEED!$S:$S),$B$8)</f>
        <v>4. Low</v>
      </c>
      <c r="H356" s="189" t="str">
        <f>IFERROR(_xlfn.XLOOKUP(F356,FEED!$D:$D,FEED!$Y:$Y),"Major Load")</f>
        <v>Data Centre</v>
      </c>
      <c r="I356" s="189" t="str">
        <f>IFERROR(_xlfn.XLOOKUP(F356,FEED!$D:$D,FEED!$C:$C),"N")</f>
        <v>Y</v>
      </c>
      <c r="J356" s="190"/>
      <c r="K356" s="190"/>
      <c r="L356" s="190"/>
    </row>
    <row r="357" spans="1:14" ht="15" thickBot="1">
      <c r="A357" s="191" t="str">
        <f t="shared" ref="A357" si="1272">A196</f>
        <v>Uptake Scenario</v>
      </c>
      <c r="B357" s="192">
        <f>B315</f>
        <v>2023</v>
      </c>
      <c r="C357" s="192">
        <f t="shared" ref="C357:L357" si="1273">C315</f>
        <v>2024</v>
      </c>
      <c r="D357" s="192">
        <f t="shared" si="1273"/>
        <v>2025</v>
      </c>
      <c r="E357" s="192">
        <f t="shared" si="1273"/>
        <v>2026</v>
      </c>
      <c r="F357" s="192">
        <f t="shared" si="1273"/>
        <v>2027</v>
      </c>
      <c r="G357" s="192">
        <f t="shared" si="1273"/>
        <v>2028</v>
      </c>
      <c r="H357" s="192">
        <f t="shared" si="1273"/>
        <v>2029</v>
      </c>
      <c r="I357" s="192">
        <f t="shared" si="1273"/>
        <v>2030</v>
      </c>
      <c r="J357" s="192">
        <f t="shared" si="1273"/>
        <v>2031</v>
      </c>
      <c r="K357" s="192">
        <f t="shared" si="1273"/>
        <v>2032</v>
      </c>
      <c r="L357" s="192">
        <f t="shared" si="1273"/>
        <v>2033</v>
      </c>
    </row>
    <row r="358" spans="1:14" ht="15.6" thickTop="1" thickBot="1">
      <c r="A358" s="193" t="s">
        <v>111</v>
      </c>
      <c r="B358" s="194">
        <v>0</v>
      </c>
      <c r="C358" s="194">
        <f>SUMIF(FEED!$D:$D,$F356,FEED!F:F)+B358</f>
        <v>0</v>
      </c>
      <c r="D358" s="194">
        <f>SUMIF(FEED!$D:$D,$F356,FEED!G:G)+C358</f>
        <v>0</v>
      </c>
      <c r="E358" s="194">
        <f>SUMIF(FEED!$D:$D,$F356,FEED!H:H)+D358</f>
        <v>0</v>
      </c>
      <c r="F358" s="194">
        <f>SUMIF(FEED!$D:$D,$F356,FEED!I:I)+E358</f>
        <v>0</v>
      </c>
      <c r="G358" s="194">
        <f>SUMIF(FEED!$D:$D,$F356,FEED!J:J)+F358</f>
        <v>0</v>
      </c>
      <c r="H358" s="194">
        <f>SUMIF(FEED!$D:$D,$F356,FEED!K:K)+G358</f>
        <v>0</v>
      </c>
      <c r="I358" s="194">
        <f>SUMIF(FEED!$D:$D,$F356,FEED!L:L)+H358</f>
        <v>0</v>
      </c>
      <c r="J358" s="194">
        <f>SUMIF(FEED!$D:$D,$F356,FEED!M:M)+I358</f>
        <v>23.400315288906256</v>
      </c>
      <c r="K358" s="194">
        <f>SUMIF(FEED!$D:$D,$F356,FEED!N:N)+J358</f>
        <v>33.342220050811022</v>
      </c>
      <c r="L358" s="194">
        <f>SUMIF(FEED!$D:$D,$F356,FEED!O:O)+K358</f>
        <v>40.72507719366817</v>
      </c>
    </row>
    <row r="359" spans="1:14" ht="15" thickBot="1">
      <c r="A359" s="195" t="s">
        <v>107</v>
      </c>
      <c r="B359" s="196">
        <f>B358</f>
        <v>0</v>
      </c>
      <c r="C359" s="196">
        <f ca="1">IF($I356="N",C358,IF($G356="1. In Flight",1,$G$4)*MIN(MAX($C358:$L358)*_xlfn.XLOOKUP($G356,$B$4:$B$8,$F$4:$F$8),MAX(IF(IFERROR(OFFSET(C358,0,_xlfn.XLOOKUP($G356,$B$4:$B$8,$C$4:$C$8)),0)=MAX($C358:$L358),_xlfn.MINIFS($C358:$L358,$C358:$L358,"&gt;0")*_xlfn.XLOOKUP($G356,$B$4:$B$8,$D$4:$D$8),IFERROR(OFFSET(C358,0,_xlfn.XLOOKUP($G356,$B$4:$B$8,$C$4:$C$8))*_xlfn.XLOOKUP($G356,$B$4:$B$8,$D$4:$D$8),0)),IFERROR(OFFSET(C358,0,_xlfn.XLOOKUP($G356,$B$4:$B$8,$E$4:$E$8))*_xlfn.XLOOKUP($G356,$B$4:$B$8,$F$4:$F$8),0),A359)))</f>
        <v>0</v>
      </c>
      <c r="D359" s="196">
        <f t="shared" ref="D359" ca="1" si="1274">IF($I356="N",D358,IF($G356="1. In Flight",1,$G$4)*MIN(MAX($C358:$L358)*_xlfn.XLOOKUP($G356,$B$4:$B$8,$F$4:$F$8),MAX(IF(IFERROR(OFFSET(D358,0,_xlfn.XLOOKUP($G356,$B$4:$B$8,$C$4:$C$8)),0)=MAX($C358:$L358),_xlfn.MINIFS($C358:$L358,$C358:$L358,"&gt;0")*_xlfn.XLOOKUP($G356,$B$4:$B$8,$D$4:$D$8),IFERROR(OFFSET(D358,0,_xlfn.XLOOKUP($G356,$B$4:$B$8,$C$4:$C$8))*_xlfn.XLOOKUP($G356,$B$4:$B$8,$D$4:$D$8),0)),IFERROR(OFFSET(D358,0,_xlfn.XLOOKUP($G356,$B$4:$B$8,$E$4:$E$8))*_xlfn.XLOOKUP($G356,$B$4:$B$8,$F$4:$F$8),0),B359)))</f>
        <v>0</v>
      </c>
      <c r="E359" s="196">
        <f t="shared" ref="E359" ca="1" si="1275">IF($I356="N",E358,IF($G356="1. In Flight",1,$G$4)*MIN(MAX($C358:$L358)*_xlfn.XLOOKUP($G356,$B$4:$B$8,$F$4:$F$8),MAX(IF(IFERROR(OFFSET(E358,0,_xlfn.XLOOKUP($G356,$B$4:$B$8,$C$4:$C$8)),0)=MAX($C358:$L358),_xlfn.MINIFS($C358:$L358,$C358:$L358,"&gt;0")*_xlfn.XLOOKUP($G356,$B$4:$B$8,$D$4:$D$8),IFERROR(OFFSET(E358,0,_xlfn.XLOOKUP($G356,$B$4:$B$8,$C$4:$C$8))*_xlfn.XLOOKUP($G356,$B$4:$B$8,$D$4:$D$8),0)),IFERROR(OFFSET(E358,0,_xlfn.XLOOKUP($G356,$B$4:$B$8,$E$4:$E$8))*_xlfn.XLOOKUP($G356,$B$4:$B$8,$F$4:$F$8),0),C359)))</f>
        <v>0</v>
      </c>
      <c r="F359" s="196">
        <f t="shared" ref="F359" ca="1" si="1276">IF($I356="N",F358,IF($G356="1. In Flight",1,$G$4)*MIN(MAX($C358:$L358)*_xlfn.XLOOKUP($G356,$B$4:$B$8,$F$4:$F$8),MAX(IF(IFERROR(OFFSET(F358,0,_xlfn.XLOOKUP($G356,$B$4:$B$8,$C$4:$C$8)),0)=MAX($C358:$L358),_xlfn.MINIFS($C358:$L358,$C358:$L358,"&gt;0")*_xlfn.XLOOKUP($G356,$B$4:$B$8,$D$4:$D$8),IFERROR(OFFSET(F358,0,_xlfn.XLOOKUP($G356,$B$4:$B$8,$C$4:$C$8))*_xlfn.XLOOKUP($G356,$B$4:$B$8,$D$4:$D$8),0)),IFERROR(OFFSET(F358,0,_xlfn.XLOOKUP($G356,$B$4:$B$8,$E$4:$E$8))*_xlfn.XLOOKUP($G356,$B$4:$B$8,$F$4:$F$8),0),D359)))</f>
        <v>0</v>
      </c>
      <c r="G359" s="196">
        <f t="shared" ref="G359" ca="1" si="1277">IF($I356="N",G358,IF($G356="1. In Flight",1,$G$4)*MIN(MAX($C358:$L358)*_xlfn.XLOOKUP($G356,$B$4:$B$8,$F$4:$F$8),MAX(IF(IFERROR(OFFSET(G358,0,_xlfn.XLOOKUP($G356,$B$4:$B$8,$C$4:$C$8)),0)=MAX($C358:$L358),_xlfn.MINIFS($C358:$L358,$C358:$L358,"&gt;0")*_xlfn.XLOOKUP($G356,$B$4:$B$8,$D$4:$D$8),IFERROR(OFFSET(G358,0,_xlfn.XLOOKUP($G356,$B$4:$B$8,$C$4:$C$8))*_xlfn.XLOOKUP($G356,$B$4:$B$8,$D$4:$D$8),0)),IFERROR(OFFSET(G358,0,_xlfn.XLOOKUP($G356,$B$4:$B$8,$E$4:$E$8))*_xlfn.XLOOKUP($G356,$B$4:$B$8,$F$4:$F$8),0),E359)))</f>
        <v>0</v>
      </c>
      <c r="H359" s="196">
        <f t="shared" ref="H359" ca="1" si="1278">IF($I356="N",H358,IF($G356="1. In Flight",1,$G$4)*MIN(MAX($C358:$L358)*_xlfn.XLOOKUP($G356,$B$4:$B$8,$F$4:$F$8),MAX(IF(IFERROR(OFFSET(H358,0,_xlfn.XLOOKUP($G356,$B$4:$B$8,$C$4:$C$8)),0)=MAX($C358:$L358),_xlfn.MINIFS($C358:$L358,$C358:$L358,"&gt;0")*_xlfn.XLOOKUP($G356,$B$4:$B$8,$D$4:$D$8),IFERROR(OFFSET(H358,0,_xlfn.XLOOKUP($G356,$B$4:$B$8,$C$4:$C$8))*_xlfn.XLOOKUP($G356,$B$4:$B$8,$D$4:$D$8),0)),IFERROR(OFFSET(H358,0,_xlfn.XLOOKUP($G356,$B$4:$B$8,$E$4:$E$8))*_xlfn.XLOOKUP($G356,$B$4:$B$8,$F$4:$F$8),0),F359)))</f>
        <v>0</v>
      </c>
      <c r="I359" s="196">
        <f t="shared" ref="I359" ca="1" si="1279">IF($I356="N",I358,IF($G356="1. In Flight",1,$G$4)*MIN(MAX($C358:$L358)*_xlfn.XLOOKUP($G356,$B$4:$B$8,$F$4:$F$8),MAX(IF(IFERROR(OFFSET(I358,0,_xlfn.XLOOKUP($G356,$B$4:$B$8,$C$4:$C$8)),0)=MAX($C358:$L358),_xlfn.MINIFS($C358:$L358,$C358:$L358,"&gt;0")*_xlfn.XLOOKUP($G356,$B$4:$B$8,$D$4:$D$8),IFERROR(OFFSET(I358,0,_xlfn.XLOOKUP($G356,$B$4:$B$8,$C$4:$C$8))*_xlfn.XLOOKUP($G356,$B$4:$B$8,$D$4:$D$8),0)),IFERROR(OFFSET(I358,0,_xlfn.XLOOKUP($G356,$B$4:$B$8,$E$4:$E$8))*_xlfn.XLOOKUP($G356,$B$4:$B$8,$F$4:$F$8),0),G359)))</f>
        <v>0</v>
      </c>
      <c r="J359" s="196">
        <f t="shared" ref="J359" ca="1" si="1280">IF($I356="N",J358,IF($G356="1. In Flight",1,$G$4)*MIN(MAX($C358:$L358)*_xlfn.XLOOKUP($G356,$B$4:$B$8,$F$4:$F$8),MAX(IF(IFERROR(OFFSET(J358,0,_xlfn.XLOOKUP($G356,$B$4:$B$8,$C$4:$C$8)),0)=MAX($C358:$L358),_xlfn.MINIFS($C358:$L358,$C358:$L358,"&gt;0")*_xlfn.XLOOKUP($G356,$B$4:$B$8,$D$4:$D$8),IFERROR(OFFSET(J358,0,_xlfn.XLOOKUP($G356,$B$4:$B$8,$C$4:$C$8))*_xlfn.XLOOKUP($G356,$B$4:$B$8,$D$4:$D$8),0)),IFERROR(OFFSET(J358,0,_xlfn.XLOOKUP($G356,$B$4:$B$8,$E$4:$E$8))*_xlfn.XLOOKUP($G356,$B$4:$B$8,$F$4:$F$8),0),H359)))</f>
        <v>0</v>
      </c>
      <c r="K359" s="196">
        <f t="shared" ref="K359" ca="1" si="1281">IF($I356="N",K358,IF($G356="1. In Flight",1,$G$4)*MIN(MAX($C358:$L358)*_xlfn.XLOOKUP($G356,$B$4:$B$8,$F$4:$F$8),MAX(IF(IFERROR(OFFSET(K358,0,_xlfn.XLOOKUP($G356,$B$4:$B$8,$C$4:$C$8)),0)=MAX($C358:$L358),_xlfn.MINIFS($C358:$L358,$C358:$L358,"&gt;0")*_xlfn.XLOOKUP($G356,$B$4:$B$8,$D$4:$D$8),IFERROR(OFFSET(K358,0,_xlfn.XLOOKUP($G356,$B$4:$B$8,$C$4:$C$8))*_xlfn.XLOOKUP($G356,$B$4:$B$8,$D$4:$D$8),0)),IFERROR(OFFSET(K358,0,_xlfn.XLOOKUP($G356,$B$4:$B$8,$E$4:$E$8))*_xlfn.XLOOKUP($G356,$B$4:$B$8,$F$4:$F$8),0),I359)))</f>
        <v>0</v>
      </c>
      <c r="L359" s="196">
        <f t="shared" ref="L359" ca="1" si="1282">IF($I356="N",L358,IF($G356="1. In Flight",1,$G$4)*MIN(MAX($C358:$L358)*_xlfn.XLOOKUP($G356,$B$4:$B$8,$F$4:$F$8),MAX(IF(IFERROR(OFFSET(L358,0,_xlfn.XLOOKUP($G356,$B$4:$B$8,$C$4:$C$8)),0)=MAX($C358:$L358),_xlfn.MINIFS($C358:$L358,$C358:$L358,"&gt;0")*_xlfn.XLOOKUP($G356,$B$4:$B$8,$D$4:$D$8),IFERROR(OFFSET(L358,0,_xlfn.XLOOKUP($G356,$B$4:$B$8,$C$4:$C$8))*_xlfn.XLOOKUP($G356,$B$4:$B$8,$D$4:$D$8),0)),IFERROR(OFFSET(L358,0,_xlfn.XLOOKUP($G356,$B$4:$B$8,$E$4:$E$8))*_xlfn.XLOOKUP($G356,$B$4:$B$8,$F$4:$F$8),0),J359)))</f>
        <v>0</v>
      </c>
    </row>
    <row r="360" spans="1:14" ht="15" thickBot="1">
      <c r="A360" s="195" t="s">
        <v>108</v>
      </c>
      <c r="B360" s="196">
        <f>B358</f>
        <v>0</v>
      </c>
      <c r="C360" s="196">
        <f ca="1">IF($I356="N",C358,IF($G356="1. In Flight",1,$G$9)*MIN(MAX($C358:$L358)*_xlfn.XLOOKUP($G356,$B$9:$B$13,$F$9:$F$13),MAX(IF(IFERROR(OFFSET(C358,0,_xlfn.XLOOKUP($G356,$B$9:$B$13,$C$9:$C$13)),0)=MAX($C358:$L358),_xlfn.MINIFS($C358:$L358,$C358:$L358,"&gt;0")*_xlfn.XLOOKUP($G356,$B$9:$B$13,$D$9:$D$13),IFERROR(OFFSET(C358,0,_xlfn.XLOOKUP($G356,$B$9:$B$13,$C$9:$C$13))*_xlfn.XLOOKUP($G356,$B$9:$B$13,$D$9:$D$13),0)),IFERROR(OFFSET(C358,0,_xlfn.XLOOKUP($G356,$B$9:$B$13,$E$9:$E$13))*_xlfn.XLOOKUP($G356,$B$9:$B$13,$F$9:$F$13),0),A360)))</f>
        <v>0</v>
      </c>
      <c r="D360" s="196">
        <f t="shared" ref="D360" ca="1" si="1283">IF($I356="N",D358,IF($G356="1. In Flight",1,$G$9)*MIN(MAX($C358:$L358)*_xlfn.XLOOKUP($G356,$B$9:$B$13,$F$9:$F$13),MAX(IF(IFERROR(OFFSET(D358,0,_xlfn.XLOOKUP($G356,$B$9:$B$13,$C$9:$C$13)),0)=MAX($C358:$L358),_xlfn.MINIFS($C358:$L358,$C358:$L358,"&gt;0")*_xlfn.XLOOKUP($G356,$B$9:$B$13,$D$9:$D$13),IFERROR(OFFSET(D358,0,_xlfn.XLOOKUP($G356,$B$9:$B$13,$C$9:$C$13))*_xlfn.XLOOKUP($G356,$B$9:$B$13,$D$9:$D$13),0)),IFERROR(OFFSET(D358,0,_xlfn.XLOOKUP($G356,$B$9:$B$13,$E$9:$E$13))*_xlfn.XLOOKUP($G356,$B$9:$B$13,$F$9:$F$13),0),B360)))</f>
        <v>0</v>
      </c>
      <c r="E360" s="196">
        <f t="shared" ref="E360" ca="1" si="1284">IF($I356="N",E358,IF($G356="1. In Flight",1,$G$9)*MIN(MAX($C358:$L358)*_xlfn.XLOOKUP($G356,$B$9:$B$13,$F$9:$F$13),MAX(IF(IFERROR(OFFSET(E358,0,_xlfn.XLOOKUP($G356,$B$9:$B$13,$C$9:$C$13)),0)=MAX($C358:$L358),_xlfn.MINIFS($C358:$L358,$C358:$L358,"&gt;0")*_xlfn.XLOOKUP($G356,$B$9:$B$13,$D$9:$D$13),IFERROR(OFFSET(E358,0,_xlfn.XLOOKUP($G356,$B$9:$B$13,$C$9:$C$13))*_xlfn.XLOOKUP($G356,$B$9:$B$13,$D$9:$D$13),0)),IFERROR(OFFSET(E358,0,_xlfn.XLOOKUP($G356,$B$9:$B$13,$E$9:$E$13))*_xlfn.XLOOKUP($G356,$B$9:$B$13,$F$9:$F$13),0),C360)))</f>
        <v>0</v>
      </c>
      <c r="F360" s="196">
        <f t="shared" ref="F360" ca="1" si="1285">IF($I356="N",F358,IF($G356="1. In Flight",1,$G$9)*MIN(MAX($C358:$L358)*_xlfn.XLOOKUP($G356,$B$9:$B$13,$F$9:$F$13),MAX(IF(IFERROR(OFFSET(F358,0,_xlfn.XLOOKUP($G356,$B$9:$B$13,$C$9:$C$13)),0)=MAX($C358:$L358),_xlfn.MINIFS($C358:$L358,$C358:$L358,"&gt;0")*_xlfn.XLOOKUP($G356,$B$9:$B$13,$D$9:$D$13),IFERROR(OFFSET(F358,0,_xlfn.XLOOKUP($G356,$B$9:$B$13,$C$9:$C$13))*_xlfn.XLOOKUP($G356,$B$9:$B$13,$D$9:$D$13),0)),IFERROR(OFFSET(F358,0,_xlfn.XLOOKUP($G356,$B$9:$B$13,$E$9:$E$13))*_xlfn.XLOOKUP($G356,$B$9:$B$13,$F$9:$F$13),0),D360)))</f>
        <v>0</v>
      </c>
      <c r="G360" s="196">
        <f t="shared" ref="G360" ca="1" si="1286">IF($I356="N",G358,IF($G356="1. In Flight",1,$G$9)*MIN(MAX($C358:$L358)*_xlfn.XLOOKUP($G356,$B$9:$B$13,$F$9:$F$13),MAX(IF(IFERROR(OFFSET(G358,0,_xlfn.XLOOKUP($G356,$B$9:$B$13,$C$9:$C$13)),0)=MAX($C358:$L358),_xlfn.MINIFS($C358:$L358,$C358:$L358,"&gt;0")*_xlfn.XLOOKUP($G356,$B$9:$B$13,$D$9:$D$13),IFERROR(OFFSET(G358,0,_xlfn.XLOOKUP($G356,$B$9:$B$13,$C$9:$C$13))*_xlfn.XLOOKUP($G356,$B$9:$B$13,$D$9:$D$13),0)),IFERROR(OFFSET(G358,0,_xlfn.XLOOKUP($G356,$B$9:$B$13,$E$9:$E$13))*_xlfn.XLOOKUP($G356,$B$9:$B$13,$F$9:$F$13),0),E360)))</f>
        <v>0</v>
      </c>
      <c r="H360" s="196">
        <f t="shared" ref="H360" ca="1" si="1287">IF($I356="N",H358,IF($G356="1. In Flight",1,$G$9)*MIN(MAX($C358:$L358)*_xlfn.XLOOKUP($G356,$B$9:$B$13,$F$9:$F$13),MAX(IF(IFERROR(OFFSET(H358,0,_xlfn.XLOOKUP($G356,$B$9:$B$13,$C$9:$C$13)),0)=MAX($C358:$L358),_xlfn.MINIFS($C358:$L358,$C358:$L358,"&gt;0")*_xlfn.XLOOKUP($G356,$B$9:$B$13,$D$9:$D$13),IFERROR(OFFSET(H358,0,_xlfn.XLOOKUP($G356,$B$9:$B$13,$C$9:$C$13))*_xlfn.XLOOKUP($G356,$B$9:$B$13,$D$9:$D$13),0)),IFERROR(OFFSET(H358,0,_xlfn.XLOOKUP($G356,$B$9:$B$13,$E$9:$E$13))*_xlfn.XLOOKUP($G356,$B$9:$B$13,$F$9:$F$13),0),F360)))</f>
        <v>0</v>
      </c>
      <c r="I360" s="196">
        <f t="shared" ref="I360" ca="1" si="1288">IF($I356="N",I358,IF($G356="1. In Flight",1,$G$9)*MIN(MAX($C358:$L358)*_xlfn.XLOOKUP($G356,$B$9:$B$13,$F$9:$F$13),MAX(IF(IFERROR(OFFSET(I358,0,_xlfn.XLOOKUP($G356,$B$9:$B$13,$C$9:$C$13)),0)=MAX($C358:$L358),_xlfn.MINIFS($C358:$L358,$C358:$L358,"&gt;0")*_xlfn.XLOOKUP($G356,$B$9:$B$13,$D$9:$D$13),IFERROR(OFFSET(I358,0,_xlfn.XLOOKUP($G356,$B$9:$B$13,$C$9:$C$13))*_xlfn.XLOOKUP($G356,$B$9:$B$13,$D$9:$D$13),0)),IFERROR(OFFSET(I358,0,_xlfn.XLOOKUP($G356,$B$9:$B$13,$E$9:$E$13))*_xlfn.XLOOKUP($G356,$B$9:$B$13,$F$9:$F$13),0),G360)))</f>
        <v>0</v>
      </c>
      <c r="J360" s="196">
        <f t="shared" ref="J360" ca="1" si="1289">IF($I356="N",J358,IF($G356="1. In Flight",1,$G$9)*MIN(MAX($C358:$L358)*_xlfn.XLOOKUP($G356,$B$9:$B$13,$F$9:$F$13),MAX(IF(IFERROR(OFFSET(J358,0,_xlfn.XLOOKUP($G356,$B$9:$B$13,$C$9:$C$13)),0)=MAX($C358:$L358),_xlfn.MINIFS($C358:$L358,$C358:$L358,"&gt;0")*_xlfn.XLOOKUP($G356,$B$9:$B$13,$D$9:$D$13),IFERROR(OFFSET(J358,0,_xlfn.XLOOKUP($G356,$B$9:$B$13,$C$9:$C$13))*_xlfn.XLOOKUP($G356,$B$9:$B$13,$D$9:$D$13),0)),IFERROR(OFFSET(J358,0,_xlfn.XLOOKUP($G356,$B$9:$B$13,$E$9:$E$13))*_xlfn.XLOOKUP($G356,$B$9:$B$13,$F$9:$F$13),0),H360)))</f>
        <v>0</v>
      </c>
      <c r="K360" s="196">
        <f t="shared" ref="K360" ca="1" si="1290">IF($I356="N",K358,IF($G356="1. In Flight",1,$G$9)*MIN(MAX($C358:$L358)*_xlfn.XLOOKUP($G356,$B$9:$B$13,$F$9:$F$13),MAX(IF(IFERROR(OFFSET(K358,0,_xlfn.XLOOKUP($G356,$B$9:$B$13,$C$9:$C$13)),0)=MAX($C358:$L358),_xlfn.MINIFS($C358:$L358,$C358:$L358,"&gt;0")*_xlfn.XLOOKUP($G356,$B$9:$B$13,$D$9:$D$13),IFERROR(OFFSET(K358,0,_xlfn.XLOOKUP($G356,$B$9:$B$13,$C$9:$C$13))*_xlfn.XLOOKUP($G356,$B$9:$B$13,$D$9:$D$13),0)),IFERROR(OFFSET(K358,0,_xlfn.XLOOKUP($G356,$B$9:$B$13,$E$9:$E$13))*_xlfn.XLOOKUP($G356,$B$9:$B$13,$F$9:$F$13),0),I360)))</f>
        <v>0</v>
      </c>
      <c r="L360" s="196">
        <f t="shared" ref="L360" ca="1" si="1291">IF($I356="N",L358,IF($G356="1. In Flight",1,$G$9)*MIN(MAX($C358:$L358)*_xlfn.XLOOKUP($G356,$B$9:$B$13,$F$9:$F$13),MAX(IF(IFERROR(OFFSET(L358,0,_xlfn.XLOOKUP($G356,$B$9:$B$13,$C$9:$C$13)),0)=MAX($C358:$L358),_xlfn.MINIFS($C358:$L358,$C358:$L358,"&gt;0")*_xlfn.XLOOKUP($G356,$B$9:$B$13,$D$9:$D$13),IFERROR(OFFSET(L358,0,_xlfn.XLOOKUP($G356,$B$9:$B$13,$C$9:$C$13))*_xlfn.XLOOKUP($G356,$B$9:$B$13,$D$9:$D$13),0)),IFERROR(OFFSET(L358,0,_xlfn.XLOOKUP($G356,$B$9:$B$13,$E$9:$E$13))*_xlfn.XLOOKUP($G356,$B$9:$B$13,$F$9:$F$13),0),J360)))</f>
        <v>0</v>
      </c>
    </row>
    <row r="361" spans="1:14" ht="15" thickBot="1">
      <c r="A361" s="197" t="s">
        <v>109</v>
      </c>
      <c r="B361" s="198">
        <f>B358</f>
        <v>0</v>
      </c>
      <c r="C361" s="198">
        <f ca="1">IF($I356="N",C358,IF($G356="1. In Flight",1,$G$14)*MIN(MAX($C358:$L358)*_xlfn.XLOOKUP($G356,$B$14:$B$18,$F$14:$F$18),MAX(IF(IFERROR(OFFSET(C358,0,_xlfn.XLOOKUP($G356,$B$14:$B$18,$C$14:$C$18)),0)=MAX($C358:$L358),_xlfn.MINIFS($C358:$L358,$C358:$L358,"&gt;0")*_xlfn.XLOOKUP($G356,$B$14:$B$18,$D$14:$D$18),IFERROR(OFFSET(C358,0,_xlfn.XLOOKUP($G356,$B$14:$B$18,$C$14:$C$18))*_xlfn.XLOOKUP($G356,$B$14:$B$18,$D$14:$D$18),0)),IFERROR(OFFSET(C358,0,_xlfn.XLOOKUP($G356,$B$14:$B$18,$E$14:$E$18))*_xlfn.XLOOKUP($G356,$B$14:$B$18,$F$14:$F$18),0),A361)))</f>
        <v>0</v>
      </c>
      <c r="D361" s="198">
        <f t="shared" ref="D361" ca="1" si="1292">IF($I356="N",D358,IF($G356="1. In Flight",1,$G$14)*MIN(MAX($C358:$L358)*_xlfn.XLOOKUP($G356,$B$14:$B$18,$F$14:$F$18),MAX(IF(IFERROR(OFFSET(D358,0,_xlfn.XLOOKUP($G356,$B$14:$B$18,$C$14:$C$18)),0)=MAX($C358:$L358),_xlfn.MINIFS($C358:$L358,$C358:$L358,"&gt;0")*_xlfn.XLOOKUP($G356,$B$14:$B$18,$D$14:$D$18),IFERROR(OFFSET(D358,0,_xlfn.XLOOKUP($G356,$B$14:$B$18,$C$14:$C$18))*_xlfn.XLOOKUP($G356,$B$14:$B$18,$D$14:$D$18),0)),IFERROR(OFFSET(D358,0,_xlfn.XLOOKUP($G356,$B$14:$B$18,$E$14:$E$18))*_xlfn.XLOOKUP($G356,$B$14:$B$18,$F$14:$F$18),0),B361)))</f>
        <v>0</v>
      </c>
      <c r="E361" s="198">
        <f t="shared" ref="E361" ca="1" si="1293">IF($I356="N",E358,IF($G356="1. In Flight",1,$G$14)*MIN(MAX($C358:$L358)*_xlfn.XLOOKUP($G356,$B$14:$B$18,$F$14:$F$18),MAX(IF(IFERROR(OFFSET(E358,0,_xlfn.XLOOKUP($G356,$B$14:$B$18,$C$14:$C$18)),0)=MAX($C358:$L358),_xlfn.MINIFS($C358:$L358,$C358:$L358,"&gt;0")*_xlfn.XLOOKUP($G356,$B$14:$B$18,$D$14:$D$18),IFERROR(OFFSET(E358,0,_xlfn.XLOOKUP($G356,$B$14:$B$18,$C$14:$C$18))*_xlfn.XLOOKUP($G356,$B$14:$B$18,$D$14:$D$18),0)),IFERROR(OFFSET(E358,0,_xlfn.XLOOKUP($G356,$B$14:$B$18,$E$14:$E$18))*_xlfn.XLOOKUP($G356,$B$14:$B$18,$F$14:$F$18),0),C361)))</f>
        <v>0</v>
      </c>
      <c r="F361" s="198">
        <f t="shared" ref="F361" ca="1" si="1294">IF($I356="N",F358,IF($G356="1. In Flight",1,$G$14)*MIN(MAX($C358:$L358)*_xlfn.XLOOKUP($G356,$B$14:$B$18,$F$14:$F$18),MAX(IF(IFERROR(OFFSET(F358,0,_xlfn.XLOOKUP($G356,$B$14:$B$18,$C$14:$C$18)),0)=MAX($C358:$L358),_xlfn.MINIFS($C358:$L358,$C358:$L358,"&gt;0")*_xlfn.XLOOKUP($G356,$B$14:$B$18,$D$14:$D$18),IFERROR(OFFSET(F358,0,_xlfn.XLOOKUP($G356,$B$14:$B$18,$C$14:$C$18))*_xlfn.XLOOKUP($G356,$B$14:$B$18,$D$14:$D$18),0)),IFERROR(OFFSET(F358,0,_xlfn.XLOOKUP($G356,$B$14:$B$18,$E$14:$E$18))*_xlfn.XLOOKUP($G356,$B$14:$B$18,$F$14:$F$18),0),D361)))</f>
        <v>0</v>
      </c>
      <c r="G361" s="198">
        <f t="shared" ref="G361" ca="1" si="1295">IF($I356="N",G358,IF($G356="1. In Flight",1,$G$14)*MIN(MAX($C358:$L358)*_xlfn.XLOOKUP($G356,$B$14:$B$18,$F$14:$F$18),MAX(IF(IFERROR(OFFSET(G358,0,_xlfn.XLOOKUP($G356,$B$14:$B$18,$C$14:$C$18)),0)=MAX($C358:$L358),_xlfn.MINIFS($C358:$L358,$C358:$L358,"&gt;0")*_xlfn.XLOOKUP($G356,$B$14:$B$18,$D$14:$D$18),IFERROR(OFFSET(G358,0,_xlfn.XLOOKUP($G356,$B$14:$B$18,$C$14:$C$18))*_xlfn.XLOOKUP($G356,$B$14:$B$18,$D$14:$D$18),0)),IFERROR(OFFSET(G358,0,_xlfn.XLOOKUP($G356,$B$14:$B$18,$E$14:$E$18))*_xlfn.XLOOKUP($G356,$B$14:$B$18,$F$14:$F$18),0),E361)))</f>
        <v>0</v>
      </c>
      <c r="H361" s="198">
        <f t="shared" ref="H361" ca="1" si="1296">IF($I356="N",H358,IF($G356="1. In Flight",1,$G$14)*MIN(MAX($C358:$L358)*_xlfn.XLOOKUP($G356,$B$14:$B$18,$F$14:$F$18),MAX(IF(IFERROR(OFFSET(H358,0,_xlfn.XLOOKUP($G356,$B$14:$B$18,$C$14:$C$18)),0)=MAX($C358:$L358),_xlfn.MINIFS($C358:$L358,$C358:$L358,"&gt;0")*_xlfn.XLOOKUP($G356,$B$14:$B$18,$D$14:$D$18),IFERROR(OFFSET(H358,0,_xlfn.XLOOKUP($G356,$B$14:$B$18,$C$14:$C$18))*_xlfn.XLOOKUP($G356,$B$14:$B$18,$D$14:$D$18),0)),IFERROR(OFFSET(H358,0,_xlfn.XLOOKUP($G356,$B$14:$B$18,$E$14:$E$18))*_xlfn.XLOOKUP($G356,$B$14:$B$18,$F$14:$F$18),0),F361)))</f>
        <v>0</v>
      </c>
      <c r="I361" s="198">
        <f t="shared" ref="I361" ca="1" si="1297">IF($I356="N",I358,IF($G356="1. In Flight",1,$G$14)*MIN(MAX($C358:$L358)*_xlfn.XLOOKUP($G356,$B$14:$B$18,$F$14:$F$18),MAX(IF(IFERROR(OFFSET(I358,0,_xlfn.XLOOKUP($G356,$B$14:$B$18,$C$14:$C$18)),0)=MAX($C358:$L358),_xlfn.MINIFS($C358:$L358,$C358:$L358,"&gt;0")*_xlfn.XLOOKUP($G356,$B$14:$B$18,$D$14:$D$18),IFERROR(OFFSET(I358,0,_xlfn.XLOOKUP($G356,$B$14:$B$18,$C$14:$C$18))*_xlfn.XLOOKUP($G356,$B$14:$B$18,$D$14:$D$18),0)),IFERROR(OFFSET(I358,0,_xlfn.XLOOKUP($G356,$B$14:$B$18,$E$14:$E$18))*_xlfn.XLOOKUP($G356,$B$14:$B$18,$F$14:$F$18),0),G361)))</f>
        <v>0</v>
      </c>
      <c r="J361" s="198">
        <f t="shared" ref="J361" ca="1" si="1298">IF($I356="N",J358,IF($G356="1. In Flight",1,$G$14)*MIN(MAX($C358:$L358)*_xlfn.XLOOKUP($G356,$B$14:$B$18,$F$14:$F$18),MAX(IF(IFERROR(OFFSET(J358,0,_xlfn.XLOOKUP($G356,$B$14:$B$18,$C$14:$C$18)),0)=MAX($C358:$L358),_xlfn.MINIFS($C358:$L358,$C358:$L358,"&gt;0")*_xlfn.XLOOKUP($G356,$B$14:$B$18,$D$14:$D$18),IFERROR(OFFSET(J358,0,_xlfn.XLOOKUP($G356,$B$14:$B$18,$C$14:$C$18))*_xlfn.XLOOKUP($G356,$B$14:$B$18,$D$14:$D$18),0)),IFERROR(OFFSET(J358,0,_xlfn.XLOOKUP($G356,$B$14:$B$18,$E$14:$E$18))*_xlfn.XLOOKUP($G356,$B$14:$B$18,$F$14:$F$18),0),H361)))</f>
        <v>0</v>
      </c>
      <c r="K361" s="198">
        <f t="shared" ref="K361" ca="1" si="1299">IF($I356="N",K358,IF($G356="1. In Flight",1,$G$14)*MIN(MAX($C358:$L358)*_xlfn.XLOOKUP($G356,$B$14:$B$18,$F$14:$F$18),MAX(IF(IFERROR(OFFSET(K358,0,_xlfn.XLOOKUP($G356,$B$14:$B$18,$C$14:$C$18)),0)=MAX($C358:$L358),_xlfn.MINIFS($C358:$L358,$C358:$L358,"&gt;0")*_xlfn.XLOOKUP($G356,$B$14:$B$18,$D$14:$D$18),IFERROR(OFFSET(K358,0,_xlfn.XLOOKUP($G356,$B$14:$B$18,$C$14:$C$18))*_xlfn.XLOOKUP($G356,$B$14:$B$18,$D$14:$D$18),0)),IFERROR(OFFSET(K358,0,_xlfn.XLOOKUP($G356,$B$14:$B$18,$E$14:$E$18))*_xlfn.XLOOKUP($G356,$B$14:$B$18,$F$14:$F$18),0),I361)))</f>
        <v>0</v>
      </c>
      <c r="L361" s="198">
        <f t="shared" ref="L361" ca="1" si="1300">IF($I356="N",L358,IF($G356="1. In Flight",1,$G$14)*MIN(MAX($C358:$L358)*_xlfn.XLOOKUP($G356,$B$14:$B$18,$F$14:$F$18),MAX(IF(IFERROR(OFFSET(L358,0,_xlfn.XLOOKUP($G356,$B$14:$B$18,$C$14:$C$18)),0)=MAX($C358:$L358),_xlfn.MINIFS($C358:$L358,$C358:$L358,"&gt;0")*_xlfn.XLOOKUP($G356,$B$14:$B$18,$D$14:$D$18),IFERROR(OFFSET(L358,0,_xlfn.XLOOKUP($G356,$B$14:$B$18,$C$14:$C$18))*_xlfn.XLOOKUP($G356,$B$14:$B$18,$D$14:$D$18),0)),IFERROR(OFFSET(L358,0,_xlfn.XLOOKUP($G356,$B$14:$B$18,$E$14:$E$18))*_xlfn.XLOOKUP($G356,$B$14:$B$18,$F$14:$F$18),0),J361)))</f>
        <v>0</v>
      </c>
    </row>
    <row r="362" spans="1:14" ht="15" thickTop="1"/>
    <row r="363" spans="1:14" ht="15" thickBot="1">
      <c r="A363" s="233" t="s">
        <v>135</v>
      </c>
      <c r="B363" s="234"/>
      <c r="C363" s="190"/>
      <c r="D363" s="190"/>
      <c r="E363" s="190"/>
      <c r="F363" s="190"/>
      <c r="G363" s="190"/>
      <c r="H363" s="190"/>
      <c r="I363" s="190"/>
      <c r="J363" s="190"/>
      <c r="K363" s="190"/>
      <c r="L363" s="190"/>
    </row>
    <row r="364" spans="1:14" ht="15" thickBot="1">
      <c r="A364" s="191" t="str">
        <f t="shared" ref="A364" si="1301">A203</f>
        <v>Uptake Scenario</v>
      </c>
      <c r="B364" s="192">
        <f>B357</f>
        <v>2023</v>
      </c>
      <c r="C364" s="192">
        <f t="shared" ref="C364:L364" si="1302">C357</f>
        <v>2024</v>
      </c>
      <c r="D364" s="192">
        <f t="shared" si="1302"/>
        <v>2025</v>
      </c>
      <c r="E364" s="192">
        <f t="shared" si="1302"/>
        <v>2026</v>
      </c>
      <c r="F364" s="192">
        <f t="shared" si="1302"/>
        <v>2027</v>
      </c>
      <c r="G364" s="192">
        <f t="shared" si="1302"/>
        <v>2028</v>
      </c>
      <c r="H364" s="192">
        <f t="shared" si="1302"/>
        <v>2029</v>
      </c>
      <c r="I364" s="192">
        <f t="shared" si="1302"/>
        <v>2030</v>
      </c>
      <c r="J364" s="192">
        <f t="shared" si="1302"/>
        <v>2031</v>
      </c>
      <c r="K364" s="192">
        <f t="shared" si="1302"/>
        <v>2032</v>
      </c>
      <c r="L364" s="192">
        <f t="shared" si="1302"/>
        <v>2033</v>
      </c>
      <c r="N364" s="48"/>
    </row>
    <row r="365" spans="1:14" s="48" customFormat="1" ht="15.6" thickTop="1" thickBot="1">
      <c r="A365" s="202" t="s">
        <v>111</v>
      </c>
      <c r="B365" s="203">
        <f>B22+B29+B36+B43+B50+B57+B64+B71+B78+B85+B92++B99+B106+B113+B120+B127+B134+B141+B148+B155++B162+B169+B176+B183+B190+B197+B204+B211+B218+B225+B232+B239+B246+B253+B260+B267+B274+B281+B288+B295+B302+B309+B316+B323+B330+B337+B344+B351+B358</f>
        <v>-33</v>
      </c>
      <c r="C365" s="203">
        <f t="shared" ref="C365:L365" si="1303">C22+C29+C36+C43+C50+C57+C64+C71+C78+C85+C92++C99+C106+C113+C120+C127+C134+C141+C148+C155++C162+C169+C176+C183+C190+C197+C204+C211+C218+C225+C232+C239+C246+C253+C260+C267+C274+C281+C288+C295+C302+C309+C316+C323+C330+C337+C344+C351+C358</f>
        <v>46.75</v>
      </c>
      <c r="D365" s="203">
        <f t="shared" si="1303"/>
        <v>152.52117813823202</v>
      </c>
      <c r="E365" s="203">
        <f t="shared" si="1303"/>
        <v>222.2784331509348</v>
      </c>
      <c r="F365" s="203">
        <f t="shared" si="1303"/>
        <v>277.6795263044753</v>
      </c>
      <c r="G365" s="203">
        <f t="shared" si="1303"/>
        <v>360.00569563806914</v>
      </c>
      <c r="H365" s="203">
        <f t="shared" si="1303"/>
        <v>464.4243649364862</v>
      </c>
      <c r="I365" s="203">
        <f t="shared" si="1303"/>
        <v>622.90366477753901</v>
      </c>
      <c r="J365" s="203">
        <f t="shared" si="1303"/>
        <v>813.78554546544206</v>
      </c>
      <c r="K365" s="204">
        <f t="shared" si="1303"/>
        <v>1033.4635601680673</v>
      </c>
      <c r="L365" s="204">
        <f t="shared" si="1303"/>
        <v>1348.1692557279653</v>
      </c>
      <c r="N365" s="49"/>
    </row>
    <row r="366" spans="1:14" ht="15" thickBot="1">
      <c r="A366" s="205" t="s">
        <v>136</v>
      </c>
      <c r="B366" s="206">
        <f>IF($H20&lt;&gt;"Data Centre",0,B22)
+IF($H27&lt;&gt;"Data Centre",0,B29)
+IF($H34&lt;&gt;"Data Centre",0,B36)
+IF($H41&lt;&gt;"Data Centre",0,B43)
+IF($H48&lt;&gt;"Data Centre",0,B50)
+IF($H55&lt;&gt;"Data Centre",0,B57)
+IF($H62&lt;&gt;"Data Centre",0,B64)
+IF($H69&lt;&gt;"Data Centre",0,B71)
+IF($H76&lt;&gt;"Data Centre",0,B78)
+IF($H83&lt;&gt;"Data Centre",0,B85)
+IF($H90&lt;&gt;"Data Centre",0,B92)
+IF($H97&lt;&gt;"Data Centre",0,B99)
+IF($H104&lt;&gt;"Data Centre",0,B106)
+IF($H111&lt;&gt;"Data Centre",0,B113)
+IF($H118&lt;&gt;"Data Centre",0,B120)
+IF($H125&lt;&gt;"Data Centre",0,B127)
+IF($H132&lt;&gt;"Data Centre",0,B134)
+IF($H139&lt;&gt;"Data Centre",0,B141)
+IF($H146&lt;&gt;"Data Centre",0,B148)
+IF($H153&lt;&gt;"Data Centre",0,B155)
+IF($H160&lt;&gt;"Data Centre",0,B162)
+IF($H167&lt;&gt;"Data Centre",0,B169)
+IF($H174&lt;&gt;"Data Centre",0,B176)
+IF($H181&lt;&gt;"Data Centre",0,B183)
+IF($H188&lt;&gt;"Data Centre",0,B190)
+IF($H195&lt;&gt;"Data Centre",0,B197)
+IF($H202&lt;&gt;"Data Centre",0,B204)
+IF($H209&lt;&gt;"Data Centre",0,B211)
+IF($H216&lt;&gt;"Data Centre",0,B218)
+IF($H223&lt;&gt;"Data Centre",0,B225)
+IF($H230&lt;&gt;"Data Centre",0,B232)
+IF($H237&lt;&gt;"Data Centre",0,B239)
+IF($H244&lt;&gt;"Data Centre",0,B246)
+IF($H251&lt;&gt;"Data Centre",0,B253)
+IF($H258&lt;&gt;"Data Centre",0,B260)
+IF($H265&lt;&gt;"Data Centre",0,B267)
+IF($H272&lt;&gt;"Data Centre",0,B274)
+IF($H279&lt;&gt;"Data Centre",0,B281)
+IF($H286&lt;&gt;"Data Centre",0,B288)
+IF($H293&lt;&gt;"Data Centre",0,B295)
+IF($H300&lt;&gt;"Data Centre",0,B302)
+IF($H307&lt;&gt;"Data Centre",0,B309)
+IF($H314&lt;&gt;"Data Centre",0,B316)
+IF($H321&lt;&gt;"Data Centre",0,B323)
+IF($H328&lt;&gt;"Data Centre",0,B330)
+IF($H335&lt;&gt;"Data Centre",0,B337)
+IF($H342&lt;&gt;"Data Centre",0,B344)
+IF($H349&lt;&gt;"Data Centre",0,B351)
+IF($H356&lt;&gt;"Data Centre",0,B358)</f>
        <v>-8</v>
      </c>
      <c r="C366" s="206">
        <f t="shared" ref="C366:L366" si="1304">IF($H20&lt;&gt;"Data Centre",0,C22)
+IF($H27&lt;&gt;"Data Centre",0,C29)
+IF($H34&lt;&gt;"Data Centre",0,C36)
+IF($H41&lt;&gt;"Data Centre",0,C43)
+IF($H48&lt;&gt;"Data Centre",0,C50)
+IF($H55&lt;&gt;"Data Centre",0,C57)
+IF($H62&lt;&gt;"Data Centre",0,C64)
+IF($H69&lt;&gt;"Data Centre",0,C71)
+IF($H76&lt;&gt;"Data Centre",0,C78)
+IF($H83&lt;&gt;"Data Centre",0,C85)
+IF($H90&lt;&gt;"Data Centre",0,C92)
+IF($H97&lt;&gt;"Data Centre",0,C99)
+IF($H104&lt;&gt;"Data Centre",0,C106)
+IF($H111&lt;&gt;"Data Centre",0,C113)
+IF($H118&lt;&gt;"Data Centre",0,C120)
+IF($H125&lt;&gt;"Data Centre",0,C127)
+IF($H132&lt;&gt;"Data Centre",0,C134)
+IF($H139&lt;&gt;"Data Centre",0,C141)
+IF($H146&lt;&gt;"Data Centre",0,C148)
+IF($H153&lt;&gt;"Data Centre",0,C155)
+IF($H160&lt;&gt;"Data Centre",0,C162)
+IF($H167&lt;&gt;"Data Centre",0,C169)
+IF($H174&lt;&gt;"Data Centre",0,C176)
+IF($H181&lt;&gt;"Data Centre",0,C183)
+IF($H188&lt;&gt;"Data Centre",0,C190)
+IF($H195&lt;&gt;"Data Centre",0,C197)
+IF($H202&lt;&gt;"Data Centre",0,C204)
+IF($H209&lt;&gt;"Data Centre",0,C211)
+IF($H216&lt;&gt;"Data Centre",0,C218)
+IF($H223&lt;&gt;"Data Centre",0,C225)
+IF($H230&lt;&gt;"Data Centre",0,C232)
+IF($H237&lt;&gt;"Data Centre",0,C239)
+IF($H244&lt;&gt;"Data Centre",0,C246)
+IF($H251&lt;&gt;"Data Centre",0,C253)
+IF($H258&lt;&gt;"Data Centre",0,C260)
+IF($H265&lt;&gt;"Data Centre",0,C267)
+IF($H272&lt;&gt;"Data Centre",0,C274)
+IF($H279&lt;&gt;"Data Centre",0,C281)
+IF($H286&lt;&gt;"Data Centre",0,C288)
+IF($H293&lt;&gt;"Data Centre",0,C295)
+IF($H300&lt;&gt;"Data Centre",0,C302)
+IF($H307&lt;&gt;"Data Centre",0,C309)
+IF($H314&lt;&gt;"Data Centre",0,C316)
+IF($H321&lt;&gt;"Data Centre",0,C323)
+IF($H328&lt;&gt;"Data Centre",0,C330)
+IF($H335&lt;&gt;"Data Centre",0,C337)
+IF($H342&lt;&gt;"Data Centre",0,C344)
+IF($H349&lt;&gt;"Data Centre",0,C351)
+IF($H356&lt;&gt;"Data Centre",0,C358)</f>
        <v>16.75</v>
      </c>
      <c r="D366" s="206">
        <f t="shared" si="1304"/>
        <v>35.861052022669533</v>
      </c>
      <c r="E366" s="206">
        <f t="shared" si="1304"/>
        <v>82.641545130610368</v>
      </c>
      <c r="F366" s="206">
        <f t="shared" si="1304"/>
        <v>129.08949542700799</v>
      </c>
      <c r="G366" s="206">
        <f t="shared" si="1304"/>
        <v>173.59859809393527</v>
      </c>
      <c r="H366" s="206">
        <f t="shared" si="1304"/>
        <v>267.25269596378087</v>
      </c>
      <c r="I366" s="206">
        <f t="shared" si="1304"/>
        <v>414.49936522702103</v>
      </c>
      <c r="J366" s="206">
        <f t="shared" si="1304"/>
        <v>591.6112904983388</v>
      </c>
      <c r="K366" s="206">
        <f t="shared" si="1304"/>
        <v>800.80936044166515</v>
      </c>
      <c r="L366" s="206">
        <f t="shared" si="1304"/>
        <v>1103.8565425496708</v>
      </c>
      <c r="N366" s="49"/>
    </row>
    <row r="367" spans="1:14" ht="15" thickBot="1">
      <c r="A367" s="205" t="s">
        <v>137</v>
      </c>
      <c r="B367" s="206">
        <f>B365-B366</f>
        <v>-25</v>
      </c>
      <c r="C367" s="206">
        <f t="shared" ref="C367:L367" si="1305">C365-C366</f>
        <v>30</v>
      </c>
      <c r="D367" s="206">
        <f t="shared" si="1305"/>
        <v>116.66012611556249</v>
      </c>
      <c r="E367" s="206">
        <f t="shared" si="1305"/>
        <v>139.63688802032442</v>
      </c>
      <c r="F367" s="206">
        <f t="shared" si="1305"/>
        <v>148.59003087746731</v>
      </c>
      <c r="G367" s="206">
        <f t="shared" si="1305"/>
        <v>186.40709754413388</v>
      </c>
      <c r="H367" s="206">
        <f t="shared" si="1305"/>
        <v>197.17166897270533</v>
      </c>
      <c r="I367" s="206">
        <f t="shared" si="1305"/>
        <v>208.40429955051798</v>
      </c>
      <c r="J367" s="206">
        <f t="shared" si="1305"/>
        <v>222.17425496710325</v>
      </c>
      <c r="K367" s="206">
        <f t="shared" si="1305"/>
        <v>232.65419972640211</v>
      </c>
      <c r="L367" s="206">
        <f t="shared" si="1305"/>
        <v>244.31271317829442</v>
      </c>
      <c r="N367" s="49"/>
    </row>
    <row r="368" spans="1:14" s="48" customFormat="1" ht="15" thickBot="1">
      <c r="A368" s="207" t="s">
        <v>107</v>
      </c>
      <c r="B368" s="208">
        <f>B23+B30+B37+B44+B51+B58+B65+B72+B79+B86+B93+B100+B107+B114+B121+B128+B135+B142+B149+B156+B163+B170+B177+B184+B191+B198+B205+B212+B219+B226+B233+B240+B247+B254+B261+B268+B275+B282+B289+B296+B303+B310+B317+B324+B331+B338+B345+B352+B359</f>
        <v>-33</v>
      </c>
      <c r="C368" s="208">
        <f t="shared" ref="C368:L368" ca="1" si="1306">C23+C30+C37+C44+C51+C58+C65+C72+C79+C86+C93+C100+C107+C114+C121+C128+C135+C142+C149+C156+C163+C170+C177+C184+C191+C198+C205+C212+C219+C226+C233+C240+C247+C254+C261+C268+C275+C282+C289+C296+C303+C310+C317+C324+C331+C338+C345+C352+C359</f>
        <v>1.75</v>
      </c>
      <c r="D368" s="208">
        <f t="shared" ca="1" si="1306"/>
        <v>53.761052022669531</v>
      </c>
      <c r="E368" s="208">
        <f t="shared" ca="1" si="1306"/>
        <v>115.22146630838381</v>
      </c>
      <c r="F368" s="208">
        <f t="shared" ca="1" si="1306"/>
        <v>136.00117047358475</v>
      </c>
      <c r="G368" s="208">
        <f t="shared" ca="1" si="1306"/>
        <v>170.50395878835255</v>
      </c>
      <c r="H368" s="208">
        <f t="shared" ca="1" si="1306"/>
        <v>204.83542021692398</v>
      </c>
      <c r="I368" s="208">
        <f t="shared" ca="1" si="1306"/>
        <v>240.91859590554358</v>
      </c>
      <c r="J368" s="208">
        <f t="shared" ca="1" si="1306"/>
        <v>293.62473589968073</v>
      </c>
      <c r="K368" s="208">
        <f t="shared" ca="1" si="1306"/>
        <v>342.09332600547191</v>
      </c>
      <c r="L368" s="208">
        <f t="shared" ca="1" si="1306"/>
        <v>377.80095826389157</v>
      </c>
      <c r="N368" s="49"/>
    </row>
    <row r="369" spans="1:14" ht="15" thickBot="1">
      <c r="A369" s="205" t="s">
        <v>136</v>
      </c>
      <c r="B369" s="206">
        <f>IF($H20&lt;&gt;"Data Centre",0,B23)
+IF($H27&lt;&gt;"Data Centre",0,B30)
+IF($H34&lt;&gt;"Data Centre",0,B37)
+IF($H41&lt;&gt;"Data Centre",0,B44)
+IF($H48&lt;&gt;"Data Centre",0,B51)
+IF($H55&lt;&gt;"Data Centre",0,B58)
+IF($H62&lt;&gt;"Data Centre",0,B65)
+IF($H69&lt;&gt;"Data Centre",0,B72)
+IF($H76&lt;&gt;"Data Centre",0,B79)
+IF($H83&lt;&gt;"Data Centre",0,B86)
+IF($H90&lt;&gt;"Data Centre",0,B93)
+IF($H97&lt;&gt;"Data Centre",0,B100)
+IF($H104&lt;&gt;"Data Centre",0,B107)
+IF($H111&lt;&gt;"Data Centre",0,B114)
+IF($H118&lt;&gt;"Data Centre",0,B121)
+IF($H125&lt;&gt;"Data Centre",0,B128)
+IF($H132&lt;&gt;"Data Centre",0,B135)
+IF($H139&lt;&gt;"Data Centre",0,B142)
+IF($H146&lt;&gt;"Data Centre",0,B149)
+IF($H153&lt;&gt;"Data Centre",0,B156)
+IF($H160&lt;&gt;"Data Centre",0,B163)
+IF($H167&lt;&gt;"Data Centre",0,B170)
+IF($H174&lt;&gt;"Data Centre",0,B177)
+IF($H181&lt;&gt;"Data Centre",0,B184)
+IF($H188&lt;&gt;"Data Centre",0,B191)
+IF($H195&lt;&gt;"Data Centre",0,B198)
+IF($H202&lt;&gt;"Data Centre",0,B205)
+IF($H209&lt;&gt;"Data Centre",0,B212)
+IF($H216&lt;&gt;"Data Centre",0,B219)
+IF($H223&lt;&gt;"Data Centre",0,B226)
+IF($H230&lt;&gt;"Data Centre",0,B233)
+IF($H237&lt;&gt;"Data Centre",0,B240)
+IF($H244&lt;&gt;"Data Centre",0,B247)
+IF($H251&lt;&gt;"Data Centre",0,B254)
+IF($H258&lt;&gt;"Data Centre",0,B261)
+IF($H265&lt;&gt;"Data Centre",0,B268)
+IF($H272&lt;&gt;"Data Centre",0,B275)
+IF($H279&lt;&gt;"Data Centre",0,B282)
+IF($H286&lt;&gt;"Data Centre",0,B289)
+IF($H293&lt;&gt;"Data Centre",0,B296)
+IF($H300&lt;&gt;"Data Centre",0,B303)
+IF($H307&lt;&gt;"Data Centre",0,B310)
+IF($H314&lt;&gt;"Data Centre",0,B317)
+IF($H321&lt;&gt;"Data Centre",0,B324)
+IF($H328&lt;&gt;"Data Centre",0,B331)
+IF($H335&lt;&gt;"Data Centre",0,B338)
+IF($H342&lt;&gt;"Data Centre",0,B345)
+IF($H349&lt;&gt;"Data Centre",0,B352)
+IF($H356&lt;&gt;"Data Centre",0,B359)</f>
        <v>-8</v>
      </c>
      <c r="C369" s="206">
        <f t="shared" ref="C369:L369" ca="1" si="1307">IF($H20&lt;&gt;"Data Centre",0,C23)
+IF($H27&lt;&gt;"Data Centre",0,C30)
+IF($H34&lt;&gt;"Data Centre",0,C37)
+IF($H41&lt;&gt;"Data Centre",0,C44)
+IF($H48&lt;&gt;"Data Centre",0,C51)
+IF($H55&lt;&gt;"Data Centre",0,C58)
+IF($H62&lt;&gt;"Data Centre",0,C65)
+IF($H69&lt;&gt;"Data Centre",0,C72)
+IF($H76&lt;&gt;"Data Centre",0,C79)
+IF($H83&lt;&gt;"Data Centre",0,C86)
+IF($H90&lt;&gt;"Data Centre",0,C93)
+IF($H97&lt;&gt;"Data Centre",0,C100)
+IF($H104&lt;&gt;"Data Centre",0,C107)
+IF($H111&lt;&gt;"Data Centre",0,C114)
+IF($H118&lt;&gt;"Data Centre",0,C121)
+IF($H125&lt;&gt;"Data Centre",0,C128)
+IF($H132&lt;&gt;"Data Centre",0,C135)
+IF($H139&lt;&gt;"Data Centre",0,C142)
+IF($H146&lt;&gt;"Data Centre",0,C149)
+IF($H153&lt;&gt;"Data Centre",0,C156)
+IF($H160&lt;&gt;"Data Centre",0,C163)
+IF($H167&lt;&gt;"Data Centre",0,C170)
+IF($H174&lt;&gt;"Data Centre",0,C177)
+IF($H181&lt;&gt;"Data Centre",0,C184)
+IF($H188&lt;&gt;"Data Centre",0,C191)
+IF($H195&lt;&gt;"Data Centre",0,C198)
+IF($H202&lt;&gt;"Data Centre",0,C205)
+IF($H209&lt;&gt;"Data Centre",0,C212)
+IF($H216&lt;&gt;"Data Centre",0,C219)
+IF($H223&lt;&gt;"Data Centre",0,C226)
+IF($H230&lt;&gt;"Data Centre",0,C233)
+IF($H237&lt;&gt;"Data Centre",0,C240)
+IF($H244&lt;&gt;"Data Centre",0,C247)
+IF($H251&lt;&gt;"Data Centre",0,C254)
+IF($H258&lt;&gt;"Data Centre",0,C261)
+IF($H265&lt;&gt;"Data Centre",0,C268)
+IF($H272&lt;&gt;"Data Centre",0,C275)
+IF($H279&lt;&gt;"Data Centre",0,C282)
+IF($H286&lt;&gt;"Data Centre",0,C289)
+IF($H293&lt;&gt;"Data Centre",0,C296)
+IF($H300&lt;&gt;"Data Centre",0,C303)
+IF($H307&lt;&gt;"Data Centre",0,C310)
+IF($H314&lt;&gt;"Data Centre",0,C317)
+IF($H321&lt;&gt;"Data Centre",0,C324)
+IF($H328&lt;&gt;"Data Centre",0,C331)
+IF($H335&lt;&gt;"Data Centre",0,C338)
+IF($H342&lt;&gt;"Data Centre",0,C345)
+IF($H349&lt;&gt;"Data Centre",0,C352)
+IF($H356&lt;&gt;"Data Centre",0,C359)</f>
        <v>1.75</v>
      </c>
      <c r="D369" s="206">
        <f t="shared" ca="1" si="1307"/>
        <v>31.361052022669533</v>
      </c>
      <c r="E369" s="206">
        <f t="shared" ca="1" si="1307"/>
        <v>57.551466308383816</v>
      </c>
      <c r="F369" s="206">
        <f t="shared" ca="1" si="1307"/>
        <v>69.084708676959153</v>
      </c>
      <c r="G369" s="206">
        <f t="shared" ca="1" si="1307"/>
        <v>96.428883658393602</v>
      </c>
      <c r="H369" s="206">
        <f t="shared" ca="1" si="1307"/>
        <v>120.87330508696502</v>
      </c>
      <c r="I369" s="206">
        <f t="shared" ca="1" si="1307"/>
        <v>150.91211810891798</v>
      </c>
      <c r="J369" s="206">
        <f t="shared" ca="1" si="1307"/>
        <v>194.98761810305521</v>
      </c>
      <c r="K369" s="206">
        <f t="shared" ca="1" si="1307"/>
        <v>238.3022192257182</v>
      </c>
      <c r="L369" s="206">
        <f t="shared" ca="1" si="1307"/>
        <v>275.52650865148848</v>
      </c>
      <c r="N369" s="49"/>
    </row>
    <row r="370" spans="1:14" ht="15" thickBot="1">
      <c r="A370" s="205" t="s">
        <v>137</v>
      </c>
      <c r="B370" s="206">
        <f>B368-B369</f>
        <v>-25</v>
      </c>
      <c r="C370" s="206">
        <f t="shared" ref="C370:L370" ca="1" si="1308">C368-C369</f>
        <v>0</v>
      </c>
      <c r="D370" s="206">
        <f t="shared" ca="1" si="1308"/>
        <v>22.4</v>
      </c>
      <c r="E370" s="206">
        <f t="shared" ca="1" si="1308"/>
        <v>57.669999999999995</v>
      </c>
      <c r="F370" s="206">
        <f t="shared" ca="1" si="1308"/>
        <v>66.916461796625597</v>
      </c>
      <c r="G370" s="206">
        <f t="shared" ca="1" si="1308"/>
        <v>74.075075129958947</v>
      </c>
      <c r="H370" s="206">
        <f t="shared" ca="1" si="1308"/>
        <v>83.96211512995896</v>
      </c>
      <c r="I370" s="206">
        <f t="shared" ca="1" si="1308"/>
        <v>90.006477796625603</v>
      </c>
      <c r="J370" s="206">
        <f t="shared" ca="1" si="1308"/>
        <v>98.637117796625517</v>
      </c>
      <c r="K370" s="206">
        <f t="shared" ca="1" si="1308"/>
        <v>103.7911067797537</v>
      </c>
      <c r="L370" s="206">
        <f t="shared" ca="1" si="1308"/>
        <v>102.27444961240309</v>
      </c>
      <c r="N370" s="49"/>
    </row>
    <row r="371" spans="1:14" s="48" customFormat="1" ht="15" thickBot="1">
      <c r="A371" s="207" t="s">
        <v>108</v>
      </c>
      <c r="B371" s="208">
        <f>B24+B31+B38+B45+B52+B59+B66+B73+B80+B87+B94+B101+B108+B115+B122+B129+B136+B143+B150+B157+B164+B171+B178+B185+B192+B199+B206+B213+B220+B227+B234+B241+B248+B255+B262+B269+B276+B283+B290+B297+B304+B311+B318+B325+B332+B339+B346+B353+B360</f>
        <v>-33</v>
      </c>
      <c r="C371" s="208">
        <f t="shared" ref="C371:L371" ca="1" si="1309">C24+C31+C38+C45+C52+C59+C66+C73+C80+C87+C94+C101+C108+C115+C122+C129+C136+C143+C150+C157+C164+C171+C178+C185+C192+C199+C206+C213+C220+C227+C234+C241+C248+C255+C262+C269+C276+C283+C290+C297+C304+C311+C318+C325+C332+C339+C346+C353+C360</f>
        <v>1.75</v>
      </c>
      <c r="D371" s="208">
        <f t="shared" ca="1" si="1309"/>
        <v>20.861052022669533</v>
      </c>
      <c r="E371" s="208">
        <f t="shared" ca="1" si="1309"/>
        <v>74.051466308383823</v>
      </c>
      <c r="F371" s="208">
        <f t="shared" ca="1" si="1309"/>
        <v>108.09963773695524</v>
      </c>
      <c r="G371" s="208">
        <f t="shared" ca="1" si="1309"/>
        <v>126.06875025340371</v>
      </c>
      <c r="H371" s="208">
        <f t="shared" ca="1" si="1309"/>
        <v>156.19634500293145</v>
      </c>
      <c r="I371" s="208">
        <f t="shared" ca="1" si="1309"/>
        <v>189.15229083056479</v>
      </c>
      <c r="J371" s="208">
        <f t="shared" ca="1" si="1309"/>
        <v>216.47836939482769</v>
      </c>
      <c r="K371" s="208">
        <f t="shared" ca="1" si="1309"/>
        <v>235.58768618200764</v>
      </c>
      <c r="L371" s="208">
        <f t="shared" ca="1" si="1309"/>
        <v>260.49839508696499</v>
      </c>
      <c r="N371" s="49"/>
    </row>
    <row r="372" spans="1:14" ht="15" thickBot="1">
      <c r="A372" s="205" t="s">
        <v>136</v>
      </c>
      <c r="B372" s="206">
        <f>IF($H20&lt;&gt;"Data Centre",0,B24)
+IF($H27&lt;&gt;"Data Centre",0,B31)
+IF($H34&lt;&gt;"Data Centre",0,B38)
+IF($H41&lt;&gt;"Data Centre",0,B45)
+IF($H48&lt;&gt;"Data Centre",0,B52)
+IF($H55&lt;&gt;"Data Centre",0,B59)
+IF($H62&lt;&gt;"Data Centre",0,B66)
+IF($H69&lt;&gt;"Data Centre",0,B73)
+IF($H76&lt;&gt;"Data Centre",0,B80)
+IF($H83&lt;&gt;"Data Centre",0,B87)
+IF($H90&lt;&gt;"Data Centre",0,B94)
+IF($H97&lt;&gt;"Data Centre",0,B101)
+IF($H104&lt;&gt;"Data Centre",0,B108)
+IF($H111&lt;&gt;"Data Centre",0,B115)
+IF($H118&lt;&gt;"Data Centre",0,B122)
+IF($H125&lt;&gt;"Data Centre",0,B129)
+IF($H132&lt;&gt;"Data Centre",0,B136)
+IF($H139&lt;&gt;"Data Centre",0,B143)
+IF($H146&lt;&gt;"Data Centre",0,B150)
+IF($H153&lt;&gt;"Data Centre",0,B157)
+IF($H160&lt;&gt;"Data Centre",0,B164)
+IF($H167&lt;&gt;"Data Centre",0,B171)
+IF($H174&lt;&gt;"Data Centre",0,B178)
+IF($H181&lt;&gt;"Data Centre",0,B185)
+IF($H188&lt;&gt;"Data Centre",0,B192)
+IF($H195&lt;&gt;"Data Centre",0,B199)
+IF($H202&lt;&gt;"Data Centre",0,B206)
+IF($H209&lt;&gt;"Data Centre",0,B213)
+IF($H216&lt;&gt;"Data Centre",0,B220)
+IF($H223&lt;&gt;"Data Centre",0,B227)
+IF($H230&lt;&gt;"Data Centre",0,B234)
+IF($H237&lt;&gt;"Data Centre",0,B241)
+IF($H244&lt;&gt;"Data Centre",0,B248)
+IF($H251&lt;&gt;"Data Centre",0,B255)
+IF($H258&lt;&gt;"Data Centre",0,B262)
+IF($H265&lt;&gt;"Data Centre",0,B269)
+IF($H272&lt;&gt;"Data Centre",0,B276)
+IF($H279&lt;&gt;"Data Centre",0,B283)
+IF($H286&lt;&gt;"Data Centre",0,B290)
+IF($H293&lt;&gt;"Data Centre",0,B297)
+IF($H300&lt;&gt;"Data Centre",0,B304)
+IF($H307&lt;&gt;"Data Centre",0,B311)
+IF($H314&lt;&gt;"Data Centre",0,B318)
+IF($H321&lt;&gt;"Data Centre",0,B325)
+IF($H328&lt;&gt;"Data Centre",0,B332)
+IF($H335&lt;&gt;"Data Centre",0,B339)
+IF($H342&lt;&gt;"Data Centre",0,B346)
+IF($H349&lt;&gt;"Data Centre",0,B353)
+IF($H356&lt;&gt;"Data Centre",0,B360)</f>
        <v>-8</v>
      </c>
      <c r="C372" s="206">
        <f t="shared" ref="C372:L372" ca="1" si="1310">IF($H20&lt;&gt;"Data Centre",0,C24)
+IF($H27&lt;&gt;"Data Centre",0,C31)
+IF($H34&lt;&gt;"Data Centre",0,C38)
+IF($H41&lt;&gt;"Data Centre",0,C45)
+IF($H48&lt;&gt;"Data Centre",0,C52)
+IF($H55&lt;&gt;"Data Centre",0,C59)
+IF($H62&lt;&gt;"Data Centre",0,C66)
+IF($H69&lt;&gt;"Data Centre",0,C73)
+IF($H76&lt;&gt;"Data Centre",0,C80)
+IF($H83&lt;&gt;"Data Centre",0,C87)
+IF($H90&lt;&gt;"Data Centre",0,C94)
+IF($H97&lt;&gt;"Data Centre",0,C101)
+IF($H104&lt;&gt;"Data Centre",0,C108)
+IF($H111&lt;&gt;"Data Centre",0,C115)
+IF($H118&lt;&gt;"Data Centre",0,C122)
+IF($H125&lt;&gt;"Data Centre",0,C129)
+IF($H132&lt;&gt;"Data Centre",0,C136)
+IF($H139&lt;&gt;"Data Centre",0,C143)
+IF($H146&lt;&gt;"Data Centre",0,C150)
+IF($H153&lt;&gt;"Data Centre",0,C157)
+IF($H160&lt;&gt;"Data Centre",0,C164)
+IF($H167&lt;&gt;"Data Centre",0,C171)
+IF($H174&lt;&gt;"Data Centre",0,C178)
+IF($H181&lt;&gt;"Data Centre",0,C185)
+IF($H188&lt;&gt;"Data Centre",0,C192)
+IF($H195&lt;&gt;"Data Centre",0,C199)
+IF($H202&lt;&gt;"Data Centre",0,C206)
+IF($H209&lt;&gt;"Data Centre",0,C213)
+IF($H216&lt;&gt;"Data Centre",0,C220)
+IF($H223&lt;&gt;"Data Centre",0,C227)
+IF($H230&lt;&gt;"Data Centre",0,C234)
+IF($H237&lt;&gt;"Data Centre",0,C241)
+IF($H244&lt;&gt;"Data Centre",0,C248)
+IF($H251&lt;&gt;"Data Centre",0,C255)
+IF($H258&lt;&gt;"Data Centre",0,C262)
+IF($H265&lt;&gt;"Data Centre",0,C269)
+IF($H272&lt;&gt;"Data Centre",0,C276)
+IF($H279&lt;&gt;"Data Centre",0,C283)
+IF($H286&lt;&gt;"Data Centre",0,C290)
+IF($H293&lt;&gt;"Data Centre",0,C297)
+IF($H300&lt;&gt;"Data Centre",0,C304)
+IF($H307&lt;&gt;"Data Centre",0,C311)
+IF($H314&lt;&gt;"Data Centre",0,C318)
+IF($H321&lt;&gt;"Data Centre",0,C325)
+IF($H328&lt;&gt;"Data Centre",0,C332)
+IF($H335&lt;&gt;"Data Centre",0,C339)
+IF($H342&lt;&gt;"Data Centre",0,C346)
+IF($H349&lt;&gt;"Data Centre",0,C353)
+IF($H356&lt;&gt;"Data Centre",0,C360)</f>
        <v>1.75</v>
      </c>
      <c r="D372" s="206">
        <f t="shared" ca="1" si="1310"/>
        <v>20.861052022669533</v>
      </c>
      <c r="E372" s="206">
        <f t="shared" ca="1" si="1310"/>
        <v>56.051466308383816</v>
      </c>
      <c r="F372" s="206">
        <f t="shared" ca="1" si="1310"/>
        <v>62.319637736955251</v>
      </c>
      <c r="G372" s="206">
        <f t="shared" ca="1" si="1310"/>
        <v>75.816725030291195</v>
      </c>
      <c r="H372" s="206">
        <f t="shared" ca="1" si="1310"/>
        <v>104.94896739886653</v>
      </c>
      <c r="I372" s="206">
        <f t="shared" ca="1" si="1310"/>
        <v>128.01428465507135</v>
      </c>
      <c r="J372" s="206">
        <f t="shared" ca="1" si="1310"/>
        <v>153.5769498860009</v>
      </c>
      <c r="K372" s="206">
        <f t="shared" ca="1" si="1310"/>
        <v>170.33335238746662</v>
      </c>
      <c r="L372" s="206">
        <f t="shared" ca="1" si="1310"/>
        <v>187.49753517686145</v>
      </c>
      <c r="N372" s="49"/>
    </row>
    <row r="373" spans="1:14" ht="15" thickBot="1">
      <c r="A373" s="205" t="s">
        <v>137</v>
      </c>
      <c r="B373" s="206">
        <f>B371-B372</f>
        <v>-25</v>
      </c>
      <c r="C373" s="206">
        <f t="shared" ref="C373:L373" ca="1" si="1311">C371-C372</f>
        <v>0</v>
      </c>
      <c r="D373" s="206">
        <f t="shared" ca="1" si="1311"/>
        <v>0</v>
      </c>
      <c r="E373" s="206">
        <f t="shared" ca="1" si="1311"/>
        <v>18.000000000000007</v>
      </c>
      <c r="F373" s="206">
        <f t="shared" ca="1" si="1311"/>
        <v>45.779999999999994</v>
      </c>
      <c r="G373" s="206">
        <f t="shared" ca="1" si="1311"/>
        <v>50.252025223112511</v>
      </c>
      <c r="H373" s="206">
        <f t="shared" ca="1" si="1311"/>
        <v>51.247377604064923</v>
      </c>
      <c r="I373" s="206">
        <f t="shared" ca="1" si="1311"/>
        <v>61.138006175493445</v>
      </c>
      <c r="J373" s="206">
        <f t="shared" ca="1" si="1311"/>
        <v>62.901419508826791</v>
      </c>
      <c r="K373" s="206">
        <f t="shared" ca="1" si="1311"/>
        <v>65.254333794541026</v>
      </c>
      <c r="L373" s="206">
        <f t="shared" ca="1" si="1311"/>
        <v>73.000859910103543</v>
      </c>
      <c r="N373" s="49"/>
    </row>
    <row r="374" spans="1:14" s="48" customFormat="1" ht="15" thickBot="1">
      <c r="A374" s="207" t="s">
        <v>109</v>
      </c>
      <c r="B374" s="208">
        <f>B25+B32+B39+B46+B53+B60+B67+B74+B81+B88+B95+B102+B109+B116+B123+B130+B137+B144+B151+B158+B165+B172+B179+B186+B193+B200+B207+B214+B221+B228+B235+B242+B249+B256+B263+B270+B277+B284+B291+B298+B305+B312+B319+B326+B333+B340+B347+B354+B361</f>
        <v>-33</v>
      </c>
      <c r="C374" s="208">
        <f t="shared" ref="C374:L374" ca="1" si="1312">C25+C32+C39+C46+C53+C60+C67+C74+C81+C88+C95+C102+C109+C116+C123+C130+C137+C144+C151+C158+C165+C172+C179+C186+C193+C200+C207+C214+C221+C228+C235+C242+C249+C256+C263+C270+C277+C284+C291+C298+C305+C312+C319+C326+C333+C340+C347+C354+C361</f>
        <v>46.75</v>
      </c>
      <c r="D374" s="208">
        <f t="shared" ca="1" si="1312"/>
        <v>112.16105202266952</v>
      </c>
      <c r="E374" s="208">
        <f t="shared" ca="1" si="1312"/>
        <v>159.14083593381537</v>
      </c>
      <c r="F374" s="208">
        <f t="shared" ca="1" si="1312"/>
        <v>197.96567035763144</v>
      </c>
      <c r="G374" s="208">
        <f t="shared" ca="1" si="1312"/>
        <v>231.37290178620287</v>
      </c>
      <c r="H374" s="208">
        <f t="shared" ca="1" si="1312"/>
        <v>274.52037034772979</v>
      </c>
      <c r="I374" s="208">
        <f t="shared" ca="1" si="1312"/>
        <v>362.6255850414957</v>
      </c>
      <c r="J374" s="208">
        <f t="shared" ca="1" si="1312"/>
        <v>443.86922253351577</v>
      </c>
      <c r="K374" s="208">
        <f t="shared" ca="1" si="1312"/>
        <v>507.50549822760729</v>
      </c>
      <c r="L374" s="208">
        <f t="shared" ca="1" si="1312"/>
        <v>573.37905783138558</v>
      </c>
      <c r="N374" s="49"/>
    </row>
    <row r="375" spans="1:14" ht="15" thickBot="1">
      <c r="A375" s="205" t="s">
        <v>136</v>
      </c>
      <c r="B375" s="206">
        <f>IF($H20&lt;&gt;"Data Centre",0,B25)
+IF($H27&lt;&gt;"Data Centre",0,B32)
+IF($H34&lt;&gt;"Data Centre",0,B39)
+IF($H41&lt;&gt;"Data Centre",0,B46)
+IF($H48&lt;&gt;"Data Centre",0,B53)
+IF($H55&lt;&gt;"Data Centre",0,B60)
+IF($H62&lt;&gt;"Data Centre",0,B67)
+IF($H69&lt;&gt;"Data Centre",0,B74)
+IF($H76&lt;&gt;"Data Centre",0,B81)
+IF($H83&lt;&gt;"Data Centre",0,B88)
+IF($H90&lt;&gt;"Data Centre",0,B95)
+IF($H97&lt;&gt;"Data Centre",0,B102)
+IF($H104&lt;&gt;"Data Centre",0,B109)
+IF($H111&lt;&gt;"Data Centre",0,B116)
+IF($H118&lt;&gt;"Data Centre",0,B123)
+IF($H125&lt;&gt;"Data Centre",0,B130)
+IF($H132&lt;&gt;"Data Centre",0,B137)
+IF($H139&lt;&gt;"Data Centre",0,B144)
+IF($H146&lt;&gt;"Data Centre",0,B151)
+IF($H153&lt;&gt;"Data Centre",0,B158)
+IF($H160&lt;&gt;"Data Centre",0,B165)
+IF($H167&lt;&gt;"Data Centre",0,B172)
+IF($H174&lt;&gt;"Data Centre",0,B179)
+IF($H181&lt;&gt;"Data Centre",0,B186)
+IF($H188&lt;&gt;"Data Centre",0,B193)
+IF($H195&lt;&gt;"Data Centre",0,B200)
+IF($H202&lt;&gt;"Data Centre",0,B207)
+IF($H209&lt;&gt;"Data Centre",0,B214)
+IF($H216&lt;&gt;"Data Centre",0,B221)
+IF($H223&lt;&gt;"Data Centre",0,B228)
+IF($H230&lt;&gt;"Data Centre",0,B235)
+IF($H237&lt;&gt;"Data Centre",0,B242)
+IF($H244&lt;&gt;"Data Centre",0,B249)
+IF($H251&lt;&gt;"Data Centre",0,B256)
+IF($H258&lt;&gt;"Data Centre",0,B263)
+IF($H265&lt;&gt;"Data Centre",0,B270)
+IF($H272&lt;&gt;"Data Centre",0,B277)
+IF($H279&lt;&gt;"Data Centre",0,B284)
+IF($H286&lt;&gt;"Data Centre",0,B291)
+IF($H293&lt;&gt;"Data Centre",0,B298)
+IF($H300&lt;&gt;"Data Centre",0,B305)
+IF($H307&lt;&gt;"Data Centre",0,B312)
+IF($H314&lt;&gt;"Data Centre",0,B319)
+IF($H321&lt;&gt;"Data Centre",0,B326)
+IF($H328&lt;&gt;"Data Centre",0,B333)
+IF($H335&lt;&gt;"Data Centre",0,B340)
+IF($H342&lt;&gt;"Data Centre",0,B347)
+IF($H349&lt;&gt;"Data Centre",0,B354)
+IF($H356&lt;&gt;"Data Centre",0,B361)</f>
        <v>-8</v>
      </c>
      <c r="C375" s="206">
        <f t="shared" ref="C375:L375" ca="1" si="1313">IF($H20&lt;&gt;"Data Centre",0,C25)
+IF($H27&lt;&gt;"Data Centre",0,C32)
+IF($H34&lt;&gt;"Data Centre",0,C39)
+IF($H41&lt;&gt;"Data Centre",0,C46)
+IF($H48&lt;&gt;"Data Centre",0,C53)
+IF($H55&lt;&gt;"Data Centre",0,C60)
+IF($H62&lt;&gt;"Data Centre",0,C67)
+IF($H69&lt;&gt;"Data Centre",0,C74)
+IF($H76&lt;&gt;"Data Centre",0,C81)
+IF($H83&lt;&gt;"Data Centre",0,C88)
+IF($H90&lt;&gt;"Data Centre",0,C95)
+IF($H97&lt;&gt;"Data Centre",0,C102)
+IF($H104&lt;&gt;"Data Centre",0,C109)
+IF($H111&lt;&gt;"Data Centre",0,C116)
+IF($H118&lt;&gt;"Data Centre",0,C123)
+IF($H125&lt;&gt;"Data Centre",0,C130)
+IF($H132&lt;&gt;"Data Centre",0,C137)
+IF($H139&lt;&gt;"Data Centre",0,C144)
+IF($H146&lt;&gt;"Data Centre",0,C151)
+IF($H153&lt;&gt;"Data Centre",0,C158)
+IF($H160&lt;&gt;"Data Centre",0,C165)
+IF($H167&lt;&gt;"Data Centre",0,C172)
+IF($H174&lt;&gt;"Data Centre",0,C179)
+IF($H181&lt;&gt;"Data Centre",0,C186)
+IF($H188&lt;&gt;"Data Centre",0,C193)
+IF($H195&lt;&gt;"Data Centre",0,C200)
+IF($H202&lt;&gt;"Data Centre",0,C207)
+IF($H209&lt;&gt;"Data Centre",0,C214)
+IF($H216&lt;&gt;"Data Centre",0,C221)
+IF($H223&lt;&gt;"Data Centre",0,C228)
+IF($H230&lt;&gt;"Data Centre",0,C235)
+IF($H237&lt;&gt;"Data Centre",0,C242)
+IF($H244&lt;&gt;"Data Centre",0,C249)
+IF($H251&lt;&gt;"Data Centre",0,C256)
+IF($H258&lt;&gt;"Data Centre",0,C263)
+IF($H265&lt;&gt;"Data Centre",0,C270)
+IF($H272&lt;&gt;"Data Centre",0,C277)
+IF($H279&lt;&gt;"Data Centre",0,C284)
+IF($H286&lt;&gt;"Data Centre",0,C291)
+IF($H293&lt;&gt;"Data Centre",0,C298)
+IF($H300&lt;&gt;"Data Centre",0,C305)
+IF($H307&lt;&gt;"Data Centre",0,C312)
+IF($H314&lt;&gt;"Data Centre",0,C319)
+IF($H321&lt;&gt;"Data Centre",0,C326)
+IF($H328&lt;&gt;"Data Centre",0,C333)
+IF($H335&lt;&gt;"Data Centre",0,C340)
+IF($H342&lt;&gt;"Data Centre",0,C347)
+IF($H349&lt;&gt;"Data Centre",0,C354)
+IF($H356&lt;&gt;"Data Centre",0,C361)</f>
        <v>16.75</v>
      </c>
      <c r="D375" s="206">
        <f t="shared" ca="1" si="1313"/>
        <v>35.861052022669533</v>
      </c>
      <c r="E375" s="206">
        <f t="shared" ca="1" si="1313"/>
        <v>67.901545130610373</v>
      </c>
      <c r="F375" s="206">
        <f t="shared" ca="1" si="1313"/>
        <v>96.04311098299786</v>
      </c>
      <c r="G375" s="206">
        <f t="shared" ca="1" si="1313"/>
        <v>111.60407955442643</v>
      </c>
      <c r="H375" s="206">
        <f t="shared" ca="1" si="1313"/>
        <v>143.52326011595335</v>
      </c>
      <c r="I375" s="206">
        <f t="shared" ca="1" si="1313"/>
        <v>211.89798338114781</v>
      </c>
      <c r="J375" s="206">
        <f t="shared" ca="1" si="1313"/>
        <v>278.39412685714285</v>
      </c>
      <c r="K375" s="206">
        <f t="shared" ca="1" si="1313"/>
        <v>340.252034651293</v>
      </c>
      <c r="L375" s="206">
        <f t="shared" ca="1" si="1313"/>
        <v>401.04603402837591</v>
      </c>
      <c r="N375" s="49"/>
    </row>
    <row r="376" spans="1:14" ht="15" thickBot="1">
      <c r="A376" s="209" t="s">
        <v>137</v>
      </c>
      <c r="B376" s="210">
        <f>B374-B375</f>
        <v>-25</v>
      </c>
      <c r="C376" s="210">
        <f t="shared" ref="C376:L376" ca="1" si="1314">C374-C375</f>
        <v>30</v>
      </c>
      <c r="D376" s="210">
        <f t="shared" ca="1" si="1314"/>
        <v>76.299999999999983</v>
      </c>
      <c r="E376" s="210">
        <f t="shared" ca="1" si="1314"/>
        <v>91.239290803204995</v>
      </c>
      <c r="F376" s="210">
        <f t="shared" ca="1" si="1314"/>
        <v>101.92255937463358</v>
      </c>
      <c r="G376" s="210">
        <f t="shared" ca="1" si="1314"/>
        <v>119.76882223177644</v>
      </c>
      <c r="H376" s="210">
        <f t="shared" ca="1" si="1314"/>
        <v>130.99711023177645</v>
      </c>
      <c r="I376" s="210">
        <f t="shared" ca="1" si="1314"/>
        <v>150.72760166034789</v>
      </c>
      <c r="J376" s="210">
        <f t="shared" ca="1" si="1314"/>
        <v>165.47509567637292</v>
      </c>
      <c r="K376" s="210">
        <f t="shared" ca="1" si="1314"/>
        <v>167.25346357631429</v>
      </c>
      <c r="L376" s="210">
        <f t="shared" ca="1" si="1314"/>
        <v>172.33302380300967</v>
      </c>
      <c r="N376" s="49"/>
    </row>
    <row r="377" spans="1:14" ht="15" thickTop="1"/>
    <row r="378" spans="1:14" ht="15" thickBot="1">
      <c r="A378" s="233" t="s">
        <v>138</v>
      </c>
      <c r="B378" s="234"/>
      <c r="C378" s="211">
        <v>0.2</v>
      </c>
      <c r="D378" s="211"/>
      <c r="E378" s="211"/>
      <c r="F378" s="211"/>
      <c r="G378" s="211">
        <f>C378</f>
        <v>0.2</v>
      </c>
      <c r="H378" s="211">
        <f t="shared" ref="H378:L378" si="1315">G378</f>
        <v>0.2</v>
      </c>
      <c r="I378" s="211">
        <f t="shared" si="1315"/>
        <v>0.2</v>
      </c>
      <c r="J378" s="211">
        <f t="shared" si="1315"/>
        <v>0.2</v>
      </c>
      <c r="K378" s="211">
        <f t="shared" si="1315"/>
        <v>0.2</v>
      </c>
      <c r="L378" s="211">
        <f t="shared" si="1315"/>
        <v>0.2</v>
      </c>
    </row>
    <row r="379" spans="1:14" ht="15" thickBot="1">
      <c r="A379" s="191" t="str">
        <f t="shared" ref="A379" si="1316">A210</f>
        <v>Uptake Scenario</v>
      </c>
      <c r="B379" s="192">
        <f>B364</f>
        <v>2023</v>
      </c>
      <c r="C379" s="192">
        <f t="shared" ref="C379:L379" si="1317">C364</f>
        <v>2024</v>
      </c>
      <c r="D379" s="192">
        <f t="shared" si="1317"/>
        <v>2025</v>
      </c>
      <c r="E379" s="192">
        <f t="shared" si="1317"/>
        <v>2026</v>
      </c>
      <c r="F379" s="192">
        <f t="shared" si="1317"/>
        <v>2027</v>
      </c>
      <c r="G379" s="192">
        <f t="shared" si="1317"/>
        <v>2028</v>
      </c>
      <c r="H379" s="192">
        <f t="shared" si="1317"/>
        <v>2029</v>
      </c>
      <c r="I379" s="192">
        <f t="shared" si="1317"/>
        <v>2030</v>
      </c>
      <c r="J379" s="192">
        <f t="shared" si="1317"/>
        <v>2031</v>
      </c>
      <c r="K379" s="192">
        <f t="shared" si="1317"/>
        <v>2032</v>
      </c>
      <c r="L379" s="192">
        <f t="shared" si="1317"/>
        <v>2033</v>
      </c>
    </row>
    <row r="380" spans="1:14" ht="15.6" thickTop="1" thickBot="1">
      <c r="A380" s="193" t="s">
        <v>111</v>
      </c>
      <c r="B380" s="206">
        <v>0</v>
      </c>
      <c r="C380" s="206">
        <f>B$380+($L$367-$B$367)/10*C$378*(C$379-$C$379)</f>
        <v>0</v>
      </c>
      <c r="D380" s="206">
        <f t="shared" ref="D380:L380" si="1318">C$380+($L$367-$B$367)/10*D$378*(D$379-$C$379)</f>
        <v>0</v>
      </c>
      <c r="E380" s="206">
        <f t="shared" si="1318"/>
        <v>0</v>
      </c>
      <c r="F380" s="206">
        <f t="shared" si="1318"/>
        <v>0</v>
      </c>
      <c r="G380" s="206">
        <f t="shared" si="1318"/>
        <v>21.545017054263553</v>
      </c>
      <c r="H380" s="206">
        <f t="shared" si="1318"/>
        <v>48.476288372092995</v>
      </c>
      <c r="I380" s="206">
        <f t="shared" si="1318"/>
        <v>80.793813953488325</v>
      </c>
      <c r="J380" s="206">
        <f t="shared" si="1318"/>
        <v>118.49759379844954</v>
      </c>
      <c r="K380" s="206">
        <f t="shared" si="1318"/>
        <v>161.58762790697665</v>
      </c>
      <c r="L380" s="206">
        <f t="shared" si="1318"/>
        <v>210.06391627906964</v>
      </c>
    </row>
    <row r="381" spans="1:14" ht="15" thickBot="1">
      <c r="A381" s="195" t="s">
        <v>107</v>
      </c>
      <c r="B381" s="212">
        <v>0</v>
      </c>
      <c r="C381" s="212">
        <f ca="1">C370*C$380/C$367</f>
        <v>0</v>
      </c>
      <c r="D381" s="212">
        <f t="shared" ref="D381:L381" ca="1" si="1319">D370*D$380/D$367</f>
        <v>0</v>
      </c>
      <c r="E381" s="212">
        <f t="shared" ca="1" si="1319"/>
        <v>0</v>
      </c>
      <c r="F381" s="212">
        <f t="shared" ca="1" si="1319"/>
        <v>0</v>
      </c>
      <c r="G381" s="212">
        <f t="shared" ca="1" si="1319"/>
        <v>8.5616308498819986</v>
      </c>
      <c r="H381" s="212">
        <f t="shared" ca="1" si="1319"/>
        <v>20.642781625661449</v>
      </c>
      <c r="I381" s="212">
        <f t="shared" ca="1" si="1319"/>
        <v>34.893553719349221</v>
      </c>
      <c r="J381" s="212">
        <f t="shared" ca="1" si="1319"/>
        <v>52.608530722180205</v>
      </c>
      <c r="K381" s="212">
        <f t="shared" ca="1" si="1319"/>
        <v>72.087066393398402</v>
      </c>
      <c r="L381" s="212">
        <f t="shared" ca="1" si="1319"/>
        <v>87.937181579204434</v>
      </c>
    </row>
    <row r="382" spans="1:14" ht="15" thickBot="1">
      <c r="A382" s="195" t="s">
        <v>108</v>
      </c>
      <c r="B382" s="212">
        <v>0</v>
      </c>
      <c r="C382" s="212">
        <f ca="1">C373*C$380/C$367</f>
        <v>0</v>
      </c>
      <c r="D382" s="212">
        <f t="shared" ref="D382:L382" ca="1" si="1320">D373*D$380/D$367</f>
        <v>0</v>
      </c>
      <c r="E382" s="212">
        <f t="shared" ca="1" si="1320"/>
        <v>0</v>
      </c>
      <c r="F382" s="212">
        <f t="shared" ca="1" si="1320"/>
        <v>0</v>
      </c>
      <c r="G382" s="212">
        <f t="shared" ca="1" si="1320"/>
        <v>5.8081519143170235</v>
      </c>
      <c r="H382" s="212">
        <f t="shared" ca="1" si="1320"/>
        <v>12.599592365331619</v>
      </c>
      <c r="I382" s="212">
        <f t="shared" ca="1" si="1320"/>
        <v>23.701875187237519</v>
      </c>
      <c r="J382" s="212">
        <f t="shared" ca="1" si="1320"/>
        <v>33.548742447258221</v>
      </c>
      <c r="K382" s="212">
        <f t="shared" ca="1" si="1320"/>
        <v>45.321739392239124</v>
      </c>
      <c r="L382" s="212">
        <f t="shared" ca="1" si="1320"/>
        <v>62.767288386114501</v>
      </c>
    </row>
    <row r="383" spans="1:14" ht="15" thickBot="1">
      <c r="A383" s="197" t="s">
        <v>109</v>
      </c>
      <c r="B383" s="213">
        <v>0</v>
      </c>
      <c r="C383" s="213">
        <f ca="1">C376*C$380/C$367</f>
        <v>0</v>
      </c>
      <c r="D383" s="213">
        <f t="shared" ref="D383:L383" ca="1" si="1321">D376*D$380/D$367</f>
        <v>0</v>
      </c>
      <c r="E383" s="213">
        <f t="shared" ca="1" si="1321"/>
        <v>0</v>
      </c>
      <c r="F383" s="213">
        <f t="shared" ca="1" si="1321"/>
        <v>0</v>
      </c>
      <c r="G383" s="213">
        <f t="shared" ca="1" si="1321"/>
        <v>13.842934907249125</v>
      </c>
      <c r="H383" s="213">
        <f t="shared" ca="1" si="1321"/>
        <v>32.206724853485518</v>
      </c>
      <c r="I383" s="213">
        <f t="shared" ca="1" si="1321"/>
        <v>58.433812701880882</v>
      </c>
      <c r="J383" s="213">
        <f t="shared" ca="1" si="1321"/>
        <v>88.256853496017243</v>
      </c>
      <c r="K383" s="213">
        <f t="shared" ca="1" si="1321"/>
        <v>116.1642062352832</v>
      </c>
      <c r="L383" s="213">
        <f t="shared" ca="1" si="1321"/>
        <v>148.17464639204277</v>
      </c>
    </row>
    <row r="384" spans="1:14" ht="15" thickTop="1"/>
    <row r="385" spans="1:14" ht="15" thickBot="1">
      <c r="A385" s="233" t="s">
        <v>139</v>
      </c>
      <c r="B385" s="234"/>
      <c r="C385" s="190"/>
      <c r="D385" s="214"/>
      <c r="E385" s="190"/>
      <c r="F385" s="190"/>
      <c r="G385" s="190"/>
      <c r="H385" s="190"/>
      <c r="I385" s="190"/>
      <c r="J385" s="190"/>
      <c r="K385" s="190"/>
      <c r="L385" s="190"/>
    </row>
    <row r="386" spans="1:14" ht="15" thickBot="1">
      <c r="A386" s="191" t="str">
        <f t="shared" ref="A386" si="1322">A217</f>
        <v>Uptake Scenario</v>
      </c>
      <c r="B386" s="192">
        <f>B379</f>
        <v>2023</v>
      </c>
      <c r="C386" s="192">
        <f t="shared" ref="C386:L386" si="1323">C379</f>
        <v>2024</v>
      </c>
      <c r="D386" s="192">
        <f t="shared" si="1323"/>
        <v>2025</v>
      </c>
      <c r="E386" s="192">
        <f t="shared" si="1323"/>
        <v>2026</v>
      </c>
      <c r="F386" s="192">
        <f t="shared" si="1323"/>
        <v>2027</v>
      </c>
      <c r="G386" s="192">
        <f t="shared" si="1323"/>
        <v>2028</v>
      </c>
      <c r="H386" s="192">
        <f t="shared" si="1323"/>
        <v>2029</v>
      </c>
      <c r="I386" s="192">
        <f t="shared" si="1323"/>
        <v>2030</v>
      </c>
      <c r="J386" s="192">
        <f t="shared" si="1323"/>
        <v>2031</v>
      </c>
      <c r="K386" s="192">
        <f t="shared" si="1323"/>
        <v>2032</v>
      </c>
      <c r="L386" s="192">
        <f t="shared" si="1323"/>
        <v>2033</v>
      </c>
      <c r="N386" s="48" t="s">
        <v>140</v>
      </c>
    </row>
    <row r="387" spans="1:14" ht="15" thickBot="1">
      <c r="A387" s="193" t="s">
        <v>111</v>
      </c>
      <c r="B387" s="206">
        <f>B365+B380+B394</f>
        <v>-33</v>
      </c>
      <c r="C387" s="206">
        <f t="shared" ref="C387:L387" si="1324">C365+C380+C394</f>
        <v>46.75</v>
      </c>
      <c r="D387" s="206">
        <f t="shared" si="1324"/>
        <v>152.52117813823202</v>
      </c>
      <c r="E387" s="206">
        <f t="shared" si="1324"/>
        <v>222.2784331509348</v>
      </c>
      <c r="F387" s="206">
        <f t="shared" si="1324"/>
        <v>277.6795263044753</v>
      </c>
      <c r="G387" s="206">
        <f t="shared" si="1324"/>
        <v>470.49923609630639</v>
      </c>
      <c r="H387" s="206">
        <f t="shared" si="1324"/>
        <v>696.3569828292749</v>
      </c>
      <c r="I387" s="206">
        <f t="shared" si="1324"/>
        <v>980.54975782589543</v>
      </c>
      <c r="J387" s="206">
        <f t="shared" si="1324"/>
        <v>1294.7483721350843</v>
      </c>
      <c r="K387" s="215">
        <f t="shared" si="1324"/>
        <v>1628.6752396694155</v>
      </c>
      <c r="L387" s="215">
        <f t="shared" si="1324"/>
        <v>2041.8907680161417</v>
      </c>
      <c r="N387" s="49">
        <f>L387/L$387</f>
        <v>1</v>
      </c>
    </row>
    <row r="388" spans="1:14" ht="15" thickBot="1">
      <c r="A388" s="195" t="s">
        <v>107</v>
      </c>
      <c r="B388" s="212">
        <f>B368+B381+B395</f>
        <v>-33</v>
      </c>
      <c r="C388" s="212">
        <f t="shared" ref="C388:L388" ca="1" si="1325">C368+C381+C395</f>
        <v>1.75</v>
      </c>
      <c r="D388" s="212">
        <f t="shared" ca="1" si="1325"/>
        <v>53.761052022669531</v>
      </c>
      <c r="E388" s="212">
        <f t="shared" ca="1" si="1325"/>
        <v>115.22146630838381</v>
      </c>
      <c r="F388" s="212">
        <f t="shared" ca="1" si="1325"/>
        <v>136.00117047358475</v>
      </c>
      <c r="G388" s="212">
        <f t="shared" ca="1" si="1325"/>
        <v>228.4738619922918</v>
      </c>
      <c r="H388" s="212">
        <f t="shared" ca="1" si="1325"/>
        <v>308.45200612291745</v>
      </c>
      <c r="I388" s="212">
        <f t="shared" ca="1" si="1325"/>
        <v>376.60932169922103</v>
      </c>
      <c r="J388" s="212">
        <f t="shared" ca="1" si="1325"/>
        <v>465.69723483516123</v>
      </c>
      <c r="K388" s="212">
        <f t="shared" ca="1" si="1325"/>
        <v>543.21681343620082</v>
      </c>
      <c r="L388" s="212">
        <f t="shared" ca="1" si="1325"/>
        <v>594.77456088042652</v>
      </c>
      <c r="N388" s="49">
        <f ca="1">L388/L$387</f>
        <v>0.29128617955322705</v>
      </c>
    </row>
    <row r="389" spans="1:14" ht="15" thickBot="1">
      <c r="A389" s="195" t="s">
        <v>108</v>
      </c>
      <c r="B389" s="212">
        <f>B371+B382+B396</f>
        <v>-33</v>
      </c>
      <c r="C389" s="212">
        <f t="shared" ref="C389:L389" ca="1" si="1326">C371+C382+C396</f>
        <v>1.75</v>
      </c>
      <c r="D389" s="212">
        <f t="shared" ca="1" si="1326"/>
        <v>20.861052022669533</v>
      </c>
      <c r="E389" s="212">
        <f t="shared" ca="1" si="1326"/>
        <v>74.051466308383823</v>
      </c>
      <c r="F389" s="212">
        <f t="shared" ca="1" si="1326"/>
        <v>108.09963773695524</v>
      </c>
      <c r="G389" s="212">
        <f t="shared" ca="1" si="1326"/>
        <v>170.72390793167506</v>
      </c>
      <c r="H389" s="212">
        <f t="shared" ca="1" si="1326"/>
        <v>240.83843735708462</v>
      </c>
      <c r="I389" s="212">
        <f t="shared" ca="1" si="1326"/>
        <v>298.35742473580945</v>
      </c>
      <c r="J389" s="212">
        <f t="shared" ca="1" si="1326"/>
        <v>344.11981392217427</v>
      </c>
      <c r="K389" s="212">
        <f t="shared" ca="1" si="1326"/>
        <v>375.00212765433514</v>
      </c>
      <c r="L389" s="212">
        <f t="shared" ca="1" si="1326"/>
        <v>417.35838555316786</v>
      </c>
      <c r="N389" s="49">
        <f t="shared" ref="N389:N390" ca="1" si="1327">L389/L$387</f>
        <v>0.20439799821352075</v>
      </c>
    </row>
    <row r="390" spans="1:14" ht="15" thickBot="1">
      <c r="A390" s="197" t="s">
        <v>109</v>
      </c>
      <c r="B390" s="213">
        <f>B374+B383+B397</f>
        <v>-33</v>
      </c>
      <c r="C390" s="213">
        <f t="shared" ref="C390:L390" ca="1" si="1328">C374+C383+C397</f>
        <v>46.75</v>
      </c>
      <c r="D390" s="213">
        <f t="shared" ca="1" si="1328"/>
        <v>112.16105202266952</v>
      </c>
      <c r="E390" s="213">
        <f t="shared" ca="1" si="1328"/>
        <v>159.14083593381537</v>
      </c>
      <c r="F390" s="213">
        <f t="shared" ca="1" si="1328"/>
        <v>197.96567035763144</v>
      </c>
      <c r="G390" s="213">
        <f t="shared" ca="1" si="1328"/>
        <v>302.39958236433733</v>
      </c>
      <c r="H390" s="213">
        <f t="shared" ca="1" si="1328"/>
        <v>405.24902182486755</v>
      </c>
      <c r="I390" s="213">
        <f t="shared" ca="1" si="1328"/>
        <v>562.59022880399061</v>
      </c>
      <c r="J390" s="213">
        <f t="shared" ca="1" si="1328"/>
        <v>702.69109674820027</v>
      </c>
      <c r="K390" s="213">
        <f t="shared" ca="1" si="1328"/>
        <v>807.91014059783981</v>
      </c>
      <c r="L390" s="213">
        <f t="shared" ca="1" si="1328"/>
        <v>905.7941403583776</v>
      </c>
      <c r="N390" s="49">
        <f t="shared" ca="1" si="1327"/>
        <v>0.44360558093831248</v>
      </c>
    </row>
    <row r="391" spans="1:14" ht="15" thickTop="1"/>
    <row r="392" spans="1:14" ht="15" thickBot="1">
      <c r="A392" s="233" t="s">
        <v>141</v>
      </c>
      <c r="B392" s="234"/>
      <c r="C392" s="211">
        <v>0.2</v>
      </c>
      <c r="D392" s="211"/>
      <c r="E392" s="211"/>
      <c r="F392" s="211"/>
      <c r="G392" s="211">
        <f>$C$392+($L$392-$C$392)/($L$393-$G$393)*(G$393-$G$393)</f>
        <v>0.2</v>
      </c>
      <c r="H392" s="211">
        <f t="shared" ref="H392:K392" si="1329">$C$392+($L$392-$C$392)/($L$393-$G$393)*(H$393-$G$393)</f>
        <v>0.17</v>
      </c>
      <c r="I392" s="211">
        <f t="shared" si="1329"/>
        <v>0.14000000000000001</v>
      </c>
      <c r="J392" s="211">
        <f t="shared" si="1329"/>
        <v>0.10999999999999999</v>
      </c>
      <c r="K392" s="211">
        <f t="shared" si="1329"/>
        <v>7.9999999999999988E-2</v>
      </c>
      <c r="L392" s="211">
        <v>0.05</v>
      </c>
    </row>
    <row r="393" spans="1:14" ht="15" thickBot="1">
      <c r="A393" s="191" t="str">
        <f t="shared" ref="A393" si="1330">A224</f>
        <v>Uptake Scenario</v>
      </c>
      <c r="B393" s="192">
        <f>B379</f>
        <v>2023</v>
      </c>
      <c r="C393" s="192">
        <f t="shared" ref="C393:L393" si="1331">C379</f>
        <v>2024</v>
      </c>
      <c r="D393" s="192">
        <f t="shared" si="1331"/>
        <v>2025</v>
      </c>
      <c r="E393" s="192">
        <f t="shared" si="1331"/>
        <v>2026</v>
      </c>
      <c r="F393" s="192">
        <f t="shared" si="1331"/>
        <v>2027</v>
      </c>
      <c r="G393" s="192">
        <f t="shared" si="1331"/>
        <v>2028</v>
      </c>
      <c r="H393" s="192">
        <f t="shared" si="1331"/>
        <v>2029</v>
      </c>
      <c r="I393" s="192">
        <f t="shared" si="1331"/>
        <v>2030</v>
      </c>
      <c r="J393" s="192">
        <f t="shared" si="1331"/>
        <v>2031</v>
      </c>
      <c r="K393" s="192">
        <f t="shared" si="1331"/>
        <v>2032</v>
      </c>
      <c r="L393" s="192">
        <f t="shared" si="1331"/>
        <v>2033</v>
      </c>
    </row>
    <row r="394" spans="1:14" ht="15.6" thickTop="1" thickBot="1">
      <c r="A394" s="193" t="s">
        <v>111</v>
      </c>
      <c r="B394" s="206">
        <v>0</v>
      </c>
      <c r="C394" s="206">
        <f>B$394+($L$366-$B$366)/10*C$392*(C$393-$C$393)</f>
        <v>0</v>
      </c>
      <c r="D394" s="206">
        <f t="shared" ref="D394:L394" si="1332">C$394+($L$366-$B$366)/10*D$392*(D$393-$C$393)</f>
        <v>0</v>
      </c>
      <c r="E394" s="206">
        <f t="shared" si="1332"/>
        <v>0</v>
      </c>
      <c r="F394" s="206">
        <f t="shared" si="1332"/>
        <v>0</v>
      </c>
      <c r="G394" s="206">
        <f t="shared" si="1332"/>
        <v>88.948523403973681</v>
      </c>
      <c r="H394" s="206">
        <f t="shared" si="1332"/>
        <v>183.4563295206957</v>
      </c>
      <c r="I394" s="206">
        <f t="shared" si="1332"/>
        <v>276.85227909486809</v>
      </c>
      <c r="J394" s="206">
        <f t="shared" si="1332"/>
        <v>362.46523287119271</v>
      </c>
      <c r="K394" s="206">
        <f t="shared" si="1332"/>
        <v>433.62405159437162</v>
      </c>
      <c r="L394" s="206">
        <f t="shared" si="1332"/>
        <v>483.65759600910684</v>
      </c>
    </row>
    <row r="395" spans="1:14" ht="15" thickBot="1">
      <c r="A395" s="195" t="s">
        <v>107</v>
      </c>
      <c r="B395" s="212">
        <v>0</v>
      </c>
      <c r="C395" s="212">
        <f t="shared" ref="C395:F395" ca="1" si="1333">MAX(C369*C$394/C$366,B395)</f>
        <v>0</v>
      </c>
      <c r="D395" s="212">
        <f t="shared" ca="1" si="1333"/>
        <v>0</v>
      </c>
      <c r="E395" s="212">
        <f t="shared" ca="1" si="1333"/>
        <v>0</v>
      </c>
      <c r="F395" s="212">
        <f t="shared" ca="1" si="1333"/>
        <v>0</v>
      </c>
      <c r="G395" s="212">
        <f t="shared" ref="G395:K395" ca="1" si="1334">MAX(G369*G$394/G$366,F395)</f>
        <v>49.40827235405726</v>
      </c>
      <c r="H395" s="212">
        <f t="shared" ca="1" si="1334"/>
        <v>82.973804280332033</v>
      </c>
      <c r="I395" s="212">
        <f t="shared" ca="1" si="1334"/>
        <v>100.79717207432822</v>
      </c>
      <c r="J395" s="212">
        <f t="shared" ca="1" si="1334"/>
        <v>119.46396821330026</v>
      </c>
      <c r="K395" s="212">
        <f t="shared" ca="1" si="1334"/>
        <v>129.03642103733054</v>
      </c>
      <c r="L395" s="212">
        <f ca="1">MAX(L369*L$394/L$366,K395)</f>
        <v>129.03642103733054</v>
      </c>
    </row>
    <row r="396" spans="1:14" ht="15" thickBot="1">
      <c r="A396" s="195" t="s">
        <v>108</v>
      </c>
      <c r="B396" s="212">
        <v>0</v>
      </c>
      <c r="C396" s="212">
        <f t="shared" ref="C396:F396" ca="1" si="1335">MAX(B396,C372*C$394/C$366)</f>
        <v>0</v>
      </c>
      <c r="D396" s="212">
        <f t="shared" ca="1" si="1335"/>
        <v>0</v>
      </c>
      <c r="E396" s="212">
        <f t="shared" ca="1" si="1335"/>
        <v>0</v>
      </c>
      <c r="F396" s="212">
        <f t="shared" ca="1" si="1335"/>
        <v>0</v>
      </c>
      <c r="G396" s="212">
        <f t="shared" ref="G396:K396" ca="1" si="1336">MAX(F396,G372*G$394/G$366)</f>
        <v>38.847005763954328</v>
      </c>
      <c r="H396" s="212">
        <f t="shared" ca="1" si="1336"/>
        <v>72.042499988821532</v>
      </c>
      <c r="I396" s="212">
        <f t="shared" ca="1" si="1336"/>
        <v>85.503258718007132</v>
      </c>
      <c r="J396" s="212">
        <f t="shared" ca="1" si="1336"/>
        <v>94.092702080088372</v>
      </c>
      <c r="K396" s="212">
        <f t="shared" ca="1" si="1336"/>
        <v>94.092702080088372</v>
      </c>
      <c r="L396" s="212">
        <f ca="1">MAX(K396,L372*L$394/L$366)</f>
        <v>94.092702080088372</v>
      </c>
    </row>
    <row r="397" spans="1:14" ht="15" thickBot="1">
      <c r="A397" s="197" t="s">
        <v>109</v>
      </c>
      <c r="B397" s="213">
        <v>0</v>
      </c>
      <c r="C397" s="213">
        <f t="shared" ref="C397:F397" ca="1" si="1337">MAX(B397,C375*C$394/C$366)</f>
        <v>0</v>
      </c>
      <c r="D397" s="213">
        <f t="shared" ca="1" si="1337"/>
        <v>0</v>
      </c>
      <c r="E397" s="213">
        <f t="shared" ca="1" si="1337"/>
        <v>0</v>
      </c>
      <c r="F397" s="213">
        <f t="shared" ca="1" si="1337"/>
        <v>0</v>
      </c>
      <c r="G397" s="213">
        <f t="shared" ref="G397:K397" ca="1" si="1338">MAX(F397,G375*G$394/G$366)</f>
        <v>57.183745670885372</v>
      </c>
      <c r="H397" s="213">
        <f t="shared" ca="1" si="1338"/>
        <v>98.521926623652249</v>
      </c>
      <c r="I397" s="213">
        <f t="shared" ca="1" si="1338"/>
        <v>141.53083106061399</v>
      </c>
      <c r="J397" s="213">
        <f t="shared" ca="1" si="1338"/>
        <v>170.56502071866728</v>
      </c>
      <c r="K397" s="213">
        <f t="shared" ca="1" si="1338"/>
        <v>184.24043613494931</v>
      </c>
      <c r="L397" s="213">
        <f ca="1">MAX(K397,L375*L$394/L$366)</f>
        <v>184.24043613494931</v>
      </c>
    </row>
    <row r="398" spans="1:14" ht="15" thickTop="1"/>
    <row r="399" spans="1:14">
      <c r="A399" s="113" t="s">
        <v>142</v>
      </c>
    </row>
    <row r="400" spans="1:14">
      <c r="A400" t="s">
        <v>137</v>
      </c>
      <c r="B400" s="112">
        <v>0</v>
      </c>
      <c r="C400" s="111">
        <f>C367-B367</f>
        <v>55</v>
      </c>
      <c r="D400" s="111">
        <f t="shared" ref="D400:L400" si="1339">D367-C367</f>
        <v>86.660126115562491</v>
      </c>
      <c r="E400" s="111">
        <f t="shared" si="1339"/>
        <v>22.976761904761929</v>
      </c>
      <c r="F400" s="111">
        <f t="shared" si="1339"/>
        <v>8.9531428571428933</v>
      </c>
      <c r="G400" s="111">
        <f t="shared" si="1339"/>
        <v>37.817066666666562</v>
      </c>
      <c r="H400" s="111">
        <f t="shared" si="1339"/>
        <v>10.764571428571458</v>
      </c>
      <c r="I400" s="111">
        <f t="shared" si="1339"/>
        <v>11.232630577812643</v>
      </c>
      <c r="J400" s="111">
        <f t="shared" si="1339"/>
        <v>13.769955416585276</v>
      </c>
      <c r="K400" s="111">
        <f t="shared" si="1339"/>
        <v>10.47994475929886</v>
      </c>
      <c r="L400" s="111">
        <f t="shared" si="1339"/>
        <v>11.658513451892304</v>
      </c>
    </row>
    <row r="401" spans="1:12">
      <c r="A401" s="50" t="s">
        <v>136</v>
      </c>
      <c r="B401" s="112">
        <v>0</v>
      </c>
      <c r="C401" s="111">
        <f>C366-B366</f>
        <v>24.75</v>
      </c>
      <c r="D401" s="111">
        <f t="shared" ref="D401:L401" si="1340">D366-C366</f>
        <v>19.111052022669533</v>
      </c>
      <c r="E401" s="111">
        <f t="shared" si="1340"/>
        <v>46.780493107940835</v>
      </c>
      <c r="F401" s="111">
        <f t="shared" si="1340"/>
        <v>46.447950296397622</v>
      </c>
      <c r="G401" s="111">
        <f t="shared" si="1340"/>
        <v>44.509102666927276</v>
      </c>
      <c r="H401" s="111">
        <f t="shared" si="1340"/>
        <v>93.6540978698456</v>
      </c>
      <c r="I401" s="111">
        <f t="shared" si="1340"/>
        <v>147.24666926324016</v>
      </c>
      <c r="J401" s="111">
        <f t="shared" si="1340"/>
        <v>177.11192527131777</v>
      </c>
      <c r="K401" s="111">
        <f t="shared" si="1340"/>
        <v>209.19806994332635</v>
      </c>
      <c r="L401" s="111">
        <f t="shared" si="1340"/>
        <v>303.0471821080057</v>
      </c>
    </row>
    <row r="402" spans="1:12">
      <c r="A402" s="50" t="s">
        <v>143</v>
      </c>
      <c r="B402" s="112">
        <v>0</v>
      </c>
      <c r="C402" s="111">
        <f>C400+C380-B380</f>
        <v>55</v>
      </c>
      <c r="D402" s="111">
        <f t="shared" ref="D402:L402" si="1341">D400+D380-C380</f>
        <v>86.660126115562491</v>
      </c>
      <c r="E402" s="111">
        <f t="shared" si="1341"/>
        <v>22.976761904761929</v>
      </c>
      <c r="F402" s="111">
        <f t="shared" si="1341"/>
        <v>8.9531428571428933</v>
      </c>
      <c r="G402" s="111">
        <f t="shared" si="1341"/>
        <v>59.362083720930116</v>
      </c>
      <c r="H402" s="111">
        <f t="shared" si="1341"/>
        <v>37.695842746400899</v>
      </c>
      <c r="I402" s="111">
        <f t="shared" si="1341"/>
        <v>43.550156159207972</v>
      </c>
      <c r="J402" s="111">
        <f t="shared" si="1341"/>
        <v>51.473735261546494</v>
      </c>
      <c r="K402" s="111">
        <f t="shared" si="1341"/>
        <v>53.569978867825967</v>
      </c>
      <c r="L402" s="111">
        <f t="shared" si="1341"/>
        <v>60.134801823985299</v>
      </c>
    </row>
    <row r="403" spans="1:12">
      <c r="A403" s="50" t="s">
        <v>144</v>
      </c>
      <c r="B403" s="112">
        <v>0</v>
      </c>
      <c r="C403" s="111">
        <f>C401+C394-B394</f>
        <v>24.75</v>
      </c>
      <c r="D403" s="111">
        <f t="shared" ref="D403:L403" si="1342">D401+D394-C394</f>
        <v>19.111052022669533</v>
      </c>
      <c r="E403" s="111">
        <f t="shared" si="1342"/>
        <v>46.780493107940835</v>
      </c>
      <c r="F403" s="111">
        <f t="shared" si="1342"/>
        <v>46.447950296397622</v>
      </c>
      <c r="G403" s="111">
        <f t="shared" si="1342"/>
        <v>133.45762607090097</v>
      </c>
      <c r="H403" s="111">
        <f t="shared" si="1342"/>
        <v>188.16190398656761</v>
      </c>
      <c r="I403" s="111">
        <f t="shared" si="1342"/>
        <v>240.64261883741256</v>
      </c>
      <c r="J403" s="111">
        <f t="shared" si="1342"/>
        <v>262.72487904764239</v>
      </c>
      <c r="K403" s="111">
        <f t="shared" si="1342"/>
        <v>280.35688866650526</v>
      </c>
      <c r="L403" s="111">
        <f t="shared" si="1342"/>
        <v>353.08072652274086</v>
      </c>
    </row>
  </sheetData>
  <mergeCells count="59">
    <mergeCell ref="A328:B328"/>
    <mergeCell ref="A335:B335"/>
    <mergeCell ref="A342:B342"/>
    <mergeCell ref="A349:B349"/>
    <mergeCell ref="A4:A8"/>
    <mergeCell ref="A9:A13"/>
    <mergeCell ref="A14:A18"/>
    <mergeCell ref="A20:B20"/>
    <mergeCell ref="A181:B181"/>
    <mergeCell ref="A174:B174"/>
    <mergeCell ref="A167:B167"/>
    <mergeCell ref="A153:B153"/>
    <mergeCell ref="A146:B146"/>
    <mergeCell ref="A139:B139"/>
    <mergeCell ref="A125:B125"/>
    <mergeCell ref="A90:B90"/>
    <mergeCell ref="A83:B83"/>
    <mergeCell ref="A69:B69"/>
    <mergeCell ref="A62:B62"/>
    <mergeCell ref="A48:B48"/>
    <mergeCell ref="A76:B76"/>
    <mergeCell ref="G14:G18"/>
    <mergeCell ref="G9:G13"/>
    <mergeCell ref="A385:B385"/>
    <mergeCell ref="A209:B209"/>
    <mergeCell ref="A216:B216"/>
    <mergeCell ref="A321:B321"/>
    <mergeCell ref="A97:B97"/>
    <mergeCell ref="A104:B104"/>
    <mergeCell ref="A160:B160"/>
    <mergeCell ref="A132:B132"/>
    <mergeCell ref="A223:B223"/>
    <mergeCell ref="A307:B307"/>
    <mergeCell ref="A111:B111"/>
    <mergeCell ref="A118:B118"/>
    <mergeCell ref="A244:B244"/>
    <mergeCell ref="A279:B279"/>
    <mergeCell ref="A392:B392"/>
    <mergeCell ref="G4:G8"/>
    <mergeCell ref="A378:B378"/>
    <mergeCell ref="A363:B363"/>
    <mergeCell ref="A55:B55"/>
    <mergeCell ref="A41:B41"/>
    <mergeCell ref="A27:B27"/>
    <mergeCell ref="A230:B230"/>
    <mergeCell ref="A237:B237"/>
    <mergeCell ref="A314:B314"/>
    <mergeCell ref="A300:B300"/>
    <mergeCell ref="A356:B356"/>
    <mergeCell ref="A188:B188"/>
    <mergeCell ref="A195:B195"/>
    <mergeCell ref="A202:B202"/>
    <mergeCell ref="A34:B34"/>
    <mergeCell ref="A286:B286"/>
    <mergeCell ref="A293:B293"/>
    <mergeCell ref="A251:B251"/>
    <mergeCell ref="A258:B258"/>
    <mergeCell ref="A265:B265"/>
    <mergeCell ref="A272:B272"/>
  </mergeCells>
  <pageMargins left="0.7" right="0.7" top="0.75" bottom="0.75" header="0.3" footer="0.3"/>
  <pageSetup paperSize="9" orientation="portrait" horizontalDpi="0" verticalDpi="0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7AA4-E0DD-4E8A-8CD2-28C637FAB415}">
  <dimension ref="A1:S248"/>
  <sheetViews>
    <sheetView topLeftCell="A175" zoomScale="90" zoomScaleNormal="90" workbookViewId="0">
      <selection activeCell="J216" sqref="J216"/>
    </sheetView>
  </sheetViews>
  <sheetFormatPr defaultRowHeight="14.45"/>
  <cols>
    <col min="1" max="13" width="20.7109375" customWidth="1"/>
  </cols>
  <sheetData>
    <row r="1" spans="1:19" s="11" customFormat="1" ht="15.6">
      <c r="A1" s="10" t="s">
        <v>145</v>
      </c>
      <c r="C1" s="10"/>
      <c r="D1" s="12"/>
      <c r="E1" s="12"/>
      <c r="F1" s="39"/>
      <c r="G1" s="39"/>
      <c r="H1" s="77"/>
      <c r="I1" s="39" t="s">
        <v>146</v>
      </c>
      <c r="J1" s="39"/>
      <c r="K1" s="39"/>
      <c r="L1" s="39"/>
      <c r="M1" s="39"/>
      <c r="N1" s="39"/>
      <c r="O1" s="39"/>
      <c r="P1" s="39"/>
      <c r="Q1" s="39"/>
      <c r="R1" s="39"/>
      <c r="S1" s="13"/>
    </row>
    <row r="3" spans="1:19" ht="15" thickBot="1">
      <c r="A3" s="187" t="s">
        <v>147</v>
      </c>
      <c r="B3" s="216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9" ht="15" thickBot="1">
      <c r="A4" s="191" t="str">
        <f>'Customer Scenario Forecast'!A21</f>
        <v>Uptake Scenario</v>
      </c>
      <c r="B4" s="191">
        <f>'Customer Scenario Forecast'!B21</f>
        <v>2023</v>
      </c>
      <c r="C4" s="191">
        <f>B4+1</f>
        <v>2024</v>
      </c>
      <c r="D4" s="191">
        <f t="shared" ref="D4:L4" si="0">C4+1</f>
        <v>2025</v>
      </c>
      <c r="E4" s="191">
        <f t="shared" si="0"/>
        <v>2026</v>
      </c>
      <c r="F4" s="191">
        <f t="shared" si="0"/>
        <v>2027</v>
      </c>
      <c r="G4" s="191">
        <f t="shared" si="0"/>
        <v>2028</v>
      </c>
      <c r="H4" s="191">
        <f t="shared" si="0"/>
        <v>2029</v>
      </c>
      <c r="I4" s="191">
        <f t="shared" si="0"/>
        <v>2030</v>
      </c>
      <c r="J4" s="191">
        <f t="shared" si="0"/>
        <v>2031</v>
      </c>
      <c r="K4" s="191">
        <f t="shared" si="0"/>
        <v>2032</v>
      </c>
      <c r="L4" s="191">
        <f t="shared" si="0"/>
        <v>2033</v>
      </c>
    </row>
    <row r="5" spans="1:19" ht="15.6" thickTop="1" thickBot="1">
      <c r="A5" s="193"/>
      <c r="B5" s="194"/>
      <c r="C5" s="194"/>
      <c r="D5" s="194"/>
      <c r="E5" s="194"/>
      <c r="F5" s="194"/>
      <c r="G5" s="194"/>
      <c r="H5" s="194"/>
      <c r="I5" s="194"/>
      <c r="J5" s="194"/>
      <c r="K5" s="217"/>
      <c r="L5" s="217"/>
    </row>
    <row r="6" spans="1:19" ht="15" thickBot="1">
      <c r="A6" s="193" t="s">
        <v>111</v>
      </c>
      <c r="B6" s="194">
        <f ca="1">IF($H$1="",
SUMIFS('Customer Scenario Forecast'!B$22:B$1183,'Customer Scenario Forecast'!$C$20:$C$1181,'Incremental Network SummerFcast'!$A3)+
SUMIFS('Customer Scenario Forecast'!B$22:B$1183,'Customer Scenario Forecast'!$D$20:$D$1181,'Incremental Network SummerFcast'!$A3)+
SUMIFS('Customer Scenario Forecast'!B$22:B$1183,'Customer Scenario Forecast'!$E$20:$E$1181,'Incremental Network SummerFcast'!$A3),
SUMIFS('Customer Scenario Forecast'!B$22:B$1183,'Customer Scenario Forecast'!$C$20:$C$1181,'Incremental Network SummerFcast'!$A3,'Customer Scenario Forecast'!$H$20:$H$1181,'Incremental Network SummerFcast'!$H$1)+
SUMIFS('Customer Scenario Forecast'!B$22:B$1183,'Customer Scenario Forecast'!$D$20:$D$1181,'Incremental Network SummerFcast'!$A3,'Customer Scenario Forecast'!$H$20:$H$1181,'Incremental Network SummerFcast'!$H$1)+
SUMIFS('Customer Scenario Forecast'!B$22:B$1183,'Customer Scenario Forecast'!$E$20:$E$1181,'Incremental Network SummerFcast'!$A3,'Customer Scenario Forecast'!$H$20:$H$1181,'Incremental Network SummerFcast'!$H$1))</f>
        <v>0</v>
      </c>
      <c r="C6" s="194">
        <f ca="1">IF($H$1="",
SUMIFS('Customer Scenario Forecast'!C$22:C$1183,'Customer Scenario Forecast'!$C$20:$C$1181,'Incremental Network SummerFcast'!$A3)+
SUMIFS('Customer Scenario Forecast'!C$22:C$1183,'Customer Scenario Forecast'!$D$20:$D$1181,'Incremental Network SummerFcast'!$A3)+
SUMIFS('Customer Scenario Forecast'!C$22:C$1183,'Customer Scenario Forecast'!$E$20:$E$1181,'Incremental Network SummerFcast'!$A3),
SUMIFS('Customer Scenario Forecast'!C$22:C$1183,'Customer Scenario Forecast'!$C$20:$C$1181,'Incremental Network SummerFcast'!$A3,'Customer Scenario Forecast'!$H$20:$H$1181,'Incremental Network SummerFcast'!$H$1)+
SUMIFS('Customer Scenario Forecast'!C$22:C$1183,'Customer Scenario Forecast'!$D$20:$D$1181,'Incremental Network SummerFcast'!$A3,'Customer Scenario Forecast'!$H$20:$H$1181,'Incremental Network SummerFcast'!$H$1)+
SUMIFS('Customer Scenario Forecast'!C$22:C$1183,'Customer Scenario Forecast'!$E$20:$E$1181,'Incremental Network SummerFcast'!$A3,'Customer Scenario Forecast'!$H$20:$H$1181,'Incremental Network SummerFcast'!$H$1))</f>
        <v>0</v>
      </c>
      <c r="D6" s="194">
        <f ca="1">IF($H$1="",
SUMIFS('Customer Scenario Forecast'!D$22:D$1183,'Customer Scenario Forecast'!$C$20:$C$1181,'Incremental Network SummerFcast'!$A3)+
SUMIFS('Customer Scenario Forecast'!D$22:D$1183,'Customer Scenario Forecast'!$D$20:$D$1181,'Incremental Network SummerFcast'!$A3)+
SUMIFS('Customer Scenario Forecast'!D$22:D$1183,'Customer Scenario Forecast'!$E$20:$E$1181,'Incremental Network SummerFcast'!$A3),
SUMIFS('Customer Scenario Forecast'!D$22:D$1183,'Customer Scenario Forecast'!$C$20:$C$1181,'Incremental Network SummerFcast'!$A3,'Customer Scenario Forecast'!$H$20:$H$1181,'Incremental Network SummerFcast'!$H$1)+
SUMIFS('Customer Scenario Forecast'!D$22:D$1183,'Customer Scenario Forecast'!$D$20:$D$1181,'Incremental Network SummerFcast'!$A3,'Customer Scenario Forecast'!$H$20:$H$1181,'Incremental Network SummerFcast'!$H$1)+
SUMIFS('Customer Scenario Forecast'!D$22:D$1183,'Customer Scenario Forecast'!$E$20:$E$1181,'Incremental Network SummerFcast'!$A3,'Customer Scenario Forecast'!$H$20:$H$1181,'Incremental Network SummerFcast'!$H$1))</f>
        <v>0</v>
      </c>
      <c r="E6" s="194">
        <f ca="1">IF($H$1="",
SUMIFS('Customer Scenario Forecast'!E$22:E$1183,'Customer Scenario Forecast'!$C$20:$C$1181,'Incremental Network SummerFcast'!$A3)+
SUMIFS('Customer Scenario Forecast'!E$22:E$1183,'Customer Scenario Forecast'!$D$20:$D$1181,'Incremental Network SummerFcast'!$A3)+
SUMIFS('Customer Scenario Forecast'!E$22:E$1183,'Customer Scenario Forecast'!$E$20:$E$1181,'Incremental Network SummerFcast'!$A3),
SUMIFS('Customer Scenario Forecast'!E$22:E$1183,'Customer Scenario Forecast'!$C$20:$C$1181,'Incremental Network SummerFcast'!$A3,'Customer Scenario Forecast'!$H$20:$H$1181,'Incremental Network SummerFcast'!$H$1)+
SUMIFS('Customer Scenario Forecast'!E$22:E$1183,'Customer Scenario Forecast'!$D$20:$D$1181,'Incremental Network SummerFcast'!$A3,'Customer Scenario Forecast'!$H$20:$H$1181,'Incremental Network SummerFcast'!$H$1)+
SUMIFS('Customer Scenario Forecast'!E$22:E$1183,'Customer Scenario Forecast'!$E$20:$E$1181,'Incremental Network SummerFcast'!$A3,'Customer Scenario Forecast'!$H$20:$H$1181,'Incremental Network SummerFcast'!$H$1))</f>
        <v>0</v>
      </c>
      <c r="F6" s="194">
        <f ca="1">IF($H$1="",
SUMIFS('Customer Scenario Forecast'!F$22:F$1183,'Customer Scenario Forecast'!$C$20:$C$1181,'Incremental Network SummerFcast'!$A3)+
SUMIFS('Customer Scenario Forecast'!F$22:F$1183,'Customer Scenario Forecast'!$D$20:$D$1181,'Incremental Network SummerFcast'!$A3)+
SUMIFS('Customer Scenario Forecast'!F$22:F$1183,'Customer Scenario Forecast'!$E$20:$E$1181,'Incremental Network SummerFcast'!$A3),
SUMIFS('Customer Scenario Forecast'!F$22:F$1183,'Customer Scenario Forecast'!$C$20:$C$1181,'Incremental Network SummerFcast'!$A3,'Customer Scenario Forecast'!$H$20:$H$1181,'Incremental Network SummerFcast'!$H$1)+
SUMIFS('Customer Scenario Forecast'!F$22:F$1183,'Customer Scenario Forecast'!$D$20:$D$1181,'Incremental Network SummerFcast'!$A3,'Customer Scenario Forecast'!$H$20:$H$1181,'Incremental Network SummerFcast'!$H$1)+
SUMIFS('Customer Scenario Forecast'!F$22:F$1183,'Customer Scenario Forecast'!$E$20:$E$1181,'Incremental Network SummerFcast'!$A3,'Customer Scenario Forecast'!$H$20:$H$1181,'Incremental Network SummerFcast'!$H$1))</f>
        <v>0</v>
      </c>
      <c r="G6" s="194">
        <f ca="1">IF($H$1="",
SUMIFS('Customer Scenario Forecast'!G$22:G$1183,'Customer Scenario Forecast'!$C$20:$C$1181,'Incremental Network SummerFcast'!$A3)+
SUMIFS('Customer Scenario Forecast'!G$22:G$1183,'Customer Scenario Forecast'!$D$20:$D$1181,'Incremental Network SummerFcast'!$A3)+
SUMIFS('Customer Scenario Forecast'!G$22:G$1183,'Customer Scenario Forecast'!$E$20:$E$1181,'Incremental Network SummerFcast'!$A3),
SUMIFS('Customer Scenario Forecast'!G$22:G$1183,'Customer Scenario Forecast'!$C$20:$C$1181,'Incremental Network SummerFcast'!$A3,'Customer Scenario Forecast'!$H$20:$H$1181,'Incremental Network SummerFcast'!$H$1)+
SUMIFS('Customer Scenario Forecast'!G$22:G$1183,'Customer Scenario Forecast'!$D$20:$D$1181,'Incremental Network SummerFcast'!$A3,'Customer Scenario Forecast'!$H$20:$H$1181,'Incremental Network SummerFcast'!$H$1)+
SUMIFS('Customer Scenario Forecast'!G$22:G$1183,'Customer Scenario Forecast'!$E$20:$E$1181,'Incremental Network SummerFcast'!$A3,'Customer Scenario Forecast'!$H$20:$H$1181,'Incremental Network SummerFcast'!$H$1))</f>
        <v>0</v>
      </c>
      <c r="H6" s="194">
        <f ca="1">IF($H$1="",
SUMIFS('Customer Scenario Forecast'!H$22:H$1183,'Customer Scenario Forecast'!$C$20:$C$1181,'Incremental Network SummerFcast'!$A3)+
SUMIFS('Customer Scenario Forecast'!H$22:H$1183,'Customer Scenario Forecast'!$D$20:$D$1181,'Incremental Network SummerFcast'!$A3)+
SUMIFS('Customer Scenario Forecast'!H$22:H$1183,'Customer Scenario Forecast'!$E$20:$E$1181,'Incremental Network SummerFcast'!$A3),
SUMIFS('Customer Scenario Forecast'!H$22:H$1183,'Customer Scenario Forecast'!$C$20:$C$1181,'Incremental Network SummerFcast'!$A3,'Customer Scenario Forecast'!$H$20:$H$1181,'Incremental Network SummerFcast'!$H$1)+
SUMIFS('Customer Scenario Forecast'!H$22:H$1183,'Customer Scenario Forecast'!$D$20:$D$1181,'Incremental Network SummerFcast'!$A3,'Customer Scenario Forecast'!$H$20:$H$1181,'Incremental Network SummerFcast'!$H$1)+
SUMIFS('Customer Scenario Forecast'!H$22:H$1183,'Customer Scenario Forecast'!$E$20:$E$1181,'Incremental Network SummerFcast'!$A3,'Customer Scenario Forecast'!$H$20:$H$1181,'Incremental Network SummerFcast'!$H$1))</f>
        <v>0</v>
      </c>
      <c r="I6" s="194">
        <f ca="1">IF($H$1="",
SUMIFS('Customer Scenario Forecast'!I$22:I$1183,'Customer Scenario Forecast'!$C$20:$C$1181,'Incremental Network SummerFcast'!$A3)+
SUMIFS('Customer Scenario Forecast'!I$22:I$1183,'Customer Scenario Forecast'!$D$20:$D$1181,'Incremental Network SummerFcast'!$A3)+
SUMIFS('Customer Scenario Forecast'!I$22:I$1183,'Customer Scenario Forecast'!$E$20:$E$1181,'Incremental Network SummerFcast'!$A3),
SUMIFS('Customer Scenario Forecast'!I$22:I$1183,'Customer Scenario Forecast'!$C$20:$C$1181,'Incremental Network SummerFcast'!$A3,'Customer Scenario Forecast'!$H$20:$H$1181,'Incremental Network SummerFcast'!$H$1)+
SUMIFS('Customer Scenario Forecast'!I$22:I$1183,'Customer Scenario Forecast'!$D$20:$D$1181,'Incremental Network SummerFcast'!$A3,'Customer Scenario Forecast'!$H$20:$H$1181,'Incremental Network SummerFcast'!$H$1)+
SUMIFS('Customer Scenario Forecast'!I$22:I$1183,'Customer Scenario Forecast'!$E$20:$E$1181,'Incremental Network SummerFcast'!$A3,'Customer Scenario Forecast'!$H$20:$H$1181,'Incremental Network SummerFcast'!$H$1))</f>
        <v>0</v>
      </c>
      <c r="J6" s="194">
        <f ca="1">IF($H$1="",
SUMIFS('Customer Scenario Forecast'!J$22:J$1183,'Customer Scenario Forecast'!$C$20:$C$1181,'Incremental Network SummerFcast'!$A3)+
SUMIFS('Customer Scenario Forecast'!J$22:J$1183,'Customer Scenario Forecast'!$D$20:$D$1181,'Incremental Network SummerFcast'!$A3)+
SUMIFS('Customer Scenario Forecast'!J$22:J$1183,'Customer Scenario Forecast'!$E$20:$E$1181,'Incremental Network SummerFcast'!$A3),
SUMIFS('Customer Scenario Forecast'!J$22:J$1183,'Customer Scenario Forecast'!$C$20:$C$1181,'Incremental Network SummerFcast'!$A3,'Customer Scenario Forecast'!$H$20:$H$1181,'Incremental Network SummerFcast'!$H$1)+
SUMIFS('Customer Scenario Forecast'!J$22:J$1183,'Customer Scenario Forecast'!$D$20:$D$1181,'Incremental Network SummerFcast'!$A3,'Customer Scenario Forecast'!$H$20:$H$1181,'Incremental Network SummerFcast'!$H$1)+
SUMIFS('Customer Scenario Forecast'!J$22:J$1183,'Customer Scenario Forecast'!$E$20:$E$1181,'Incremental Network SummerFcast'!$A3,'Customer Scenario Forecast'!$H$20:$H$1181,'Incremental Network SummerFcast'!$H$1))</f>
        <v>0</v>
      </c>
      <c r="K6" s="194">
        <f ca="1">IF($H$1="",
SUMIFS('Customer Scenario Forecast'!K$22:K$1183,'Customer Scenario Forecast'!$C$20:$C$1181,'Incremental Network SummerFcast'!$A3)+
SUMIFS('Customer Scenario Forecast'!K$22:K$1183,'Customer Scenario Forecast'!$D$20:$D$1181,'Incremental Network SummerFcast'!$A3)+
SUMIFS('Customer Scenario Forecast'!K$22:K$1183,'Customer Scenario Forecast'!$E$20:$E$1181,'Incremental Network SummerFcast'!$A3),
SUMIFS('Customer Scenario Forecast'!K$22:K$1183,'Customer Scenario Forecast'!$C$20:$C$1181,'Incremental Network SummerFcast'!$A3,'Customer Scenario Forecast'!$H$20:$H$1181,'Incremental Network SummerFcast'!$H$1)+
SUMIFS('Customer Scenario Forecast'!K$22:K$1183,'Customer Scenario Forecast'!$D$20:$D$1181,'Incremental Network SummerFcast'!$A3,'Customer Scenario Forecast'!$H$20:$H$1181,'Incremental Network SummerFcast'!$H$1)+
SUMIFS('Customer Scenario Forecast'!K$22:K$1183,'Customer Scenario Forecast'!$E$20:$E$1181,'Incremental Network SummerFcast'!$A3,'Customer Scenario Forecast'!$H$20:$H$1181,'Incremental Network SummerFcast'!$H$1))</f>
        <v>0</v>
      </c>
      <c r="L6" s="194">
        <f ca="1">IF($H$1="",
SUMIFS('Customer Scenario Forecast'!L$22:L$1183,'Customer Scenario Forecast'!$C$20:$C$1181,'Incremental Network SummerFcast'!$A3)+
SUMIFS('Customer Scenario Forecast'!L$22:L$1183,'Customer Scenario Forecast'!$D$20:$D$1181,'Incremental Network SummerFcast'!$A3)+
SUMIFS('Customer Scenario Forecast'!L$22:L$1183,'Customer Scenario Forecast'!$E$20:$E$1181,'Incremental Network SummerFcast'!$A3),
SUMIFS('Customer Scenario Forecast'!L$22:L$1183,'Customer Scenario Forecast'!$C$20:$C$1181,'Incremental Network SummerFcast'!$A3,'Customer Scenario Forecast'!$H$20:$H$1181,'Incremental Network SummerFcast'!$H$1)+
SUMIFS('Customer Scenario Forecast'!L$22:L$1183,'Customer Scenario Forecast'!$D$20:$D$1181,'Incremental Network SummerFcast'!$A3,'Customer Scenario Forecast'!$H$20:$H$1181,'Incremental Network SummerFcast'!$H$1)+
SUMIFS('Customer Scenario Forecast'!L$22:L$1183,'Customer Scenario Forecast'!$E$20:$E$1181,'Incremental Network SummerFcast'!$A3,'Customer Scenario Forecast'!$H$20:$H$1181,'Incremental Network SummerFcast'!$H$1))</f>
        <v>0</v>
      </c>
    </row>
    <row r="7" spans="1:19" ht="15" thickBot="1">
      <c r="A7" s="195" t="s">
        <v>107</v>
      </c>
      <c r="B7" s="196">
        <f ca="1">IF($H$1="",
1*(
SUMIFS('Customer Scenario Forecast'!B$23:B$1184,'Customer Scenario Forecast'!$C$20:$C$1181,'Incremental Network SummerFcast'!$A3)+
SUMIFS('Customer Scenario Forecast'!B$23:B$1184,'Customer Scenario Forecast'!$D$20:$D$1181,'Incremental Network SummerFcast'!$A3)+
SUMIFS('Customer Scenario Forecast'!B$23:B$1184,'Customer Scenario Forecast'!$E$20:$E$1181,'Incremental Network SummerFcast'!$A3)+B5),
1*(
SUMIFS('Customer Scenario Forecast'!B$23:B$1184,'Customer Scenario Forecast'!$C$20:$C$1181,'Incremental Network SummerFcast'!$A3,'Customer Scenario Forecast'!$H$20:$H$1181,'Incremental Network SummerFcast'!$H$1)+
SUMIFS('Customer Scenario Forecast'!B$23:B$1184,'Customer Scenario Forecast'!$D$20:$D$1181,'Incremental Network SummerFcast'!$A3,'Customer Scenario Forecast'!$H$20:$H$1181,'Incremental Network SummerFcast'!$H$1)+
SUMIFS('Customer Scenario Forecast'!B$23:B$1184,'Customer Scenario Forecast'!$E$20:$E$1181,'Incremental Network SummerFcast'!$A3,'Customer Scenario Forecast'!$H$20:$H$1181,'Incremental Network SummerFcast'!$H$1)+B5))</f>
        <v>0</v>
      </c>
      <c r="C7" s="196">
        <f ca="1">IF($H$1="",
1*(
SUMIFS('Customer Scenario Forecast'!C$23:C$1184,'Customer Scenario Forecast'!$C$20:$C$1181,'Incremental Network SummerFcast'!$A3)+
SUMIFS('Customer Scenario Forecast'!C$23:C$1184,'Customer Scenario Forecast'!$D$20:$D$1181,'Incremental Network SummerFcast'!$A3)+
SUMIFS('Customer Scenario Forecast'!C$23:C$1184,'Customer Scenario Forecast'!$E$20:$E$1181,'Incremental Network SummerFcast'!$A3)+C5),
1*(
SUMIFS('Customer Scenario Forecast'!C$23:C$1184,'Customer Scenario Forecast'!$C$20:$C$1181,'Incremental Network SummerFcast'!$A3,'Customer Scenario Forecast'!$H$20:$H$1181,'Incremental Network SummerFcast'!$H$1)+
SUMIFS('Customer Scenario Forecast'!C$23:C$1184,'Customer Scenario Forecast'!$D$20:$D$1181,'Incremental Network SummerFcast'!$A3,'Customer Scenario Forecast'!$H$20:$H$1181,'Incremental Network SummerFcast'!$H$1)+
SUMIFS('Customer Scenario Forecast'!C$23:C$1184,'Customer Scenario Forecast'!$E$20:$E$1181,'Incremental Network SummerFcast'!$A3,'Customer Scenario Forecast'!$H$20:$H$1181,'Incremental Network SummerFcast'!$H$1)+C5))</f>
        <v>0</v>
      </c>
      <c r="D7" s="196">
        <f ca="1">IF($H$1="",
1*(
SUMIFS('Customer Scenario Forecast'!D$23:D$1184,'Customer Scenario Forecast'!$C$20:$C$1181,'Incremental Network SummerFcast'!$A3)+
SUMIFS('Customer Scenario Forecast'!D$23:D$1184,'Customer Scenario Forecast'!$D$20:$D$1181,'Incremental Network SummerFcast'!$A3)+
SUMIFS('Customer Scenario Forecast'!D$23:D$1184,'Customer Scenario Forecast'!$E$20:$E$1181,'Incremental Network SummerFcast'!$A3)+D5),
1*(
SUMIFS('Customer Scenario Forecast'!D$23:D$1184,'Customer Scenario Forecast'!$C$20:$C$1181,'Incremental Network SummerFcast'!$A3,'Customer Scenario Forecast'!$H$20:$H$1181,'Incremental Network SummerFcast'!$H$1)+
SUMIFS('Customer Scenario Forecast'!D$23:D$1184,'Customer Scenario Forecast'!$D$20:$D$1181,'Incremental Network SummerFcast'!$A3,'Customer Scenario Forecast'!$H$20:$H$1181,'Incremental Network SummerFcast'!$H$1)+
SUMIFS('Customer Scenario Forecast'!D$23:D$1184,'Customer Scenario Forecast'!$E$20:$E$1181,'Incremental Network SummerFcast'!$A3,'Customer Scenario Forecast'!$H$20:$H$1181,'Incremental Network SummerFcast'!$H$1)+D5))</f>
        <v>0</v>
      </c>
      <c r="E7" s="196">
        <f ca="1">IF($H$1="",
1*(
SUMIFS('Customer Scenario Forecast'!E$23:E$1184,'Customer Scenario Forecast'!$C$20:$C$1181,'Incremental Network SummerFcast'!$A3)+
SUMIFS('Customer Scenario Forecast'!E$23:E$1184,'Customer Scenario Forecast'!$D$20:$D$1181,'Incremental Network SummerFcast'!$A3)+
SUMIFS('Customer Scenario Forecast'!E$23:E$1184,'Customer Scenario Forecast'!$E$20:$E$1181,'Incremental Network SummerFcast'!$A3)+E5),
1*(
SUMIFS('Customer Scenario Forecast'!E$23:E$1184,'Customer Scenario Forecast'!$C$20:$C$1181,'Incremental Network SummerFcast'!$A3,'Customer Scenario Forecast'!$H$20:$H$1181,'Incremental Network SummerFcast'!$H$1)+
SUMIFS('Customer Scenario Forecast'!E$23:E$1184,'Customer Scenario Forecast'!$D$20:$D$1181,'Incremental Network SummerFcast'!$A3,'Customer Scenario Forecast'!$H$20:$H$1181,'Incremental Network SummerFcast'!$H$1)+
SUMIFS('Customer Scenario Forecast'!E$23:E$1184,'Customer Scenario Forecast'!$E$20:$E$1181,'Incremental Network SummerFcast'!$A3,'Customer Scenario Forecast'!$H$20:$H$1181,'Incremental Network SummerFcast'!$H$1)+E5))</f>
        <v>0</v>
      </c>
      <c r="F7" s="196">
        <f ca="1">IF($H$1="",
1*(
SUMIFS('Customer Scenario Forecast'!F$23:F$1184,'Customer Scenario Forecast'!$C$20:$C$1181,'Incremental Network SummerFcast'!$A3)+
SUMIFS('Customer Scenario Forecast'!F$23:F$1184,'Customer Scenario Forecast'!$D$20:$D$1181,'Incremental Network SummerFcast'!$A3)+
SUMIFS('Customer Scenario Forecast'!F$23:F$1184,'Customer Scenario Forecast'!$E$20:$E$1181,'Incremental Network SummerFcast'!$A3)+F5),
1*(
SUMIFS('Customer Scenario Forecast'!F$23:F$1184,'Customer Scenario Forecast'!$C$20:$C$1181,'Incremental Network SummerFcast'!$A3,'Customer Scenario Forecast'!$H$20:$H$1181,'Incremental Network SummerFcast'!$H$1)+
SUMIFS('Customer Scenario Forecast'!F$23:F$1184,'Customer Scenario Forecast'!$D$20:$D$1181,'Incremental Network SummerFcast'!$A3,'Customer Scenario Forecast'!$H$20:$H$1181,'Incremental Network SummerFcast'!$H$1)+
SUMIFS('Customer Scenario Forecast'!F$23:F$1184,'Customer Scenario Forecast'!$E$20:$E$1181,'Incremental Network SummerFcast'!$A3,'Customer Scenario Forecast'!$H$20:$H$1181,'Incremental Network SummerFcast'!$H$1)+F5))</f>
        <v>0</v>
      </c>
      <c r="G7" s="196">
        <f ca="1">IF($H$1="",
1*(
SUMIFS('Customer Scenario Forecast'!G$23:G$1184,'Customer Scenario Forecast'!$C$20:$C$1181,'Incremental Network SummerFcast'!$A3)+
SUMIFS('Customer Scenario Forecast'!G$23:G$1184,'Customer Scenario Forecast'!$D$20:$D$1181,'Incremental Network SummerFcast'!$A3)+
SUMIFS('Customer Scenario Forecast'!G$23:G$1184,'Customer Scenario Forecast'!$E$20:$E$1181,'Incremental Network SummerFcast'!$A3)+G5),
1*(
SUMIFS('Customer Scenario Forecast'!G$23:G$1184,'Customer Scenario Forecast'!$C$20:$C$1181,'Incremental Network SummerFcast'!$A3,'Customer Scenario Forecast'!$H$20:$H$1181,'Incremental Network SummerFcast'!$H$1)+
SUMIFS('Customer Scenario Forecast'!G$23:G$1184,'Customer Scenario Forecast'!$D$20:$D$1181,'Incremental Network SummerFcast'!$A3,'Customer Scenario Forecast'!$H$20:$H$1181,'Incremental Network SummerFcast'!$H$1)+
SUMIFS('Customer Scenario Forecast'!G$23:G$1184,'Customer Scenario Forecast'!$E$20:$E$1181,'Incremental Network SummerFcast'!$A3,'Customer Scenario Forecast'!$H$20:$H$1181,'Incremental Network SummerFcast'!$H$1)+G5))</f>
        <v>0</v>
      </c>
      <c r="H7" s="196">
        <f ca="1">IF($H$1="",
1*(
SUMIFS('Customer Scenario Forecast'!H$23:H$1184,'Customer Scenario Forecast'!$C$20:$C$1181,'Incremental Network SummerFcast'!$A3)+
SUMIFS('Customer Scenario Forecast'!H$23:H$1184,'Customer Scenario Forecast'!$D$20:$D$1181,'Incremental Network SummerFcast'!$A3)+
SUMIFS('Customer Scenario Forecast'!H$23:H$1184,'Customer Scenario Forecast'!$E$20:$E$1181,'Incremental Network SummerFcast'!$A3)+H5),
1*(
SUMIFS('Customer Scenario Forecast'!H$23:H$1184,'Customer Scenario Forecast'!$C$20:$C$1181,'Incremental Network SummerFcast'!$A3,'Customer Scenario Forecast'!$H$20:$H$1181,'Incremental Network SummerFcast'!$H$1)+
SUMIFS('Customer Scenario Forecast'!H$23:H$1184,'Customer Scenario Forecast'!$D$20:$D$1181,'Incremental Network SummerFcast'!$A3,'Customer Scenario Forecast'!$H$20:$H$1181,'Incremental Network SummerFcast'!$H$1)+
SUMIFS('Customer Scenario Forecast'!H$23:H$1184,'Customer Scenario Forecast'!$E$20:$E$1181,'Incremental Network SummerFcast'!$A3,'Customer Scenario Forecast'!$H$20:$H$1181,'Incremental Network SummerFcast'!$H$1)+H5))</f>
        <v>0</v>
      </c>
      <c r="I7" s="196">
        <f ca="1">IF($H$1="",
1*(
SUMIFS('Customer Scenario Forecast'!I$23:I$1184,'Customer Scenario Forecast'!$C$20:$C$1181,'Incremental Network SummerFcast'!$A3)+
SUMIFS('Customer Scenario Forecast'!I$23:I$1184,'Customer Scenario Forecast'!$D$20:$D$1181,'Incremental Network SummerFcast'!$A3)+
SUMIFS('Customer Scenario Forecast'!I$23:I$1184,'Customer Scenario Forecast'!$E$20:$E$1181,'Incremental Network SummerFcast'!$A3)+I5),
1*(
SUMIFS('Customer Scenario Forecast'!I$23:I$1184,'Customer Scenario Forecast'!$C$20:$C$1181,'Incremental Network SummerFcast'!$A3,'Customer Scenario Forecast'!$H$20:$H$1181,'Incremental Network SummerFcast'!$H$1)+
SUMIFS('Customer Scenario Forecast'!I$23:I$1184,'Customer Scenario Forecast'!$D$20:$D$1181,'Incremental Network SummerFcast'!$A3,'Customer Scenario Forecast'!$H$20:$H$1181,'Incremental Network SummerFcast'!$H$1)+
SUMIFS('Customer Scenario Forecast'!I$23:I$1184,'Customer Scenario Forecast'!$E$20:$E$1181,'Incremental Network SummerFcast'!$A3,'Customer Scenario Forecast'!$H$20:$H$1181,'Incremental Network SummerFcast'!$H$1)+I5))</f>
        <v>0</v>
      </c>
      <c r="J7" s="196">
        <f ca="1">IF($H$1="",
1*(
SUMIFS('Customer Scenario Forecast'!J$23:J$1184,'Customer Scenario Forecast'!$C$20:$C$1181,'Incremental Network SummerFcast'!$A3)+
SUMIFS('Customer Scenario Forecast'!J$23:J$1184,'Customer Scenario Forecast'!$D$20:$D$1181,'Incremental Network SummerFcast'!$A3)+
SUMIFS('Customer Scenario Forecast'!J$23:J$1184,'Customer Scenario Forecast'!$E$20:$E$1181,'Incremental Network SummerFcast'!$A3)+J5),
1*(
SUMIFS('Customer Scenario Forecast'!J$23:J$1184,'Customer Scenario Forecast'!$C$20:$C$1181,'Incremental Network SummerFcast'!$A3,'Customer Scenario Forecast'!$H$20:$H$1181,'Incremental Network SummerFcast'!$H$1)+
SUMIFS('Customer Scenario Forecast'!J$23:J$1184,'Customer Scenario Forecast'!$D$20:$D$1181,'Incremental Network SummerFcast'!$A3,'Customer Scenario Forecast'!$H$20:$H$1181,'Incremental Network SummerFcast'!$H$1)+
SUMIFS('Customer Scenario Forecast'!J$23:J$1184,'Customer Scenario Forecast'!$E$20:$E$1181,'Incremental Network SummerFcast'!$A3,'Customer Scenario Forecast'!$H$20:$H$1181,'Incremental Network SummerFcast'!$H$1)+J5))</f>
        <v>0</v>
      </c>
      <c r="K7" s="196">
        <f ca="1">IF($H$1="",
1*(
SUMIFS('Customer Scenario Forecast'!K$23:K$1184,'Customer Scenario Forecast'!$C$20:$C$1181,'Incremental Network SummerFcast'!$A3)+
SUMIFS('Customer Scenario Forecast'!K$23:K$1184,'Customer Scenario Forecast'!$D$20:$D$1181,'Incremental Network SummerFcast'!$A3)+
SUMIFS('Customer Scenario Forecast'!K$23:K$1184,'Customer Scenario Forecast'!$E$20:$E$1181,'Incremental Network SummerFcast'!$A3)+K5),
1*(
SUMIFS('Customer Scenario Forecast'!K$23:K$1184,'Customer Scenario Forecast'!$C$20:$C$1181,'Incremental Network SummerFcast'!$A3,'Customer Scenario Forecast'!$H$20:$H$1181,'Incremental Network SummerFcast'!$H$1)+
SUMIFS('Customer Scenario Forecast'!K$23:K$1184,'Customer Scenario Forecast'!$D$20:$D$1181,'Incremental Network SummerFcast'!$A3,'Customer Scenario Forecast'!$H$20:$H$1181,'Incremental Network SummerFcast'!$H$1)+
SUMIFS('Customer Scenario Forecast'!K$23:K$1184,'Customer Scenario Forecast'!$E$20:$E$1181,'Incremental Network SummerFcast'!$A3,'Customer Scenario Forecast'!$H$20:$H$1181,'Incremental Network SummerFcast'!$H$1)+K5))</f>
        <v>0</v>
      </c>
      <c r="L7" s="196">
        <f ca="1">IF($H$1="",
1*(
SUMIFS('Customer Scenario Forecast'!L$23:L$1184,'Customer Scenario Forecast'!$C$20:$C$1181,'Incremental Network SummerFcast'!$A3)+
SUMIFS('Customer Scenario Forecast'!L$23:L$1184,'Customer Scenario Forecast'!$D$20:$D$1181,'Incremental Network SummerFcast'!$A3)+
SUMIFS('Customer Scenario Forecast'!L$23:L$1184,'Customer Scenario Forecast'!$E$20:$E$1181,'Incremental Network SummerFcast'!$A3)+L5),
1*(
SUMIFS('Customer Scenario Forecast'!L$23:L$1184,'Customer Scenario Forecast'!$C$20:$C$1181,'Incremental Network SummerFcast'!$A3,'Customer Scenario Forecast'!$H$20:$H$1181,'Incremental Network SummerFcast'!$H$1)+
SUMIFS('Customer Scenario Forecast'!L$23:L$1184,'Customer Scenario Forecast'!$D$20:$D$1181,'Incremental Network SummerFcast'!$A3,'Customer Scenario Forecast'!$H$20:$H$1181,'Incremental Network SummerFcast'!$H$1)+
SUMIFS('Customer Scenario Forecast'!L$23:L$1184,'Customer Scenario Forecast'!$E$20:$E$1181,'Incremental Network SummerFcast'!$A3,'Customer Scenario Forecast'!$H$20:$H$1181,'Incremental Network SummerFcast'!$H$1)+L5))</f>
        <v>0</v>
      </c>
    </row>
    <row r="8" spans="1:19" ht="15" thickBot="1">
      <c r="A8" s="195" t="s">
        <v>108</v>
      </c>
      <c r="B8" s="196">
        <f ca="1">IF($H$1="",
1*(
SUMIFS('Customer Scenario Forecast'!B$24:B$1185,'Customer Scenario Forecast'!$C$20:$C$1181,'Incremental Network SummerFcast'!$A3)+
SUMIFS('Customer Scenario Forecast'!B$24:B$1185,'Customer Scenario Forecast'!$D$20:$D$1181,'Incremental Network SummerFcast'!$A3)+
SUMIFS('Customer Scenario Forecast'!B$24:B$1185,'Customer Scenario Forecast'!$E$20:$E$1181,'Incremental Network SummerFcast'!$A3)+B5),
1*(
SUMIFS('Customer Scenario Forecast'!B$24:B$1185,'Customer Scenario Forecast'!$C$20:$C$1181,'Incremental Network SummerFcast'!$A3,'Customer Scenario Forecast'!$H$20:$H$1181,'Incremental Network SummerFcast'!$H$1)+
SUMIFS('Customer Scenario Forecast'!B$24:B$1185,'Customer Scenario Forecast'!$D$20:$D$1181,'Incremental Network SummerFcast'!$A3,'Customer Scenario Forecast'!$H$20:$H$1181,'Incremental Network SummerFcast'!$H$1)+
SUMIFS('Customer Scenario Forecast'!B$24:B$1185,'Customer Scenario Forecast'!$E$20:$E$1181,'Incremental Network SummerFcast'!$A3,'Customer Scenario Forecast'!$H$20:$H$1181,'Incremental Network SummerFcast'!$H$1)+B5))</f>
        <v>0</v>
      </c>
      <c r="C8" s="196">
        <f ca="1">IF($H$1="",
1*(
SUMIFS('Customer Scenario Forecast'!C$24:C$1185,'Customer Scenario Forecast'!$C$20:$C$1181,'Incremental Network SummerFcast'!$A3)+
SUMIFS('Customer Scenario Forecast'!C$24:C$1185,'Customer Scenario Forecast'!$D$20:$D$1181,'Incremental Network SummerFcast'!$A3)+
SUMIFS('Customer Scenario Forecast'!C$24:C$1185,'Customer Scenario Forecast'!$E$20:$E$1181,'Incremental Network SummerFcast'!$A3)+C5),
1*(
SUMIFS('Customer Scenario Forecast'!C$24:C$1185,'Customer Scenario Forecast'!$C$20:$C$1181,'Incremental Network SummerFcast'!$A3,'Customer Scenario Forecast'!$H$20:$H$1181,'Incremental Network SummerFcast'!$H$1)+
SUMIFS('Customer Scenario Forecast'!C$24:C$1185,'Customer Scenario Forecast'!$D$20:$D$1181,'Incremental Network SummerFcast'!$A3,'Customer Scenario Forecast'!$H$20:$H$1181,'Incremental Network SummerFcast'!$H$1)+
SUMIFS('Customer Scenario Forecast'!C$24:C$1185,'Customer Scenario Forecast'!$E$20:$E$1181,'Incremental Network SummerFcast'!$A3,'Customer Scenario Forecast'!$H$20:$H$1181,'Incremental Network SummerFcast'!$H$1)+C5))</f>
        <v>0</v>
      </c>
      <c r="D8" s="196">
        <f ca="1">IF($H$1="",
1*(
SUMIFS('Customer Scenario Forecast'!D$24:D$1185,'Customer Scenario Forecast'!$C$20:$C$1181,'Incremental Network SummerFcast'!$A3)+
SUMIFS('Customer Scenario Forecast'!D$24:D$1185,'Customer Scenario Forecast'!$D$20:$D$1181,'Incremental Network SummerFcast'!$A3)+
SUMIFS('Customer Scenario Forecast'!D$24:D$1185,'Customer Scenario Forecast'!$E$20:$E$1181,'Incremental Network SummerFcast'!$A3)+D5),
1*(
SUMIFS('Customer Scenario Forecast'!D$24:D$1185,'Customer Scenario Forecast'!$C$20:$C$1181,'Incremental Network SummerFcast'!$A3,'Customer Scenario Forecast'!$H$20:$H$1181,'Incremental Network SummerFcast'!$H$1)+
SUMIFS('Customer Scenario Forecast'!D$24:D$1185,'Customer Scenario Forecast'!$D$20:$D$1181,'Incremental Network SummerFcast'!$A3,'Customer Scenario Forecast'!$H$20:$H$1181,'Incremental Network SummerFcast'!$H$1)+
SUMIFS('Customer Scenario Forecast'!D$24:D$1185,'Customer Scenario Forecast'!$E$20:$E$1181,'Incremental Network SummerFcast'!$A3,'Customer Scenario Forecast'!$H$20:$H$1181,'Incremental Network SummerFcast'!$H$1)+D5))</f>
        <v>0</v>
      </c>
      <c r="E8" s="196">
        <f ca="1">IF($H$1="",
1*(
SUMIFS('Customer Scenario Forecast'!E$24:E$1185,'Customer Scenario Forecast'!$C$20:$C$1181,'Incremental Network SummerFcast'!$A3)+
SUMIFS('Customer Scenario Forecast'!E$24:E$1185,'Customer Scenario Forecast'!$D$20:$D$1181,'Incremental Network SummerFcast'!$A3)+
SUMIFS('Customer Scenario Forecast'!E$24:E$1185,'Customer Scenario Forecast'!$E$20:$E$1181,'Incremental Network SummerFcast'!$A3)+E5),
1*(
SUMIFS('Customer Scenario Forecast'!E$24:E$1185,'Customer Scenario Forecast'!$C$20:$C$1181,'Incremental Network SummerFcast'!$A3,'Customer Scenario Forecast'!$H$20:$H$1181,'Incremental Network SummerFcast'!$H$1)+
SUMIFS('Customer Scenario Forecast'!E$24:E$1185,'Customer Scenario Forecast'!$D$20:$D$1181,'Incremental Network SummerFcast'!$A3,'Customer Scenario Forecast'!$H$20:$H$1181,'Incremental Network SummerFcast'!$H$1)+
SUMIFS('Customer Scenario Forecast'!E$24:E$1185,'Customer Scenario Forecast'!$E$20:$E$1181,'Incremental Network SummerFcast'!$A3,'Customer Scenario Forecast'!$H$20:$H$1181,'Incremental Network SummerFcast'!$H$1)+E5))</f>
        <v>0</v>
      </c>
      <c r="F8" s="196">
        <f ca="1">IF($H$1="",
1*(
SUMIFS('Customer Scenario Forecast'!F$24:F$1185,'Customer Scenario Forecast'!$C$20:$C$1181,'Incremental Network SummerFcast'!$A3)+
SUMIFS('Customer Scenario Forecast'!F$24:F$1185,'Customer Scenario Forecast'!$D$20:$D$1181,'Incremental Network SummerFcast'!$A3)+
SUMIFS('Customer Scenario Forecast'!F$24:F$1185,'Customer Scenario Forecast'!$E$20:$E$1181,'Incremental Network SummerFcast'!$A3)+F5),
1*(
SUMIFS('Customer Scenario Forecast'!F$24:F$1185,'Customer Scenario Forecast'!$C$20:$C$1181,'Incremental Network SummerFcast'!$A3,'Customer Scenario Forecast'!$H$20:$H$1181,'Incremental Network SummerFcast'!$H$1)+
SUMIFS('Customer Scenario Forecast'!F$24:F$1185,'Customer Scenario Forecast'!$D$20:$D$1181,'Incremental Network SummerFcast'!$A3,'Customer Scenario Forecast'!$H$20:$H$1181,'Incremental Network SummerFcast'!$H$1)+
SUMIFS('Customer Scenario Forecast'!F$24:F$1185,'Customer Scenario Forecast'!$E$20:$E$1181,'Incremental Network SummerFcast'!$A3,'Customer Scenario Forecast'!$H$20:$H$1181,'Incremental Network SummerFcast'!$H$1)+F5))</f>
        <v>0</v>
      </c>
      <c r="G8" s="196">
        <f ca="1">IF($H$1="",
1*(
SUMIFS('Customer Scenario Forecast'!G$24:G$1185,'Customer Scenario Forecast'!$C$20:$C$1181,'Incremental Network SummerFcast'!$A3)+
SUMIFS('Customer Scenario Forecast'!G$24:G$1185,'Customer Scenario Forecast'!$D$20:$D$1181,'Incremental Network SummerFcast'!$A3)+
SUMIFS('Customer Scenario Forecast'!G$24:G$1185,'Customer Scenario Forecast'!$E$20:$E$1181,'Incremental Network SummerFcast'!$A3)+G5),
1*(
SUMIFS('Customer Scenario Forecast'!G$24:G$1185,'Customer Scenario Forecast'!$C$20:$C$1181,'Incremental Network SummerFcast'!$A3,'Customer Scenario Forecast'!$H$20:$H$1181,'Incremental Network SummerFcast'!$H$1)+
SUMIFS('Customer Scenario Forecast'!G$24:G$1185,'Customer Scenario Forecast'!$D$20:$D$1181,'Incremental Network SummerFcast'!$A3,'Customer Scenario Forecast'!$H$20:$H$1181,'Incremental Network SummerFcast'!$H$1)+
SUMIFS('Customer Scenario Forecast'!G$24:G$1185,'Customer Scenario Forecast'!$E$20:$E$1181,'Incremental Network SummerFcast'!$A3,'Customer Scenario Forecast'!$H$20:$H$1181,'Incremental Network SummerFcast'!$H$1)+G5))</f>
        <v>0</v>
      </c>
      <c r="H8" s="196">
        <f ca="1">IF($H$1="",
1*(
SUMIFS('Customer Scenario Forecast'!H$24:H$1185,'Customer Scenario Forecast'!$C$20:$C$1181,'Incremental Network SummerFcast'!$A3)+
SUMIFS('Customer Scenario Forecast'!H$24:H$1185,'Customer Scenario Forecast'!$D$20:$D$1181,'Incremental Network SummerFcast'!$A3)+
SUMIFS('Customer Scenario Forecast'!H$24:H$1185,'Customer Scenario Forecast'!$E$20:$E$1181,'Incremental Network SummerFcast'!$A3)+H5),
1*(
SUMIFS('Customer Scenario Forecast'!H$24:H$1185,'Customer Scenario Forecast'!$C$20:$C$1181,'Incremental Network SummerFcast'!$A3,'Customer Scenario Forecast'!$H$20:$H$1181,'Incremental Network SummerFcast'!$H$1)+
SUMIFS('Customer Scenario Forecast'!H$24:H$1185,'Customer Scenario Forecast'!$D$20:$D$1181,'Incremental Network SummerFcast'!$A3,'Customer Scenario Forecast'!$H$20:$H$1181,'Incremental Network SummerFcast'!$H$1)+
SUMIFS('Customer Scenario Forecast'!H$24:H$1185,'Customer Scenario Forecast'!$E$20:$E$1181,'Incremental Network SummerFcast'!$A3,'Customer Scenario Forecast'!$H$20:$H$1181,'Incremental Network SummerFcast'!$H$1)+H5))</f>
        <v>0</v>
      </c>
      <c r="I8" s="196">
        <f ca="1">IF($H$1="",
1*(
SUMIFS('Customer Scenario Forecast'!I$24:I$1185,'Customer Scenario Forecast'!$C$20:$C$1181,'Incremental Network SummerFcast'!$A3)+
SUMIFS('Customer Scenario Forecast'!I$24:I$1185,'Customer Scenario Forecast'!$D$20:$D$1181,'Incremental Network SummerFcast'!$A3)+
SUMIFS('Customer Scenario Forecast'!I$24:I$1185,'Customer Scenario Forecast'!$E$20:$E$1181,'Incremental Network SummerFcast'!$A3)+I5),
1*(
SUMIFS('Customer Scenario Forecast'!I$24:I$1185,'Customer Scenario Forecast'!$C$20:$C$1181,'Incremental Network SummerFcast'!$A3,'Customer Scenario Forecast'!$H$20:$H$1181,'Incremental Network SummerFcast'!$H$1)+
SUMIFS('Customer Scenario Forecast'!I$24:I$1185,'Customer Scenario Forecast'!$D$20:$D$1181,'Incremental Network SummerFcast'!$A3,'Customer Scenario Forecast'!$H$20:$H$1181,'Incremental Network SummerFcast'!$H$1)+
SUMIFS('Customer Scenario Forecast'!I$24:I$1185,'Customer Scenario Forecast'!$E$20:$E$1181,'Incremental Network SummerFcast'!$A3,'Customer Scenario Forecast'!$H$20:$H$1181,'Incremental Network SummerFcast'!$H$1)+I5))</f>
        <v>0</v>
      </c>
      <c r="J8" s="196">
        <f ca="1">IF($H$1="",
1*(
SUMIFS('Customer Scenario Forecast'!J$24:J$1185,'Customer Scenario Forecast'!$C$20:$C$1181,'Incremental Network SummerFcast'!$A3)+
SUMIFS('Customer Scenario Forecast'!J$24:J$1185,'Customer Scenario Forecast'!$D$20:$D$1181,'Incremental Network SummerFcast'!$A3)+
SUMIFS('Customer Scenario Forecast'!J$24:J$1185,'Customer Scenario Forecast'!$E$20:$E$1181,'Incremental Network SummerFcast'!$A3)+J5),
1*(
SUMIFS('Customer Scenario Forecast'!J$24:J$1185,'Customer Scenario Forecast'!$C$20:$C$1181,'Incremental Network SummerFcast'!$A3,'Customer Scenario Forecast'!$H$20:$H$1181,'Incremental Network SummerFcast'!$H$1)+
SUMIFS('Customer Scenario Forecast'!J$24:J$1185,'Customer Scenario Forecast'!$D$20:$D$1181,'Incremental Network SummerFcast'!$A3,'Customer Scenario Forecast'!$H$20:$H$1181,'Incremental Network SummerFcast'!$H$1)+
SUMIFS('Customer Scenario Forecast'!J$24:J$1185,'Customer Scenario Forecast'!$E$20:$E$1181,'Incremental Network SummerFcast'!$A3,'Customer Scenario Forecast'!$H$20:$H$1181,'Incremental Network SummerFcast'!$H$1)+J5))</f>
        <v>0</v>
      </c>
      <c r="K8" s="196">
        <f ca="1">IF($H$1="",
1*(
SUMIFS('Customer Scenario Forecast'!K$24:K$1185,'Customer Scenario Forecast'!$C$20:$C$1181,'Incremental Network SummerFcast'!$A3)+
SUMIFS('Customer Scenario Forecast'!K$24:K$1185,'Customer Scenario Forecast'!$D$20:$D$1181,'Incremental Network SummerFcast'!$A3)+
SUMIFS('Customer Scenario Forecast'!K$24:K$1185,'Customer Scenario Forecast'!$E$20:$E$1181,'Incremental Network SummerFcast'!$A3)+K5),
1*(
SUMIFS('Customer Scenario Forecast'!K$24:K$1185,'Customer Scenario Forecast'!$C$20:$C$1181,'Incremental Network SummerFcast'!$A3,'Customer Scenario Forecast'!$H$20:$H$1181,'Incremental Network SummerFcast'!$H$1)+
SUMIFS('Customer Scenario Forecast'!K$24:K$1185,'Customer Scenario Forecast'!$D$20:$D$1181,'Incremental Network SummerFcast'!$A3,'Customer Scenario Forecast'!$H$20:$H$1181,'Incremental Network SummerFcast'!$H$1)+
SUMIFS('Customer Scenario Forecast'!K$24:K$1185,'Customer Scenario Forecast'!$E$20:$E$1181,'Incremental Network SummerFcast'!$A3,'Customer Scenario Forecast'!$H$20:$H$1181,'Incremental Network SummerFcast'!$H$1)+K5))</f>
        <v>0</v>
      </c>
      <c r="L8" s="196">
        <f ca="1">IF($H$1="",
1*(
SUMIFS('Customer Scenario Forecast'!L$24:L$1185,'Customer Scenario Forecast'!$C$20:$C$1181,'Incremental Network SummerFcast'!$A3)+
SUMIFS('Customer Scenario Forecast'!L$24:L$1185,'Customer Scenario Forecast'!$D$20:$D$1181,'Incremental Network SummerFcast'!$A3)+
SUMIFS('Customer Scenario Forecast'!L$24:L$1185,'Customer Scenario Forecast'!$E$20:$E$1181,'Incremental Network SummerFcast'!$A3)+L5),
1*(
SUMIFS('Customer Scenario Forecast'!L$24:L$1185,'Customer Scenario Forecast'!$C$20:$C$1181,'Incremental Network SummerFcast'!$A3,'Customer Scenario Forecast'!$H$20:$H$1181,'Incremental Network SummerFcast'!$H$1)+
SUMIFS('Customer Scenario Forecast'!L$24:L$1185,'Customer Scenario Forecast'!$D$20:$D$1181,'Incremental Network SummerFcast'!$A3,'Customer Scenario Forecast'!$H$20:$H$1181,'Incremental Network SummerFcast'!$H$1)+
SUMIFS('Customer Scenario Forecast'!L$24:L$1185,'Customer Scenario Forecast'!$E$20:$E$1181,'Incremental Network SummerFcast'!$A3,'Customer Scenario Forecast'!$H$20:$H$1181,'Incremental Network SummerFcast'!$H$1)+L5))</f>
        <v>0</v>
      </c>
    </row>
    <row r="9" spans="1:19" ht="15" thickBot="1">
      <c r="A9" s="197" t="s">
        <v>109</v>
      </c>
      <c r="B9" s="198">
        <f ca="1">IF($H$1="",
1*(
SUMIFS('Customer Scenario Forecast'!B$25:B$1186,'Customer Scenario Forecast'!$C$20:$C$1181,'Incremental Network SummerFcast'!$A3)+
SUMIFS('Customer Scenario Forecast'!B$25:B$1186,'Customer Scenario Forecast'!$D$20:$D$1181,'Incremental Network SummerFcast'!$A3)+
SUMIFS('Customer Scenario Forecast'!B$25:B$1186,'Customer Scenario Forecast'!$E$20:$E$1181,'Incremental Network SummerFcast'!$A3)+B5),
1*(
SUMIFS('Customer Scenario Forecast'!B$25:B$1186,'Customer Scenario Forecast'!$C$20:$C$1181,'Incremental Network SummerFcast'!$A3,'Customer Scenario Forecast'!$H$20:$H$1181,'Incremental Network SummerFcast'!$H$1)+
SUMIFS('Customer Scenario Forecast'!B$25:B$1186,'Customer Scenario Forecast'!$D$20:$D$1181,'Incremental Network SummerFcast'!$A3,'Customer Scenario Forecast'!$H$20:$H$1181,'Incremental Network SummerFcast'!$H$1)+
SUMIFS('Customer Scenario Forecast'!B$25:B$1186,'Customer Scenario Forecast'!$E$20:$E$1181,'Incremental Network SummerFcast'!$A3,'Customer Scenario Forecast'!$H$20:$H$1181,'Incremental Network SummerFcast'!$H$1)+B5))</f>
        <v>0</v>
      </c>
      <c r="C9" s="198">
        <f ca="1">IF($H$1="",
1*(
SUMIFS('Customer Scenario Forecast'!C$25:C$1186,'Customer Scenario Forecast'!$C$20:$C$1181,'Incremental Network SummerFcast'!$A3)+
SUMIFS('Customer Scenario Forecast'!C$25:C$1186,'Customer Scenario Forecast'!$D$20:$D$1181,'Incremental Network SummerFcast'!$A3)+
SUMIFS('Customer Scenario Forecast'!C$25:C$1186,'Customer Scenario Forecast'!$E$20:$E$1181,'Incremental Network SummerFcast'!$A3)+C5),
1*(
SUMIFS('Customer Scenario Forecast'!C$25:C$1186,'Customer Scenario Forecast'!$C$20:$C$1181,'Incremental Network SummerFcast'!$A3,'Customer Scenario Forecast'!$H$20:$H$1181,'Incremental Network SummerFcast'!$H$1)+
SUMIFS('Customer Scenario Forecast'!C$25:C$1186,'Customer Scenario Forecast'!$D$20:$D$1181,'Incremental Network SummerFcast'!$A3,'Customer Scenario Forecast'!$H$20:$H$1181,'Incremental Network SummerFcast'!$H$1)+
SUMIFS('Customer Scenario Forecast'!C$25:C$1186,'Customer Scenario Forecast'!$E$20:$E$1181,'Incremental Network SummerFcast'!$A3,'Customer Scenario Forecast'!$H$20:$H$1181,'Incremental Network SummerFcast'!$H$1)+C5))</f>
        <v>0</v>
      </c>
      <c r="D9" s="198">
        <f ca="1">IF($H$1="",
1*(
SUMIFS('Customer Scenario Forecast'!D$25:D$1186,'Customer Scenario Forecast'!$C$20:$C$1181,'Incremental Network SummerFcast'!$A3)+
SUMIFS('Customer Scenario Forecast'!D$25:D$1186,'Customer Scenario Forecast'!$D$20:$D$1181,'Incremental Network SummerFcast'!$A3)+
SUMIFS('Customer Scenario Forecast'!D$25:D$1186,'Customer Scenario Forecast'!$E$20:$E$1181,'Incremental Network SummerFcast'!$A3)+D5),
1*(
SUMIFS('Customer Scenario Forecast'!D$25:D$1186,'Customer Scenario Forecast'!$C$20:$C$1181,'Incremental Network SummerFcast'!$A3,'Customer Scenario Forecast'!$H$20:$H$1181,'Incremental Network SummerFcast'!$H$1)+
SUMIFS('Customer Scenario Forecast'!D$25:D$1186,'Customer Scenario Forecast'!$D$20:$D$1181,'Incremental Network SummerFcast'!$A3,'Customer Scenario Forecast'!$H$20:$H$1181,'Incremental Network SummerFcast'!$H$1)+
SUMIFS('Customer Scenario Forecast'!D$25:D$1186,'Customer Scenario Forecast'!$E$20:$E$1181,'Incremental Network SummerFcast'!$A3,'Customer Scenario Forecast'!$H$20:$H$1181,'Incremental Network SummerFcast'!$H$1)+D5))</f>
        <v>0</v>
      </c>
      <c r="E9" s="198">
        <f ca="1">IF($H$1="",
1*(
SUMIFS('Customer Scenario Forecast'!E$25:E$1186,'Customer Scenario Forecast'!$C$20:$C$1181,'Incremental Network SummerFcast'!$A3)+
SUMIFS('Customer Scenario Forecast'!E$25:E$1186,'Customer Scenario Forecast'!$D$20:$D$1181,'Incremental Network SummerFcast'!$A3)+
SUMIFS('Customer Scenario Forecast'!E$25:E$1186,'Customer Scenario Forecast'!$E$20:$E$1181,'Incremental Network SummerFcast'!$A3)+E5),
1*(
SUMIFS('Customer Scenario Forecast'!E$25:E$1186,'Customer Scenario Forecast'!$C$20:$C$1181,'Incremental Network SummerFcast'!$A3,'Customer Scenario Forecast'!$H$20:$H$1181,'Incremental Network SummerFcast'!$H$1)+
SUMIFS('Customer Scenario Forecast'!E$25:E$1186,'Customer Scenario Forecast'!$D$20:$D$1181,'Incremental Network SummerFcast'!$A3,'Customer Scenario Forecast'!$H$20:$H$1181,'Incremental Network SummerFcast'!$H$1)+
SUMIFS('Customer Scenario Forecast'!E$25:E$1186,'Customer Scenario Forecast'!$E$20:$E$1181,'Incremental Network SummerFcast'!$A3,'Customer Scenario Forecast'!$H$20:$H$1181,'Incremental Network SummerFcast'!$H$1)+E5))</f>
        <v>0</v>
      </c>
      <c r="F9" s="198">
        <f ca="1">IF($H$1="",
1*(
SUMIFS('Customer Scenario Forecast'!F$25:F$1186,'Customer Scenario Forecast'!$C$20:$C$1181,'Incremental Network SummerFcast'!$A3)+
SUMIFS('Customer Scenario Forecast'!F$25:F$1186,'Customer Scenario Forecast'!$D$20:$D$1181,'Incremental Network SummerFcast'!$A3)+
SUMIFS('Customer Scenario Forecast'!F$25:F$1186,'Customer Scenario Forecast'!$E$20:$E$1181,'Incremental Network SummerFcast'!$A3)+F5),
1*(
SUMIFS('Customer Scenario Forecast'!F$25:F$1186,'Customer Scenario Forecast'!$C$20:$C$1181,'Incremental Network SummerFcast'!$A3,'Customer Scenario Forecast'!$H$20:$H$1181,'Incremental Network SummerFcast'!$H$1)+
SUMIFS('Customer Scenario Forecast'!F$25:F$1186,'Customer Scenario Forecast'!$D$20:$D$1181,'Incremental Network SummerFcast'!$A3,'Customer Scenario Forecast'!$H$20:$H$1181,'Incremental Network SummerFcast'!$H$1)+
SUMIFS('Customer Scenario Forecast'!F$25:F$1186,'Customer Scenario Forecast'!$E$20:$E$1181,'Incremental Network SummerFcast'!$A3,'Customer Scenario Forecast'!$H$20:$H$1181,'Incremental Network SummerFcast'!$H$1)+F5))</f>
        <v>0</v>
      </c>
      <c r="G9" s="198">
        <f ca="1">IF($H$1="",
1*(
SUMIFS('Customer Scenario Forecast'!G$25:G$1186,'Customer Scenario Forecast'!$C$20:$C$1181,'Incremental Network SummerFcast'!$A3)+
SUMIFS('Customer Scenario Forecast'!G$25:G$1186,'Customer Scenario Forecast'!$D$20:$D$1181,'Incremental Network SummerFcast'!$A3)+
SUMIFS('Customer Scenario Forecast'!G$25:G$1186,'Customer Scenario Forecast'!$E$20:$E$1181,'Incremental Network SummerFcast'!$A3)+G5),
1*(
SUMIFS('Customer Scenario Forecast'!G$25:G$1186,'Customer Scenario Forecast'!$C$20:$C$1181,'Incremental Network SummerFcast'!$A3,'Customer Scenario Forecast'!$H$20:$H$1181,'Incremental Network SummerFcast'!$H$1)+
SUMIFS('Customer Scenario Forecast'!G$25:G$1186,'Customer Scenario Forecast'!$D$20:$D$1181,'Incremental Network SummerFcast'!$A3,'Customer Scenario Forecast'!$H$20:$H$1181,'Incremental Network SummerFcast'!$H$1)+
SUMIFS('Customer Scenario Forecast'!G$25:G$1186,'Customer Scenario Forecast'!$E$20:$E$1181,'Incremental Network SummerFcast'!$A3,'Customer Scenario Forecast'!$H$20:$H$1181,'Incremental Network SummerFcast'!$H$1)+G5))</f>
        <v>0</v>
      </c>
      <c r="H9" s="198">
        <f ca="1">IF($H$1="",
1*(
SUMIFS('Customer Scenario Forecast'!H$25:H$1186,'Customer Scenario Forecast'!$C$20:$C$1181,'Incremental Network SummerFcast'!$A3)+
SUMIFS('Customer Scenario Forecast'!H$25:H$1186,'Customer Scenario Forecast'!$D$20:$D$1181,'Incremental Network SummerFcast'!$A3)+
SUMIFS('Customer Scenario Forecast'!H$25:H$1186,'Customer Scenario Forecast'!$E$20:$E$1181,'Incremental Network SummerFcast'!$A3)+H5),
1*(
SUMIFS('Customer Scenario Forecast'!H$25:H$1186,'Customer Scenario Forecast'!$C$20:$C$1181,'Incremental Network SummerFcast'!$A3,'Customer Scenario Forecast'!$H$20:$H$1181,'Incremental Network SummerFcast'!$H$1)+
SUMIFS('Customer Scenario Forecast'!H$25:H$1186,'Customer Scenario Forecast'!$D$20:$D$1181,'Incremental Network SummerFcast'!$A3,'Customer Scenario Forecast'!$H$20:$H$1181,'Incremental Network SummerFcast'!$H$1)+
SUMIFS('Customer Scenario Forecast'!H$25:H$1186,'Customer Scenario Forecast'!$E$20:$E$1181,'Incremental Network SummerFcast'!$A3,'Customer Scenario Forecast'!$H$20:$H$1181,'Incremental Network SummerFcast'!$H$1)+H5))</f>
        <v>0</v>
      </c>
      <c r="I9" s="198">
        <f ca="1">IF($H$1="",
1*(
SUMIFS('Customer Scenario Forecast'!I$25:I$1186,'Customer Scenario Forecast'!$C$20:$C$1181,'Incremental Network SummerFcast'!$A3)+
SUMIFS('Customer Scenario Forecast'!I$25:I$1186,'Customer Scenario Forecast'!$D$20:$D$1181,'Incremental Network SummerFcast'!$A3)+
SUMIFS('Customer Scenario Forecast'!I$25:I$1186,'Customer Scenario Forecast'!$E$20:$E$1181,'Incremental Network SummerFcast'!$A3)+I5),
1*(
SUMIFS('Customer Scenario Forecast'!I$25:I$1186,'Customer Scenario Forecast'!$C$20:$C$1181,'Incremental Network SummerFcast'!$A3,'Customer Scenario Forecast'!$H$20:$H$1181,'Incremental Network SummerFcast'!$H$1)+
SUMIFS('Customer Scenario Forecast'!I$25:I$1186,'Customer Scenario Forecast'!$D$20:$D$1181,'Incremental Network SummerFcast'!$A3,'Customer Scenario Forecast'!$H$20:$H$1181,'Incremental Network SummerFcast'!$H$1)+
SUMIFS('Customer Scenario Forecast'!I$25:I$1186,'Customer Scenario Forecast'!$E$20:$E$1181,'Incremental Network SummerFcast'!$A3,'Customer Scenario Forecast'!$H$20:$H$1181,'Incremental Network SummerFcast'!$H$1)+I5))</f>
        <v>0</v>
      </c>
      <c r="J9" s="198">
        <f ca="1">IF($H$1="",
1*(
SUMIFS('Customer Scenario Forecast'!J$25:J$1186,'Customer Scenario Forecast'!$C$20:$C$1181,'Incremental Network SummerFcast'!$A3)+
SUMIFS('Customer Scenario Forecast'!J$25:J$1186,'Customer Scenario Forecast'!$D$20:$D$1181,'Incremental Network SummerFcast'!$A3)+
SUMIFS('Customer Scenario Forecast'!J$25:J$1186,'Customer Scenario Forecast'!$E$20:$E$1181,'Incremental Network SummerFcast'!$A3)+J5),
1*(
SUMIFS('Customer Scenario Forecast'!J$25:J$1186,'Customer Scenario Forecast'!$C$20:$C$1181,'Incremental Network SummerFcast'!$A3,'Customer Scenario Forecast'!$H$20:$H$1181,'Incremental Network SummerFcast'!$H$1)+
SUMIFS('Customer Scenario Forecast'!J$25:J$1186,'Customer Scenario Forecast'!$D$20:$D$1181,'Incremental Network SummerFcast'!$A3,'Customer Scenario Forecast'!$H$20:$H$1181,'Incremental Network SummerFcast'!$H$1)+
SUMIFS('Customer Scenario Forecast'!J$25:J$1186,'Customer Scenario Forecast'!$E$20:$E$1181,'Incremental Network SummerFcast'!$A3,'Customer Scenario Forecast'!$H$20:$H$1181,'Incremental Network SummerFcast'!$H$1)+J5))</f>
        <v>0</v>
      </c>
      <c r="K9" s="198">
        <f ca="1">IF($H$1="",
1*(
SUMIFS('Customer Scenario Forecast'!K$25:K$1186,'Customer Scenario Forecast'!$C$20:$C$1181,'Incremental Network SummerFcast'!$A3)+
SUMIFS('Customer Scenario Forecast'!K$25:K$1186,'Customer Scenario Forecast'!$D$20:$D$1181,'Incremental Network SummerFcast'!$A3)+
SUMIFS('Customer Scenario Forecast'!K$25:K$1186,'Customer Scenario Forecast'!$E$20:$E$1181,'Incremental Network SummerFcast'!$A3)+K5),
1*(
SUMIFS('Customer Scenario Forecast'!K$25:K$1186,'Customer Scenario Forecast'!$C$20:$C$1181,'Incremental Network SummerFcast'!$A3,'Customer Scenario Forecast'!$H$20:$H$1181,'Incremental Network SummerFcast'!$H$1)+
SUMIFS('Customer Scenario Forecast'!K$25:K$1186,'Customer Scenario Forecast'!$D$20:$D$1181,'Incremental Network SummerFcast'!$A3,'Customer Scenario Forecast'!$H$20:$H$1181,'Incremental Network SummerFcast'!$H$1)+
SUMIFS('Customer Scenario Forecast'!K$25:K$1186,'Customer Scenario Forecast'!$E$20:$E$1181,'Incremental Network SummerFcast'!$A3,'Customer Scenario Forecast'!$H$20:$H$1181,'Incremental Network SummerFcast'!$H$1)+K5))</f>
        <v>0</v>
      </c>
      <c r="L9" s="198">
        <f ca="1">IF($H$1="",
1*(
SUMIFS('Customer Scenario Forecast'!L$25:L$1186,'Customer Scenario Forecast'!$C$20:$C$1181,'Incremental Network SummerFcast'!$A3)+
SUMIFS('Customer Scenario Forecast'!L$25:L$1186,'Customer Scenario Forecast'!$D$20:$D$1181,'Incremental Network SummerFcast'!$A3)+
SUMIFS('Customer Scenario Forecast'!L$25:L$1186,'Customer Scenario Forecast'!$E$20:$E$1181,'Incremental Network SummerFcast'!$A3)+L5),
1*(
SUMIFS('Customer Scenario Forecast'!L$25:L$1186,'Customer Scenario Forecast'!$C$20:$C$1181,'Incremental Network SummerFcast'!$A3,'Customer Scenario Forecast'!$H$20:$H$1181,'Incremental Network SummerFcast'!$H$1)+
SUMIFS('Customer Scenario Forecast'!L$25:L$1186,'Customer Scenario Forecast'!$D$20:$D$1181,'Incremental Network SummerFcast'!$A3,'Customer Scenario Forecast'!$H$20:$H$1181,'Incremental Network SummerFcast'!$H$1)+
SUMIFS('Customer Scenario Forecast'!L$25:L$1186,'Customer Scenario Forecast'!$E$20:$E$1181,'Incremental Network SummerFcast'!$A3,'Customer Scenario Forecast'!$H$20:$H$1181,'Incremental Network SummerFcast'!$H$1)+L5))</f>
        <v>0</v>
      </c>
    </row>
    <row r="10" spans="1:19" ht="15.6" thickTop="1" thickBot="1">
      <c r="A10" s="197" t="s">
        <v>148</v>
      </c>
      <c r="B10" s="198">
        <f ca="1">'Incremental Network SummerFcast'!$B$245*B7+'Incremental Network SummerFcast'!$B$246*B8+'Incremental Network SummerFcast'!$B$247*B9</f>
        <v>0</v>
      </c>
      <c r="C10" s="198">
        <f ca="1">'Incremental Network SummerFcast'!$B$245*C7+'Incremental Network SummerFcast'!$B$246*C8+'Incremental Network SummerFcast'!$B$247*C9</f>
        <v>0</v>
      </c>
      <c r="D10" s="198">
        <f ca="1">'Incremental Network SummerFcast'!$B$245*D7+'Incremental Network SummerFcast'!$B$246*D8+'Incremental Network SummerFcast'!$B$247*D9</f>
        <v>0</v>
      </c>
      <c r="E10" s="198">
        <f ca="1">'Incremental Network SummerFcast'!$B$245*E7+'Incremental Network SummerFcast'!$B$246*E8+'Incremental Network SummerFcast'!$B$247*E9</f>
        <v>0</v>
      </c>
      <c r="F10" s="198">
        <f ca="1">'Incremental Network SummerFcast'!$B$245*F7+'Incremental Network SummerFcast'!$B$246*F8+'Incremental Network SummerFcast'!$B$247*F9</f>
        <v>0</v>
      </c>
      <c r="G10" s="198">
        <f ca="1">'Incremental Network SummerFcast'!$B$245*G7+'Incremental Network SummerFcast'!$B$246*G8+'Incremental Network SummerFcast'!$B$247*G9</f>
        <v>0</v>
      </c>
      <c r="H10" s="198">
        <f ca="1">'Incremental Network SummerFcast'!$B$245*H7+'Incremental Network SummerFcast'!$B$246*H8+'Incremental Network SummerFcast'!$B$247*H9</f>
        <v>0</v>
      </c>
      <c r="I10" s="198">
        <f ca="1">'Incremental Network SummerFcast'!$B$245*I7+'Incremental Network SummerFcast'!$B$246*I8+'Incremental Network SummerFcast'!$B$247*I9</f>
        <v>0</v>
      </c>
      <c r="J10" s="198">
        <f ca="1">'Incremental Network SummerFcast'!$B$245*J7+'Incremental Network SummerFcast'!$B$246*J8+'Incremental Network SummerFcast'!$B$247*J9</f>
        <v>0</v>
      </c>
      <c r="K10" s="198">
        <f ca="1">'Incremental Network SummerFcast'!$B$245*K7+'Incremental Network SummerFcast'!$B$246*K8+'Incremental Network SummerFcast'!$B$247*K9</f>
        <v>0</v>
      </c>
      <c r="L10" s="198">
        <f ca="1">'Incremental Network SummerFcast'!$B$245*L7+'Incremental Network SummerFcast'!$B$246*L8+'Incremental Network SummerFcast'!$B$247*L9</f>
        <v>0</v>
      </c>
    </row>
    <row r="11" spans="1:19" ht="15.6" thickTop="1" thickBot="1">
      <c r="A11" s="187" t="s">
        <v>119</v>
      </c>
      <c r="B11" s="216"/>
      <c r="C11" s="190"/>
      <c r="D11" s="190"/>
      <c r="E11" s="190"/>
      <c r="F11" s="190"/>
      <c r="G11" s="190"/>
      <c r="H11" s="190"/>
      <c r="I11" s="190"/>
      <c r="J11" s="190"/>
      <c r="K11" s="190"/>
      <c r="L11" s="190"/>
    </row>
    <row r="12" spans="1:19" ht="15" thickBot="1">
      <c r="A12" s="191" t="str">
        <f>A4</f>
        <v>Uptake Scenario</v>
      </c>
      <c r="B12" s="191">
        <f t="shared" ref="B12:L12" si="1">B4</f>
        <v>2023</v>
      </c>
      <c r="C12" s="191">
        <f t="shared" si="1"/>
        <v>2024</v>
      </c>
      <c r="D12" s="191">
        <f t="shared" si="1"/>
        <v>2025</v>
      </c>
      <c r="E12" s="191">
        <f t="shared" si="1"/>
        <v>2026</v>
      </c>
      <c r="F12" s="191">
        <f t="shared" si="1"/>
        <v>2027</v>
      </c>
      <c r="G12" s="191">
        <f t="shared" si="1"/>
        <v>2028</v>
      </c>
      <c r="H12" s="191">
        <f t="shared" si="1"/>
        <v>2029</v>
      </c>
      <c r="I12" s="191">
        <f t="shared" si="1"/>
        <v>2030</v>
      </c>
      <c r="J12" s="191">
        <f t="shared" si="1"/>
        <v>2031</v>
      </c>
      <c r="K12" s="191">
        <f t="shared" si="1"/>
        <v>2032</v>
      </c>
      <c r="L12" s="191">
        <f t="shared" si="1"/>
        <v>2033</v>
      </c>
    </row>
    <row r="13" spans="1:19" ht="15.6" thickTop="1" thickBot="1">
      <c r="A13" s="193"/>
      <c r="B13" s="206"/>
      <c r="C13" s="206"/>
      <c r="D13" s="206"/>
      <c r="E13" s="206"/>
      <c r="F13" s="206"/>
      <c r="G13" s="206"/>
      <c r="H13" s="206"/>
      <c r="I13" s="206"/>
      <c r="J13" s="206"/>
      <c r="K13" s="215"/>
      <c r="L13" s="215"/>
    </row>
    <row r="14" spans="1:19" ht="15" thickBot="1">
      <c r="A14" s="193" t="s">
        <v>111</v>
      </c>
      <c r="B14" s="194">
        <f ca="1">IF($H$1="",
SUMIFS('Customer Scenario Forecast'!B$22:B$1183,'Customer Scenario Forecast'!$C$20:$C$1181,'Incremental Network SummerFcast'!$A11)+
SUMIFS('Customer Scenario Forecast'!B$22:B$1183,'Customer Scenario Forecast'!$D$20:$D$1181,'Incremental Network SummerFcast'!$A11)+
SUMIFS('Customer Scenario Forecast'!B$22:B$1183,'Customer Scenario Forecast'!$E$20:$E$1181,'Incremental Network SummerFcast'!$A11),
SUMIFS('Customer Scenario Forecast'!B$22:B$1183,'Customer Scenario Forecast'!$C$20:$C$1181,'Incremental Network SummerFcast'!$A11,'Customer Scenario Forecast'!$H$20:$H$1181,'Incremental Network SummerFcast'!$H$1)+
SUMIFS('Customer Scenario Forecast'!B$22:B$1183,'Customer Scenario Forecast'!$D$20:$D$1181,'Incremental Network SummerFcast'!$A11,'Customer Scenario Forecast'!$H$20:$H$1181,'Incremental Network SummerFcast'!$H$1)+
SUMIFS('Customer Scenario Forecast'!B$22:B$1183,'Customer Scenario Forecast'!$E$20:$E$1181,'Incremental Network SummerFcast'!$A11,'Customer Scenario Forecast'!$H$20:$H$1181,'Incremental Network SummerFcast'!$H$1))</f>
        <v>-2</v>
      </c>
      <c r="C14" s="194">
        <f ca="1">IF($H$1="",
SUMIFS('Customer Scenario Forecast'!C$22:C$1183,'Customer Scenario Forecast'!$C$20:$C$1181,'Incremental Network SummerFcast'!$A11)+
SUMIFS('Customer Scenario Forecast'!C$22:C$1183,'Customer Scenario Forecast'!$D$20:$D$1181,'Incremental Network SummerFcast'!$A11)+
SUMIFS('Customer Scenario Forecast'!C$22:C$1183,'Customer Scenario Forecast'!$E$20:$E$1181,'Incremental Network SummerFcast'!$A11),
SUMIFS('Customer Scenario Forecast'!C$22:C$1183,'Customer Scenario Forecast'!$C$20:$C$1181,'Incremental Network SummerFcast'!$A11,'Customer Scenario Forecast'!$H$20:$H$1181,'Incremental Network SummerFcast'!$H$1)+
SUMIFS('Customer Scenario Forecast'!C$22:C$1183,'Customer Scenario Forecast'!$D$20:$D$1181,'Incremental Network SummerFcast'!$A11,'Customer Scenario Forecast'!$H$20:$H$1181,'Incremental Network SummerFcast'!$H$1)+
SUMIFS('Customer Scenario Forecast'!C$22:C$1183,'Customer Scenario Forecast'!$E$20:$E$1181,'Incremental Network SummerFcast'!$A11,'Customer Scenario Forecast'!$H$20:$H$1181,'Incremental Network SummerFcast'!$H$1))</f>
        <v>1.75</v>
      </c>
      <c r="D14" s="194">
        <f ca="1">IF($H$1="",
SUMIFS('Customer Scenario Forecast'!D$22:D$1183,'Customer Scenario Forecast'!$C$20:$C$1181,'Incremental Network SummerFcast'!$A11)+
SUMIFS('Customer Scenario Forecast'!D$22:D$1183,'Customer Scenario Forecast'!$D$20:$D$1181,'Incremental Network SummerFcast'!$A11)+
SUMIFS('Customer Scenario Forecast'!D$22:D$1183,'Customer Scenario Forecast'!$E$20:$E$1181,'Incremental Network SummerFcast'!$A11),
SUMIFS('Customer Scenario Forecast'!D$22:D$1183,'Customer Scenario Forecast'!$C$20:$C$1181,'Incremental Network SummerFcast'!$A11,'Customer Scenario Forecast'!$H$20:$H$1181,'Incremental Network SummerFcast'!$H$1)+
SUMIFS('Customer Scenario Forecast'!D$22:D$1183,'Customer Scenario Forecast'!$D$20:$D$1181,'Incremental Network SummerFcast'!$A11,'Customer Scenario Forecast'!$H$20:$H$1181,'Incremental Network SummerFcast'!$H$1)+
SUMIFS('Customer Scenario Forecast'!D$22:D$1183,'Customer Scenario Forecast'!$E$20:$E$1181,'Incremental Network SummerFcast'!$A11,'Customer Scenario Forecast'!$H$20:$H$1181,'Incremental Network SummerFcast'!$H$1))</f>
        <v>16.861052022669533</v>
      </c>
      <c r="E14" s="194">
        <f ca="1">IF($H$1="",
SUMIFS('Customer Scenario Forecast'!E$22:E$1183,'Customer Scenario Forecast'!$C$20:$C$1181,'Incremental Network SummerFcast'!$A11)+
SUMIFS('Customer Scenario Forecast'!E$22:E$1183,'Customer Scenario Forecast'!$D$20:$D$1181,'Incremental Network SummerFcast'!$A11)+
SUMIFS('Customer Scenario Forecast'!E$22:E$1183,'Customer Scenario Forecast'!$E$20:$E$1181,'Incremental Network SummerFcast'!$A11),
SUMIFS('Customer Scenario Forecast'!E$22:E$1183,'Customer Scenario Forecast'!$C$20:$C$1181,'Incremental Network SummerFcast'!$A11,'Customer Scenario Forecast'!$H$20:$H$1181,'Incremental Network SummerFcast'!$H$1)+
SUMIFS('Customer Scenario Forecast'!E$22:E$1183,'Customer Scenario Forecast'!$D$20:$D$1181,'Incremental Network SummerFcast'!$A11,'Customer Scenario Forecast'!$H$20:$H$1181,'Incremental Network SummerFcast'!$H$1)+
SUMIFS('Customer Scenario Forecast'!E$22:E$1183,'Customer Scenario Forecast'!$E$20:$E$1181,'Incremental Network SummerFcast'!$A11,'Customer Scenario Forecast'!$H$20:$H$1181,'Incremental Network SummerFcast'!$H$1))</f>
        <v>23.501466308383819</v>
      </c>
      <c r="F14" s="194">
        <f ca="1">IF($H$1="",
SUMIFS('Customer Scenario Forecast'!F$22:F$1183,'Customer Scenario Forecast'!$C$20:$C$1181,'Incremental Network SummerFcast'!$A11)+
SUMIFS('Customer Scenario Forecast'!F$22:F$1183,'Customer Scenario Forecast'!$D$20:$D$1181,'Incremental Network SummerFcast'!$A11)+
SUMIFS('Customer Scenario Forecast'!F$22:F$1183,'Customer Scenario Forecast'!$E$20:$E$1181,'Incremental Network SummerFcast'!$A11),
SUMIFS('Customer Scenario Forecast'!F$22:F$1183,'Customer Scenario Forecast'!$C$20:$C$1181,'Incremental Network SummerFcast'!$A11,'Customer Scenario Forecast'!$H$20:$H$1181,'Incremental Network SummerFcast'!$H$1)+
SUMIFS('Customer Scenario Forecast'!F$22:F$1183,'Customer Scenario Forecast'!$D$20:$D$1181,'Incremental Network SummerFcast'!$A11,'Customer Scenario Forecast'!$H$20:$H$1181,'Incremental Network SummerFcast'!$H$1)+
SUMIFS('Customer Scenario Forecast'!F$22:F$1183,'Customer Scenario Forecast'!$E$20:$E$1181,'Incremental Network SummerFcast'!$A11,'Customer Scenario Forecast'!$H$20:$H$1181,'Incremental Network SummerFcast'!$H$1))</f>
        <v>38.408822180965409</v>
      </c>
      <c r="G14" s="194">
        <f ca="1">IF($H$1="",
SUMIFS('Customer Scenario Forecast'!G$22:G$1183,'Customer Scenario Forecast'!$C$20:$C$1181,'Incremental Network SummerFcast'!$A11)+
SUMIFS('Customer Scenario Forecast'!G$22:G$1183,'Customer Scenario Forecast'!$D$20:$D$1181,'Incremental Network SummerFcast'!$A11)+
SUMIFS('Customer Scenario Forecast'!G$22:G$1183,'Customer Scenario Forecast'!$E$20:$E$1181,'Incremental Network SummerFcast'!$A11),
SUMIFS('Customer Scenario Forecast'!G$22:G$1183,'Customer Scenario Forecast'!$C$20:$C$1181,'Incremental Network SummerFcast'!$A11,'Customer Scenario Forecast'!$H$20:$H$1181,'Incremental Network SummerFcast'!$H$1)+
SUMIFS('Customer Scenario Forecast'!G$22:G$1183,'Customer Scenario Forecast'!$D$20:$D$1181,'Incremental Network SummerFcast'!$A11,'Customer Scenario Forecast'!$H$20:$H$1181,'Incremental Network SummerFcast'!$H$1)+
SUMIFS('Customer Scenario Forecast'!G$22:G$1183,'Customer Scenario Forecast'!$E$20:$E$1181,'Incremental Network SummerFcast'!$A11,'Customer Scenario Forecast'!$H$20:$H$1181,'Incremental Network SummerFcast'!$H$1))</f>
        <v>53.71195528890626</v>
      </c>
      <c r="H14" s="194">
        <f ca="1">IF($H$1="",
SUMIFS('Customer Scenario Forecast'!H$22:H$1183,'Customer Scenario Forecast'!$C$20:$C$1181,'Incremental Network SummerFcast'!$A11)+
SUMIFS('Customer Scenario Forecast'!H$22:H$1183,'Customer Scenario Forecast'!$D$20:$D$1181,'Incremental Network SummerFcast'!$A11)+
SUMIFS('Customer Scenario Forecast'!H$22:H$1183,'Customer Scenario Forecast'!$E$20:$E$1181,'Incremental Network SummerFcast'!$A11),
SUMIFS('Customer Scenario Forecast'!H$22:H$1183,'Customer Scenario Forecast'!$C$20:$C$1181,'Incremental Network SummerFcast'!$A11,'Customer Scenario Forecast'!$H$20:$H$1181,'Incremental Network SummerFcast'!$H$1)+
SUMIFS('Customer Scenario Forecast'!H$22:H$1183,'Customer Scenario Forecast'!$D$20:$D$1181,'Incremental Network SummerFcast'!$A11,'Customer Scenario Forecast'!$H$20:$H$1181,'Incremental Network SummerFcast'!$H$1)+
SUMIFS('Customer Scenario Forecast'!H$22:H$1183,'Customer Scenario Forecast'!$E$20:$E$1181,'Incremental Network SummerFcast'!$A11,'Customer Scenario Forecast'!$H$20:$H$1181,'Incremental Network SummerFcast'!$H$1))</f>
        <v>64.8942886222396</v>
      </c>
      <c r="I14" s="194">
        <f ca="1">IF($H$1="",
SUMIFS('Customer Scenario Forecast'!I$22:I$1183,'Customer Scenario Forecast'!$C$20:$C$1181,'Incremental Network SummerFcast'!$A11)+
SUMIFS('Customer Scenario Forecast'!I$22:I$1183,'Customer Scenario Forecast'!$D$20:$D$1181,'Incremental Network SummerFcast'!$A11)+
SUMIFS('Customer Scenario Forecast'!I$22:I$1183,'Customer Scenario Forecast'!$E$20:$E$1181,'Incremental Network SummerFcast'!$A11),
SUMIFS('Customer Scenario Forecast'!I$22:I$1183,'Customer Scenario Forecast'!$C$20:$C$1181,'Incremental Network SummerFcast'!$A11,'Customer Scenario Forecast'!$H$20:$H$1181,'Incremental Network SummerFcast'!$H$1)+
SUMIFS('Customer Scenario Forecast'!I$22:I$1183,'Customer Scenario Forecast'!$D$20:$D$1181,'Incremental Network SummerFcast'!$A11,'Customer Scenario Forecast'!$H$20:$H$1181,'Incremental Network SummerFcast'!$H$1)+
SUMIFS('Customer Scenario Forecast'!I$22:I$1183,'Customer Scenario Forecast'!$E$20:$E$1181,'Incremental Network SummerFcast'!$A11,'Customer Scenario Forecast'!$H$20:$H$1181,'Incremental Network SummerFcast'!$H$1))</f>
        <v>111.45631713243435</v>
      </c>
      <c r="J14" s="194">
        <f ca="1">IF($H$1="",
SUMIFS('Customer Scenario Forecast'!J$22:J$1183,'Customer Scenario Forecast'!$C$20:$C$1181,'Incremental Network SummerFcast'!$A11)+
SUMIFS('Customer Scenario Forecast'!J$22:J$1183,'Customer Scenario Forecast'!$D$20:$D$1181,'Incremental Network SummerFcast'!$A11)+
SUMIFS('Customer Scenario Forecast'!J$22:J$1183,'Customer Scenario Forecast'!$E$20:$E$1181,'Incremental Network SummerFcast'!$A11),
SUMIFS('Customer Scenario Forecast'!J$22:J$1183,'Customer Scenario Forecast'!$C$20:$C$1181,'Incremental Network SummerFcast'!$A11,'Customer Scenario Forecast'!$H$20:$H$1181,'Incremental Network SummerFcast'!$H$1)+
SUMIFS('Customer Scenario Forecast'!J$22:J$1183,'Customer Scenario Forecast'!$D$20:$D$1181,'Incremental Network SummerFcast'!$A11,'Customer Scenario Forecast'!$H$20:$H$1181,'Incremental Network SummerFcast'!$H$1)+
SUMIFS('Customer Scenario Forecast'!J$22:J$1183,'Customer Scenario Forecast'!$E$20:$E$1181,'Incremental Network SummerFcast'!$A11,'Customer Scenario Forecast'!$H$20:$H$1181,'Incremental Network SummerFcast'!$H$1))</f>
        <v>175.80063000846849</v>
      </c>
      <c r="K14" s="194">
        <f ca="1">IF($H$1="",
SUMIFS('Customer Scenario Forecast'!K$22:K$1183,'Customer Scenario Forecast'!$C$20:$C$1181,'Incremental Network SummerFcast'!$A11)+
SUMIFS('Customer Scenario Forecast'!K$22:K$1183,'Customer Scenario Forecast'!$D$20:$D$1181,'Incremental Network SummerFcast'!$A11)+
SUMIFS('Customer Scenario Forecast'!K$22:K$1183,'Customer Scenario Forecast'!$E$20:$E$1181,'Incremental Network SummerFcast'!$A11),
SUMIFS('Customer Scenario Forecast'!K$22:K$1183,'Customer Scenario Forecast'!$C$20:$C$1181,'Incremental Network SummerFcast'!$A11,'Customer Scenario Forecast'!$H$20:$H$1181,'Incremental Network SummerFcast'!$H$1)+
SUMIFS('Customer Scenario Forecast'!K$22:K$1183,'Customer Scenario Forecast'!$D$20:$D$1181,'Incremental Network SummerFcast'!$A11,'Customer Scenario Forecast'!$H$20:$H$1181,'Incremental Network SummerFcast'!$H$1)+
SUMIFS('Customer Scenario Forecast'!K$22:K$1183,'Customer Scenario Forecast'!$E$20:$E$1181,'Incremental Network SummerFcast'!$A11,'Customer Scenario Forecast'!$H$20:$H$1181,'Incremental Network SummerFcast'!$H$1))</f>
        <v>214.17811515601593</v>
      </c>
      <c r="L14" s="194">
        <f ca="1">IF($H$1="",
SUMIFS('Customer Scenario Forecast'!L$22:L$1183,'Customer Scenario Forecast'!$C$20:$C$1181,'Incremental Network SummerFcast'!$A11)+
SUMIFS('Customer Scenario Forecast'!L$22:L$1183,'Customer Scenario Forecast'!$D$20:$D$1181,'Incremental Network SummerFcast'!$A11)+
SUMIFS('Customer Scenario Forecast'!L$22:L$1183,'Customer Scenario Forecast'!$E$20:$E$1181,'Incremental Network SummerFcast'!$A11),
SUMIFS('Customer Scenario Forecast'!L$22:L$1183,'Customer Scenario Forecast'!$C$20:$C$1181,'Incremental Network SummerFcast'!$A11,'Customer Scenario Forecast'!$H$20:$H$1181,'Incremental Network SummerFcast'!$H$1)+
SUMIFS('Customer Scenario Forecast'!L$22:L$1183,'Customer Scenario Forecast'!$D$20:$D$1181,'Incremental Network SummerFcast'!$A11,'Customer Scenario Forecast'!$H$20:$H$1181,'Incremental Network SummerFcast'!$H$1)+
SUMIFS('Customer Scenario Forecast'!L$22:L$1183,'Customer Scenario Forecast'!$E$20:$E$1181,'Incremental Network SummerFcast'!$A11,'Customer Scenario Forecast'!$H$20:$H$1181,'Incremental Network SummerFcast'!$H$1))</f>
        <v>295.2241796104488</v>
      </c>
    </row>
    <row r="15" spans="1:19" ht="15" thickBot="1">
      <c r="A15" s="195" t="s">
        <v>107</v>
      </c>
      <c r="B15" s="196">
        <f ca="1">IF($H$1="",
1*(
SUMIFS('Customer Scenario Forecast'!B$23:B$1184,'Customer Scenario Forecast'!$C$20:$C$1181,'Incremental Network SummerFcast'!$A11)+
SUMIFS('Customer Scenario Forecast'!B$23:B$1184,'Customer Scenario Forecast'!$D$20:$D$1181,'Incremental Network SummerFcast'!$A11)+
SUMIFS('Customer Scenario Forecast'!B$23:B$1184,'Customer Scenario Forecast'!$E$20:$E$1181,'Incremental Network SummerFcast'!$A11)+B13),
1*(
SUMIFS('Customer Scenario Forecast'!B$23:B$1184,'Customer Scenario Forecast'!$C$20:$C$1181,'Incremental Network SummerFcast'!$A11,'Customer Scenario Forecast'!$H$20:$H$1181,'Incremental Network SummerFcast'!$H$1)+
SUMIFS('Customer Scenario Forecast'!B$23:B$1184,'Customer Scenario Forecast'!$D$20:$D$1181,'Incremental Network SummerFcast'!$A11,'Customer Scenario Forecast'!$H$20:$H$1181,'Incremental Network SummerFcast'!$H$1)+
SUMIFS('Customer Scenario Forecast'!B$23:B$1184,'Customer Scenario Forecast'!$E$20:$E$1181,'Incremental Network SummerFcast'!$A11,'Customer Scenario Forecast'!$H$20:$H$1181,'Incremental Network SummerFcast'!$H$1)+B13))</f>
        <v>-2</v>
      </c>
      <c r="C15" s="196">
        <f ca="1">IF($H$1="",
1*(
SUMIFS('Customer Scenario Forecast'!C$23:C$1184,'Customer Scenario Forecast'!$C$20:$C$1181,'Incremental Network SummerFcast'!$A11)+
SUMIFS('Customer Scenario Forecast'!C$23:C$1184,'Customer Scenario Forecast'!$D$20:$D$1181,'Incremental Network SummerFcast'!$A11)+
SUMIFS('Customer Scenario Forecast'!C$23:C$1184,'Customer Scenario Forecast'!$E$20:$E$1181,'Incremental Network SummerFcast'!$A11)+C13),
1*(
SUMIFS('Customer Scenario Forecast'!C$23:C$1184,'Customer Scenario Forecast'!$C$20:$C$1181,'Incremental Network SummerFcast'!$A11,'Customer Scenario Forecast'!$H$20:$H$1181,'Incremental Network SummerFcast'!$H$1)+
SUMIFS('Customer Scenario Forecast'!C$23:C$1184,'Customer Scenario Forecast'!$D$20:$D$1181,'Incremental Network SummerFcast'!$A11,'Customer Scenario Forecast'!$H$20:$H$1181,'Incremental Network SummerFcast'!$H$1)+
SUMIFS('Customer Scenario Forecast'!C$23:C$1184,'Customer Scenario Forecast'!$E$20:$E$1181,'Incremental Network SummerFcast'!$A11,'Customer Scenario Forecast'!$H$20:$H$1181,'Incremental Network SummerFcast'!$H$1)+C13))</f>
        <v>1.75</v>
      </c>
      <c r="D15" s="196">
        <f ca="1">IF($H$1="",
1*(
SUMIFS('Customer Scenario Forecast'!D$23:D$1184,'Customer Scenario Forecast'!$C$20:$C$1181,'Incremental Network SummerFcast'!$A11)+
SUMIFS('Customer Scenario Forecast'!D$23:D$1184,'Customer Scenario Forecast'!$D$20:$D$1181,'Incremental Network SummerFcast'!$A11)+
SUMIFS('Customer Scenario Forecast'!D$23:D$1184,'Customer Scenario Forecast'!$E$20:$E$1181,'Incremental Network SummerFcast'!$A11)+D13),
1*(
SUMIFS('Customer Scenario Forecast'!D$23:D$1184,'Customer Scenario Forecast'!$C$20:$C$1181,'Incremental Network SummerFcast'!$A11,'Customer Scenario Forecast'!$H$20:$H$1181,'Incremental Network SummerFcast'!$H$1)+
SUMIFS('Customer Scenario Forecast'!D$23:D$1184,'Customer Scenario Forecast'!$D$20:$D$1181,'Incremental Network SummerFcast'!$A11,'Customer Scenario Forecast'!$H$20:$H$1181,'Incremental Network SummerFcast'!$H$1)+
SUMIFS('Customer Scenario Forecast'!D$23:D$1184,'Customer Scenario Forecast'!$E$20:$E$1181,'Incremental Network SummerFcast'!$A11,'Customer Scenario Forecast'!$H$20:$H$1181,'Incremental Network SummerFcast'!$H$1)+D13))</f>
        <v>16.861052022669533</v>
      </c>
      <c r="E15" s="196">
        <f ca="1">IF($H$1="",
1*(
SUMIFS('Customer Scenario Forecast'!E$23:E$1184,'Customer Scenario Forecast'!$C$20:$C$1181,'Incremental Network SummerFcast'!$A11)+
SUMIFS('Customer Scenario Forecast'!E$23:E$1184,'Customer Scenario Forecast'!$D$20:$D$1181,'Incremental Network SummerFcast'!$A11)+
SUMIFS('Customer Scenario Forecast'!E$23:E$1184,'Customer Scenario Forecast'!$E$20:$E$1181,'Incremental Network SummerFcast'!$A11)+E13),
1*(
SUMIFS('Customer Scenario Forecast'!E$23:E$1184,'Customer Scenario Forecast'!$C$20:$C$1181,'Incremental Network SummerFcast'!$A11,'Customer Scenario Forecast'!$H$20:$H$1181,'Incremental Network SummerFcast'!$H$1)+
SUMIFS('Customer Scenario Forecast'!E$23:E$1184,'Customer Scenario Forecast'!$D$20:$D$1181,'Incremental Network SummerFcast'!$A11,'Customer Scenario Forecast'!$H$20:$H$1181,'Incremental Network SummerFcast'!$H$1)+
SUMIFS('Customer Scenario Forecast'!E$23:E$1184,'Customer Scenario Forecast'!$E$20:$E$1181,'Incremental Network SummerFcast'!$A11,'Customer Scenario Forecast'!$H$20:$H$1181,'Incremental Network SummerFcast'!$H$1)+E13))</f>
        <v>23.501466308383819</v>
      </c>
      <c r="F15" s="196">
        <f ca="1">IF($H$1="",
1*(
SUMIFS('Customer Scenario Forecast'!F$23:F$1184,'Customer Scenario Forecast'!$C$20:$C$1181,'Incremental Network SummerFcast'!$A11)+
SUMIFS('Customer Scenario Forecast'!F$23:F$1184,'Customer Scenario Forecast'!$D$20:$D$1181,'Incremental Network SummerFcast'!$A11)+
SUMIFS('Customer Scenario Forecast'!F$23:F$1184,'Customer Scenario Forecast'!$E$20:$E$1181,'Incremental Network SummerFcast'!$A11)+F13),
1*(
SUMIFS('Customer Scenario Forecast'!F$23:F$1184,'Customer Scenario Forecast'!$C$20:$C$1181,'Incremental Network SummerFcast'!$A11,'Customer Scenario Forecast'!$H$20:$H$1181,'Incremental Network SummerFcast'!$H$1)+
SUMIFS('Customer Scenario Forecast'!F$23:F$1184,'Customer Scenario Forecast'!$D$20:$D$1181,'Incremental Network SummerFcast'!$A11,'Customer Scenario Forecast'!$H$20:$H$1181,'Incremental Network SummerFcast'!$H$1)+
SUMIFS('Customer Scenario Forecast'!F$23:F$1184,'Customer Scenario Forecast'!$E$20:$E$1181,'Incremental Network SummerFcast'!$A11,'Customer Scenario Forecast'!$H$20:$H$1181,'Incremental Network SummerFcast'!$H$1)+F13))</f>
        <v>24.719637736955249</v>
      </c>
      <c r="G15" s="196">
        <f ca="1">IF($H$1="",
1*(
SUMIFS('Customer Scenario Forecast'!G$23:G$1184,'Customer Scenario Forecast'!$C$20:$C$1181,'Incremental Network SummerFcast'!$A11)+
SUMIFS('Customer Scenario Forecast'!G$23:G$1184,'Customer Scenario Forecast'!$D$20:$D$1181,'Incremental Network SummerFcast'!$A11)+
SUMIFS('Customer Scenario Forecast'!G$23:G$1184,'Customer Scenario Forecast'!$E$20:$E$1181,'Incremental Network SummerFcast'!$A11)+G13),
1*(
SUMIFS('Customer Scenario Forecast'!G$23:G$1184,'Customer Scenario Forecast'!$C$20:$C$1181,'Incremental Network SummerFcast'!$A11,'Customer Scenario Forecast'!$H$20:$H$1181,'Incremental Network SummerFcast'!$H$1)+
SUMIFS('Customer Scenario Forecast'!G$23:G$1184,'Customer Scenario Forecast'!$D$20:$D$1181,'Incremental Network SummerFcast'!$A11,'Customer Scenario Forecast'!$H$20:$H$1181,'Incremental Network SummerFcast'!$H$1)+
SUMIFS('Customer Scenario Forecast'!G$23:G$1184,'Customer Scenario Forecast'!$E$20:$E$1181,'Incremental Network SummerFcast'!$A11,'Customer Scenario Forecast'!$H$20:$H$1181,'Incremental Network SummerFcast'!$H$1)+G13))</f>
        <v>28.356677736955248</v>
      </c>
      <c r="H15" s="196">
        <f ca="1">IF($H$1="",
1*(
SUMIFS('Customer Scenario Forecast'!H$23:H$1184,'Customer Scenario Forecast'!$C$20:$C$1181,'Incremental Network SummerFcast'!$A11)+
SUMIFS('Customer Scenario Forecast'!H$23:H$1184,'Customer Scenario Forecast'!$D$20:$D$1181,'Incremental Network SummerFcast'!$A11)+
SUMIFS('Customer Scenario Forecast'!H$23:H$1184,'Customer Scenario Forecast'!$E$20:$E$1181,'Incremental Network SummerFcast'!$A11)+H13),
1*(
SUMIFS('Customer Scenario Forecast'!H$23:H$1184,'Customer Scenario Forecast'!$C$20:$C$1181,'Incremental Network SummerFcast'!$A11,'Customer Scenario Forecast'!$H$20:$H$1181,'Incremental Network SummerFcast'!$H$1)+
SUMIFS('Customer Scenario Forecast'!H$23:H$1184,'Customer Scenario Forecast'!$D$20:$D$1181,'Incremental Network SummerFcast'!$A11,'Customer Scenario Forecast'!$H$20:$H$1181,'Incremental Network SummerFcast'!$H$1)+
SUMIFS('Customer Scenario Forecast'!H$23:H$1184,'Customer Scenario Forecast'!$E$20:$E$1181,'Incremental Network SummerFcast'!$A11,'Customer Scenario Forecast'!$H$20:$H$1181,'Incremental Network SummerFcast'!$H$1)+H13))</f>
        <v>30.734563451240962</v>
      </c>
      <c r="I15" s="196">
        <f ca="1">IF($H$1="",
1*(
SUMIFS('Customer Scenario Forecast'!I$23:I$1184,'Customer Scenario Forecast'!$C$20:$C$1181,'Incremental Network SummerFcast'!$A11)+
SUMIFS('Customer Scenario Forecast'!I$23:I$1184,'Customer Scenario Forecast'!$D$20:$D$1181,'Incremental Network SummerFcast'!$A11)+
SUMIFS('Customer Scenario Forecast'!I$23:I$1184,'Customer Scenario Forecast'!$E$20:$E$1181,'Incremental Network SummerFcast'!$A11)+I13),
1*(
SUMIFS('Customer Scenario Forecast'!I$23:I$1184,'Customer Scenario Forecast'!$C$20:$C$1181,'Incremental Network SummerFcast'!$A11,'Customer Scenario Forecast'!$H$20:$H$1181,'Incremental Network SummerFcast'!$H$1)+
SUMIFS('Customer Scenario Forecast'!I$23:I$1184,'Customer Scenario Forecast'!$D$20:$D$1181,'Incremental Network SummerFcast'!$A11,'Customer Scenario Forecast'!$H$20:$H$1181,'Incremental Network SummerFcast'!$H$1)+
SUMIFS('Customer Scenario Forecast'!I$23:I$1184,'Customer Scenario Forecast'!$E$20:$E$1181,'Incremental Network SummerFcast'!$A11,'Customer Scenario Forecast'!$H$20:$H$1181,'Incremental Network SummerFcast'!$H$1)+I13))</f>
        <v>36.172062187479639</v>
      </c>
      <c r="J15" s="196">
        <f ca="1">IF($H$1="",
1*(
SUMIFS('Customer Scenario Forecast'!J$23:J$1184,'Customer Scenario Forecast'!$C$20:$C$1181,'Incremental Network SummerFcast'!$A11)+
SUMIFS('Customer Scenario Forecast'!J$23:J$1184,'Customer Scenario Forecast'!$D$20:$D$1181,'Incremental Network SummerFcast'!$A11)+
SUMIFS('Customer Scenario Forecast'!J$23:J$1184,'Customer Scenario Forecast'!$E$20:$E$1181,'Incremental Network SummerFcast'!$A11)+J13),
1*(
SUMIFS('Customer Scenario Forecast'!J$23:J$1184,'Customer Scenario Forecast'!$C$20:$C$1181,'Incremental Network SummerFcast'!$A11,'Customer Scenario Forecast'!$H$20:$H$1181,'Incremental Network SummerFcast'!$H$1)+
SUMIFS('Customer Scenario Forecast'!J$23:J$1184,'Customer Scenario Forecast'!$D$20:$D$1181,'Incremental Network SummerFcast'!$A11,'Customer Scenario Forecast'!$H$20:$H$1181,'Incremental Network SummerFcast'!$H$1)+
SUMIFS('Customer Scenario Forecast'!J$23:J$1184,'Customer Scenario Forecast'!$E$20:$E$1181,'Incremental Network SummerFcast'!$A11,'Customer Scenario Forecast'!$H$20:$H$1181,'Incremental Network SummerFcast'!$H$1)+J13))</f>
        <v>40.265052130154388</v>
      </c>
      <c r="K15" s="196">
        <f ca="1">IF($H$1="",
1*(
SUMIFS('Customer Scenario Forecast'!K$23:K$1184,'Customer Scenario Forecast'!$C$20:$C$1181,'Incremental Network SummerFcast'!$A11)+
SUMIFS('Customer Scenario Forecast'!K$23:K$1184,'Customer Scenario Forecast'!$D$20:$D$1181,'Incremental Network SummerFcast'!$A11)+
SUMIFS('Customer Scenario Forecast'!K$23:K$1184,'Customer Scenario Forecast'!$E$20:$E$1181,'Incremental Network SummerFcast'!$A11)+K13),
1*(
SUMIFS('Customer Scenario Forecast'!K$23:K$1184,'Customer Scenario Forecast'!$C$20:$C$1181,'Incremental Network SummerFcast'!$A11,'Customer Scenario Forecast'!$H$20:$H$1181,'Incremental Network SummerFcast'!$H$1)+
SUMIFS('Customer Scenario Forecast'!K$23:K$1184,'Customer Scenario Forecast'!$D$20:$D$1181,'Incremental Network SummerFcast'!$A11,'Customer Scenario Forecast'!$H$20:$H$1181,'Incremental Network SummerFcast'!$H$1)+
SUMIFS('Customer Scenario Forecast'!K$23:K$1184,'Customer Scenario Forecast'!$E$20:$E$1181,'Incremental Network SummerFcast'!$A11,'Customer Scenario Forecast'!$H$20:$H$1181,'Incremental Network SummerFcast'!$H$1)+K13))</f>
        <v>45.562158076607389</v>
      </c>
      <c r="L15" s="196">
        <f ca="1">IF($H$1="",
1*(
SUMIFS('Customer Scenario Forecast'!L$23:L$1184,'Customer Scenario Forecast'!$C$20:$C$1181,'Incremental Network SummerFcast'!$A11)+
SUMIFS('Customer Scenario Forecast'!L$23:L$1184,'Customer Scenario Forecast'!$D$20:$D$1181,'Incremental Network SummerFcast'!$A11)+
SUMIFS('Customer Scenario Forecast'!L$23:L$1184,'Customer Scenario Forecast'!$E$20:$E$1181,'Incremental Network SummerFcast'!$A11)+L13),
1*(
SUMIFS('Customer Scenario Forecast'!L$23:L$1184,'Customer Scenario Forecast'!$C$20:$C$1181,'Incremental Network SummerFcast'!$A11,'Customer Scenario Forecast'!$H$20:$H$1181,'Incremental Network SummerFcast'!$H$1)+
SUMIFS('Customer Scenario Forecast'!L$23:L$1184,'Customer Scenario Forecast'!$D$20:$D$1181,'Incremental Network SummerFcast'!$A11,'Customer Scenario Forecast'!$H$20:$H$1181,'Incremental Network SummerFcast'!$H$1)+
SUMIFS('Customer Scenario Forecast'!L$23:L$1184,'Customer Scenario Forecast'!$E$20:$E$1181,'Incremental Network SummerFcast'!$A11,'Customer Scenario Forecast'!$H$20:$H$1181,'Incremental Network SummerFcast'!$H$1)+L13))</f>
        <v>56.358057951078102</v>
      </c>
    </row>
    <row r="16" spans="1:19" ht="15" thickBot="1">
      <c r="A16" s="195" t="s">
        <v>108</v>
      </c>
      <c r="B16" s="196">
        <f ca="1">IF($H$1="",
1*(
SUMIFS('Customer Scenario Forecast'!B$24:B$1185,'Customer Scenario Forecast'!$C$20:$C$1181,'Incremental Network SummerFcast'!$A11)+
SUMIFS('Customer Scenario Forecast'!B$24:B$1185,'Customer Scenario Forecast'!$D$20:$D$1181,'Incremental Network SummerFcast'!$A11)+
SUMIFS('Customer Scenario Forecast'!B$24:B$1185,'Customer Scenario Forecast'!$E$20:$E$1181,'Incremental Network SummerFcast'!$A11)+B13),
1*(
SUMIFS('Customer Scenario Forecast'!B$24:B$1185,'Customer Scenario Forecast'!$C$20:$C$1181,'Incremental Network SummerFcast'!$A11,'Customer Scenario Forecast'!$H$20:$H$1181,'Incremental Network SummerFcast'!$H$1)+
SUMIFS('Customer Scenario Forecast'!B$24:B$1185,'Customer Scenario Forecast'!$D$20:$D$1181,'Incremental Network SummerFcast'!$A11,'Customer Scenario Forecast'!$H$20:$H$1181,'Incremental Network SummerFcast'!$H$1)+
SUMIFS('Customer Scenario Forecast'!B$24:B$1185,'Customer Scenario Forecast'!$E$20:$E$1181,'Incremental Network SummerFcast'!$A11,'Customer Scenario Forecast'!$H$20:$H$1181,'Incremental Network SummerFcast'!$H$1)+B13))</f>
        <v>-2</v>
      </c>
      <c r="C16" s="196">
        <f ca="1">IF($H$1="",
1*(
SUMIFS('Customer Scenario Forecast'!C$24:C$1185,'Customer Scenario Forecast'!$C$20:$C$1181,'Incremental Network SummerFcast'!$A11)+
SUMIFS('Customer Scenario Forecast'!C$24:C$1185,'Customer Scenario Forecast'!$D$20:$D$1181,'Incremental Network SummerFcast'!$A11)+
SUMIFS('Customer Scenario Forecast'!C$24:C$1185,'Customer Scenario Forecast'!$E$20:$E$1181,'Incremental Network SummerFcast'!$A11)+C13),
1*(
SUMIFS('Customer Scenario Forecast'!C$24:C$1185,'Customer Scenario Forecast'!$C$20:$C$1181,'Incremental Network SummerFcast'!$A11,'Customer Scenario Forecast'!$H$20:$H$1181,'Incremental Network SummerFcast'!$H$1)+
SUMIFS('Customer Scenario Forecast'!C$24:C$1185,'Customer Scenario Forecast'!$D$20:$D$1181,'Incremental Network SummerFcast'!$A11,'Customer Scenario Forecast'!$H$20:$H$1181,'Incremental Network SummerFcast'!$H$1)+
SUMIFS('Customer Scenario Forecast'!C$24:C$1185,'Customer Scenario Forecast'!$E$20:$E$1181,'Incremental Network SummerFcast'!$A11,'Customer Scenario Forecast'!$H$20:$H$1181,'Incremental Network SummerFcast'!$H$1)+C13))</f>
        <v>1.75</v>
      </c>
      <c r="D16" s="196">
        <f ca="1">IF($H$1="",
1*(
SUMIFS('Customer Scenario Forecast'!D$24:D$1185,'Customer Scenario Forecast'!$C$20:$C$1181,'Incremental Network SummerFcast'!$A11)+
SUMIFS('Customer Scenario Forecast'!D$24:D$1185,'Customer Scenario Forecast'!$D$20:$D$1181,'Incremental Network SummerFcast'!$A11)+
SUMIFS('Customer Scenario Forecast'!D$24:D$1185,'Customer Scenario Forecast'!$E$20:$E$1181,'Incremental Network SummerFcast'!$A11)+D13),
1*(
SUMIFS('Customer Scenario Forecast'!D$24:D$1185,'Customer Scenario Forecast'!$C$20:$C$1181,'Incremental Network SummerFcast'!$A11,'Customer Scenario Forecast'!$H$20:$H$1181,'Incremental Network SummerFcast'!$H$1)+
SUMIFS('Customer Scenario Forecast'!D$24:D$1185,'Customer Scenario Forecast'!$D$20:$D$1181,'Incremental Network SummerFcast'!$A11,'Customer Scenario Forecast'!$H$20:$H$1181,'Incremental Network SummerFcast'!$H$1)+
SUMIFS('Customer Scenario Forecast'!D$24:D$1185,'Customer Scenario Forecast'!$E$20:$E$1181,'Incremental Network SummerFcast'!$A11,'Customer Scenario Forecast'!$H$20:$H$1181,'Incremental Network SummerFcast'!$H$1)+D13))</f>
        <v>16.861052022669533</v>
      </c>
      <c r="E16" s="196">
        <f ca="1">IF($H$1="",
1*(
SUMIFS('Customer Scenario Forecast'!E$24:E$1185,'Customer Scenario Forecast'!$C$20:$C$1181,'Incremental Network SummerFcast'!$A11)+
SUMIFS('Customer Scenario Forecast'!E$24:E$1185,'Customer Scenario Forecast'!$D$20:$D$1181,'Incremental Network SummerFcast'!$A11)+
SUMIFS('Customer Scenario Forecast'!E$24:E$1185,'Customer Scenario Forecast'!$E$20:$E$1181,'Incremental Network SummerFcast'!$A11)+E13),
1*(
SUMIFS('Customer Scenario Forecast'!E$24:E$1185,'Customer Scenario Forecast'!$C$20:$C$1181,'Incremental Network SummerFcast'!$A11,'Customer Scenario Forecast'!$H$20:$H$1181,'Incremental Network SummerFcast'!$H$1)+
SUMIFS('Customer Scenario Forecast'!E$24:E$1185,'Customer Scenario Forecast'!$D$20:$D$1181,'Incremental Network SummerFcast'!$A11,'Customer Scenario Forecast'!$H$20:$H$1181,'Incremental Network SummerFcast'!$H$1)+
SUMIFS('Customer Scenario Forecast'!E$24:E$1185,'Customer Scenario Forecast'!$E$20:$E$1181,'Incremental Network SummerFcast'!$A11,'Customer Scenario Forecast'!$H$20:$H$1181,'Incremental Network SummerFcast'!$H$1)+E13))</f>
        <v>23.501466308383819</v>
      </c>
      <c r="F16" s="196">
        <f ca="1">IF($H$1="",
1*(
SUMIFS('Customer Scenario Forecast'!F$24:F$1185,'Customer Scenario Forecast'!$C$20:$C$1181,'Incremental Network SummerFcast'!$A11)+
SUMIFS('Customer Scenario Forecast'!F$24:F$1185,'Customer Scenario Forecast'!$D$20:$D$1181,'Incremental Network SummerFcast'!$A11)+
SUMIFS('Customer Scenario Forecast'!F$24:F$1185,'Customer Scenario Forecast'!$E$20:$E$1181,'Incremental Network SummerFcast'!$A11)+F13),
1*(
SUMIFS('Customer Scenario Forecast'!F$24:F$1185,'Customer Scenario Forecast'!$C$20:$C$1181,'Incremental Network SummerFcast'!$A11,'Customer Scenario Forecast'!$H$20:$H$1181,'Incremental Network SummerFcast'!$H$1)+
SUMIFS('Customer Scenario Forecast'!F$24:F$1185,'Customer Scenario Forecast'!$D$20:$D$1181,'Incremental Network SummerFcast'!$A11,'Customer Scenario Forecast'!$H$20:$H$1181,'Incremental Network SummerFcast'!$H$1)+
SUMIFS('Customer Scenario Forecast'!F$24:F$1185,'Customer Scenario Forecast'!$E$20:$E$1181,'Incremental Network SummerFcast'!$A11,'Customer Scenario Forecast'!$H$20:$H$1181,'Incremental Network SummerFcast'!$H$1)+F13))</f>
        <v>24.719637736955249</v>
      </c>
      <c r="G16" s="196">
        <f ca="1">IF($H$1="",
1*(
SUMIFS('Customer Scenario Forecast'!G$24:G$1185,'Customer Scenario Forecast'!$C$20:$C$1181,'Incremental Network SummerFcast'!$A11)+
SUMIFS('Customer Scenario Forecast'!G$24:G$1185,'Customer Scenario Forecast'!$D$20:$D$1181,'Incremental Network SummerFcast'!$A11)+
SUMIFS('Customer Scenario Forecast'!G$24:G$1185,'Customer Scenario Forecast'!$E$20:$E$1181,'Incremental Network SummerFcast'!$A11)+G13),
1*(
SUMIFS('Customer Scenario Forecast'!G$24:G$1185,'Customer Scenario Forecast'!$C$20:$C$1181,'Incremental Network SummerFcast'!$A11,'Customer Scenario Forecast'!$H$20:$H$1181,'Incremental Network SummerFcast'!$H$1)+
SUMIFS('Customer Scenario Forecast'!G$24:G$1185,'Customer Scenario Forecast'!$D$20:$D$1181,'Incremental Network SummerFcast'!$A11,'Customer Scenario Forecast'!$H$20:$H$1181,'Incremental Network SummerFcast'!$H$1)+
SUMIFS('Customer Scenario Forecast'!G$24:G$1185,'Customer Scenario Forecast'!$E$20:$E$1181,'Incremental Network SummerFcast'!$A11,'Customer Scenario Forecast'!$H$20:$H$1181,'Incremental Network SummerFcast'!$H$1)+G13))</f>
        <v>28.356677736955248</v>
      </c>
      <c r="H16" s="196">
        <f ca="1">IF($H$1="",
1*(
SUMIFS('Customer Scenario Forecast'!H$24:H$1185,'Customer Scenario Forecast'!$C$20:$C$1181,'Incremental Network SummerFcast'!$A11)+
SUMIFS('Customer Scenario Forecast'!H$24:H$1185,'Customer Scenario Forecast'!$D$20:$D$1181,'Incremental Network SummerFcast'!$A11)+
SUMIFS('Customer Scenario Forecast'!H$24:H$1185,'Customer Scenario Forecast'!$E$20:$E$1181,'Incremental Network SummerFcast'!$A11)+H13),
1*(
SUMIFS('Customer Scenario Forecast'!H$24:H$1185,'Customer Scenario Forecast'!$C$20:$C$1181,'Incremental Network SummerFcast'!$A11,'Customer Scenario Forecast'!$H$20:$H$1181,'Incremental Network SummerFcast'!$H$1)+
SUMIFS('Customer Scenario Forecast'!H$24:H$1185,'Customer Scenario Forecast'!$D$20:$D$1181,'Incremental Network SummerFcast'!$A11,'Customer Scenario Forecast'!$H$20:$H$1181,'Incremental Network SummerFcast'!$H$1)+
SUMIFS('Customer Scenario Forecast'!H$24:H$1185,'Customer Scenario Forecast'!$E$20:$E$1181,'Incremental Network SummerFcast'!$A11,'Customer Scenario Forecast'!$H$20:$H$1181,'Incremental Network SummerFcast'!$H$1)+H13))</f>
        <v>30.734563451240962</v>
      </c>
      <c r="I16" s="196">
        <f ca="1">IF($H$1="",
1*(
SUMIFS('Customer Scenario Forecast'!I$24:I$1185,'Customer Scenario Forecast'!$C$20:$C$1181,'Incremental Network SummerFcast'!$A11)+
SUMIFS('Customer Scenario Forecast'!I$24:I$1185,'Customer Scenario Forecast'!$D$20:$D$1181,'Incremental Network SummerFcast'!$A11)+
SUMIFS('Customer Scenario Forecast'!I$24:I$1185,'Customer Scenario Forecast'!$E$20:$E$1181,'Incremental Network SummerFcast'!$A11)+I13),
1*(
SUMIFS('Customer Scenario Forecast'!I$24:I$1185,'Customer Scenario Forecast'!$C$20:$C$1181,'Incremental Network SummerFcast'!$A11,'Customer Scenario Forecast'!$H$20:$H$1181,'Incremental Network SummerFcast'!$H$1)+
SUMIFS('Customer Scenario Forecast'!I$24:I$1185,'Customer Scenario Forecast'!$D$20:$D$1181,'Incremental Network SummerFcast'!$A11,'Customer Scenario Forecast'!$H$20:$H$1181,'Incremental Network SummerFcast'!$H$1)+
SUMIFS('Customer Scenario Forecast'!I$24:I$1185,'Customer Scenario Forecast'!$E$20:$E$1181,'Incremental Network SummerFcast'!$A11,'Customer Scenario Forecast'!$H$20:$H$1181,'Incremental Network SummerFcast'!$H$1)+I13))</f>
        <v>33.305523564588626</v>
      </c>
      <c r="J16" s="196">
        <f ca="1">IF($H$1="",
1*(
SUMIFS('Customer Scenario Forecast'!J$24:J$1185,'Customer Scenario Forecast'!$C$20:$C$1181,'Incremental Network SummerFcast'!$A11)+
SUMIFS('Customer Scenario Forecast'!J$24:J$1185,'Customer Scenario Forecast'!$D$20:$D$1181,'Incremental Network SummerFcast'!$A11)+
SUMIFS('Customer Scenario Forecast'!J$24:J$1185,'Customer Scenario Forecast'!$E$20:$E$1181,'Incremental Network SummerFcast'!$A11)+J13),
1*(
SUMIFS('Customer Scenario Forecast'!J$24:J$1185,'Customer Scenario Forecast'!$C$20:$C$1181,'Incremental Network SummerFcast'!$A11,'Customer Scenario Forecast'!$H$20:$H$1181,'Incremental Network SummerFcast'!$H$1)+
SUMIFS('Customer Scenario Forecast'!J$24:J$1185,'Customer Scenario Forecast'!$D$20:$D$1181,'Incremental Network SummerFcast'!$A11,'Customer Scenario Forecast'!$H$20:$H$1181,'Incremental Network SummerFcast'!$H$1)+
SUMIFS('Customer Scenario Forecast'!J$24:J$1185,'Customer Scenario Forecast'!$E$20:$E$1181,'Incremental Network SummerFcast'!$A11,'Customer Scenario Forecast'!$H$20:$H$1181,'Incremental Network SummerFcast'!$H$1)+J13))</f>
        <v>37.350645938375351</v>
      </c>
      <c r="K16" s="196">
        <f ca="1">IF($H$1="",
1*(
SUMIFS('Customer Scenario Forecast'!K$24:K$1185,'Customer Scenario Forecast'!$C$20:$C$1181,'Incremental Network SummerFcast'!$A11)+
SUMIFS('Customer Scenario Forecast'!K$24:K$1185,'Customer Scenario Forecast'!$D$20:$D$1181,'Incremental Network SummerFcast'!$A11)+
SUMIFS('Customer Scenario Forecast'!K$24:K$1185,'Customer Scenario Forecast'!$E$20:$E$1181,'Incremental Network SummerFcast'!$A11)+K13),
1*(
SUMIFS('Customer Scenario Forecast'!K$24:K$1185,'Customer Scenario Forecast'!$C$20:$C$1181,'Incremental Network SummerFcast'!$A11,'Customer Scenario Forecast'!$H$20:$H$1181,'Incremental Network SummerFcast'!$H$1)+
SUMIFS('Customer Scenario Forecast'!K$24:K$1185,'Customer Scenario Forecast'!$D$20:$D$1181,'Incremental Network SummerFcast'!$A11,'Customer Scenario Forecast'!$H$20:$H$1181,'Incremental Network SummerFcast'!$H$1)+
SUMIFS('Customer Scenario Forecast'!K$24:K$1185,'Customer Scenario Forecast'!$E$20:$E$1181,'Incremental Network SummerFcast'!$A11,'Customer Scenario Forecast'!$H$20:$H$1181,'Incremental Network SummerFcast'!$H$1)+K13))</f>
        <v>39.365718389681462</v>
      </c>
      <c r="L16" s="196">
        <f ca="1">IF($H$1="",
1*(
SUMIFS('Customer Scenario Forecast'!L$24:L$1185,'Customer Scenario Forecast'!$C$20:$C$1181,'Incremental Network SummerFcast'!$A11)+
SUMIFS('Customer Scenario Forecast'!L$24:L$1185,'Customer Scenario Forecast'!$D$20:$D$1181,'Incremental Network SummerFcast'!$A11)+
SUMIFS('Customer Scenario Forecast'!L$24:L$1185,'Customer Scenario Forecast'!$E$20:$E$1181,'Incremental Network SummerFcast'!$A11)+L13),
1*(
SUMIFS('Customer Scenario Forecast'!L$24:L$1185,'Customer Scenario Forecast'!$C$20:$C$1181,'Incremental Network SummerFcast'!$A11,'Customer Scenario Forecast'!$H$20:$H$1181,'Incremental Network SummerFcast'!$H$1)+
SUMIFS('Customer Scenario Forecast'!L$24:L$1185,'Customer Scenario Forecast'!$D$20:$D$1181,'Incremental Network SummerFcast'!$A11,'Customer Scenario Forecast'!$H$20:$H$1181,'Incremental Network SummerFcast'!$H$1)+
SUMIFS('Customer Scenario Forecast'!L$24:L$1185,'Customer Scenario Forecast'!$E$20:$E$1181,'Incremental Network SummerFcast'!$A11,'Customer Scenario Forecast'!$H$20:$H$1181,'Incremental Network SummerFcast'!$H$1)+L13))</f>
        <v>41.738998045729922</v>
      </c>
    </row>
    <row r="17" spans="1:12" ht="15" thickBot="1">
      <c r="A17" s="197" t="s">
        <v>109</v>
      </c>
      <c r="B17" s="198">
        <f ca="1">IF($H$1="",
1*(
SUMIFS('Customer Scenario Forecast'!B$25:B$1186,'Customer Scenario Forecast'!$C$20:$C$1181,'Incremental Network SummerFcast'!$A11)+
SUMIFS('Customer Scenario Forecast'!B$25:B$1186,'Customer Scenario Forecast'!$D$20:$D$1181,'Incremental Network SummerFcast'!$A11)+
SUMIFS('Customer Scenario Forecast'!B$25:B$1186,'Customer Scenario Forecast'!$E$20:$E$1181,'Incremental Network SummerFcast'!$A11)+B13),
1*(
SUMIFS('Customer Scenario Forecast'!B$25:B$1186,'Customer Scenario Forecast'!$C$20:$C$1181,'Incremental Network SummerFcast'!$A11,'Customer Scenario Forecast'!$H$20:$H$1181,'Incremental Network SummerFcast'!$H$1)+
SUMIFS('Customer Scenario Forecast'!B$25:B$1186,'Customer Scenario Forecast'!$D$20:$D$1181,'Incremental Network SummerFcast'!$A11,'Customer Scenario Forecast'!$H$20:$H$1181,'Incremental Network SummerFcast'!$H$1)+
SUMIFS('Customer Scenario Forecast'!B$25:B$1186,'Customer Scenario Forecast'!$E$20:$E$1181,'Incremental Network SummerFcast'!$A11,'Customer Scenario Forecast'!$H$20:$H$1181,'Incremental Network SummerFcast'!$H$1)+B13))</f>
        <v>-2</v>
      </c>
      <c r="C17" s="198">
        <f ca="1">IF($H$1="",
1*(
SUMIFS('Customer Scenario Forecast'!C$25:C$1186,'Customer Scenario Forecast'!$C$20:$C$1181,'Incremental Network SummerFcast'!$A11)+
SUMIFS('Customer Scenario Forecast'!C$25:C$1186,'Customer Scenario Forecast'!$D$20:$D$1181,'Incremental Network SummerFcast'!$A11)+
SUMIFS('Customer Scenario Forecast'!C$25:C$1186,'Customer Scenario Forecast'!$E$20:$E$1181,'Incremental Network SummerFcast'!$A11)+C13),
1*(
SUMIFS('Customer Scenario Forecast'!C$25:C$1186,'Customer Scenario Forecast'!$C$20:$C$1181,'Incremental Network SummerFcast'!$A11,'Customer Scenario Forecast'!$H$20:$H$1181,'Incremental Network SummerFcast'!$H$1)+
SUMIFS('Customer Scenario Forecast'!C$25:C$1186,'Customer Scenario Forecast'!$D$20:$D$1181,'Incremental Network SummerFcast'!$A11,'Customer Scenario Forecast'!$H$20:$H$1181,'Incremental Network SummerFcast'!$H$1)+
SUMIFS('Customer Scenario Forecast'!C$25:C$1186,'Customer Scenario Forecast'!$E$20:$E$1181,'Incremental Network SummerFcast'!$A11,'Customer Scenario Forecast'!$H$20:$H$1181,'Incremental Network SummerFcast'!$H$1)+C13))</f>
        <v>1.75</v>
      </c>
      <c r="D17" s="198">
        <f ca="1">IF($H$1="",
1*(
SUMIFS('Customer Scenario Forecast'!D$25:D$1186,'Customer Scenario Forecast'!$C$20:$C$1181,'Incremental Network SummerFcast'!$A11)+
SUMIFS('Customer Scenario Forecast'!D$25:D$1186,'Customer Scenario Forecast'!$D$20:$D$1181,'Incremental Network SummerFcast'!$A11)+
SUMIFS('Customer Scenario Forecast'!D$25:D$1186,'Customer Scenario Forecast'!$E$20:$E$1181,'Incremental Network SummerFcast'!$A11)+D13),
1*(
SUMIFS('Customer Scenario Forecast'!D$25:D$1186,'Customer Scenario Forecast'!$C$20:$C$1181,'Incremental Network SummerFcast'!$A11,'Customer Scenario Forecast'!$H$20:$H$1181,'Incremental Network SummerFcast'!$H$1)+
SUMIFS('Customer Scenario Forecast'!D$25:D$1186,'Customer Scenario Forecast'!$D$20:$D$1181,'Incremental Network SummerFcast'!$A11,'Customer Scenario Forecast'!$H$20:$H$1181,'Incremental Network SummerFcast'!$H$1)+
SUMIFS('Customer Scenario Forecast'!D$25:D$1186,'Customer Scenario Forecast'!$E$20:$E$1181,'Incremental Network SummerFcast'!$A11,'Customer Scenario Forecast'!$H$20:$H$1181,'Incremental Network SummerFcast'!$H$1)+D13))</f>
        <v>16.861052022669533</v>
      </c>
      <c r="E17" s="198">
        <f ca="1">IF($H$1="",
1*(
SUMIFS('Customer Scenario Forecast'!E$25:E$1186,'Customer Scenario Forecast'!$C$20:$C$1181,'Incremental Network SummerFcast'!$A11)+
SUMIFS('Customer Scenario Forecast'!E$25:E$1186,'Customer Scenario Forecast'!$D$20:$D$1181,'Incremental Network SummerFcast'!$A11)+
SUMIFS('Customer Scenario Forecast'!E$25:E$1186,'Customer Scenario Forecast'!$E$20:$E$1181,'Incremental Network SummerFcast'!$A11)+E13),
1*(
SUMIFS('Customer Scenario Forecast'!E$25:E$1186,'Customer Scenario Forecast'!$C$20:$C$1181,'Incremental Network SummerFcast'!$A11,'Customer Scenario Forecast'!$H$20:$H$1181,'Incremental Network SummerFcast'!$H$1)+
SUMIFS('Customer Scenario Forecast'!E$25:E$1186,'Customer Scenario Forecast'!$D$20:$D$1181,'Incremental Network SummerFcast'!$A11,'Customer Scenario Forecast'!$H$20:$H$1181,'Incremental Network SummerFcast'!$H$1)+
SUMIFS('Customer Scenario Forecast'!E$25:E$1186,'Customer Scenario Forecast'!$E$20:$E$1181,'Incremental Network SummerFcast'!$A11,'Customer Scenario Forecast'!$H$20:$H$1181,'Incremental Network SummerFcast'!$H$1)+E13))</f>
        <v>23.501466308383819</v>
      </c>
      <c r="F17" s="198">
        <f ca="1">IF($H$1="",
1*(
SUMIFS('Customer Scenario Forecast'!F$25:F$1186,'Customer Scenario Forecast'!$C$20:$C$1181,'Incremental Network SummerFcast'!$A11)+
SUMIFS('Customer Scenario Forecast'!F$25:F$1186,'Customer Scenario Forecast'!$D$20:$D$1181,'Incremental Network SummerFcast'!$A11)+
SUMIFS('Customer Scenario Forecast'!F$25:F$1186,'Customer Scenario Forecast'!$E$20:$E$1181,'Incremental Network SummerFcast'!$A11)+F13),
1*(
SUMIFS('Customer Scenario Forecast'!F$25:F$1186,'Customer Scenario Forecast'!$C$20:$C$1181,'Incremental Network SummerFcast'!$A11,'Customer Scenario Forecast'!$H$20:$H$1181,'Incremental Network SummerFcast'!$H$1)+
SUMIFS('Customer Scenario Forecast'!F$25:F$1186,'Customer Scenario Forecast'!$D$20:$D$1181,'Incremental Network SummerFcast'!$A11,'Customer Scenario Forecast'!$H$20:$H$1181,'Incremental Network SummerFcast'!$H$1)+
SUMIFS('Customer Scenario Forecast'!F$25:F$1186,'Customer Scenario Forecast'!$E$20:$E$1181,'Incremental Network SummerFcast'!$A11,'Customer Scenario Forecast'!$H$20:$H$1181,'Incremental Network SummerFcast'!$H$1)+F13))</f>
        <v>24.719637736955249</v>
      </c>
      <c r="G17" s="198">
        <f ca="1">IF($H$1="",
1*(
SUMIFS('Customer Scenario Forecast'!G$25:G$1186,'Customer Scenario Forecast'!$C$20:$C$1181,'Incremental Network SummerFcast'!$A11)+
SUMIFS('Customer Scenario Forecast'!G$25:G$1186,'Customer Scenario Forecast'!$D$20:$D$1181,'Incremental Network SummerFcast'!$A11)+
SUMIFS('Customer Scenario Forecast'!G$25:G$1186,'Customer Scenario Forecast'!$E$20:$E$1181,'Incremental Network SummerFcast'!$A11)+G13),
1*(
SUMIFS('Customer Scenario Forecast'!G$25:G$1186,'Customer Scenario Forecast'!$C$20:$C$1181,'Incremental Network SummerFcast'!$A11,'Customer Scenario Forecast'!$H$20:$H$1181,'Incremental Network SummerFcast'!$H$1)+
SUMIFS('Customer Scenario Forecast'!G$25:G$1186,'Customer Scenario Forecast'!$D$20:$D$1181,'Incremental Network SummerFcast'!$A11,'Customer Scenario Forecast'!$H$20:$H$1181,'Incremental Network SummerFcast'!$H$1)+
SUMIFS('Customer Scenario Forecast'!G$25:G$1186,'Customer Scenario Forecast'!$E$20:$E$1181,'Incremental Network SummerFcast'!$A11,'Customer Scenario Forecast'!$H$20:$H$1181,'Incremental Network SummerFcast'!$H$1)+G13))</f>
        <v>28.356677736955248</v>
      </c>
      <c r="H17" s="198">
        <f ca="1">IF($H$1="",
1*(
SUMIFS('Customer Scenario Forecast'!H$25:H$1186,'Customer Scenario Forecast'!$C$20:$C$1181,'Incremental Network SummerFcast'!$A11)+
SUMIFS('Customer Scenario Forecast'!H$25:H$1186,'Customer Scenario Forecast'!$D$20:$D$1181,'Incremental Network SummerFcast'!$A11)+
SUMIFS('Customer Scenario Forecast'!H$25:H$1186,'Customer Scenario Forecast'!$E$20:$E$1181,'Incremental Network SummerFcast'!$A11)+H13),
1*(
SUMIFS('Customer Scenario Forecast'!H$25:H$1186,'Customer Scenario Forecast'!$C$20:$C$1181,'Incremental Network SummerFcast'!$A11,'Customer Scenario Forecast'!$H$20:$H$1181,'Incremental Network SummerFcast'!$H$1)+
SUMIFS('Customer Scenario Forecast'!H$25:H$1186,'Customer Scenario Forecast'!$D$20:$D$1181,'Incremental Network SummerFcast'!$A11,'Customer Scenario Forecast'!$H$20:$H$1181,'Incremental Network SummerFcast'!$H$1)+
SUMIFS('Customer Scenario Forecast'!H$25:H$1186,'Customer Scenario Forecast'!$E$20:$E$1181,'Incremental Network SummerFcast'!$A11,'Customer Scenario Forecast'!$H$20:$H$1181,'Incremental Network SummerFcast'!$H$1)+H13))</f>
        <v>34.946620203244088</v>
      </c>
      <c r="I17" s="198">
        <f ca="1">IF($H$1="",
1*(
SUMIFS('Customer Scenario Forecast'!I$25:I$1186,'Customer Scenario Forecast'!$C$20:$C$1181,'Incremental Network SummerFcast'!$A11)+
SUMIFS('Customer Scenario Forecast'!I$25:I$1186,'Customer Scenario Forecast'!$D$20:$D$1181,'Incremental Network SummerFcast'!$A11)+
SUMIFS('Customer Scenario Forecast'!I$25:I$1186,'Customer Scenario Forecast'!$E$20:$E$1181,'Incremental Network SummerFcast'!$A11)+I13),
1*(
SUMIFS('Customer Scenario Forecast'!I$25:I$1186,'Customer Scenario Forecast'!$C$20:$C$1181,'Incremental Network SummerFcast'!$A11,'Customer Scenario Forecast'!$H$20:$H$1181,'Incremental Network SummerFcast'!$H$1)+
SUMIFS('Customer Scenario Forecast'!I$25:I$1186,'Customer Scenario Forecast'!$D$20:$D$1181,'Incremental Network SummerFcast'!$A11,'Customer Scenario Forecast'!$H$20:$H$1181,'Incremental Network SummerFcast'!$H$1)+
SUMIFS('Customer Scenario Forecast'!I$25:I$1186,'Customer Scenario Forecast'!$E$20:$E$1181,'Incremental Network SummerFcast'!$A11,'Customer Scenario Forecast'!$H$20:$H$1181,'Incremental Network SummerFcast'!$H$1)+I13))</f>
        <v>44.235229573578266</v>
      </c>
      <c r="J17" s="198">
        <f ca="1">IF($H$1="",
1*(
SUMIFS('Customer Scenario Forecast'!J$25:J$1186,'Customer Scenario Forecast'!$C$20:$C$1181,'Incremental Network SummerFcast'!$A11)+
SUMIFS('Customer Scenario Forecast'!J$25:J$1186,'Customer Scenario Forecast'!$D$20:$D$1181,'Incremental Network SummerFcast'!$A11)+
SUMIFS('Customer Scenario Forecast'!J$25:J$1186,'Customer Scenario Forecast'!$E$20:$E$1181,'Incremental Network SummerFcast'!$A11)+J13),
1*(
SUMIFS('Customer Scenario Forecast'!J$25:J$1186,'Customer Scenario Forecast'!$C$20:$C$1181,'Incremental Network SummerFcast'!$A11,'Customer Scenario Forecast'!$H$20:$H$1181,'Incremental Network SummerFcast'!$H$1)+
SUMIFS('Customer Scenario Forecast'!J$25:J$1186,'Customer Scenario Forecast'!$D$20:$D$1181,'Incremental Network SummerFcast'!$A11,'Customer Scenario Forecast'!$H$20:$H$1181,'Incremental Network SummerFcast'!$H$1)+
SUMIFS('Customer Scenario Forecast'!J$25:J$1186,'Customer Scenario Forecast'!$E$20:$E$1181,'Incremental Network SummerFcast'!$A11,'Customer Scenario Forecast'!$H$20:$H$1181,'Incremental Network SummerFcast'!$H$1)+J13))</f>
        <v>50.533015611491109</v>
      </c>
      <c r="K17" s="198">
        <f ca="1">IF($H$1="",
1*(
SUMIFS('Customer Scenario Forecast'!K$25:K$1186,'Customer Scenario Forecast'!$C$20:$C$1181,'Incremental Network SummerFcast'!$A11)+
SUMIFS('Customer Scenario Forecast'!K$25:K$1186,'Customer Scenario Forecast'!$D$20:$D$1181,'Incremental Network SummerFcast'!$A11)+
SUMIFS('Customer Scenario Forecast'!K$25:K$1186,'Customer Scenario Forecast'!$E$20:$E$1181,'Incremental Network SummerFcast'!$A11)+K13),
1*(
SUMIFS('Customer Scenario Forecast'!K$25:K$1186,'Customer Scenario Forecast'!$C$20:$C$1181,'Incremental Network SummerFcast'!$A11,'Customer Scenario Forecast'!$H$20:$H$1181,'Incremental Network SummerFcast'!$H$1)+
SUMIFS('Customer Scenario Forecast'!K$25:K$1186,'Customer Scenario Forecast'!$D$20:$D$1181,'Incremental Network SummerFcast'!$A11,'Customer Scenario Forecast'!$H$20:$H$1181,'Incremental Network SummerFcast'!$H$1)+
SUMIFS('Customer Scenario Forecast'!K$25:K$1186,'Customer Scenario Forecast'!$E$20:$E$1181,'Incremental Network SummerFcast'!$A11,'Customer Scenario Forecast'!$H$20:$H$1181,'Incremental Network SummerFcast'!$H$1)+K13))</f>
        <v>68.421729547000197</v>
      </c>
      <c r="L17" s="198">
        <f ca="1">IF($H$1="",
1*(
SUMIFS('Customer Scenario Forecast'!L$25:L$1186,'Customer Scenario Forecast'!$C$20:$C$1181,'Incremental Network SummerFcast'!$A11)+
SUMIFS('Customer Scenario Forecast'!L$25:L$1186,'Customer Scenario Forecast'!$D$20:$D$1181,'Incremental Network SummerFcast'!$A11)+
SUMIFS('Customer Scenario Forecast'!L$25:L$1186,'Customer Scenario Forecast'!$E$20:$E$1181,'Incremental Network SummerFcast'!$A11)+L13),
1*(
SUMIFS('Customer Scenario Forecast'!L$25:L$1186,'Customer Scenario Forecast'!$C$20:$C$1181,'Incremental Network SummerFcast'!$A11,'Customer Scenario Forecast'!$H$20:$H$1181,'Incremental Network SummerFcast'!$H$1)+
SUMIFS('Customer Scenario Forecast'!L$25:L$1186,'Customer Scenario Forecast'!$D$20:$D$1181,'Incremental Network SummerFcast'!$A11,'Customer Scenario Forecast'!$H$20:$H$1181,'Incremental Network SummerFcast'!$H$1)+
SUMIFS('Customer Scenario Forecast'!L$25:L$1186,'Customer Scenario Forecast'!$E$20:$E$1181,'Incremental Network SummerFcast'!$A11,'Customer Scenario Forecast'!$H$20:$H$1181,'Incremental Network SummerFcast'!$H$1)+L13))</f>
        <v>84.820280517334382</v>
      </c>
    </row>
    <row r="18" spans="1:12" ht="15.6" thickTop="1" thickBot="1">
      <c r="A18" s="197" t="s">
        <v>148</v>
      </c>
      <c r="B18" s="198">
        <f ca="1">'Incremental Network SummerFcast'!$B$245*B15+'Incremental Network SummerFcast'!$B$246*B16+'Incremental Network SummerFcast'!$B$247*B17</f>
        <v>-2</v>
      </c>
      <c r="C18" s="198">
        <f ca="1">'Incremental Network SummerFcast'!$B$245*C15+'Incremental Network SummerFcast'!$B$246*C16+'Incremental Network SummerFcast'!$B$247*C17</f>
        <v>1.75</v>
      </c>
      <c r="D18" s="198">
        <f ca="1">'Incremental Network SummerFcast'!$B$245*D15+'Incremental Network SummerFcast'!$B$246*D16+'Incremental Network SummerFcast'!$B$247*D17</f>
        <v>16.861052022669533</v>
      </c>
      <c r="E18" s="198">
        <f ca="1">'Incremental Network SummerFcast'!$B$245*E15+'Incremental Network SummerFcast'!$B$246*E16+'Incremental Network SummerFcast'!$B$247*E17</f>
        <v>23.501466308383819</v>
      </c>
      <c r="F18" s="198">
        <f ca="1">'Incremental Network SummerFcast'!$B$245*F15+'Incremental Network SummerFcast'!$B$246*F16+'Incremental Network SummerFcast'!$B$247*F17</f>
        <v>24.719637736955249</v>
      </c>
      <c r="G18" s="198">
        <f ca="1">'Incremental Network SummerFcast'!$B$245*G15+'Incremental Network SummerFcast'!$B$246*G16+'Incremental Network SummerFcast'!$B$247*G17</f>
        <v>28.356677736955248</v>
      </c>
      <c r="H18" s="198">
        <f ca="1">'Incremental Network SummerFcast'!$B$245*H15+'Incremental Network SummerFcast'!$B$246*H16+'Incremental Network SummerFcast'!$B$247*H17</f>
        <v>31.787577639241746</v>
      </c>
      <c r="I18" s="198">
        <f ca="1">'Incremental Network SummerFcast'!$B$245*I15+'Incremental Network SummerFcast'!$B$246*I16+'Incremental Network SummerFcast'!$B$247*I17</f>
        <v>37.471219378281546</v>
      </c>
      <c r="J18" s="198">
        <f ca="1">'Incremental Network SummerFcast'!$B$245*J15+'Incremental Network SummerFcast'!$B$246*J16+'Incremental Network SummerFcast'!$B$247*J17</f>
        <v>42.103441452543805</v>
      </c>
      <c r="K18" s="198">
        <f ca="1">'Incremental Network SummerFcast'!$B$245*K15+'Incremental Network SummerFcast'!$B$246*K16+'Incremental Network SummerFcast'!$B$247*K17</f>
        <v>49.727941022474113</v>
      </c>
      <c r="L18" s="198">
        <f ca="1">'Incremental Network SummerFcast'!$B$245*L15+'Incremental Network SummerFcast'!$B$246*L16+'Incremental Network SummerFcast'!$B$247*L17</f>
        <v>59.818848616305132</v>
      </c>
    </row>
    <row r="19" spans="1:12" ht="15.6" thickTop="1" thickBot="1">
      <c r="A19" s="188" t="s">
        <v>149</v>
      </c>
      <c r="B19" s="216"/>
      <c r="C19" s="190"/>
      <c r="D19" s="190"/>
      <c r="E19" s="190"/>
      <c r="F19" s="190"/>
      <c r="G19" s="190"/>
      <c r="H19" s="190"/>
      <c r="I19" s="190"/>
      <c r="J19" s="190"/>
      <c r="K19" s="190"/>
      <c r="L19" s="190"/>
    </row>
    <row r="20" spans="1:12" ht="15" thickBot="1">
      <c r="A20" s="191" t="str">
        <f>A12</f>
        <v>Uptake Scenario</v>
      </c>
      <c r="B20" s="191">
        <f t="shared" ref="B20:L20" si="2">B12</f>
        <v>2023</v>
      </c>
      <c r="C20" s="191">
        <f t="shared" si="2"/>
        <v>2024</v>
      </c>
      <c r="D20" s="191">
        <f t="shared" si="2"/>
        <v>2025</v>
      </c>
      <c r="E20" s="191">
        <f t="shared" si="2"/>
        <v>2026</v>
      </c>
      <c r="F20" s="191">
        <f t="shared" si="2"/>
        <v>2027</v>
      </c>
      <c r="G20" s="191">
        <f t="shared" si="2"/>
        <v>2028</v>
      </c>
      <c r="H20" s="191">
        <f t="shared" si="2"/>
        <v>2029</v>
      </c>
      <c r="I20" s="191">
        <f t="shared" si="2"/>
        <v>2030</v>
      </c>
      <c r="J20" s="191">
        <f t="shared" si="2"/>
        <v>2031</v>
      </c>
      <c r="K20" s="191">
        <f t="shared" si="2"/>
        <v>2032</v>
      </c>
      <c r="L20" s="191">
        <f t="shared" si="2"/>
        <v>2033</v>
      </c>
    </row>
    <row r="21" spans="1:12" ht="15.6" thickTop="1" thickBot="1">
      <c r="A21" s="193"/>
      <c r="B21" s="206"/>
      <c r="C21" s="206"/>
      <c r="D21" s="206"/>
      <c r="E21" s="206"/>
      <c r="F21" s="206"/>
      <c r="G21" s="206"/>
      <c r="H21" s="206"/>
      <c r="I21" s="206"/>
      <c r="J21" s="206"/>
      <c r="K21" s="215"/>
      <c r="L21" s="215"/>
    </row>
    <row r="22" spans="1:12" ht="15" thickBot="1">
      <c r="A22" s="193" t="s">
        <v>111</v>
      </c>
      <c r="B22" s="194">
        <f ca="1">IF($H$1="",
SUMIFS('Customer Scenario Forecast'!B$22:B$1183,'Customer Scenario Forecast'!$C$20:$C$1181,'Incremental Network SummerFcast'!$A19)+
SUMIFS('Customer Scenario Forecast'!B$22:B$1183,'Customer Scenario Forecast'!$D$20:$D$1181,'Incremental Network SummerFcast'!$A19)+
SUMIFS('Customer Scenario Forecast'!B$22:B$1183,'Customer Scenario Forecast'!$E$20:$E$1181,'Incremental Network SummerFcast'!$A19),
SUMIFS('Customer Scenario Forecast'!B$22:B$1183,'Customer Scenario Forecast'!$C$20:$C$1181,'Incremental Network SummerFcast'!$A19,'Customer Scenario Forecast'!$H$20:$H$1181,'Incremental Network SummerFcast'!$H$1)+
SUMIFS('Customer Scenario Forecast'!B$22:B$1183,'Customer Scenario Forecast'!$D$20:$D$1181,'Incremental Network SummerFcast'!$A19,'Customer Scenario Forecast'!$H$20:$H$1181,'Incremental Network SummerFcast'!$H$1)+
SUMIFS('Customer Scenario Forecast'!B$22:B$1183,'Customer Scenario Forecast'!$E$20:$E$1181,'Incremental Network SummerFcast'!$A19,'Customer Scenario Forecast'!$H$20:$H$1181,'Incremental Network SummerFcast'!$H$1))</f>
        <v>0</v>
      </c>
      <c r="C22" s="194">
        <f ca="1">IF($H$1="",
SUMIFS('Customer Scenario Forecast'!C$22:C$1183,'Customer Scenario Forecast'!$C$20:$C$1181,'Incremental Network SummerFcast'!$A19)+
SUMIFS('Customer Scenario Forecast'!C$22:C$1183,'Customer Scenario Forecast'!$D$20:$D$1181,'Incremental Network SummerFcast'!$A19)+
SUMIFS('Customer Scenario Forecast'!C$22:C$1183,'Customer Scenario Forecast'!$E$20:$E$1181,'Incremental Network SummerFcast'!$A19),
SUMIFS('Customer Scenario Forecast'!C$22:C$1183,'Customer Scenario Forecast'!$C$20:$C$1181,'Incremental Network SummerFcast'!$A19,'Customer Scenario Forecast'!$H$20:$H$1181,'Incremental Network SummerFcast'!$H$1)+
SUMIFS('Customer Scenario Forecast'!C$22:C$1183,'Customer Scenario Forecast'!$D$20:$D$1181,'Incremental Network SummerFcast'!$A19,'Customer Scenario Forecast'!$H$20:$H$1181,'Incremental Network SummerFcast'!$H$1)+
SUMIFS('Customer Scenario Forecast'!C$22:C$1183,'Customer Scenario Forecast'!$E$20:$E$1181,'Incremental Network SummerFcast'!$A19,'Customer Scenario Forecast'!$H$20:$H$1181,'Incremental Network SummerFcast'!$H$1))</f>
        <v>0</v>
      </c>
      <c r="D22" s="194">
        <f ca="1">IF($H$1="",
SUMIFS('Customer Scenario Forecast'!D$22:D$1183,'Customer Scenario Forecast'!$C$20:$C$1181,'Incremental Network SummerFcast'!$A19)+
SUMIFS('Customer Scenario Forecast'!D$22:D$1183,'Customer Scenario Forecast'!$D$20:$D$1181,'Incremental Network SummerFcast'!$A19)+
SUMIFS('Customer Scenario Forecast'!D$22:D$1183,'Customer Scenario Forecast'!$E$20:$E$1181,'Incremental Network SummerFcast'!$A19),
SUMIFS('Customer Scenario Forecast'!D$22:D$1183,'Customer Scenario Forecast'!$C$20:$C$1181,'Incremental Network SummerFcast'!$A19,'Customer Scenario Forecast'!$H$20:$H$1181,'Incremental Network SummerFcast'!$H$1)+
SUMIFS('Customer Scenario Forecast'!D$22:D$1183,'Customer Scenario Forecast'!$D$20:$D$1181,'Incremental Network SummerFcast'!$A19,'Customer Scenario Forecast'!$H$20:$H$1181,'Incremental Network SummerFcast'!$H$1)+
SUMIFS('Customer Scenario Forecast'!D$22:D$1183,'Customer Scenario Forecast'!$E$20:$E$1181,'Incremental Network SummerFcast'!$A19,'Customer Scenario Forecast'!$H$20:$H$1181,'Incremental Network SummerFcast'!$H$1))</f>
        <v>0</v>
      </c>
      <c r="E22" s="194">
        <f ca="1">IF($H$1="",
SUMIFS('Customer Scenario Forecast'!E$22:E$1183,'Customer Scenario Forecast'!$C$20:$C$1181,'Incremental Network SummerFcast'!$A19)+
SUMIFS('Customer Scenario Forecast'!E$22:E$1183,'Customer Scenario Forecast'!$D$20:$D$1181,'Incremental Network SummerFcast'!$A19)+
SUMIFS('Customer Scenario Forecast'!E$22:E$1183,'Customer Scenario Forecast'!$E$20:$E$1181,'Incremental Network SummerFcast'!$A19),
SUMIFS('Customer Scenario Forecast'!E$22:E$1183,'Customer Scenario Forecast'!$C$20:$C$1181,'Incremental Network SummerFcast'!$A19,'Customer Scenario Forecast'!$H$20:$H$1181,'Incremental Network SummerFcast'!$H$1)+
SUMIFS('Customer Scenario Forecast'!E$22:E$1183,'Customer Scenario Forecast'!$D$20:$D$1181,'Incremental Network SummerFcast'!$A19,'Customer Scenario Forecast'!$H$20:$H$1181,'Incremental Network SummerFcast'!$H$1)+
SUMIFS('Customer Scenario Forecast'!E$22:E$1183,'Customer Scenario Forecast'!$E$20:$E$1181,'Incremental Network SummerFcast'!$A19,'Customer Scenario Forecast'!$H$20:$H$1181,'Incremental Network SummerFcast'!$H$1))</f>
        <v>0</v>
      </c>
      <c r="F22" s="194">
        <f ca="1">IF($H$1="",
SUMIFS('Customer Scenario Forecast'!F$22:F$1183,'Customer Scenario Forecast'!$C$20:$C$1181,'Incremental Network SummerFcast'!$A19)+
SUMIFS('Customer Scenario Forecast'!F$22:F$1183,'Customer Scenario Forecast'!$D$20:$D$1181,'Incremental Network SummerFcast'!$A19)+
SUMIFS('Customer Scenario Forecast'!F$22:F$1183,'Customer Scenario Forecast'!$E$20:$E$1181,'Incremental Network SummerFcast'!$A19),
SUMIFS('Customer Scenario Forecast'!F$22:F$1183,'Customer Scenario Forecast'!$C$20:$C$1181,'Incremental Network SummerFcast'!$A19,'Customer Scenario Forecast'!$H$20:$H$1181,'Incremental Network SummerFcast'!$H$1)+
SUMIFS('Customer Scenario Forecast'!F$22:F$1183,'Customer Scenario Forecast'!$D$20:$D$1181,'Incremental Network SummerFcast'!$A19,'Customer Scenario Forecast'!$H$20:$H$1181,'Incremental Network SummerFcast'!$H$1)+
SUMIFS('Customer Scenario Forecast'!F$22:F$1183,'Customer Scenario Forecast'!$E$20:$E$1181,'Incremental Network SummerFcast'!$A19,'Customer Scenario Forecast'!$H$20:$H$1181,'Incremental Network SummerFcast'!$H$1))</f>
        <v>0</v>
      </c>
      <c r="G22" s="194">
        <f ca="1">IF($H$1="",
SUMIFS('Customer Scenario Forecast'!G$22:G$1183,'Customer Scenario Forecast'!$C$20:$C$1181,'Incremental Network SummerFcast'!$A19)+
SUMIFS('Customer Scenario Forecast'!G$22:G$1183,'Customer Scenario Forecast'!$D$20:$D$1181,'Incremental Network SummerFcast'!$A19)+
SUMIFS('Customer Scenario Forecast'!G$22:G$1183,'Customer Scenario Forecast'!$E$20:$E$1181,'Incremental Network SummerFcast'!$A19),
SUMIFS('Customer Scenario Forecast'!G$22:G$1183,'Customer Scenario Forecast'!$C$20:$C$1181,'Incremental Network SummerFcast'!$A19,'Customer Scenario Forecast'!$H$20:$H$1181,'Incremental Network SummerFcast'!$H$1)+
SUMIFS('Customer Scenario Forecast'!G$22:G$1183,'Customer Scenario Forecast'!$D$20:$D$1181,'Incremental Network SummerFcast'!$A19,'Customer Scenario Forecast'!$H$20:$H$1181,'Incremental Network SummerFcast'!$H$1)+
SUMIFS('Customer Scenario Forecast'!G$22:G$1183,'Customer Scenario Forecast'!$E$20:$E$1181,'Incremental Network SummerFcast'!$A19,'Customer Scenario Forecast'!$H$20:$H$1181,'Incremental Network SummerFcast'!$H$1))</f>
        <v>0</v>
      </c>
      <c r="H22" s="194">
        <f ca="1">IF($H$1="",
SUMIFS('Customer Scenario Forecast'!H$22:H$1183,'Customer Scenario Forecast'!$C$20:$C$1181,'Incremental Network SummerFcast'!$A19)+
SUMIFS('Customer Scenario Forecast'!H$22:H$1183,'Customer Scenario Forecast'!$D$20:$D$1181,'Incremental Network SummerFcast'!$A19)+
SUMIFS('Customer Scenario Forecast'!H$22:H$1183,'Customer Scenario Forecast'!$E$20:$E$1181,'Incremental Network SummerFcast'!$A19),
SUMIFS('Customer Scenario Forecast'!H$22:H$1183,'Customer Scenario Forecast'!$C$20:$C$1181,'Incremental Network SummerFcast'!$A19,'Customer Scenario Forecast'!$H$20:$H$1181,'Incremental Network SummerFcast'!$H$1)+
SUMIFS('Customer Scenario Forecast'!H$22:H$1183,'Customer Scenario Forecast'!$D$20:$D$1181,'Incremental Network SummerFcast'!$A19,'Customer Scenario Forecast'!$H$20:$H$1181,'Incremental Network SummerFcast'!$H$1)+
SUMIFS('Customer Scenario Forecast'!H$22:H$1183,'Customer Scenario Forecast'!$E$20:$E$1181,'Incremental Network SummerFcast'!$A19,'Customer Scenario Forecast'!$H$20:$H$1181,'Incremental Network SummerFcast'!$H$1))</f>
        <v>0</v>
      </c>
      <c r="I22" s="194">
        <f ca="1">IF($H$1="",
SUMIFS('Customer Scenario Forecast'!I$22:I$1183,'Customer Scenario Forecast'!$C$20:$C$1181,'Incremental Network SummerFcast'!$A19)+
SUMIFS('Customer Scenario Forecast'!I$22:I$1183,'Customer Scenario Forecast'!$D$20:$D$1181,'Incremental Network SummerFcast'!$A19)+
SUMIFS('Customer Scenario Forecast'!I$22:I$1183,'Customer Scenario Forecast'!$E$20:$E$1181,'Incremental Network SummerFcast'!$A19),
SUMIFS('Customer Scenario Forecast'!I$22:I$1183,'Customer Scenario Forecast'!$C$20:$C$1181,'Incremental Network SummerFcast'!$A19,'Customer Scenario Forecast'!$H$20:$H$1181,'Incremental Network SummerFcast'!$H$1)+
SUMIFS('Customer Scenario Forecast'!I$22:I$1183,'Customer Scenario Forecast'!$D$20:$D$1181,'Incremental Network SummerFcast'!$A19,'Customer Scenario Forecast'!$H$20:$H$1181,'Incremental Network SummerFcast'!$H$1)+
SUMIFS('Customer Scenario Forecast'!I$22:I$1183,'Customer Scenario Forecast'!$E$20:$E$1181,'Incremental Network SummerFcast'!$A19,'Customer Scenario Forecast'!$H$20:$H$1181,'Incremental Network SummerFcast'!$H$1))</f>
        <v>0</v>
      </c>
      <c r="J22" s="194">
        <f ca="1">IF($H$1="",
SUMIFS('Customer Scenario Forecast'!J$22:J$1183,'Customer Scenario Forecast'!$C$20:$C$1181,'Incremental Network SummerFcast'!$A19)+
SUMIFS('Customer Scenario Forecast'!J$22:J$1183,'Customer Scenario Forecast'!$D$20:$D$1181,'Incremental Network SummerFcast'!$A19)+
SUMIFS('Customer Scenario Forecast'!J$22:J$1183,'Customer Scenario Forecast'!$E$20:$E$1181,'Incremental Network SummerFcast'!$A19),
SUMIFS('Customer Scenario Forecast'!J$22:J$1183,'Customer Scenario Forecast'!$C$20:$C$1181,'Incremental Network SummerFcast'!$A19,'Customer Scenario Forecast'!$H$20:$H$1181,'Incremental Network SummerFcast'!$H$1)+
SUMIFS('Customer Scenario Forecast'!J$22:J$1183,'Customer Scenario Forecast'!$D$20:$D$1181,'Incremental Network SummerFcast'!$A19,'Customer Scenario Forecast'!$H$20:$H$1181,'Incremental Network SummerFcast'!$H$1)+
SUMIFS('Customer Scenario Forecast'!J$22:J$1183,'Customer Scenario Forecast'!$E$20:$E$1181,'Incremental Network SummerFcast'!$A19,'Customer Scenario Forecast'!$H$20:$H$1181,'Incremental Network SummerFcast'!$H$1))</f>
        <v>0</v>
      </c>
      <c r="K22" s="194">
        <f ca="1">IF($H$1="",
SUMIFS('Customer Scenario Forecast'!K$22:K$1183,'Customer Scenario Forecast'!$C$20:$C$1181,'Incremental Network SummerFcast'!$A19)+
SUMIFS('Customer Scenario Forecast'!K$22:K$1183,'Customer Scenario Forecast'!$D$20:$D$1181,'Incremental Network SummerFcast'!$A19)+
SUMIFS('Customer Scenario Forecast'!K$22:K$1183,'Customer Scenario Forecast'!$E$20:$E$1181,'Incremental Network SummerFcast'!$A19),
SUMIFS('Customer Scenario Forecast'!K$22:K$1183,'Customer Scenario Forecast'!$C$20:$C$1181,'Incremental Network SummerFcast'!$A19,'Customer Scenario Forecast'!$H$20:$H$1181,'Incremental Network SummerFcast'!$H$1)+
SUMIFS('Customer Scenario Forecast'!K$22:K$1183,'Customer Scenario Forecast'!$D$20:$D$1181,'Incremental Network SummerFcast'!$A19,'Customer Scenario Forecast'!$H$20:$H$1181,'Incremental Network SummerFcast'!$H$1)+
SUMIFS('Customer Scenario Forecast'!K$22:K$1183,'Customer Scenario Forecast'!$E$20:$E$1181,'Incremental Network SummerFcast'!$A19,'Customer Scenario Forecast'!$H$20:$H$1181,'Incremental Network SummerFcast'!$H$1))</f>
        <v>0</v>
      </c>
      <c r="L22" s="194">
        <f ca="1">IF($H$1="",
SUMIFS('Customer Scenario Forecast'!L$22:L$1183,'Customer Scenario Forecast'!$C$20:$C$1181,'Incremental Network SummerFcast'!$A19)+
SUMIFS('Customer Scenario Forecast'!L$22:L$1183,'Customer Scenario Forecast'!$D$20:$D$1181,'Incremental Network SummerFcast'!$A19)+
SUMIFS('Customer Scenario Forecast'!L$22:L$1183,'Customer Scenario Forecast'!$E$20:$E$1181,'Incremental Network SummerFcast'!$A19),
SUMIFS('Customer Scenario Forecast'!L$22:L$1183,'Customer Scenario Forecast'!$C$20:$C$1181,'Incremental Network SummerFcast'!$A19,'Customer Scenario Forecast'!$H$20:$H$1181,'Incremental Network SummerFcast'!$H$1)+
SUMIFS('Customer Scenario Forecast'!L$22:L$1183,'Customer Scenario Forecast'!$D$20:$D$1181,'Incremental Network SummerFcast'!$A19,'Customer Scenario Forecast'!$H$20:$H$1181,'Incremental Network SummerFcast'!$H$1)+
SUMIFS('Customer Scenario Forecast'!L$22:L$1183,'Customer Scenario Forecast'!$E$20:$E$1181,'Incremental Network SummerFcast'!$A19,'Customer Scenario Forecast'!$H$20:$H$1181,'Incremental Network SummerFcast'!$H$1))</f>
        <v>0</v>
      </c>
    </row>
    <row r="23" spans="1:12" ht="15" thickBot="1">
      <c r="A23" s="195" t="s">
        <v>107</v>
      </c>
      <c r="B23" s="196">
        <f ca="1">IF($H$1="",
1*(
SUMIFS('Customer Scenario Forecast'!B$23:B$1184,'Customer Scenario Forecast'!$C$20:$C$1181,'Incremental Network SummerFcast'!$A19)+
SUMIFS('Customer Scenario Forecast'!B$23:B$1184,'Customer Scenario Forecast'!$D$20:$D$1181,'Incremental Network SummerFcast'!$A19)+
SUMIFS('Customer Scenario Forecast'!B$23:B$1184,'Customer Scenario Forecast'!$E$20:$E$1181,'Incremental Network SummerFcast'!$A19)+B21),
1*(
SUMIFS('Customer Scenario Forecast'!B$23:B$1184,'Customer Scenario Forecast'!$C$20:$C$1181,'Incremental Network SummerFcast'!$A19,'Customer Scenario Forecast'!$H$20:$H$1181,'Incremental Network SummerFcast'!$H$1)+
SUMIFS('Customer Scenario Forecast'!B$23:B$1184,'Customer Scenario Forecast'!$D$20:$D$1181,'Incremental Network SummerFcast'!$A19,'Customer Scenario Forecast'!$H$20:$H$1181,'Incremental Network SummerFcast'!$H$1)+
SUMIFS('Customer Scenario Forecast'!B$23:B$1184,'Customer Scenario Forecast'!$E$20:$E$1181,'Incremental Network SummerFcast'!$A19,'Customer Scenario Forecast'!$H$20:$H$1181,'Incremental Network SummerFcast'!$H$1)+B21))</f>
        <v>0</v>
      </c>
      <c r="C23" s="196">
        <f ca="1">IF($H$1="",
1*(
SUMIFS('Customer Scenario Forecast'!C$23:C$1184,'Customer Scenario Forecast'!$C$20:$C$1181,'Incremental Network SummerFcast'!$A19)+
SUMIFS('Customer Scenario Forecast'!C$23:C$1184,'Customer Scenario Forecast'!$D$20:$D$1181,'Incremental Network SummerFcast'!$A19)+
SUMIFS('Customer Scenario Forecast'!C$23:C$1184,'Customer Scenario Forecast'!$E$20:$E$1181,'Incremental Network SummerFcast'!$A19)+C21),
1*(
SUMIFS('Customer Scenario Forecast'!C$23:C$1184,'Customer Scenario Forecast'!$C$20:$C$1181,'Incremental Network SummerFcast'!$A19,'Customer Scenario Forecast'!$H$20:$H$1181,'Incremental Network SummerFcast'!$H$1)+
SUMIFS('Customer Scenario Forecast'!C$23:C$1184,'Customer Scenario Forecast'!$D$20:$D$1181,'Incremental Network SummerFcast'!$A19,'Customer Scenario Forecast'!$H$20:$H$1181,'Incremental Network SummerFcast'!$H$1)+
SUMIFS('Customer Scenario Forecast'!C$23:C$1184,'Customer Scenario Forecast'!$E$20:$E$1181,'Incremental Network SummerFcast'!$A19,'Customer Scenario Forecast'!$H$20:$H$1181,'Incremental Network SummerFcast'!$H$1)+C21))</f>
        <v>0</v>
      </c>
      <c r="D23" s="196">
        <f ca="1">IF($H$1="",
1*(
SUMIFS('Customer Scenario Forecast'!D$23:D$1184,'Customer Scenario Forecast'!$C$20:$C$1181,'Incremental Network SummerFcast'!$A19)+
SUMIFS('Customer Scenario Forecast'!D$23:D$1184,'Customer Scenario Forecast'!$D$20:$D$1181,'Incremental Network SummerFcast'!$A19)+
SUMIFS('Customer Scenario Forecast'!D$23:D$1184,'Customer Scenario Forecast'!$E$20:$E$1181,'Incremental Network SummerFcast'!$A19)+D21),
1*(
SUMIFS('Customer Scenario Forecast'!D$23:D$1184,'Customer Scenario Forecast'!$C$20:$C$1181,'Incremental Network SummerFcast'!$A19,'Customer Scenario Forecast'!$H$20:$H$1181,'Incremental Network SummerFcast'!$H$1)+
SUMIFS('Customer Scenario Forecast'!D$23:D$1184,'Customer Scenario Forecast'!$D$20:$D$1181,'Incremental Network SummerFcast'!$A19,'Customer Scenario Forecast'!$H$20:$H$1181,'Incremental Network SummerFcast'!$H$1)+
SUMIFS('Customer Scenario Forecast'!D$23:D$1184,'Customer Scenario Forecast'!$E$20:$E$1181,'Incremental Network SummerFcast'!$A19,'Customer Scenario Forecast'!$H$20:$H$1181,'Incremental Network SummerFcast'!$H$1)+D21))</f>
        <v>0</v>
      </c>
      <c r="E23" s="196">
        <f ca="1">IF($H$1="",
1*(
SUMIFS('Customer Scenario Forecast'!E$23:E$1184,'Customer Scenario Forecast'!$C$20:$C$1181,'Incremental Network SummerFcast'!$A19)+
SUMIFS('Customer Scenario Forecast'!E$23:E$1184,'Customer Scenario Forecast'!$D$20:$D$1181,'Incremental Network SummerFcast'!$A19)+
SUMIFS('Customer Scenario Forecast'!E$23:E$1184,'Customer Scenario Forecast'!$E$20:$E$1181,'Incremental Network SummerFcast'!$A19)+E21),
1*(
SUMIFS('Customer Scenario Forecast'!E$23:E$1184,'Customer Scenario Forecast'!$C$20:$C$1181,'Incremental Network SummerFcast'!$A19,'Customer Scenario Forecast'!$H$20:$H$1181,'Incremental Network SummerFcast'!$H$1)+
SUMIFS('Customer Scenario Forecast'!E$23:E$1184,'Customer Scenario Forecast'!$D$20:$D$1181,'Incremental Network SummerFcast'!$A19,'Customer Scenario Forecast'!$H$20:$H$1181,'Incremental Network SummerFcast'!$H$1)+
SUMIFS('Customer Scenario Forecast'!E$23:E$1184,'Customer Scenario Forecast'!$E$20:$E$1181,'Incremental Network SummerFcast'!$A19,'Customer Scenario Forecast'!$H$20:$H$1181,'Incremental Network SummerFcast'!$H$1)+E21))</f>
        <v>0</v>
      </c>
      <c r="F23" s="196">
        <f ca="1">IF($H$1="",
1*(
SUMIFS('Customer Scenario Forecast'!F$23:F$1184,'Customer Scenario Forecast'!$C$20:$C$1181,'Incremental Network SummerFcast'!$A19)+
SUMIFS('Customer Scenario Forecast'!F$23:F$1184,'Customer Scenario Forecast'!$D$20:$D$1181,'Incremental Network SummerFcast'!$A19)+
SUMIFS('Customer Scenario Forecast'!F$23:F$1184,'Customer Scenario Forecast'!$E$20:$E$1181,'Incremental Network SummerFcast'!$A19)+F21),
1*(
SUMIFS('Customer Scenario Forecast'!F$23:F$1184,'Customer Scenario Forecast'!$C$20:$C$1181,'Incremental Network SummerFcast'!$A19,'Customer Scenario Forecast'!$H$20:$H$1181,'Incremental Network SummerFcast'!$H$1)+
SUMIFS('Customer Scenario Forecast'!F$23:F$1184,'Customer Scenario Forecast'!$D$20:$D$1181,'Incremental Network SummerFcast'!$A19,'Customer Scenario Forecast'!$H$20:$H$1181,'Incremental Network SummerFcast'!$H$1)+
SUMIFS('Customer Scenario Forecast'!F$23:F$1184,'Customer Scenario Forecast'!$E$20:$E$1181,'Incremental Network SummerFcast'!$A19,'Customer Scenario Forecast'!$H$20:$H$1181,'Incremental Network SummerFcast'!$H$1)+F21))</f>
        <v>0</v>
      </c>
      <c r="G23" s="196">
        <f ca="1">IF($H$1="",
1*(
SUMIFS('Customer Scenario Forecast'!G$23:G$1184,'Customer Scenario Forecast'!$C$20:$C$1181,'Incremental Network SummerFcast'!$A19)+
SUMIFS('Customer Scenario Forecast'!G$23:G$1184,'Customer Scenario Forecast'!$D$20:$D$1181,'Incremental Network SummerFcast'!$A19)+
SUMIFS('Customer Scenario Forecast'!G$23:G$1184,'Customer Scenario Forecast'!$E$20:$E$1181,'Incremental Network SummerFcast'!$A19)+G21),
1*(
SUMIFS('Customer Scenario Forecast'!G$23:G$1184,'Customer Scenario Forecast'!$C$20:$C$1181,'Incremental Network SummerFcast'!$A19,'Customer Scenario Forecast'!$H$20:$H$1181,'Incremental Network SummerFcast'!$H$1)+
SUMIFS('Customer Scenario Forecast'!G$23:G$1184,'Customer Scenario Forecast'!$D$20:$D$1181,'Incremental Network SummerFcast'!$A19,'Customer Scenario Forecast'!$H$20:$H$1181,'Incremental Network SummerFcast'!$H$1)+
SUMIFS('Customer Scenario Forecast'!G$23:G$1184,'Customer Scenario Forecast'!$E$20:$E$1181,'Incremental Network SummerFcast'!$A19,'Customer Scenario Forecast'!$H$20:$H$1181,'Incremental Network SummerFcast'!$H$1)+G21))</f>
        <v>0</v>
      </c>
      <c r="H23" s="196">
        <f ca="1">IF($H$1="",
1*(
SUMIFS('Customer Scenario Forecast'!H$23:H$1184,'Customer Scenario Forecast'!$C$20:$C$1181,'Incremental Network SummerFcast'!$A19)+
SUMIFS('Customer Scenario Forecast'!H$23:H$1184,'Customer Scenario Forecast'!$D$20:$D$1181,'Incremental Network SummerFcast'!$A19)+
SUMIFS('Customer Scenario Forecast'!H$23:H$1184,'Customer Scenario Forecast'!$E$20:$E$1181,'Incremental Network SummerFcast'!$A19)+H21),
1*(
SUMIFS('Customer Scenario Forecast'!H$23:H$1184,'Customer Scenario Forecast'!$C$20:$C$1181,'Incremental Network SummerFcast'!$A19,'Customer Scenario Forecast'!$H$20:$H$1181,'Incremental Network SummerFcast'!$H$1)+
SUMIFS('Customer Scenario Forecast'!H$23:H$1184,'Customer Scenario Forecast'!$D$20:$D$1181,'Incremental Network SummerFcast'!$A19,'Customer Scenario Forecast'!$H$20:$H$1181,'Incremental Network SummerFcast'!$H$1)+
SUMIFS('Customer Scenario Forecast'!H$23:H$1184,'Customer Scenario Forecast'!$E$20:$E$1181,'Incremental Network SummerFcast'!$A19,'Customer Scenario Forecast'!$H$20:$H$1181,'Incremental Network SummerFcast'!$H$1)+H21))</f>
        <v>0</v>
      </c>
      <c r="I23" s="196">
        <f ca="1">IF($H$1="",
1*(
SUMIFS('Customer Scenario Forecast'!I$23:I$1184,'Customer Scenario Forecast'!$C$20:$C$1181,'Incremental Network SummerFcast'!$A19)+
SUMIFS('Customer Scenario Forecast'!I$23:I$1184,'Customer Scenario Forecast'!$D$20:$D$1181,'Incremental Network SummerFcast'!$A19)+
SUMIFS('Customer Scenario Forecast'!I$23:I$1184,'Customer Scenario Forecast'!$E$20:$E$1181,'Incremental Network SummerFcast'!$A19)+I21),
1*(
SUMIFS('Customer Scenario Forecast'!I$23:I$1184,'Customer Scenario Forecast'!$C$20:$C$1181,'Incremental Network SummerFcast'!$A19,'Customer Scenario Forecast'!$H$20:$H$1181,'Incremental Network SummerFcast'!$H$1)+
SUMIFS('Customer Scenario Forecast'!I$23:I$1184,'Customer Scenario Forecast'!$D$20:$D$1181,'Incremental Network SummerFcast'!$A19,'Customer Scenario Forecast'!$H$20:$H$1181,'Incremental Network SummerFcast'!$H$1)+
SUMIFS('Customer Scenario Forecast'!I$23:I$1184,'Customer Scenario Forecast'!$E$20:$E$1181,'Incremental Network SummerFcast'!$A19,'Customer Scenario Forecast'!$H$20:$H$1181,'Incremental Network SummerFcast'!$H$1)+I21))</f>
        <v>0</v>
      </c>
      <c r="J23" s="196">
        <f ca="1">IF($H$1="",
1*(
SUMIFS('Customer Scenario Forecast'!J$23:J$1184,'Customer Scenario Forecast'!$C$20:$C$1181,'Incremental Network SummerFcast'!$A19)+
SUMIFS('Customer Scenario Forecast'!J$23:J$1184,'Customer Scenario Forecast'!$D$20:$D$1181,'Incremental Network SummerFcast'!$A19)+
SUMIFS('Customer Scenario Forecast'!J$23:J$1184,'Customer Scenario Forecast'!$E$20:$E$1181,'Incremental Network SummerFcast'!$A19)+J21),
1*(
SUMIFS('Customer Scenario Forecast'!J$23:J$1184,'Customer Scenario Forecast'!$C$20:$C$1181,'Incremental Network SummerFcast'!$A19,'Customer Scenario Forecast'!$H$20:$H$1181,'Incremental Network SummerFcast'!$H$1)+
SUMIFS('Customer Scenario Forecast'!J$23:J$1184,'Customer Scenario Forecast'!$D$20:$D$1181,'Incremental Network SummerFcast'!$A19,'Customer Scenario Forecast'!$H$20:$H$1181,'Incremental Network SummerFcast'!$H$1)+
SUMIFS('Customer Scenario Forecast'!J$23:J$1184,'Customer Scenario Forecast'!$E$20:$E$1181,'Incremental Network SummerFcast'!$A19,'Customer Scenario Forecast'!$H$20:$H$1181,'Incremental Network SummerFcast'!$H$1)+J21))</f>
        <v>0</v>
      </c>
      <c r="K23" s="196">
        <f ca="1">IF($H$1="",
1*(
SUMIFS('Customer Scenario Forecast'!K$23:K$1184,'Customer Scenario Forecast'!$C$20:$C$1181,'Incremental Network SummerFcast'!$A19)+
SUMIFS('Customer Scenario Forecast'!K$23:K$1184,'Customer Scenario Forecast'!$D$20:$D$1181,'Incremental Network SummerFcast'!$A19)+
SUMIFS('Customer Scenario Forecast'!K$23:K$1184,'Customer Scenario Forecast'!$E$20:$E$1181,'Incremental Network SummerFcast'!$A19)+K21),
1*(
SUMIFS('Customer Scenario Forecast'!K$23:K$1184,'Customer Scenario Forecast'!$C$20:$C$1181,'Incremental Network SummerFcast'!$A19,'Customer Scenario Forecast'!$H$20:$H$1181,'Incremental Network SummerFcast'!$H$1)+
SUMIFS('Customer Scenario Forecast'!K$23:K$1184,'Customer Scenario Forecast'!$D$20:$D$1181,'Incremental Network SummerFcast'!$A19,'Customer Scenario Forecast'!$H$20:$H$1181,'Incremental Network SummerFcast'!$H$1)+
SUMIFS('Customer Scenario Forecast'!K$23:K$1184,'Customer Scenario Forecast'!$E$20:$E$1181,'Incremental Network SummerFcast'!$A19,'Customer Scenario Forecast'!$H$20:$H$1181,'Incremental Network SummerFcast'!$H$1)+K21))</f>
        <v>0</v>
      </c>
      <c r="L23" s="196">
        <f ca="1">IF($H$1="",
1*(
SUMIFS('Customer Scenario Forecast'!L$23:L$1184,'Customer Scenario Forecast'!$C$20:$C$1181,'Incremental Network SummerFcast'!$A19)+
SUMIFS('Customer Scenario Forecast'!L$23:L$1184,'Customer Scenario Forecast'!$D$20:$D$1181,'Incremental Network SummerFcast'!$A19)+
SUMIFS('Customer Scenario Forecast'!L$23:L$1184,'Customer Scenario Forecast'!$E$20:$E$1181,'Incremental Network SummerFcast'!$A19)+L21),
1*(
SUMIFS('Customer Scenario Forecast'!L$23:L$1184,'Customer Scenario Forecast'!$C$20:$C$1181,'Incremental Network SummerFcast'!$A19,'Customer Scenario Forecast'!$H$20:$H$1181,'Incremental Network SummerFcast'!$H$1)+
SUMIFS('Customer Scenario Forecast'!L$23:L$1184,'Customer Scenario Forecast'!$D$20:$D$1181,'Incremental Network SummerFcast'!$A19,'Customer Scenario Forecast'!$H$20:$H$1181,'Incremental Network SummerFcast'!$H$1)+
SUMIFS('Customer Scenario Forecast'!L$23:L$1184,'Customer Scenario Forecast'!$E$20:$E$1181,'Incremental Network SummerFcast'!$A19,'Customer Scenario Forecast'!$H$20:$H$1181,'Incremental Network SummerFcast'!$H$1)+L21))</f>
        <v>0</v>
      </c>
    </row>
    <row r="24" spans="1:12" ht="15" thickBot="1">
      <c r="A24" s="195" t="s">
        <v>108</v>
      </c>
      <c r="B24" s="196">
        <f ca="1">IF($H$1="",
1*(
SUMIFS('Customer Scenario Forecast'!B$24:B$1185,'Customer Scenario Forecast'!$C$20:$C$1181,'Incremental Network SummerFcast'!$A19)+
SUMIFS('Customer Scenario Forecast'!B$24:B$1185,'Customer Scenario Forecast'!$D$20:$D$1181,'Incremental Network SummerFcast'!$A19)+
SUMIFS('Customer Scenario Forecast'!B$24:B$1185,'Customer Scenario Forecast'!$E$20:$E$1181,'Incremental Network SummerFcast'!$A19)+B21),
1*(
SUMIFS('Customer Scenario Forecast'!B$24:B$1185,'Customer Scenario Forecast'!$C$20:$C$1181,'Incremental Network SummerFcast'!$A19,'Customer Scenario Forecast'!$H$20:$H$1181,'Incremental Network SummerFcast'!$H$1)+
SUMIFS('Customer Scenario Forecast'!B$24:B$1185,'Customer Scenario Forecast'!$D$20:$D$1181,'Incremental Network SummerFcast'!$A19,'Customer Scenario Forecast'!$H$20:$H$1181,'Incremental Network SummerFcast'!$H$1)+
SUMIFS('Customer Scenario Forecast'!B$24:B$1185,'Customer Scenario Forecast'!$E$20:$E$1181,'Incremental Network SummerFcast'!$A19,'Customer Scenario Forecast'!$H$20:$H$1181,'Incremental Network SummerFcast'!$H$1)+B21))</f>
        <v>0</v>
      </c>
      <c r="C24" s="196">
        <f ca="1">IF($H$1="",
1*(
SUMIFS('Customer Scenario Forecast'!C$24:C$1185,'Customer Scenario Forecast'!$C$20:$C$1181,'Incremental Network SummerFcast'!$A19)+
SUMIFS('Customer Scenario Forecast'!C$24:C$1185,'Customer Scenario Forecast'!$D$20:$D$1181,'Incremental Network SummerFcast'!$A19)+
SUMIFS('Customer Scenario Forecast'!C$24:C$1185,'Customer Scenario Forecast'!$E$20:$E$1181,'Incremental Network SummerFcast'!$A19)+C21),
1*(
SUMIFS('Customer Scenario Forecast'!C$24:C$1185,'Customer Scenario Forecast'!$C$20:$C$1181,'Incremental Network SummerFcast'!$A19,'Customer Scenario Forecast'!$H$20:$H$1181,'Incremental Network SummerFcast'!$H$1)+
SUMIFS('Customer Scenario Forecast'!C$24:C$1185,'Customer Scenario Forecast'!$D$20:$D$1181,'Incremental Network SummerFcast'!$A19,'Customer Scenario Forecast'!$H$20:$H$1181,'Incremental Network SummerFcast'!$H$1)+
SUMIFS('Customer Scenario Forecast'!C$24:C$1185,'Customer Scenario Forecast'!$E$20:$E$1181,'Incremental Network SummerFcast'!$A19,'Customer Scenario Forecast'!$H$20:$H$1181,'Incremental Network SummerFcast'!$H$1)+C21))</f>
        <v>0</v>
      </c>
      <c r="D24" s="196">
        <f ca="1">IF($H$1="",
1*(
SUMIFS('Customer Scenario Forecast'!D$24:D$1185,'Customer Scenario Forecast'!$C$20:$C$1181,'Incremental Network SummerFcast'!$A19)+
SUMIFS('Customer Scenario Forecast'!D$24:D$1185,'Customer Scenario Forecast'!$D$20:$D$1181,'Incremental Network SummerFcast'!$A19)+
SUMIFS('Customer Scenario Forecast'!D$24:D$1185,'Customer Scenario Forecast'!$E$20:$E$1181,'Incremental Network SummerFcast'!$A19)+D21),
1*(
SUMIFS('Customer Scenario Forecast'!D$24:D$1185,'Customer Scenario Forecast'!$C$20:$C$1181,'Incremental Network SummerFcast'!$A19,'Customer Scenario Forecast'!$H$20:$H$1181,'Incremental Network SummerFcast'!$H$1)+
SUMIFS('Customer Scenario Forecast'!D$24:D$1185,'Customer Scenario Forecast'!$D$20:$D$1181,'Incremental Network SummerFcast'!$A19,'Customer Scenario Forecast'!$H$20:$H$1181,'Incremental Network SummerFcast'!$H$1)+
SUMIFS('Customer Scenario Forecast'!D$24:D$1185,'Customer Scenario Forecast'!$E$20:$E$1181,'Incremental Network SummerFcast'!$A19,'Customer Scenario Forecast'!$H$20:$H$1181,'Incremental Network SummerFcast'!$H$1)+D21))</f>
        <v>0</v>
      </c>
      <c r="E24" s="196">
        <f ca="1">IF($H$1="",
1*(
SUMIFS('Customer Scenario Forecast'!E$24:E$1185,'Customer Scenario Forecast'!$C$20:$C$1181,'Incremental Network SummerFcast'!$A19)+
SUMIFS('Customer Scenario Forecast'!E$24:E$1185,'Customer Scenario Forecast'!$D$20:$D$1181,'Incremental Network SummerFcast'!$A19)+
SUMIFS('Customer Scenario Forecast'!E$24:E$1185,'Customer Scenario Forecast'!$E$20:$E$1181,'Incremental Network SummerFcast'!$A19)+E21),
1*(
SUMIFS('Customer Scenario Forecast'!E$24:E$1185,'Customer Scenario Forecast'!$C$20:$C$1181,'Incremental Network SummerFcast'!$A19,'Customer Scenario Forecast'!$H$20:$H$1181,'Incremental Network SummerFcast'!$H$1)+
SUMIFS('Customer Scenario Forecast'!E$24:E$1185,'Customer Scenario Forecast'!$D$20:$D$1181,'Incremental Network SummerFcast'!$A19,'Customer Scenario Forecast'!$H$20:$H$1181,'Incremental Network SummerFcast'!$H$1)+
SUMIFS('Customer Scenario Forecast'!E$24:E$1185,'Customer Scenario Forecast'!$E$20:$E$1181,'Incremental Network SummerFcast'!$A19,'Customer Scenario Forecast'!$H$20:$H$1181,'Incremental Network SummerFcast'!$H$1)+E21))</f>
        <v>0</v>
      </c>
      <c r="F24" s="196">
        <f ca="1">IF($H$1="",
1*(
SUMIFS('Customer Scenario Forecast'!F$24:F$1185,'Customer Scenario Forecast'!$C$20:$C$1181,'Incremental Network SummerFcast'!$A19)+
SUMIFS('Customer Scenario Forecast'!F$24:F$1185,'Customer Scenario Forecast'!$D$20:$D$1181,'Incremental Network SummerFcast'!$A19)+
SUMIFS('Customer Scenario Forecast'!F$24:F$1185,'Customer Scenario Forecast'!$E$20:$E$1181,'Incremental Network SummerFcast'!$A19)+F21),
1*(
SUMIFS('Customer Scenario Forecast'!F$24:F$1185,'Customer Scenario Forecast'!$C$20:$C$1181,'Incremental Network SummerFcast'!$A19,'Customer Scenario Forecast'!$H$20:$H$1181,'Incremental Network SummerFcast'!$H$1)+
SUMIFS('Customer Scenario Forecast'!F$24:F$1185,'Customer Scenario Forecast'!$D$20:$D$1181,'Incremental Network SummerFcast'!$A19,'Customer Scenario Forecast'!$H$20:$H$1181,'Incremental Network SummerFcast'!$H$1)+
SUMIFS('Customer Scenario Forecast'!F$24:F$1185,'Customer Scenario Forecast'!$E$20:$E$1181,'Incremental Network SummerFcast'!$A19,'Customer Scenario Forecast'!$H$20:$H$1181,'Incremental Network SummerFcast'!$H$1)+F21))</f>
        <v>0</v>
      </c>
      <c r="G24" s="196">
        <f ca="1">IF($H$1="",
1*(
SUMIFS('Customer Scenario Forecast'!G$24:G$1185,'Customer Scenario Forecast'!$C$20:$C$1181,'Incremental Network SummerFcast'!$A19)+
SUMIFS('Customer Scenario Forecast'!G$24:G$1185,'Customer Scenario Forecast'!$D$20:$D$1181,'Incremental Network SummerFcast'!$A19)+
SUMIFS('Customer Scenario Forecast'!G$24:G$1185,'Customer Scenario Forecast'!$E$20:$E$1181,'Incremental Network SummerFcast'!$A19)+G21),
1*(
SUMIFS('Customer Scenario Forecast'!G$24:G$1185,'Customer Scenario Forecast'!$C$20:$C$1181,'Incremental Network SummerFcast'!$A19,'Customer Scenario Forecast'!$H$20:$H$1181,'Incremental Network SummerFcast'!$H$1)+
SUMIFS('Customer Scenario Forecast'!G$24:G$1185,'Customer Scenario Forecast'!$D$20:$D$1181,'Incremental Network SummerFcast'!$A19,'Customer Scenario Forecast'!$H$20:$H$1181,'Incremental Network SummerFcast'!$H$1)+
SUMIFS('Customer Scenario Forecast'!G$24:G$1185,'Customer Scenario Forecast'!$E$20:$E$1181,'Incremental Network SummerFcast'!$A19,'Customer Scenario Forecast'!$H$20:$H$1181,'Incremental Network SummerFcast'!$H$1)+G21))</f>
        <v>0</v>
      </c>
      <c r="H24" s="196">
        <f ca="1">IF($H$1="",
1*(
SUMIFS('Customer Scenario Forecast'!H$24:H$1185,'Customer Scenario Forecast'!$C$20:$C$1181,'Incremental Network SummerFcast'!$A19)+
SUMIFS('Customer Scenario Forecast'!H$24:H$1185,'Customer Scenario Forecast'!$D$20:$D$1181,'Incremental Network SummerFcast'!$A19)+
SUMIFS('Customer Scenario Forecast'!H$24:H$1185,'Customer Scenario Forecast'!$E$20:$E$1181,'Incremental Network SummerFcast'!$A19)+H21),
1*(
SUMIFS('Customer Scenario Forecast'!H$24:H$1185,'Customer Scenario Forecast'!$C$20:$C$1181,'Incremental Network SummerFcast'!$A19,'Customer Scenario Forecast'!$H$20:$H$1181,'Incremental Network SummerFcast'!$H$1)+
SUMIFS('Customer Scenario Forecast'!H$24:H$1185,'Customer Scenario Forecast'!$D$20:$D$1181,'Incremental Network SummerFcast'!$A19,'Customer Scenario Forecast'!$H$20:$H$1181,'Incremental Network SummerFcast'!$H$1)+
SUMIFS('Customer Scenario Forecast'!H$24:H$1185,'Customer Scenario Forecast'!$E$20:$E$1181,'Incremental Network SummerFcast'!$A19,'Customer Scenario Forecast'!$H$20:$H$1181,'Incremental Network SummerFcast'!$H$1)+H21))</f>
        <v>0</v>
      </c>
      <c r="I24" s="196">
        <f ca="1">IF($H$1="",
1*(
SUMIFS('Customer Scenario Forecast'!I$24:I$1185,'Customer Scenario Forecast'!$C$20:$C$1181,'Incremental Network SummerFcast'!$A19)+
SUMIFS('Customer Scenario Forecast'!I$24:I$1185,'Customer Scenario Forecast'!$D$20:$D$1181,'Incremental Network SummerFcast'!$A19)+
SUMIFS('Customer Scenario Forecast'!I$24:I$1185,'Customer Scenario Forecast'!$E$20:$E$1181,'Incremental Network SummerFcast'!$A19)+I21),
1*(
SUMIFS('Customer Scenario Forecast'!I$24:I$1185,'Customer Scenario Forecast'!$C$20:$C$1181,'Incremental Network SummerFcast'!$A19,'Customer Scenario Forecast'!$H$20:$H$1181,'Incremental Network SummerFcast'!$H$1)+
SUMIFS('Customer Scenario Forecast'!I$24:I$1185,'Customer Scenario Forecast'!$D$20:$D$1181,'Incremental Network SummerFcast'!$A19,'Customer Scenario Forecast'!$H$20:$H$1181,'Incremental Network SummerFcast'!$H$1)+
SUMIFS('Customer Scenario Forecast'!I$24:I$1185,'Customer Scenario Forecast'!$E$20:$E$1181,'Incremental Network SummerFcast'!$A19,'Customer Scenario Forecast'!$H$20:$H$1181,'Incremental Network SummerFcast'!$H$1)+I21))</f>
        <v>0</v>
      </c>
      <c r="J24" s="196">
        <f ca="1">IF($H$1="",
1*(
SUMIFS('Customer Scenario Forecast'!J$24:J$1185,'Customer Scenario Forecast'!$C$20:$C$1181,'Incremental Network SummerFcast'!$A19)+
SUMIFS('Customer Scenario Forecast'!J$24:J$1185,'Customer Scenario Forecast'!$D$20:$D$1181,'Incremental Network SummerFcast'!$A19)+
SUMIFS('Customer Scenario Forecast'!J$24:J$1185,'Customer Scenario Forecast'!$E$20:$E$1181,'Incremental Network SummerFcast'!$A19)+J21),
1*(
SUMIFS('Customer Scenario Forecast'!J$24:J$1185,'Customer Scenario Forecast'!$C$20:$C$1181,'Incremental Network SummerFcast'!$A19,'Customer Scenario Forecast'!$H$20:$H$1181,'Incremental Network SummerFcast'!$H$1)+
SUMIFS('Customer Scenario Forecast'!J$24:J$1185,'Customer Scenario Forecast'!$D$20:$D$1181,'Incremental Network SummerFcast'!$A19,'Customer Scenario Forecast'!$H$20:$H$1181,'Incremental Network SummerFcast'!$H$1)+
SUMIFS('Customer Scenario Forecast'!J$24:J$1185,'Customer Scenario Forecast'!$E$20:$E$1181,'Incremental Network SummerFcast'!$A19,'Customer Scenario Forecast'!$H$20:$H$1181,'Incremental Network SummerFcast'!$H$1)+J21))</f>
        <v>0</v>
      </c>
      <c r="K24" s="196">
        <f ca="1">IF($H$1="",
1*(
SUMIFS('Customer Scenario Forecast'!K$24:K$1185,'Customer Scenario Forecast'!$C$20:$C$1181,'Incremental Network SummerFcast'!$A19)+
SUMIFS('Customer Scenario Forecast'!K$24:K$1185,'Customer Scenario Forecast'!$D$20:$D$1181,'Incremental Network SummerFcast'!$A19)+
SUMIFS('Customer Scenario Forecast'!K$24:K$1185,'Customer Scenario Forecast'!$E$20:$E$1181,'Incremental Network SummerFcast'!$A19)+K21),
1*(
SUMIFS('Customer Scenario Forecast'!K$24:K$1185,'Customer Scenario Forecast'!$C$20:$C$1181,'Incremental Network SummerFcast'!$A19,'Customer Scenario Forecast'!$H$20:$H$1181,'Incremental Network SummerFcast'!$H$1)+
SUMIFS('Customer Scenario Forecast'!K$24:K$1185,'Customer Scenario Forecast'!$D$20:$D$1181,'Incremental Network SummerFcast'!$A19,'Customer Scenario Forecast'!$H$20:$H$1181,'Incremental Network SummerFcast'!$H$1)+
SUMIFS('Customer Scenario Forecast'!K$24:K$1185,'Customer Scenario Forecast'!$E$20:$E$1181,'Incremental Network SummerFcast'!$A19,'Customer Scenario Forecast'!$H$20:$H$1181,'Incremental Network SummerFcast'!$H$1)+K21))</f>
        <v>0</v>
      </c>
      <c r="L24" s="196">
        <f ca="1">IF($H$1="",
1*(
SUMIFS('Customer Scenario Forecast'!L$24:L$1185,'Customer Scenario Forecast'!$C$20:$C$1181,'Incremental Network SummerFcast'!$A19)+
SUMIFS('Customer Scenario Forecast'!L$24:L$1185,'Customer Scenario Forecast'!$D$20:$D$1181,'Incremental Network SummerFcast'!$A19)+
SUMIFS('Customer Scenario Forecast'!L$24:L$1185,'Customer Scenario Forecast'!$E$20:$E$1181,'Incremental Network SummerFcast'!$A19)+L21),
1*(
SUMIFS('Customer Scenario Forecast'!L$24:L$1185,'Customer Scenario Forecast'!$C$20:$C$1181,'Incremental Network SummerFcast'!$A19,'Customer Scenario Forecast'!$H$20:$H$1181,'Incremental Network SummerFcast'!$H$1)+
SUMIFS('Customer Scenario Forecast'!L$24:L$1185,'Customer Scenario Forecast'!$D$20:$D$1181,'Incremental Network SummerFcast'!$A19,'Customer Scenario Forecast'!$H$20:$H$1181,'Incremental Network SummerFcast'!$H$1)+
SUMIFS('Customer Scenario Forecast'!L$24:L$1185,'Customer Scenario Forecast'!$E$20:$E$1181,'Incremental Network SummerFcast'!$A19,'Customer Scenario Forecast'!$H$20:$H$1181,'Incremental Network SummerFcast'!$H$1)+L21))</f>
        <v>0</v>
      </c>
    </row>
    <row r="25" spans="1:12" ht="15" thickBot="1">
      <c r="A25" s="197" t="s">
        <v>109</v>
      </c>
      <c r="B25" s="198">
        <f ca="1">IF($H$1="",
1*(
SUMIFS('Customer Scenario Forecast'!B$25:B$1186,'Customer Scenario Forecast'!$C$20:$C$1181,'Incremental Network SummerFcast'!$A19)+
SUMIFS('Customer Scenario Forecast'!B$25:B$1186,'Customer Scenario Forecast'!$D$20:$D$1181,'Incremental Network SummerFcast'!$A19)+
SUMIFS('Customer Scenario Forecast'!B$25:B$1186,'Customer Scenario Forecast'!$E$20:$E$1181,'Incremental Network SummerFcast'!$A19)+B21),
1*(
SUMIFS('Customer Scenario Forecast'!B$25:B$1186,'Customer Scenario Forecast'!$C$20:$C$1181,'Incremental Network SummerFcast'!$A19,'Customer Scenario Forecast'!$H$20:$H$1181,'Incremental Network SummerFcast'!$H$1)+
SUMIFS('Customer Scenario Forecast'!B$25:B$1186,'Customer Scenario Forecast'!$D$20:$D$1181,'Incremental Network SummerFcast'!$A19,'Customer Scenario Forecast'!$H$20:$H$1181,'Incremental Network SummerFcast'!$H$1)+
SUMIFS('Customer Scenario Forecast'!B$25:B$1186,'Customer Scenario Forecast'!$E$20:$E$1181,'Incremental Network SummerFcast'!$A19,'Customer Scenario Forecast'!$H$20:$H$1181,'Incremental Network SummerFcast'!$H$1)+B21))</f>
        <v>0</v>
      </c>
      <c r="C25" s="198">
        <f ca="1">IF($H$1="",
1*(
SUMIFS('Customer Scenario Forecast'!C$25:C$1186,'Customer Scenario Forecast'!$C$20:$C$1181,'Incremental Network SummerFcast'!$A19)+
SUMIFS('Customer Scenario Forecast'!C$25:C$1186,'Customer Scenario Forecast'!$D$20:$D$1181,'Incremental Network SummerFcast'!$A19)+
SUMIFS('Customer Scenario Forecast'!C$25:C$1186,'Customer Scenario Forecast'!$E$20:$E$1181,'Incremental Network SummerFcast'!$A19)+C21),
1*(
SUMIFS('Customer Scenario Forecast'!C$25:C$1186,'Customer Scenario Forecast'!$C$20:$C$1181,'Incremental Network SummerFcast'!$A19,'Customer Scenario Forecast'!$H$20:$H$1181,'Incremental Network SummerFcast'!$H$1)+
SUMIFS('Customer Scenario Forecast'!C$25:C$1186,'Customer Scenario Forecast'!$D$20:$D$1181,'Incremental Network SummerFcast'!$A19,'Customer Scenario Forecast'!$H$20:$H$1181,'Incremental Network SummerFcast'!$H$1)+
SUMIFS('Customer Scenario Forecast'!C$25:C$1186,'Customer Scenario Forecast'!$E$20:$E$1181,'Incremental Network SummerFcast'!$A19,'Customer Scenario Forecast'!$H$20:$H$1181,'Incremental Network SummerFcast'!$H$1)+C21))</f>
        <v>0</v>
      </c>
      <c r="D25" s="198">
        <f ca="1">IF($H$1="",
1*(
SUMIFS('Customer Scenario Forecast'!D$25:D$1186,'Customer Scenario Forecast'!$C$20:$C$1181,'Incremental Network SummerFcast'!$A19)+
SUMIFS('Customer Scenario Forecast'!D$25:D$1186,'Customer Scenario Forecast'!$D$20:$D$1181,'Incremental Network SummerFcast'!$A19)+
SUMIFS('Customer Scenario Forecast'!D$25:D$1186,'Customer Scenario Forecast'!$E$20:$E$1181,'Incremental Network SummerFcast'!$A19)+D21),
1*(
SUMIFS('Customer Scenario Forecast'!D$25:D$1186,'Customer Scenario Forecast'!$C$20:$C$1181,'Incremental Network SummerFcast'!$A19,'Customer Scenario Forecast'!$H$20:$H$1181,'Incremental Network SummerFcast'!$H$1)+
SUMIFS('Customer Scenario Forecast'!D$25:D$1186,'Customer Scenario Forecast'!$D$20:$D$1181,'Incremental Network SummerFcast'!$A19,'Customer Scenario Forecast'!$H$20:$H$1181,'Incremental Network SummerFcast'!$H$1)+
SUMIFS('Customer Scenario Forecast'!D$25:D$1186,'Customer Scenario Forecast'!$E$20:$E$1181,'Incremental Network SummerFcast'!$A19,'Customer Scenario Forecast'!$H$20:$H$1181,'Incremental Network SummerFcast'!$H$1)+D21))</f>
        <v>0</v>
      </c>
      <c r="E25" s="198">
        <f ca="1">IF($H$1="",
1*(
SUMIFS('Customer Scenario Forecast'!E$25:E$1186,'Customer Scenario Forecast'!$C$20:$C$1181,'Incremental Network SummerFcast'!$A19)+
SUMIFS('Customer Scenario Forecast'!E$25:E$1186,'Customer Scenario Forecast'!$D$20:$D$1181,'Incremental Network SummerFcast'!$A19)+
SUMIFS('Customer Scenario Forecast'!E$25:E$1186,'Customer Scenario Forecast'!$E$20:$E$1181,'Incremental Network SummerFcast'!$A19)+E21),
1*(
SUMIFS('Customer Scenario Forecast'!E$25:E$1186,'Customer Scenario Forecast'!$C$20:$C$1181,'Incremental Network SummerFcast'!$A19,'Customer Scenario Forecast'!$H$20:$H$1181,'Incremental Network SummerFcast'!$H$1)+
SUMIFS('Customer Scenario Forecast'!E$25:E$1186,'Customer Scenario Forecast'!$D$20:$D$1181,'Incremental Network SummerFcast'!$A19,'Customer Scenario Forecast'!$H$20:$H$1181,'Incremental Network SummerFcast'!$H$1)+
SUMIFS('Customer Scenario Forecast'!E$25:E$1186,'Customer Scenario Forecast'!$E$20:$E$1181,'Incremental Network SummerFcast'!$A19,'Customer Scenario Forecast'!$H$20:$H$1181,'Incremental Network SummerFcast'!$H$1)+E21))</f>
        <v>0</v>
      </c>
      <c r="F25" s="198">
        <f ca="1">IF($H$1="",
1*(
SUMIFS('Customer Scenario Forecast'!F$25:F$1186,'Customer Scenario Forecast'!$C$20:$C$1181,'Incremental Network SummerFcast'!$A19)+
SUMIFS('Customer Scenario Forecast'!F$25:F$1186,'Customer Scenario Forecast'!$D$20:$D$1181,'Incremental Network SummerFcast'!$A19)+
SUMIFS('Customer Scenario Forecast'!F$25:F$1186,'Customer Scenario Forecast'!$E$20:$E$1181,'Incremental Network SummerFcast'!$A19)+F21),
1*(
SUMIFS('Customer Scenario Forecast'!F$25:F$1186,'Customer Scenario Forecast'!$C$20:$C$1181,'Incremental Network SummerFcast'!$A19,'Customer Scenario Forecast'!$H$20:$H$1181,'Incremental Network SummerFcast'!$H$1)+
SUMIFS('Customer Scenario Forecast'!F$25:F$1186,'Customer Scenario Forecast'!$D$20:$D$1181,'Incremental Network SummerFcast'!$A19,'Customer Scenario Forecast'!$H$20:$H$1181,'Incremental Network SummerFcast'!$H$1)+
SUMIFS('Customer Scenario Forecast'!F$25:F$1186,'Customer Scenario Forecast'!$E$20:$E$1181,'Incremental Network SummerFcast'!$A19,'Customer Scenario Forecast'!$H$20:$H$1181,'Incremental Network SummerFcast'!$H$1)+F21))</f>
        <v>0</v>
      </c>
      <c r="G25" s="198">
        <f ca="1">IF($H$1="",
1*(
SUMIFS('Customer Scenario Forecast'!G$25:G$1186,'Customer Scenario Forecast'!$C$20:$C$1181,'Incremental Network SummerFcast'!$A19)+
SUMIFS('Customer Scenario Forecast'!G$25:G$1186,'Customer Scenario Forecast'!$D$20:$D$1181,'Incremental Network SummerFcast'!$A19)+
SUMIFS('Customer Scenario Forecast'!G$25:G$1186,'Customer Scenario Forecast'!$E$20:$E$1181,'Incremental Network SummerFcast'!$A19)+G21),
1*(
SUMIFS('Customer Scenario Forecast'!G$25:G$1186,'Customer Scenario Forecast'!$C$20:$C$1181,'Incremental Network SummerFcast'!$A19,'Customer Scenario Forecast'!$H$20:$H$1181,'Incremental Network SummerFcast'!$H$1)+
SUMIFS('Customer Scenario Forecast'!G$25:G$1186,'Customer Scenario Forecast'!$D$20:$D$1181,'Incremental Network SummerFcast'!$A19,'Customer Scenario Forecast'!$H$20:$H$1181,'Incremental Network SummerFcast'!$H$1)+
SUMIFS('Customer Scenario Forecast'!G$25:G$1186,'Customer Scenario Forecast'!$E$20:$E$1181,'Incremental Network SummerFcast'!$A19,'Customer Scenario Forecast'!$H$20:$H$1181,'Incremental Network SummerFcast'!$H$1)+G21))</f>
        <v>0</v>
      </c>
      <c r="H25" s="198">
        <f ca="1">IF($H$1="",
1*(
SUMIFS('Customer Scenario Forecast'!H$25:H$1186,'Customer Scenario Forecast'!$C$20:$C$1181,'Incremental Network SummerFcast'!$A19)+
SUMIFS('Customer Scenario Forecast'!H$25:H$1186,'Customer Scenario Forecast'!$D$20:$D$1181,'Incremental Network SummerFcast'!$A19)+
SUMIFS('Customer Scenario Forecast'!H$25:H$1186,'Customer Scenario Forecast'!$E$20:$E$1181,'Incremental Network SummerFcast'!$A19)+H21),
1*(
SUMIFS('Customer Scenario Forecast'!H$25:H$1186,'Customer Scenario Forecast'!$C$20:$C$1181,'Incremental Network SummerFcast'!$A19,'Customer Scenario Forecast'!$H$20:$H$1181,'Incremental Network SummerFcast'!$H$1)+
SUMIFS('Customer Scenario Forecast'!H$25:H$1186,'Customer Scenario Forecast'!$D$20:$D$1181,'Incremental Network SummerFcast'!$A19,'Customer Scenario Forecast'!$H$20:$H$1181,'Incremental Network SummerFcast'!$H$1)+
SUMIFS('Customer Scenario Forecast'!H$25:H$1186,'Customer Scenario Forecast'!$E$20:$E$1181,'Incremental Network SummerFcast'!$A19,'Customer Scenario Forecast'!$H$20:$H$1181,'Incremental Network SummerFcast'!$H$1)+H21))</f>
        <v>0</v>
      </c>
      <c r="I25" s="198">
        <f ca="1">IF($H$1="",
1*(
SUMIFS('Customer Scenario Forecast'!I$25:I$1186,'Customer Scenario Forecast'!$C$20:$C$1181,'Incremental Network SummerFcast'!$A19)+
SUMIFS('Customer Scenario Forecast'!I$25:I$1186,'Customer Scenario Forecast'!$D$20:$D$1181,'Incremental Network SummerFcast'!$A19)+
SUMIFS('Customer Scenario Forecast'!I$25:I$1186,'Customer Scenario Forecast'!$E$20:$E$1181,'Incremental Network SummerFcast'!$A19)+I21),
1*(
SUMIFS('Customer Scenario Forecast'!I$25:I$1186,'Customer Scenario Forecast'!$C$20:$C$1181,'Incremental Network SummerFcast'!$A19,'Customer Scenario Forecast'!$H$20:$H$1181,'Incremental Network SummerFcast'!$H$1)+
SUMIFS('Customer Scenario Forecast'!I$25:I$1186,'Customer Scenario Forecast'!$D$20:$D$1181,'Incremental Network SummerFcast'!$A19,'Customer Scenario Forecast'!$H$20:$H$1181,'Incremental Network SummerFcast'!$H$1)+
SUMIFS('Customer Scenario Forecast'!I$25:I$1186,'Customer Scenario Forecast'!$E$20:$E$1181,'Incremental Network SummerFcast'!$A19,'Customer Scenario Forecast'!$H$20:$H$1181,'Incremental Network SummerFcast'!$H$1)+I21))</f>
        <v>0</v>
      </c>
      <c r="J25" s="198">
        <f ca="1">IF($H$1="",
1*(
SUMIFS('Customer Scenario Forecast'!J$25:J$1186,'Customer Scenario Forecast'!$C$20:$C$1181,'Incremental Network SummerFcast'!$A19)+
SUMIFS('Customer Scenario Forecast'!J$25:J$1186,'Customer Scenario Forecast'!$D$20:$D$1181,'Incremental Network SummerFcast'!$A19)+
SUMIFS('Customer Scenario Forecast'!J$25:J$1186,'Customer Scenario Forecast'!$E$20:$E$1181,'Incremental Network SummerFcast'!$A19)+J21),
1*(
SUMIFS('Customer Scenario Forecast'!J$25:J$1186,'Customer Scenario Forecast'!$C$20:$C$1181,'Incremental Network SummerFcast'!$A19,'Customer Scenario Forecast'!$H$20:$H$1181,'Incremental Network SummerFcast'!$H$1)+
SUMIFS('Customer Scenario Forecast'!J$25:J$1186,'Customer Scenario Forecast'!$D$20:$D$1181,'Incremental Network SummerFcast'!$A19,'Customer Scenario Forecast'!$H$20:$H$1181,'Incremental Network SummerFcast'!$H$1)+
SUMIFS('Customer Scenario Forecast'!J$25:J$1186,'Customer Scenario Forecast'!$E$20:$E$1181,'Incremental Network SummerFcast'!$A19,'Customer Scenario Forecast'!$H$20:$H$1181,'Incremental Network SummerFcast'!$H$1)+J21))</f>
        <v>0</v>
      </c>
      <c r="K25" s="198">
        <f ca="1">IF($H$1="",
1*(
SUMIFS('Customer Scenario Forecast'!K$25:K$1186,'Customer Scenario Forecast'!$C$20:$C$1181,'Incremental Network SummerFcast'!$A19)+
SUMIFS('Customer Scenario Forecast'!K$25:K$1186,'Customer Scenario Forecast'!$D$20:$D$1181,'Incremental Network SummerFcast'!$A19)+
SUMIFS('Customer Scenario Forecast'!K$25:K$1186,'Customer Scenario Forecast'!$E$20:$E$1181,'Incremental Network SummerFcast'!$A19)+K21),
1*(
SUMIFS('Customer Scenario Forecast'!K$25:K$1186,'Customer Scenario Forecast'!$C$20:$C$1181,'Incremental Network SummerFcast'!$A19,'Customer Scenario Forecast'!$H$20:$H$1181,'Incremental Network SummerFcast'!$H$1)+
SUMIFS('Customer Scenario Forecast'!K$25:K$1186,'Customer Scenario Forecast'!$D$20:$D$1181,'Incremental Network SummerFcast'!$A19,'Customer Scenario Forecast'!$H$20:$H$1181,'Incremental Network SummerFcast'!$H$1)+
SUMIFS('Customer Scenario Forecast'!K$25:K$1186,'Customer Scenario Forecast'!$E$20:$E$1181,'Incremental Network SummerFcast'!$A19,'Customer Scenario Forecast'!$H$20:$H$1181,'Incremental Network SummerFcast'!$H$1)+K21))</f>
        <v>0</v>
      </c>
      <c r="L25" s="198">
        <f ca="1">IF($H$1="",
1*(
SUMIFS('Customer Scenario Forecast'!L$25:L$1186,'Customer Scenario Forecast'!$C$20:$C$1181,'Incremental Network SummerFcast'!$A19)+
SUMIFS('Customer Scenario Forecast'!L$25:L$1186,'Customer Scenario Forecast'!$D$20:$D$1181,'Incremental Network SummerFcast'!$A19)+
SUMIFS('Customer Scenario Forecast'!L$25:L$1186,'Customer Scenario Forecast'!$E$20:$E$1181,'Incremental Network SummerFcast'!$A19)+L21),
1*(
SUMIFS('Customer Scenario Forecast'!L$25:L$1186,'Customer Scenario Forecast'!$C$20:$C$1181,'Incremental Network SummerFcast'!$A19,'Customer Scenario Forecast'!$H$20:$H$1181,'Incremental Network SummerFcast'!$H$1)+
SUMIFS('Customer Scenario Forecast'!L$25:L$1186,'Customer Scenario Forecast'!$D$20:$D$1181,'Incremental Network SummerFcast'!$A19,'Customer Scenario Forecast'!$H$20:$H$1181,'Incremental Network SummerFcast'!$H$1)+
SUMIFS('Customer Scenario Forecast'!L$25:L$1186,'Customer Scenario Forecast'!$E$20:$E$1181,'Incremental Network SummerFcast'!$A19,'Customer Scenario Forecast'!$H$20:$H$1181,'Incremental Network SummerFcast'!$H$1)+L21))</f>
        <v>0</v>
      </c>
    </row>
    <row r="26" spans="1:12" ht="15.6" thickTop="1" thickBot="1">
      <c r="A26" s="197" t="s">
        <v>148</v>
      </c>
      <c r="B26" s="198">
        <f ca="1">'Incremental Network SummerFcast'!$B$245*B23+'Incremental Network SummerFcast'!$B$246*B24+'Incremental Network SummerFcast'!$B$247*B25</f>
        <v>0</v>
      </c>
      <c r="C26" s="198">
        <f ca="1">'Incremental Network SummerFcast'!$B$245*C23+'Incremental Network SummerFcast'!$B$246*C24+'Incremental Network SummerFcast'!$B$247*C25</f>
        <v>0</v>
      </c>
      <c r="D26" s="198">
        <f ca="1">'Incremental Network SummerFcast'!$B$245*D23+'Incremental Network SummerFcast'!$B$246*D24+'Incremental Network SummerFcast'!$B$247*D25</f>
        <v>0</v>
      </c>
      <c r="E26" s="198">
        <f ca="1">'Incremental Network SummerFcast'!$B$245*E23+'Incremental Network SummerFcast'!$B$246*E24+'Incremental Network SummerFcast'!$B$247*E25</f>
        <v>0</v>
      </c>
      <c r="F26" s="198">
        <f ca="1">'Incremental Network SummerFcast'!$B$245*F23+'Incremental Network SummerFcast'!$B$246*F24+'Incremental Network SummerFcast'!$B$247*F25</f>
        <v>0</v>
      </c>
      <c r="G26" s="198">
        <f ca="1">'Incremental Network SummerFcast'!$B$245*G23+'Incremental Network SummerFcast'!$B$246*G24+'Incremental Network SummerFcast'!$B$247*G25</f>
        <v>0</v>
      </c>
      <c r="H26" s="198">
        <f ca="1">'Incremental Network SummerFcast'!$B$245*H23+'Incremental Network SummerFcast'!$B$246*H24+'Incremental Network SummerFcast'!$B$247*H25</f>
        <v>0</v>
      </c>
      <c r="I26" s="198">
        <f ca="1">'Incremental Network SummerFcast'!$B$245*I23+'Incremental Network SummerFcast'!$B$246*I24+'Incremental Network SummerFcast'!$B$247*I25</f>
        <v>0</v>
      </c>
      <c r="J26" s="198">
        <f ca="1">'Incremental Network SummerFcast'!$B$245*J23+'Incremental Network SummerFcast'!$B$246*J24+'Incremental Network SummerFcast'!$B$247*J25</f>
        <v>0</v>
      </c>
      <c r="K26" s="198">
        <f ca="1">'Incremental Network SummerFcast'!$B$245*K23+'Incremental Network SummerFcast'!$B$246*K24+'Incremental Network SummerFcast'!$B$247*K25</f>
        <v>0</v>
      </c>
      <c r="L26" s="198">
        <f ca="1">'Incremental Network SummerFcast'!$B$245*L23+'Incremental Network SummerFcast'!$B$246*L24+'Incremental Network SummerFcast'!$B$247*L25</f>
        <v>0</v>
      </c>
    </row>
    <row r="27" spans="1:12" ht="15.6" thickTop="1" thickBot="1">
      <c r="A27" s="187" t="s">
        <v>133</v>
      </c>
      <c r="B27" s="216"/>
      <c r="C27" s="190"/>
      <c r="D27" s="190"/>
      <c r="E27" s="190"/>
      <c r="F27" s="190"/>
      <c r="G27" s="190"/>
      <c r="H27" s="190"/>
      <c r="I27" s="190"/>
      <c r="J27" s="190"/>
      <c r="K27" s="190"/>
      <c r="L27" s="190"/>
    </row>
    <row r="28" spans="1:12" ht="15" thickBot="1">
      <c r="A28" s="191" t="str">
        <f>A20</f>
        <v>Uptake Scenario</v>
      </c>
      <c r="B28" s="191">
        <f t="shared" ref="B28:L28" si="3">B20</f>
        <v>2023</v>
      </c>
      <c r="C28" s="191">
        <f t="shared" si="3"/>
        <v>2024</v>
      </c>
      <c r="D28" s="191">
        <f t="shared" si="3"/>
        <v>2025</v>
      </c>
      <c r="E28" s="191">
        <f t="shared" si="3"/>
        <v>2026</v>
      </c>
      <c r="F28" s="191">
        <f t="shared" si="3"/>
        <v>2027</v>
      </c>
      <c r="G28" s="191">
        <f t="shared" si="3"/>
        <v>2028</v>
      </c>
      <c r="H28" s="191">
        <f t="shared" si="3"/>
        <v>2029</v>
      </c>
      <c r="I28" s="191">
        <f t="shared" si="3"/>
        <v>2030</v>
      </c>
      <c r="J28" s="191">
        <f t="shared" si="3"/>
        <v>2031</v>
      </c>
      <c r="K28" s="191">
        <f t="shared" si="3"/>
        <v>2032</v>
      </c>
      <c r="L28" s="191">
        <f t="shared" si="3"/>
        <v>2033</v>
      </c>
    </row>
    <row r="29" spans="1:12" ht="15.6" thickTop="1" thickBot="1">
      <c r="A29" s="193"/>
      <c r="B29" s="206"/>
      <c r="C29" s="206"/>
      <c r="D29" s="206"/>
      <c r="E29" s="206"/>
      <c r="F29" s="206"/>
      <c r="G29" s="206"/>
      <c r="H29" s="206"/>
      <c r="I29" s="206"/>
      <c r="J29" s="206"/>
      <c r="K29" s="215"/>
      <c r="L29" s="215"/>
    </row>
    <row r="30" spans="1:12" ht="15" thickBot="1">
      <c r="A30" s="193" t="s">
        <v>111</v>
      </c>
      <c r="B30" s="194">
        <f ca="1">IF($H$1="",
SUMIFS('Customer Scenario Forecast'!B$22:B$1183,'Customer Scenario Forecast'!$C$20:$C$1181,'Incremental Network SummerFcast'!$A27)+
SUMIFS('Customer Scenario Forecast'!B$22:B$1183,'Customer Scenario Forecast'!$D$20:$D$1181,'Incremental Network SummerFcast'!$A27)+
SUMIFS('Customer Scenario Forecast'!B$22:B$1183,'Customer Scenario Forecast'!$E$20:$E$1181,'Incremental Network SummerFcast'!$A27),
SUMIFS('Customer Scenario Forecast'!B$22:B$1183,'Customer Scenario Forecast'!$C$20:$C$1181,'Incremental Network SummerFcast'!$A27,'Customer Scenario Forecast'!$H$20:$H$1181,'Incremental Network SummerFcast'!$H$1)+
SUMIFS('Customer Scenario Forecast'!B$22:B$1183,'Customer Scenario Forecast'!$D$20:$D$1181,'Incremental Network SummerFcast'!$A27,'Customer Scenario Forecast'!$H$20:$H$1181,'Incremental Network SummerFcast'!$H$1)+
SUMIFS('Customer Scenario Forecast'!B$22:B$1183,'Customer Scenario Forecast'!$E$20:$E$1181,'Incremental Network SummerFcast'!$A27,'Customer Scenario Forecast'!$H$20:$H$1181,'Incremental Network SummerFcast'!$H$1))</f>
        <v>0</v>
      </c>
      <c r="C30" s="194">
        <f ca="1">IF($H$1="",
SUMIFS('Customer Scenario Forecast'!C$22:C$1183,'Customer Scenario Forecast'!$C$20:$C$1181,'Incremental Network SummerFcast'!$A27)+
SUMIFS('Customer Scenario Forecast'!C$22:C$1183,'Customer Scenario Forecast'!$D$20:$D$1181,'Incremental Network SummerFcast'!$A27)+
SUMIFS('Customer Scenario Forecast'!C$22:C$1183,'Customer Scenario Forecast'!$E$20:$E$1181,'Incremental Network SummerFcast'!$A27),
SUMIFS('Customer Scenario Forecast'!C$22:C$1183,'Customer Scenario Forecast'!$C$20:$C$1181,'Incremental Network SummerFcast'!$A27,'Customer Scenario Forecast'!$H$20:$H$1181,'Incremental Network SummerFcast'!$H$1)+
SUMIFS('Customer Scenario Forecast'!C$22:C$1183,'Customer Scenario Forecast'!$D$20:$D$1181,'Incremental Network SummerFcast'!$A27,'Customer Scenario Forecast'!$H$20:$H$1181,'Incremental Network SummerFcast'!$H$1)+
SUMIFS('Customer Scenario Forecast'!C$22:C$1183,'Customer Scenario Forecast'!$E$20:$E$1181,'Incremental Network SummerFcast'!$A27,'Customer Scenario Forecast'!$H$20:$H$1181,'Incremental Network SummerFcast'!$H$1))</f>
        <v>0</v>
      </c>
      <c r="D30" s="194">
        <f ca="1">IF($H$1="",
SUMIFS('Customer Scenario Forecast'!D$22:D$1183,'Customer Scenario Forecast'!$C$20:$C$1181,'Incremental Network SummerFcast'!$A27)+
SUMIFS('Customer Scenario Forecast'!D$22:D$1183,'Customer Scenario Forecast'!$D$20:$D$1181,'Incremental Network SummerFcast'!$A27)+
SUMIFS('Customer Scenario Forecast'!D$22:D$1183,'Customer Scenario Forecast'!$E$20:$E$1181,'Incremental Network SummerFcast'!$A27),
SUMIFS('Customer Scenario Forecast'!D$22:D$1183,'Customer Scenario Forecast'!$C$20:$C$1181,'Incremental Network SummerFcast'!$A27,'Customer Scenario Forecast'!$H$20:$H$1181,'Incremental Network SummerFcast'!$H$1)+
SUMIFS('Customer Scenario Forecast'!D$22:D$1183,'Customer Scenario Forecast'!$D$20:$D$1181,'Incremental Network SummerFcast'!$A27,'Customer Scenario Forecast'!$H$20:$H$1181,'Incremental Network SummerFcast'!$H$1)+
SUMIFS('Customer Scenario Forecast'!D$22:D$1183,'Customer Scenario Forecast'!$E$20:$E$1181,'Incremental Network SummerFcast'!$A27,'Customer Scenario Forecast'!$H$20:$H$1181,'Incremental Network SummerFcast'!$H$1))</f>
        <v>0</v>
      </c>
      <c r="E30" s="194">
        <f ca="1">IF($H$1="",
SUMIFS('Customer Scenario Forecast'!E$22:E$1183,'Customer Scenario Forecast'!$C$20:$C$1181,'Incremental Network SummerFcast'!$A27)+
SUMIFS('Customer Scenario Forecast'!E$22:E$1183,'Customer Scenario Forecast'!$D$20:$D$1181,'Incremental Network SummerFcast'!$A27)+
SUMIFS('Customer Scenario Forecast'!E$22:E$1183,'Customer Scenario Forecast'!$E$20:$E$1181,'Incremental Network SummerFcast'!$A27),
SUMIFS('Customer Scenario Forecast'!E$22:E$1183,'Customer Scenario Forecast'!$C$20:$C$1181,'Incremental Network SummerFcast'!$A27,'Customer Scenario Forecast'!$H$20:$H$1181,'Incremental Network SummerFcast'!$H$1)+
SUMIFS('Customer Scenario Forecast'!E$22:E$1183,'Customer Scenario Forecast'!$D$20:$D$1181,'Incremental Network SummerFcast'!$A27,'Customer Scenario Forecast'!$H$20:$H$1181,'Incremental Network SummerFcast'!$H$1)+
SUMIFS('Customer Scenario Forecast'!E$22:E$1183,'Customer Scenario Forecast'!$E$20:$E$1181,'Incremental Network SummerFcast'!$A27,'Customer Scenario Forecast'!$H$20:$H$1181,'Incremental Network SummerFcast'!$H$1))</f>
        <v>0</v>
      </c>
      <c r="F30" s="194">
        <f ca="1">IF($H$1="",
SUMIFS('Customer Scenario Forecast'!F$22:F$1183,'Customer Scenario Forecast'!$C$20:$C$1181,'Incremental Network SummerFcast'!$A27)+
SUMIFS('Customer Scenario Forecast'!F$22:F$1183,'Customer Scenario Forecast'!$D$20:$D$1181,'Incremental Network SummerFcast'!$A27)+
SUMIFS('Customer Scenario Forecast'!F$22:F$1183,'Customer Scenario Forecast'!$E$20:$E$1181,'Incremental Network SummerFcast'!$A27),
SUMIFS('Customer Scenario Forecast'!F$22:F$1183,'Customer Scenario Forecast'!$C$20:$C$1181,'Incremental Network SummerFcast'!$A27,'Customer Scenario Forecast'!$H$20:$H$1181,'Incremental Network SummerFcast'!$H$1)+
SUMIFS('Customer Scenario Forecast'!F$22:F$1183,'Customer Scenario Forecast'!$D$20:$D$1181,'Incremental Network SummerFcast'!$A27,'Customer Scenario Forecast'!$H$20:$H$1181,'Incremental Network SummerFcast'!$H$1)+
SUMIFS('Customer Scenario Forecast'!F$22:F$1183,'Customer Scenario Forecast'!$E$20:$E$1181,'Incremental Network SummerFcast'!$A27,'Customer Scenario Forecast'!$H$20:$H$1181,'Incremental Network SummerFcast'!$H$1))</f>
        <v>0</v>
      </c>
      <c r="G30" s="194">
        <f ca="1">IF($H$1="",
SUMIFS('Customer Scenario Forecast'!G$22:G$1183,'Customer Scenario Forecast'!$C$20:$C$1181,'Incremental Network SummerFcast'!$A27)+
SUMIFS('Customer Scenario Forecast'!G$22:G$1183,'Customer Scenario Forecast'!$D$20:$D$1181,'Incremental Network SummerFcast'!$A27)+
SUMIFS('Customer Scenario Forecast'!G$22:G$1183,'Customer Scenario Forecast'!$E$20:$E$1181,'Incremental Network SummerFcast'!$A27),
SUMIFS('Customer Scenario Forecast'!G$22:G$1183,'Customer Scenario Forecast'!$C$20:$C$1181,'Incremental Network SummerFcast'!$A27,'Customer Scenario Forecast'!$H$20:$H$1181,'Incremental Network SummerFcast'!$H$1)+
SUMIFS('Customer Scenario Forecast'!G$22:G$1183,'Customer Scenario Forecast'!$D$20:$D$1181,'Incremental Network SummerFcast'!$A27,'Customer Scenario Forecast'!$H$20:$H$1181,'Incremental Network SummerFcast'!$H$1)+
SUMIFS('Customer Scenario Forecast'!G$22:G$1183,'Customer Scenario Forecast'!$E$20:$E$1181,'Incremental Network SummerFcast'!$A27,'Customer Scenario Forecast'!$H$20:$H$1181,'Incremental Network SummerFcast'!$H$1))</f>
        <v>0</v>
      </c>
      <c r="H30" s="194">
        <f ca="1">IF($H$1="",
SUMIFS('Customer Scenario Forecast'!H$22:H$1183,'Customer Scenario Forecast'!$C$20:$C$1181,'Incremental Network SummerFcast'!$A27)+
SUMIFS('Customer Scenario Forecast'!H$22:H$1183,'Customer Scenario Forecast'!$D$20:$D$1181,'Incremental Network SummerFcast'!$A27)+
SUMIFS('Customer Scenario Forecast'!H$22:H$1183,'Customer Scenario Forecast'!$E$20:$E$1181,'Incremental Network SummerFcast'!$A27),
SUMIFS('Customer Scenario Forecast'!H$22:H$1183,'Customer Scenario Forecast'!$C$20:$C$1181,'Incremental Network SummerFcast'!$A27,'Customer Scenario Forecast'!$H$20:$H$1181,'Incremental Network SummerFcast'!$H$1)+
SUMIFS('Customer Scenario Forecast'!H$22:H$1183,'Customer Scenario Forecast'!$D$20:$D$1181,'Incremental Network SummerFcast'!$A27,'Customer Scenario Forecast'!$H$20:$H$1181,'Incremental Network SummerFcast'!$H$1)+
SUMIFS('Customer Scenario Forecast'!H$22:H$1183,'Customer Scenario Forecast'!$E$20:$E$1181,'Incremental Network SummerFcast'!$A27,'Customer Scenario Forecast'!$H$20:$H$1181,'Incremental Network SummerFcast'!$H$1))</f>
        <v>0</v>
      </c>
      <c r="I30" s="194">
        <f ca="1">IF($H$1="",
SUMIFS('Customer Scenario Forecast'!I$22:I$1183,'Customer Scenario Forecast'!$C$20:$C$1181,'Incremental Network SummerFcast'!$A27)+
SUMIFS('Customer Scenario Forecast'!I$22:I$1183,'Customer Scenario Forecast'!$D$20:$D$1181,'Incremental Network SummerFcast'!$A27)+
SUMIFS('Customer Scenario Forecast'!I$22:I$1183,'Customer Scenario Forecast'!$E$20:$E$1181,'Incremental Network SummerFcast'!$A27),
SUMIFS('Customer Scenario Forecast'!I$22:I$1183,'Customer Scenario Forecast'!$C$20:$C$1181,'Incremental Network SummerFcast'!$A27,'Customer Scenario Forecast'!$H$20:$H$1181,'Incremental Network SummerFcast'!$H$1)+
SUMIFS('Customer Scenario Forecast'!I$22:I$1183,'Customer Scenario Forecast'!$D$20:$D$1181,'Incremental Network SummerFcast'!$A27,'Customer Scenario Forecast'!$H$20:$H$1181,'Incremental Network SummerFcast'!$H$1)+
SUMIFS('Customer Scenario Forecast'!I$22:I$1183,'Customer Scenario Forecast'!$E$20:$E$1181,'Incremental Network SummerFcast'!$A27,'Customer Scenario Forecast'!$H$20:$H$1181,'Incremental Network SummerFcast'!$H$1))</f>
        <v>0</v>
      </c>
      <c r="J30" s="194">
        <f ca="1">IF($H$1="",
SUMIFS('Customer Scenario Forecast'!J$22:J$1183,'Customer Scenario Forecast'!$C$20:$C$1181,'Incremental Network SummerFcast'!$A27)+
SUMIFS('Customer Scenario Forecast'!J$22:J$1183,'Customer Scenario Forecast'!$D$20:$D$1181,'Incremental Network SummerFcast'!$A27)+
SUMIFS('Customer Scenario Forecast'!J$22:J$1183,'Customer Scenario Forecast'!$E$20:$E$1181,'Incremental Network SummerFcast'!$A27),
SUMIFS('Customer Scenario Forecast'!J$22:J$1183,'Customer Scenario Forecast'!$C$20:$C$1181,'Incremental Network SummerFcast'!$A27,'Customer Scenario Forecast'!$H$20:$H$1181,'Incremental Network SummerFcast'!$H$1)+
SUMIFS('Customer Scenario Forecast'!J$22:J$1183,'Customer Scenario Forecast'!$D$20:$D$1181,'Incremental Network SummerFcast'!$A27,'Customer Scenario Forecast'!$H$20:$H$1181,'Incremental Network SummerFcast'!$H$1)+
SUMIFS('Customer Scenario Forecast'!J$22:J$1183,'Customer Scenario Forecast'!$E$20:$E$1181,'Incremental Network SummerFcast'!$A27,'Customer Scenario Forecast'!$H$20:$H$1181,'Incremental Network SummerFcast'!$H$1))</f>
        <v>0</v>
      </c>
      <c r="K30" s="194">
        <f ca="1">IF($H$1="",
SUMIFS('Customer Scenario Forecast'!K$22:K$1183,'Customer Scenario Forecast'!$C$20:$C$1181,'Incremental Network SummerFcast'!$A27)+
SUMIFS('Customer Scenario Forecast'!K$22:K$1183,'Customer Scenario Forecast'!$D$20:$D$1181,'Incremental Network SummerFcast'!$A27)+
SUMIFS('Customer Scenario Forecast'!K$22:K$1183,'Customer Scenario Forecast'!$E$20:$E$1181,'Incremental Network SummerFcast'!$A27),
SUMIFS('Customer Scenario Forecast'!K$22:K$1183,'Customer Scenario Forecast'!$C$20:$C$1181,'Incremental Network SummerFcast'!$A27,'Customer Scenario Forecast'!$H$20:$H$1181,'Incremental Network SummerFcast'!$H$1)+
SUMIFS('Customer Scenario Forecast'!K$22:K$1183,'Customer Scenario Forecast'!$D$20:$D$1181,'Incremental Network SummerFcast'!$A27,'Customer Scenario Forecast'!$H$20:$H$1181,'Incremental Network SummerFcast'!$H$1)+
SUMIFS('Customer Scenario Forecast'!K$22:K$1183,'Customer Scenario Forecast'!$E$20:$E$1181,'Incremental Network SummerFcast'!$A27,'Customer Scenario Forecast'!$H$20:$H$1181,'Incremental Network SummerFcast'!$H$1))</f>
        <v>0</v>
      </c>
      <c r="L30" s="194">
        <f ca="1">IF($H$1="",
SUMIFS('Customer Scenario Forecast'!L$22:L$1183,'Customer Scenario Forecast'!$C$20:$C$1181,'Incremental Network SummerFcast'!$A27)+
SUMIFS('Customer Scenario Forecast'!L$22:L$1183,'Customer Scenario Forecast'!$D$20:$D$1181,'Incremental Network SummerFcast'!$A27)+
SUMIFS('Customer Scenario Forecast'!L$22:L$1183,'Customer Scenario Forecast'!$E$20:$E$1181,'Incremental Network SummerFcast'!$A27),
SUMIFS('Customer Scenario Forecast'!L$22:L$1183,'Customer Scenario Forecast'!$C$20:$C$1181,'Incremental Network SummerFcast'!$A27,'Customer Scenario Forecast'!$H$20:$H$1181,'Incremental Network SummerFcast'!$H$1)+
SUMIFS('Customer Scenario Forecast'!L$22:L$1183,'Customer Scenario Forecast'!$D$20:$D$1181,'Incremental Network SummerFcast'!$A27,'Customer Scenario Forecast'!$H$20:$H$1181,'Incremental Network SummerFcast'!$H$1)+
SUMIFS('Customer Scenario Forecast'!L$22:L$1183,'Customer Scenario Forecast'!$E$20:$E$1181,'Incremental Network SummerFcast'!$A27,'Customer Scenario Forecast'!$H$20:$H$1181,'Incremental Network SummerFcast'!$H$1))</f>
        <v>17.550236466679692</v>
      </c>
    </row>
    <row r="31" spans="1:12" ht="15" thickBot="1">
      <c r="A31" s="195" t="s">
        <v>107</v>
      </c>
      <c r="B31" s="196">
        <f ca="1">IF($H$1="",
1*(
SUMIFS('Customer Scenario Forecast'!B$23:B$1184,'Customer Scenario Forecast'!$C$20:$C$1181,'Incremental Network SummerFcast'!$A27)+
SUMIFS('Customer Scenario Forecast'!B$23:B$1184,'Customer Scenario Forecast'!$D$20:$D$1181,'Incremental Network SummerFcast'!$A27)+
SUMIFS('Customer Scenario Forecast'!B$23:B$1184,'Customer Scenario Forecast'!$E$20:$E$1181,'Incremental Network SummerFcast'!$A27)+B29),
1*(
SUMIFS('Customer Scenario Forecast'!B$23:B$1184,'Customer Scenario Forecast'!$C$20:$C$1181,'Incremental Network SummerFcast'!$A27,'Customer Scenario Forecast'!$H$20:$H$1181,'Incremental Network SummerFcast'!$H$1)+
SUMIFS('Customer Scenario Forecast'!B$23:B$1184,'Customer Scenario Forecast'!$D$20:$D$1181,'Incremental Network SummerFcast'!$A27,'Customer Scenario Forecast'!$H$20:$H$1181,'Incremental Network SummerFcast'!$H$1)+
SUMIFS('Customer Scenario Forecast'!B$23:B$1184,'Customer Scenario Forecast'!$E$20:$E$1181,'Incremental Network SummerFcast'!$A27,'Customer Scenario Forecast'!$H$20:$H$1181,'Incremental Network SummerFcast'!$H$1)+B29))</f>
        <v>0</v>
      </c>
      <c r="C31" s="196">
        <f ca="1">IF($H$1="",
1*(
SUMIFS('Customer Scenario Forecast'!C$23:C$1184,'Customer Scenario Forecast'!$C$20:$C$1181,'Incremental Network SummerFcast'!$A27)+
SUMIFS('Customer Scenario Forecast'!C$23:C$1184,'Customer Scenario Forecast'!$D$20:$D$1181,'Incremental Network SummerFcast'!$A27)+
SUMIFS('Customer Scenario Forecast'!C$23:C$1184,'Customer Scenario Forecast'!$E$20:$E$1181,'Incremental Network SummerFcast'!$A27)+C29),
1*(
SUMIFS('Customer Scenario Forecast'!C$23:C$1184,'Customer Scenario Forecast'!$C$20:$C$1181,'Incremental Network SummerFcast'!$A27,'Customer Scenario Forecast'!$H$20:$H$1181,'Incremental Network SummerFcast'!$H$1)+
SUMIFS('Customer Scenario Forecast'!C$23:C$1184,'Customer Scenario Forecast'!$D$20:$D$1181,'Incremental Network SummerFcast'!$A27,'Customer Scenario Forecast'!$H$20:$H$1181,'Incremental Network SummerFcast'!$H$1)+
SUMIFS('Customer Scenario Forecast'!C$23:C$1184,'Customer Scenario Forecast'!$E$20:$E$1181,'Incremental Network SummerFcast'!$A27,'Customer Scenario Forecast'!$H$20:$H$1181,'Incremental Network SummerFcast'!$H$1)+C29))</f>
        <v>0</v>
      </c>
      <c r="D31" s="196">
        <f ca="1">IF($H$1="",
1*(
SUMIFS('Customer Scenario Forecast'!D$23:D$1184,'Customer Scenario Forecast'!$C$20:$C$1181,'Incremental Network SummerFcast'!$A27)+
SUMIFS('Customer Scenario Forecast'!D$23:D$1184,'Customer Scenario Forecast'!$D$20:$D$1181,'Incremental Network SummerFcast'!$A27)+
SUMIFS('Customer Scenario Forecast'!D$23:D$1184,'Customer Scenario Forecast'!$E$20:$E$1181,'Incremental Network SummerFcast'!$A27)+D29),
1*(
SUMIFS('Customer Scenario Forecast'!D$23:D$1184,'Customer Scenario Forecast'!$C$20:$C$1181,'Incremental Network SummerFcast'!$A27,'Customer Scenario Forecast'!$H$20:$H$1181,'Incremental Network SummerFcast'!$H$1)+
SUMIFS('Customer Scenario Forecast'!D$23:D$1184,'Customer Scenario Forecast'!$D$20:$D$1181,'Incremental Network SummerFcast'!$A27,'Customer Scenario Forecast'!$H$20:$H$1181,'Incremental Network SummerFcast'!$H$1)+
SUMIFS('Customer Scenario Forecast'!D$23:D$1184,'Customer Scenario Forecast'!$E$20:$E$1181,'Incremental Network SummerFcast'!$A27,'Customer Scenario Forecast'!$H$20:$H$1181,'Incremental Network SummerFcast'!$H$1)+D29))</f>
        <v>0</v>
      </c>
      <c r="E31" s="196">
        <f ca="1">IF($H$1="",
1*(
SUMIFS('Customer Scenario Forecast'!E$23:E$1184,'Customer Scenario Forecast'!$C$20:$C$1181,'Incremental Network SummerFcast'!$A27)+
SUMIFS('Customer Scenario Forecast'!E$23:E$1184,'Customer Scenario Forecast'!$D$20:$D$1181,'Incremental Network SummerFcast'!$A27)+
SUMIFS('Customer Scenario Forecast'!E$23:E$1184,'Customer Scenario Forecast'!$E$20:$E$1181,'Incremental Network SummerFcast'!$A27)+E29),
1*(
SUMIFS('Customer Scenario Forecast'!E$23:E$1184,'Customer Scenario Forecast'!$C$20:$C$1181,'Incremental Network SummerFcast'!$A27,'Customer Scenario Forecast'!$H$20:$H$1181,'Incremental Network SummerFcast'!$H$1)+
SUMIFS('Customer Scenario Forecast'!E$23:E$1184,'Customer Scenario Forecast'!$D$20:$D$1181,'Incremental Network SummerFcast'!$A27,'Customer Scenario Forecast'!$H$20:$H$1181,'Incremental Network SummerFcast'!$H$1)+
SUMIFS('Customer Scenario Forecast'!E$23:E$1184,'Customer Scenario Forecast'!$E$20:$E$1181,'Incremental Network SummerFcast'!$A27,'Customer Scenario Forecast'!$H$20:$H$1181,'Incremental Network SummerFcast'!$H$1)+E29))</f>
        <v>0</v>
      </c>
      <c r="F31" s="196">
        <f ca="1">IF($H$1="",
1*(
SUMIFS('Customer Scenario Forecast'!F$23:F$1184,'Customer Scenario Forecast'!$C$20:$C$1181,'Incremental Network SummerFcast'!$A27)+
SUMIFS('Customer Scenario Forecast'!F$23:F$1184,'Customer Scenario Forecast'!$D$20:$D$1181,'Incremental Network SummerFcast'!$A27)+
SUMIFS('Customer Scenario Forecast'!F$23:F$1184,'Customer Scenario Forecast'!$E$20:$E$1181,'Incremental Network SummerFcast'!$A27)+F29),
1*(
SUMIFS('Customer Scenario Forecast'!F$23:F$1184,'Customer Scenario Forecast'!$C$20:$C$1181,'Incremental Network SummerFcast'!$A27,'Customer Scenario Forecast'!$H$20:$H$1181,'Incremental Network SummerFcast'!$H$1)+
SUMIFS('Customer Scenario Forecast'!F$23:F$1184,'Customer Scenario Forecast'!$D$20:$D$1181,'Incremental Network SummerFcast'!$A27,'Customer Scenario Forecast'!$H$20:$H$1181,'Incremental Network SummerFcast'!$H$1)+
SUMIFS('Customer Scenario Forecast'!F$23:F$1184,'Customer Scenario Forecast'!$E$20:$E$1181,'Incremental Network SummerFcast'!$A27,'Customer Scenario Forecast'!$H$20:$H$1181,'Incremental Network SummerFcast'!$H$1)+F29))</f>
        <v>0</v>
      </c>
      <c r="G31" s="196">
        <f ca="1">IF($H$1="",
1*(
SUMIFS('Customer Scenario Forecast'!G$23:G$1184,'Customer Scenario Forecast'!$C$20:$C$1181,'Incremental Network SummerFcast'!$A27)+
SUMIFS('Customer Scenario Forecast'!G$23:G$1184,'Customer Scenario Forecast'!$D$20:$D$1181,'Incremental Network SummerFcast'!$A27)+
SUMIFS('Customer Scenario Forecast'!G$23:G$1184,'Customer Scenario Forecast'!$E$20:$E$1181,'Incremental Network SummerFcast'!$A27)+G29),
1*(
SUMIFS('Customer Scenario Forecast'!G$23:G$1184,'Customer Scenario Forecast'!$C$20:$C$1181,'Incremental Network SummerFcast'!$A27,'Customer Scenario Forecast'!$H$20:$H$1181,'Incremental Network SummerFcast'!$H$1)+
SUMIFS('Customer Scenario Forecast'!G$23:G$1184,'Customer Scenario Forecast'!$D$20:$D$1181,'Incremental Network SummerFcast'!$A27,'Customer Scenario Forecast'!$H$20:$H$1181,'Incremental Network SummerFcast'!$H$1)+
SUMIFS('Customer Scenario Forecast'!G$23:G$1184,'Customer Scenario Forecast'!$E$20:$E$1181,'Incremental Network SummerFcast'!$A27,'Customer Scenario Forecast'!$H$20:$H$1181,'Incremental Network SummerFcast'!$H$1)+G29))</f>
        <v>0</v>
      </c>
      <c r="H31" s="196">
        <f ca="1">IF($H$1="",
1*(
SUMIFS('Customer Scenario Forecast'!H$23:H$1184,'Customer Scenario Forecast'!$C$20:$C$1181,'Incremental Network SummerFcast'!$A27)+
SUMIFS('Customer Scenario Forecast'!H$23:H$1184,'Customer Scenario Forecast'!$D$20:$D$1181,'Incremental Network SummerFcast'!$A27)+
SUMIFS('Customer Scenario Forecast'!H$23:H$1184,'Customer Scenario Forecast'!$E$20:$E$1181,'Incremental Network SummerFcast'!$A27)+H29),
1*(
SUMIFS('Customer Scenario Forecast'!H$23:H$1184,'Customer Scenario Forecast'!$C$20:$C$1181,'Incremental Network SummerFcast'!$A27,'Customer Scenario Forecast'!$H$20:$H$1181,'Incremental Network SummerFcast'!$H$1)+
SUMIFS('Customer Scenario Forecast'!H$23:H$1184,'Customer Scenario Forecast'!$D$20:$D$1181,'Incremental Network SummerFcast'!$A27,'Customer Scenario Forecast'!$H$20:$H$1181,'Incremental Network SummerFcast'!$H$1)+
SUMIFS('Customer Scenario Forecast'!H$23:H$1184,'Customer Scenario Forecast'!$E$20:$E$1181,'Incremental Network SummerFcast'!$A27,'Customer Scenario Forecast'!$H$20:$H$1181,'Incremental Network SummerFcast'!$H$1)+H29))</f>
        <v>0</v>
      </c>
      <c r="I31" s="196">
        <f ca="1">IF($H$1="",
1*(
SUMIFS('Customer Scenario Forecast'!I$23:I$1184,'Customer Scenario Forecast'!$C$20:$C$1181,'Incremental Network SummerFcast'!$A27)+
SUMIFS('Customer Scenario Forecast'!I$23:I$1184,'Customer Scenario Forecast'!$D$20:$D$1181,'Incremental Network SummerFcast'!$A27)+
SUMIFS('Customer Scenario Forecast'!I$23:I$1184,'Customer Scenario Forecast'!$E$20:$E$1181,'Incremental Network SummerFcast'!$A27)+I29),
1*(
SUMIFS('Customer Scenario Forecast'!I$23:I$1184,'Customer Scenario Forecast'!$C$20:$C$1181,'Incremental Network SummerFcast'!$A27,'Customer Scenario Forecast'!$H$20:$H$1181,'Incremental Network SummerFcast'!$H$1)+
SUMIFS('Customer Scenario Forecast'!I$23:I$1184,'Customer Scenario Forecast'!$D$20:$D$1181,'Incremental Network SummerFcast'!$A27,'Customer Scenario Forecast'!$H$20:$H$1181,'Incremental Network SummerFcast'!$H$1)+
SUMIFS('Customer Scenario Forecast'!I$23:I$1184,'Customer Scenario Forecast'!$E$20:$E$1181,'Incremental Network SummerFcast'!$A27,'Customer Scenario Forecast'!$H$20:$H$1181,'Incremental Network SummerFcast'!$H$1)+I29))</f>
        <v>0</v>
      </c>
      <c r="J31" s="196">
        <f ca="1">IF($H$1="",
1*(
SUMIFS('Customer Scenario Forecast'!J$23:J$1184,'Customer Scenario Forecast'!$C$20:$C$1181,'Incremental Network SummerFcast'!$A27)+
SUMIFS('Customer Scenario Forecast'!J$23:J$1184,'Customer Scenario Forecast'!$D$20:$D$1181,'Incremental Network SummerFcast'!$A27)+
SUMIFS('Customer Scenario Forecast'!J$23:J$1184,'Customer Scenario Forecast'!$E$20:$E$1181,'Incremental Network SummerFcast'!$A27)+J29),
1*(
SUMIFS('Customer Scenario Forecast'!J$23:J$1184,'Customer Scenario Forecast'!$C$20:$C$1181,'Incremental Network SummerFcast'!$A27,'Customer Scenario Forecast'!$H$20:$H$1181,'Incremental Network SummerFcast'!$H$1)+
SUMIFS('Customer Scenario Forecast'!J$23:J$1184,'Customer Scenario Forecast'!$D$20:$D$1181,'Incremental Network SummerFcast'!$A27,'Customer Scenario Forecast'!$H$20:$H$1181,'Incremental Network SummerFcast'!$H$1)+
SUMIFS('Customer Scenario Forecast'!J$23:J$1184,'Customer Scenario Forecast'!$E$20:$E$1181,'Incremental Network SummerFcast'!$A27,'Customer Scenario Forecast'!$H$20:$H$1181,'Incremental Network SummerFcast'!$H$1)+J29))</f>
        <v>0</v>
      </c>
      <c r="K31" s="196">
        <f ca="1">IF($H$1="",
1*(
SUMIFS('Customer Scenario Forecast'!K$23:K$1184,'Customer Scenario Forecast'!$C$20:$C$1181,'Incremental Network SummerFcast'!$A27)+
SUMIFS('Customer Scenario Forecast'!K$23:K$1184,'Customer Scenario Forecast'!$D$20:$D$1181,'Incremental Network SummerFcast'!$A27)+
SUMIFS('Customer Scenario Forecast'!K$23:K$1184,'Customer Scenario Forecast'!$E$20:$E$1181,'Incremental Network SummerFcast'!$A27)+K29),
1*(
SUMIFS('Customer Scenario Forecast'!K$23:K$1184,'Customer Scenario Forecast'!$C$20:$C$1181,'Incremental Network SummerFcast'!$A27,'Customer Scenario Forecast'!$H$20:$H$1181,'Incremental Network SummerFcast'!$H$1)+
SUMIFS('Customer Scenario Forecast'!K$23:K$1184,'Customer Scenario Forecast'!$D$20:$D$1181,'Incremental Network SummerFcast'!$A27,'Customer Scenario Forecast'!$H$20:$H$1181,'Incremental Network SummerFcast'!$H$1)+
SUMIFS('Customer Scenario Forecast'!K$23:K$1184,'Customer Scenario Forecast'!$E$20:$E$1181,'Incremental Network SummerFcast'!$A27,'Customer Scenario Forecast'!$H$20:$H$1181,'Incremental Network SummerFcast'!$H$1)+K29))</f>
        <v>0</v>
      </c>
      <c r="L31" s="196">
        <f ca="1">IF($H$1="",
1*(
SUMIFS('Customer Scenario Forecast'!L$23:L$1184,'Customer Scenario Forecast'!$C$20:$C$1181,'Incremental Network SummerFcast'!$A27)+
SUMIFS('Customer Scenario Forecast'!L$23:L$1184,'Customer Scenario Forecast'!$D$20:$D$1181,'Incremental Network SummerFcast'!$A27)+
SUMIFS('Customer Scenario Forecast'!L$23:L$1184,'Customer Scenario Forecast'!$E$20:$E$1181,'Incremental Network SummerFcast'!$A27)+L29),
1*(
SUMIFS('Customer Scenario Forecast'!L$23:L$1184,'Customer Scenario Forecast'!$C$20:$C$1181,'Incremental Network SummerFcast'!$A27,'Customer Scenario Forecast'!$H$20:$H$1181,'Incremental Network SummerFcast'!$H$1)+
SUMIFS('Customer Scenario Forecast'!L$23:L$1184,'Customer Scenario Forecast'!$D$20:$D$1181,'Incremental Network SummerFcast'!$A27,'Customer Scenario Forecast'!$H$20:$H$1181,'Incremental Network SummerFcast'!$H$1)+
SUMIFS('Customer Scenario Forecast'!L$23:L$1184,'Customer Scenario Forecast'!$E$20:$E$1181,'Incremental Network SummerFcast'!$A27,'Customer Scenario Forecast'!$H$20:$H$1181,'Incremental Network SummerFcast'!$H$1)+L29))</f>
        <v>0</v>
      </c>
    </row>
    <row r="32" spans="1:12" ht="15" thickBot="1">
      <c r="A32" s="195" t="s">
        <v>108</v>
      </c>
      <c r="B32" s="196">
        <f ca="1">IF($H$1="",
1*(
SUMIFS('Customer Scenario Forecast'!B$24:B$1185,'Customer Scenario Forecast'!$C$20:$C$1181,'Incremental Network SummerFcast'!$A27)+
SUMIFS('Customer Scenario Forecast'!B$24:B$1185,'Customer Scenario Forecast'!$D$20:$D$1181,'Incremental Network SummerFcast'!$A27)+
SUMIFS('Customer Scenario Forecast'!B$24:B$1185,'Customer Scenario Forecast'!$E$20:$E$1181,'Incremental Network SummerFcast'!$A27)+B29),
1*(
SUMIFS('Customer Scenario Forecast'!B$24:B$1185,'Customer Scenario Forecast'!$C$20:$C$1181,'Incremental Network SummerFcast'!$A27,'Customer Scenario Forecast'!$H$20:$H$1181,'Incremental Network SummerFcast'!$H$1)+
SUMIFS('Customer Scenario Forecast'!B$24:B$1185,'Customer Scenario Forecast'!$D$20:$D$1181,'Incremental Network SummerFcast'!$A27,'Customer Scenario Forecast'!$H$20:$H$1181,'Incremental Network SummerFcast'!$H$1)+
SUMIFS('Customer Scenario Forecast'!B$24:B$1185,'Customer Scenario Forecast'!$E$20:$E$1181,'Incremental Network SummerFcast'!$A27,'Customer Scenario Forecast'!$H$20:$H$1181,'Incremental Network SummerFcast'!$H$1)+B29))</f>
        <v>0</v>
      </c>
      <c r="C32" s="196">
        <f ca="1">IF($H$1="",
1*(
SUMIFS('Customer Scenario Forecast'!C$24:C$1185,'Customer Scenario Forecast'!$C$20:$C$1181,'Incremental Network SummerFcast'!$A27)+
SUMIFS('Customer Scenario Forecast'!C$24:C$1185,'Customer Scenario Forecast'!$D$20:$D$1181,'Incremental Network SummerFcast'!$A27)+
SUMIFS('Customer Scenario Forecast'!C$24:C$1185,'Customer Scenario Forecast'!$E$20:$E$1181,'Incremental Network SummerFcast'!$A27)+C29),
1*(
SUMIFS('Customer Scenario Forecast'!C$24:C$1185,'Customer Scenario Forecast'!$C$20:$C$1181,'Incremental Network SummerFcast'!$A27,'Customer Scenario Forecast'!$H$20:$H$1181,'Incremental Network SummerFcast'!$H$1)+
SUMIFS('Customer Scenario Forecast'!C$24:C$1185,'Customer Scenario Forecast'!$D$20:$D$1181,'Incremental Network SummerFcast'!$A27,'Customer Scenario Forecast'!$H$20:$H$1181,'Incremental Network SummerFcast'!$H$1)+
SUMIFS('Customer Scenario Forecast'!C$24:C$1185,'Customer Scenario Forecast'!$E$20:$E$1181,'Incremental Network SummerFcast'!$A27,'Customer Scenario Forecast'!$H$20:$H$1181,'Incremental Network SummerFcast'!$H$1)+C29))</f>
        <v>0</v>
      </c>
      <c r="D32" s="196">
        <f ca="1">IF($H$1="",
1*(
SUMIFS('Customer Scenario Forecast'!D$24:D$1185,'Customer Scenario Forecast'!$C$20:$C$1181,'Incremental Network SummerFcast'!$A27)+
SUMIFS('Customer Scenario Forecast'!D$24:D$1185,'Customer Scenario Forecast'!$D$20:$D$1181,'Incremental Network SummerFcast'!$A27)+
SUMIFS('Customer Scenario Forecast'!D$24:D$1185,'Customer Scenario Forecast'!$E$20:$E$1181,'Incremental Network SummerFcast'!$A27)+D29),
1*(
SUMIFS('Customer Scenario Forecast'!D$24:D$1185,'Customer Scenario Forecast'!$C$20:$C$1181,'Incremental Network SummerFcast'!$A27,'Customer Scenario Forecast'!$H$20:$H$1181,'Incremental Network SummerFcast'!$H$1)+
SUMIFS('Customer Scenario Forecast'!D$24:D$1185,'Customer Scenario Forecast'!$D$20:$D$1181,'Incremental Network SummerFcast'!$A27,'Customer Scenario Forecast'!$H$20:$H$1181,'Incremental Network SummerFcast'!$H$1)+
SUMIFS('Customer Scenario Forecast'!D$24:D$1185,'Customer Scenario Forecast'!$E$20:$E$1181,'Incremental Network SummerFcast'!$A27,'Customer Scenario Forecast'!$H$20:$H$1181,'Incremental Network SummerFcast'!$H$1)+D29))</f>
        <v>0</v>
      </c>
      <c r="E32" s="196">
        <f ca="1">IF($H$1="",
1*(
SUMIFS('Customer Scenario Forecast'!E$24:E$1185,'Customer Scenario Forecast'!$C$20:$C$1181,'Incremental Network SummerFcast'!$A27)+
SUMIFS('Customer Scenario Forecast'!E$24:E$1185,'Customer Scenario Forecast'!$D$20:$D$1181,'Incremental Network SummerFcast'!$A27)+
SUMIFS('Customer Scenario Forecast'!E$24:E$1185,'Customer Scenario Forecast'!$E$20:$E$1181,'Incremental Network SummerFcast'!$A27)+E29),
1*(
SUMIFS('Customer Scenario Forecast'!E$24:E$1185,'Customer Scenario Forecast'!$C$20:$C$1181,'Incremental Network SummerFcast'!$A27,'Customer Scenario Forecast'!$H$20:$H$1181,'Incremental Network SummerFcast'!$H$1)+
SUMIFS('Customer Scenario Forecast'!E$24:E$1185,'Customer Scenario Forecast'!$D$20:$D$1181,'Incremental Network SummerFcast'!$A27,'Customer Scenario Forecast'!$H$20:$H$1181,'Incremental Network SummerFcast'!$H$1)+
SUMIFS('Customer Scenario Forecast'!E$24:E$1185,'Customer Scenario Forecast'!$E$20:$E$1181,'Incremental Network SummerFcast'!$A27,'Customer Scenario Forecast'!$H$20:$H$1181,'Incremental Network SummerFcast'!$H$1)+E29))</f>
        <v>0</v>
      </c>
      <c r="F32" s="196">
        <f ca="1">IF($H$1="",
1*(
SUMIFS('Customer Scenario Forecast'!F$24:F$1185,'Customer Scenario Forecast'!$C$20:$C$1181,'Incremental Network SummerFcast'!$A27)+
SUMIFS('Customer Scenario Forecast'!F$24:F$1185,'Customer Scenario Forecast'!$D$20:$D$1181,'Incremental Network SummerFcast'!$A27)+
SUMIFS('Customer Scenario Forecast'!F$24:F$1185,'Customer Scenario Forecast'!$E$20:$E$1181,'Incremental Network SummerFcast'!$A27)+F29),
1*(
SUMIFS('Customer Scenario Forecast'!F$24:F$1185,'Customer Scenario Forecast'!$C$20:$C$1181,'Incremental Network SummerFcast'!$A27,'Customer Scenario Forecast'!$H$20:$H$1181,'Incremental Network SummerFcast'!$H$1)+
SUMIFS('Customer Scenario Forecast'!F$24:F$1185,'Customer Scenario Forecast'!$D$20:$D$1181,'Incremental Network SummerFcast'!$A27,'Customer Scenario Forecast'!$H$20:$H$1181,'Incremental Network SummerFcast'!$H$1)+
SUMIFS('Customer Scenario Forecast'!F$24:F$1185,'Customer Scenario Forecast'!$E$20:$E$1181,'Incremental Network SummerFcast'!$A27,'Customer Scenario Forecast'!$H$20:$H$1181,'Incremental Network SummerFcast'!$H$1)+F29))</f>
        <v>0</v>
      </c>
      <c r="G32" s="196">
        <f ca="1">IF($H$1="",
1*(
SUMIFS('Customer Scenario Forecast'!G$24:G$1185,'Customer Scenario Forecast'!$C$20:$C$1181,'Incremental Network SummerFcast'!$A27)+
SUMIFS('Customer Scenario Forecast'!G$24:G$1185,'Customer Scenario Forecast'!$D$20:$D$1181,'Incremental Network SummerFcast'!$A27)+
SUMIFS('Customer Scenario Forecast'!G$24:G$1185,'Customer Scenario Forecast'!$E$20:$E$1181,'Incremental Network SummerFcast'!$A27)+G29),
1*(
SUMIFS('Customer Scenario Forecast'!G$24:G$1185,'Customer Scenario Forecast'!$C$20:$C$1181,'Incremental Network SummerFcast'!$A27,'Customer Scenario Forecast'!$H$20:$H$1181,'Incremental Network SummerFcast'!$H$1)+
SUMIFS('Customer Scenario Forecast'!G$24:G$1185,'Customer Scenario Forecast'!$D$20:$D$1181,'Incremental Network SummerFcast'!$A27,'Customer Scenario Forecast'!$H$20:$H$1181,'Incremental Network SummerFcast'!$H$1)+
SUMIFS('Customer Scenario Forecast'!G$24:G$1185,'Customer Scenario Forecast'!$E$20:$E$1181,'Incremental Network SummerFcast'!$A27,'Customer Scenario Forecast'!$H$20:$H$1181,'Incremental Network SummerFcast'!$H$1)+G29))</f>
        <v>0</v>
      </c>
      <c r="H32" s="196">
        <f ca="1">IF($H$1="",
1*(
SUMIFS('Customer Scenario Forecast'!H$24:H$1185,'Customer Scenario Forecast'!$C$20:$C$1181,'Incremental Network SummerFcast'!$A27)+
SUMIFS('Customer Scenario Forecast'!H$24:H$1185,'Customer Scenario Forecast'!$D$20:$D$1181,'Incremental Network SummerFcast'!$A27)+
SUMIFS('Customer Scenario Forecast'!H$24:H$1185,'Customer Scenario Forecast'!$E$20:$E$1181,'Incremental Network SummerFcast'!$A27)+H29),
1*(
SUMIFS('Customer Scenario Forecast'!H$24:H$1185,'Customer Scenario Forecast'!$C$20:$C$1181,'Incremental Network SummerFcast'!$A27,'Customer Scenario Forecast'!$H$20:$H$1181,'Incremental Network SummerFcast'!$H$1)+
SUMIFS('Customer Scenario Forecast'!H$24:H$1185,'Customer Scenario Forecast'!$D$20:$D$1181,'Incremental Network SummerFcast'!$A27,'Customer Scenario Forecast'!$H$20:$H$1181,'Incremental Network SummerFcast'!$H$1)+
SUMIFS('Customer Scenario Forecast'!H$24:H$1185,'Customer Scenario Forecast'!$E$20:$E$1181,'Incremental Network SummerFcast'!$A27,'Customer Scenario Forecast'!$H$20:$H$1181,'Incremental Network SummerFcast'!$H$1)+H29))</f>
        <v>0</v>
      </c>
      <c r="I32" s="196">
        <f ca="1">IF($H$1="",
1*(
SUMIFS('Customer Scenario Forecast'!I$24:I$1185,'Customer Scenario Forecast'!$C$20:$C$1181,'Incremental Network SummerFcast'!$A27)+
SUMIFS('Customer Scenario Forecast'!I$24:I$1185,'Customer Scenario Forecast'!$D$20:$D$1181,'Incremental Network SummerFcast'!$A27)+
SUMIFS('Customer Scenario Forecast'!I$24:I$1185,'Customer Scenario Forecast'!$E$20:$E$1181,'Incremental Network SummerFcast'!$A27)+I29),
1*(
SUMIFS('Customer Scenario Forecast'!I$24:I$1185,'Customer Scenario Forecast'!$C$20:$C$1181,'Incremental Network SummerFcast'!$A27,'Customer Scenario Forecast'!$H$20:$H$1181,'Incremental Network SummerFcast'!$H$1)+
SUMIFS('Customer Scenario Forecast'!I$24:I$1185,'Customer Scenario Forecast'!$D$20:$D$1181,'Incremental Network SummerFcast'!$A27,'Customer Scenario Forecast'!$H$20:$H$1181,'Incremental Network SummerFcast'!$H$1)+
SUMIFS('Customer Scenario Forecast'!I$24:I$1185,'Customer Scenario Forecast'!$E$20:$E$1181,'Incremental Network SummerFcast'!$A27,'Customer Scenario Forecast'!$H$20:$H$1181,'Incremental Network SummerFcast'!$H$1)+I29))</f>
        <v>0</v>
      </c>
      <c r="J32" s="196">
        <f ca="1">IF($H$1="",
1*(
SUMIFS('Customer Scenario Forecast'!J$24:J$1185,'Customer Scenario Forecast'!$C$20:$C$1181,'Incremental Network SummerFcast'!$A27)+
SUMIFS('Customer Scenario Forecast'!J$24:J$1185,'Customer Scenario Forecast'!$D$20:$D$1181,'Incremental Network SummerFcast'!$A27)+
SUMIFS('Customer Scenario Forecast'!J$24:J$1185,'Customer Scenario Forecast'!$E$20:$E$1181,'Incremental Network SummerFcast'!$A27)+J29),
1*(
SUMIFS('Customer Scenario Forecast'!J$24:J$1185,'Customer Scenario Forecast'!$C$20:$C$1181,'Incremental Network SummerFcast'!$A27,'Customer Scenario Forecast'!$H$20:$H$1181,'Incremental Network SummerFcast'!$H$1)+
SUMIFS('Customer Scenario Forecast'!J$24:J$1185,'Customer Scenario Forecast'!$D$20:$D$1181,'Incremental Network SummerFcast'!$A27,'Customer Scenario Forecast'!$H$20:$H$1181,'Incremental Network SummerFcast'!$H$1)+
SUMIFS('Customer Scenario Forecast'!J$24:J$1185,'Customer Scenario Forecast'!$E$20:$E$1181,'Incremental Network SummerFcast'!$A27,'Customer Scenario Forecast'!$H$20:$H$1181,'Incremental Network SummerFcast'!$H$1)+J29))</f>
        <v>0</v>
      </c>
      <c r="K32" s="196">
        <f ca="1">IF($H$1="",
1*(
SUMIFS('Customer Scenario Forecast'!K$24:K$1185,'Customer Scenario Forecast'!$C$20:$C$1181,'Incremental Network SummerFcast'!$A27)+
SUMIFS('Customer Scenario Forecast'!K$24:K$1185,'Customer Scenario Forecast'!$D$20:$D$1181,'Incremental Network SummerFcast'!$A27)+
SUMIFS('Customer Scenario Forecast'!K$24:K$1185,'Customer Scenario Forecast'!$E$20:$E$1181,'Incremental Network SummerFcast'!$A27)+K29),
1*(
SUMIFS('Customer Scenario Forecast'!K$24:K$1185,'Customer Scenario Forecast'!$C$20:$C$1181,'Incremental Network SummerFcast'!$A27,'Customer Scenario Forecast'!$H$20:$H$1181,'Incremental Network SummerFcast'!$H$1)+
SUMIFS('Customer Scenario Forecast'!K$24:K$1185,'Customer Scenario Forecast'!$D$20:$D$1181,'Incremental Network SummerFcast'!$A27,'Customer Scenario Forecast'!$H$20:$H$1181,'Incremental Network SummerFcast'!$H$1)+
SUMIFS('Customer Scenario Forecast'!K$24:K$1185,'Customer Scenario Forecast'!$E$20:$E$1181,'Incremental Network SummerFcast'!$A27,'Customer Scenario Forecast'!$H$20:$H$1181,'Incremental Network SummerFcast'!$H$1)+K29))</f>
        <v>0</v>
      </c>
      <c r="L32" s="196">
        <f ca="1">IF($H$1="",
1*(
SUMIFS('Customer Scenario Forecast'!L$24:L$1185,'Customer Scenario Forecast'!$C$20:$C$1181,'Incremental Network SummerFcast'!$A27)+
SUMIFS('Customer Scenario Forecast'!L$24:L$1185,'Customer Scenario Forecast'!$D$20:$D$1181,'Incremental Network SummerFcast'!$A27)+
SUMIFS('Customer Scenario Forecast'!L$24:L$1185,'Customer Scenario Forecast'!$E$20:$E$1181,'Incremental Network SummerFcast'!$A27)+L29),
1*(
SUMIFS('Customer Scenario Forecast'!L$24:L$1185,'Customer Scenario Forecast'!$C$20:$C$1181,'Incremental Network SummerFcast'!$A27,'Customer Scenario Forecast'!$H$20:$H$1181,'Incremental Network SummerFcast'!$H$1)+
SUMIFS('Customer Scenario Forecast'!L$24:L$1185,'Customer Scenario Forecast'!$D$20:$D$1181,'Incremental Network SummerFcast'!$A27,'Customer Scenario Forecast'!$H$20:$H$1181,'Incremental Network SummerFcast'!$H$1)+
SUMIFS('Customer Scenario Forecast'!L$24:L$1185,'Customer Scenario Forecast'!$E$20:$E$1181,'Incremental Network SummerFcast'!$A27,'Customer Scenario Forecast'!$H$20:$H$1181,'Incremental Network SummerFcast'!$H$1)+L29))</f>
        <v>0</v>
      </c>
    </row>
    <row r="33" spans="1:12" ht="15" thickBot="1">
      <c r="A33" s="197" t="s">
        <v>109</v>
      </c>
      <c r="B33" s="198">
        <f ca="1">IF($H$1="",
1*(
SUMIFS('Customer Scenario Forecast'!B$25:B$1186,'Customer Scenario Forecast'!$C$20:$C$1181,'Incremental Network SummerFcast'!$A27)+
SUMIFS('Customer Scenario Forecast'!B$25:B$1186,'Customer Scenario Forecast'!$D$20:$D$1181,'Incremental Network SummerFcast'!$A27)+
SUMIFS('Customer Scenario Forecast'!B$25:B$1186,'Customer Scenario Forecast'!$E$20:$E$1181,'Incremental Network SummerFcast'!$A27)+B29),
1*(
SUMIFS('Customer Scenario Forecast'!B$25:B$1186,'Customer Scenario Forecast'!$C$20:$C$1181,'Incremental Network SummerFcast'!$A27,'Customer Scenario Forecast'!$H$20:$H$1181,'Incremental Network SummerFcast'!$H$1)+
SUMIFS('Customer Scenario Forecast'!B$25:B$1186,'Customer Scenario Forecast'!$D$20:$D$1181,'Incremental Network SummerFcast'!$A27,'Customer Scenario Forecast'!$H$20:$H$1181,'Incremental Network SummerFcast'!$H$1)+
SUMIFS('Customer Scenario Forecast'!B$25:B$1186,'Customer Scenario Forecast'!$E$20:$E$1181,'Incremental Network SummerFcast'!$A27,'Customer Scenario Forecast'!$H$20:$H$1181,'Incremental Network SummerFcast'!$H$1)+B29))</f>
        <v>0</v>
      </c>
      <c r="C33" s="198">
        <f ca="1">IF($H$1="",
1*(
SUMIFS('Customer Scenario Forecast'!C$25:C$1186,'Customer Scenario Forecast'!$C$20:$C$1181,'Incremental Network SummerFcast'!$A27)+
SUMIFS('Customer Scenario Forecast'!C$25:C$1186,'Customer Scenario Forecast'!$D$20:$D$1181,'Incremental Network SummerFcast'!$A27)+
SUMIFS('Customer Scenario Forecast'!C$25:C$1186,'Customer Scenario Forecast'!$E$20:$E$1181,'Incremental Network SummerFcast'!$A27)+C29),
1*(
SUMIFS('Customer Scenario Forecast'!C$25:C$1186,'Customer Scenario Forecast'!$C$20:$C$1181,'Incremental Network SummerFcast'!$A27,'Customer Scenario Forecast'!$H$20:$H$1181,'Incremental Network SummerFcast'!$H$1)+
SUMIFS('Customer Scenario Forecast'!C$25:C$1186,'Customer Scenario Forecast'!$D$20:$D$1181,'Incremental Network SummerFcast'!$A27,'Customer Scenario Forecast'!$H$20:$H$1181,'Incremental Network SummerFcast'!$H$1)+
SUMIFS('Customer Scenario Forecast'!C$25:C$1186,'Customer Scenario Forecast'!$E$20:$E$1181,'Incremental Network SummerFcast'!$A27,'Customer Scenario Forecast'!$H$20:$H$1181,'Incremental Network SummerFcast'!$H$1)+C29))</f>
        <v>0</v>
      </c>
      <c r="D33" s="198">
        <f ca="1">IF($H$1="",
1*(
SUMIFS('Customer Scenario Forecast'!D$25:D$1186,'Customer Scenario Forecast'!$C$20:$C$1181,'Incremental Network SummerFcast'!$A27)+
SUMIFS('Customer Scenario Forecast'!D$25:D$1186,'Customer Scenario Forecast'!$D$20:$D$1181,'Incremental Network SummerFcast'!$A27)+
SUMIFS('Customer Scenario Forecast'!D$25:D$1186,'Customer Scenario Forecast'!$E$20:$E$1181,'Incremental Network SummerFcast'!$A27)+D29),
1*(
SUMIFS('Customer Scenario Forecast'!D$25:D$1186,'Customer Scenario Forecast'!$C$20:$C$1181,'Incremental Network SummerFcast'!$A27,'Customer Scenario Forecast'!$H$20:$H$1181,'Incremental Network SummerFcast'!$H$1)+
SUMIFS('Customer Scenario Forecast'!D$25:D$1186,'Customer Scenario Forecast'!$D$20:$D$1181,'Incremental Network SummerFcast'!$A27,'Customer Scenario Forecast'!$H$20:$H$1181,'Incremental Network SummerFcast'!$H$1)+
SUMIFS('Customer Scenario Forecast'!D$25:D$1186,'Customer Scenario Forecast'!$E$20:$E$1181,'Incremental Network SummerFcast'!$A27,'Customer Scenario Forecast'!$H$20:$H$1181,'Incremental Network SummerFcast'!$H$1)+D29))</f>
        <v>0</v>
      </c>
      <c r="E33" s="198">
        <f ca="1">IF($H$1="",
1*(
SUMIFS('Customer Scenario Forecast'!E$25:E$1186,'Customer Scenario Forecast'!$C$20:$C$1181,'Incremental Network SummerFcast'!$A27)+
SUMIFS('Customer Scenario Forecast'!E$25:E$1186,'Customer Scenario Forecast'!$D$20:$D$1181,'Incremental Network SummerFcast'!$A27)+
SUMIFS('Customer Scenario Forecast'!E$25:E$1186,'Customer Scenario Forecast'!$E$20:$E$1181,'Incremental Network SummerFcast'!$A27)+E29),
1*(
SUMIFS('Customer Scenario Forecast'!E$25:E$1186,'Customer Scenario Forecast'!$C$20:$C$1181,'Incremental Network SummerFcast'!$A27,'Customer Scenario Forecast'!$H$20:$H$1181,'Incremental Network SummerFcast'!$H$1)+
SUMIFS('Customer Scenario Forecast'!E$25:E$1186,'Customer Scenario Forecast'!$D$20:$D$1181,'Incremental Network SummerFcast'!$A27,'Customer Scenario Forecast'!$H$20:$H$1181,'Incremental Network SummerFcast'!$H$1)+
SUMIFS('Customer Scenario Forecast'!E$25:E$1186,'Customer Scenario Forecast'!$E$20:$E$1181,'Incremental Network SummerFcast'!$A27,'Customer Scenario Forecast'!$H$20:$H$1181,'Incremental Network SummerFcast'!$H$1)+E29))</f>
        <v>0</v>
      </c>
      <c r="F33" s="198">
        <f ca="1">IF($H$1="",
1*(
SUMIFS('Customer Scenario Forecast'!F$25:F$1186,'Customer Scenario Forecast'!$C$20:$C$1181,'Incremental Network SummerFcast'!$A27)+
SUMIFS('Customer Scenario Forecast'!F$25:F$1186,'Customer Scenario Forecast'!$D$20:$D$1181,'Incremental Network SummerFcast'!$A27)+
SUMIFS('Customer Scenario Forecast'!F$25:F$1186,'Customer Scenario Forecast'!$E$20:$E$1181,'Incremental Network SummerFcast'!$A27)+F29),
1*(
SUMIFS('Customer Scenario Forecast'!F$25:F$1186,'Customer Scenario Forecast'!$C$20:$C$1181,'Incremental Network SummerFcast'!$A27,'Customer Scenario Forecast'!$H$20:$H$1181,'Incremental Network SummerFcast'!$H$1)+
SUMIFS('Customer Scenario Forecast'!F$25:F$1186,'Customer Scenario Forecast'!$D$20:$D$1181,'Incremental Network SummerFcast'!$A27,'Customer Scenario Forecast'!$H$20:$H$1181,'Incremental Network SummerFcast'!$H$1)+
SUMIFS('Customer Scenario Forecast'!F$25:F$1186,'Customer Scenario Forecast'!$E$20:$E$1181,'Incremental Network SummerFcast'!$A27,'Customer Scenario Forecast'!$H$20:$H$1181,'Incremental Network SummerFcast'!$H$1)+F29))</f>
        <v>0</v>
      </c>
      <c r="G33" s="198">
        <f ca="1">IF($H$1="",
1*(
SUMIFS('Customer Scenario Forecast'!G$25:G$1186,'Customer Scenario Forecast'!$C$20:$C$1181,'Incremental Network SummerFcast'!$A27)+
SUMIFS('Customer Scenario Forecast'!G$25:G$1186,'Customer Scenario Forecast'!$D$20:$D$1181,'Incremental Network SummerFcast'!$A27)+
SUMIFS('Customer Scenario Forecast'!G$25:G$1186,'Customer Scenario Forecast'!$E$20:$E$1181,'Incremental Network SummerFcast'!$A27)+G29),
1*(
SUMIFS('Customer Scenario Forecast'!G$25:G$1186,'Customer Scenario Forecast'!$C$20:$C$1181,'Incremental Network SummerFcast'!$A27,'Customer Scenario Forecast'!$H$20:$H$1181,'Incremental Network SummerFcast'!$H$1)+
SUMIFS('Customer Scenario Forecast'!G$25:G$1186,'Customer Scenario Forecast'!$D$20:$D$1181,'Incremental Network SummerFcast'!$A27,'Customer Scenario Forecast'!$H$20:$H$1181,'Incremental Network SummerFcast'!$H$1)+
SUMIFS('Customer Scenario Forecast'!G$25:G$1186,'Customer Scenario Forecast'!$E$20:$E$1181,'Incremental Network SummerFcast'!$A27,'Customer Scenario Forecast'!$H$20:$H$1181,'Incremental Network SummerFcast'!$H$1)+G29))</f>
        <v>0</v>
      </c>
      <c r="H33" s="198">
        <f ca="1">IF($H$1="",
1*(
SUMIFS('Customer Scenario Forecast'!H$25:H$1186,'Customer Scenario Forecast'!$C$20:$C$1181,'Incremental Network SummerFcast'!$A27)+
SUMIFS('Customer Scenario Forecast'!H$25:H$1186,'Customer Scenario Forecast'!$D$20:$D$1181,'Incremental Network SummerFcast'!$A27)+
SUMIFS('Customer Scenario Forecast'!H$25:H$1186,'Customer Scenario Forecast'!$E$20:$E$1181,'Incremental Network SummerFcast'!$A27)+H29),
1*(
SUMIFS('Customer Scenario Forecast'!H$25:H$1186,'Customer Scenario Forecast'!$C$20:$C$1181,'Incremental Network SummerFcast'!$A27,'Customer Scenario Forecast'!$H$20:$H$1181,'Incremental Network SummerFcast'!$H$1)+
SUMIFS('Customer Scenario Forecast'!H$25:H$1186,'Customer Scenario Forecast'!$D$20:$D$1181,'Incremental Network SummerFcast'!$A27,'Customer Scenario Forecast'!$H$20:$H$1181,'Incremental Network SummerFcast'!$H$1)+
SUMIFS('Customer Scenario Forecast'!H$25:H$1186,'Customer Scenario Forecast'!$E$20:$E$1181,'Incremental Network SummerFcast'!$A27,'Customer Scenario Forecast'!$H$20:$H$1181,'Incremental Network SummerFcast'!$H$1)+H29))</f>
        <v>0</v>
      </c>
      <c r="I33" s="198">
        <f ca="1">IF($H$1="",
1*(
SUMIFS('Customer Scenario Forecast'!I$25:I$1186,'Customer Scenario Forecast'!$C$20:$C$1181,'Incremental Network SummerFcast'!$A27)+
SUMIFS('Customer Scenario Forecast'!I$25:I$1186,'Customer Scenario Forecast'!$D$20:$D$1181,'Incremental Network SummerFcast'!$A27)+
SUMIFS('Customer Scenario Forecast'!I$25:I$1186,'Customer Scenario Forecast'!$E$20:$E$1181,'Incremental Network SummerFcast'!$A27)+I29),
1*(
SUMIFS('Customer Scenario Forecast'!I$25:I$1186,'Customer Scenario Forecast'!$C$20:$C$1181,'Incremental Network SummerFcast'!$A27,'Customer Scenario Forecast'!$H$20:$H$1181,'Incremental Network SummerFcast'!$H$1)+
SUMIFS('Customer Scenario Forecast'!I$25:I$1186,'Customer Scenario Forecast'!$D$20:$D$1181,'Incremental Network SummerFcast'!$A27,'Customer Scenario Forecast'!$H$20:$H$1181,'Incremental Network SummerFcast'!$H$1)+
SUMIFS('Customer Scenario Forecast'!I$25:I$1186,'Customer Scenario Forecast'!$E$20:$E$1181,'Incremental Network SummerFcast'!$A27,'Customer Scenario Forecast'!$H$20:$H$1181,'Incremental Network SummerFcast'!$H$1)+I29))</f>
        <v>0</v>
      </c>
      <c r="J33" s="198">
        <f ca="1">IF($H$1="",
1*(
SUMIFS('Customer Scenario Forecast'!J$25:J$1186,'Customer Scenario Forecast'!$C$20:$C$1181,'Incremental Network SummerFcast'!$A27)+
SUMIFS('Customer Scenario Forecast'!J$25:J$1186,'Customer Scenario Forecast'!$D$20:$D$1181,'Incremental Network SummerFcast'!$A27)+
SUMIFS('Customer Scenario Forecast'!J$25:J$1186,'Customer Scenario Forecast'!$E$20:$E$1181,'Incremental Network SummerFcast'!$A27)+J29),
1*(
SUMIFS('Customer Scenario Forecast'!J$25:J$1186,'Customer Scenario Forecast'!$C$20:$C$1181,'Incremental Network SummerFcast'!$A27,'Customer Scenario Forecast'!$H$20:$H$1181,'Incremental Network SummerFcast'!$H$1)+
SUMIFS('Customer Scenario Forecast'!J$25:J$1186,'Customer Scenario Forecast'!$D$20:$D$1181,'Incremental Network SummerFcast'!$A27,'Customer Scenario Forecast'!$H$20:$H$1181,'Incremental Network SummerFcast'!$H$1)+
SUMIFS('Customer Scenario Forecast'!J$25:J$1186,'Customer Scenario Forecast'!$E$20:$E$1181,'Incremental Network SummerFcast'!$A27,'Customer Scenario Forecast'!$H$20:$H$1181,'Incremental Network SummerFcast'!$H$1)+J29))</f>
        <v>0</v>
      </c>
      <c r="K33" s="198">
        <f ca="1">IF($H$1="",
1*(
SUMIFS('Customer Scenario Forecast'!K$25:K$1186,'Customer Scenario Forecast'!$C$20:$C$1181,'Incremental Network SummerFcast'!$A27)+
SUMIFS('Customer Scenario Forecast'!K$25:K$1186,'Customer Scenario Forecast'!$D$20:$D$1181,'Incremental Network SummerFcast'!$A27)+
SUMIFS('Customer Scenario Forecast'!K$25:K$1186,'Customer Scenario Forecast'!$E$20:$E$1181,'Incremental Network SummerFcast'!$A27)+K29),
1*(
SUMIFS('Customer Scenario Forecast'!K$25:K$1186,'Customer Scenario Forecast'!$C$20:$C$1181,'Incremental Network SummerFcast'!$A27,'Customer Scenario Forecast'!$H$20:$H$1181,'Incremental Network SummerFcast'!$H$1)+
SUMIFS('Customer Scenario Forecast'!K$25:K$1186,'Customer Scenario Forecast'!$D$20:$D$1181,'Incremental Network SummerFcast'!$A27,'Customer Scenario Forecast'!$H$20:$H$1181,'Incremental Network SummerFcast'!$H$1)+
SUMIFS('Customer Scenario Forecast'!K$25:K$1186,'Customer Scenario Forecast'!$E$20:$E$1181,'Incremental Network SummerFcast'!$A27,'Customer Scenario Forecast'!$H$20:$H$1181,'Incremental Network SummerFcast'!$H$1)+K29))</f>
        <v>0</v>
      </c>
      <c r="L33" s="198">
        <f ca="1">IF($H$1="",
1*(
SUMIFS('Customer Scenario Forecast'!L$25:L$1186,'Customer Scenario Forecast'!$C$20:$C$1181,'Incremental Network SummerFcast'!$A27)+
SUMIFS('Customer Scenario Forecast'!L$25:L$1186,'Customer Scenario Forecast'!$D$20:$D$1181,'Incremental Network SummerFcast'!$A27)+
SUMIFS('Customer Scenario Forecast'!L$25:L$1186,'Customer Scenario Forecast'!$E$20:$E$1181,'Incremental Network SummerFcast'!$A27)+L29),
1*(
SUMIFS('Customer Scenario Forecast'!L$25:L$1186,'Customer Scenario Forecast'!$C$20:$C$1181,'Incremental Network SummerFcast'!$A27,'Customer Scenario Forecast'!$H$20:$H$1181,'Incremental Network SummerFcast'!$H$1)+
SUMIFS('Customer Scenario Forecast'!L$25:L$1186,'Customer Scenario Forecast'!$D$20:$D$1181,'Incremental Network SummerFcast'!$A27,'Customer Scenario Forecast'!$H$20:$H$1181,'Incremental Network SummerFcast'!$H$1)+
SUMIFS('Customer Scenario Forecast'!L$25:L$1186,'Customer Scenario Forecast'!$E$20:$E$1181,'Incremental Network SummerFcast'!$A27,'Customer Scenario Forecast'!$H$20:$H$1181,'Incremental Network SummerFcast'!$H$1)+L29))</f>
        <v>0</v>
      </c>
    </row>
    <row r="34" spans="1:12" ht="15.6" thickTop="1" thickBot="1">
      <c r="A34" s="197" t="s">
        <v>148</v>
      </c>
      <c r="B34" s="198">
        <f ca="1">'Incremental Network SummerFcast'!$B$245*B31+'Incremental Network SummerFcast'!$B$246*B32+'Incremental Network SummerFcast'!$B$247*B33</f>
        <v>0</v>
      </c>
      <c r="C34" s="198">
        <f ca="1">'Incremental Network SummerFcast'!$B$245*C31+'Incremental Network SummerFcast'!$B$246*C32+'Incremental Network SummerFcast'!$B$247*C33</f>
        <v>0</v>
      </c>
      <c r="D34" s="198">
        <f ca="1">'Incremental Network SummerFcast'!$B$245*D31+'Incremental Network SummerFcast'!$B$246*D32+'Incremental Network SummerFcast'!$B$247*D33</f>
        <v>0</v>
      </c>
      <c r="E34" s="198">
        <f ca="1">'Incremental Network SummerFcast'!$B$245*E31+'Incremental Network SummerFcast'!$B$246*E32+'Incremental Network SummerFcast'!$B$247*E33</f>
        <v>0</v>
      </c>
      <c r="F34" s="198">
        <f ca="1">'Incremental Network SummerFcast'!$B$245*F31+'Incremental Network SummerFcast'!$B$246*F32+'Incremental Network SummerFcast'!$B$247*F33</f>
        <v>0</v>
      </c>
      <c r="G34" s="198">
        <f ca="1">'Incremental Network SummerFcast'!$B$245*G31+'Incremental Network SummerFcast'!$B$246*G32+'Incremental Network SummerFcast'!$B$247*G33</f>
        <v>0</v>
      </c>
      <c r="H34" s="198">
        <f ca="1">'Incremental Network SummerFcast'!$B$245*H31+'Incremental Network SummerFcast'!$B$246*H32+'Incremental Network SummerFcast'!$B$247*H33</f>
        <v>0</v>
      </c>
      <c r="I34" s="198">
        <f ca="1">'Incremental Network SummerFcast'!$B$245*I31+'Incremental Network SummerFcast'!$B$246*I32+'Incremental Network SummerFcast'!$B$247*I33</f>
        <v>0</v>
      </c>
      <c r="J34" s="198">
        <f ca="1">'Incremental Network SummerFcast'!$B$245*J31+'Incremental Network SummerFcast'!$B$246*J32+'Incremental Network SummerFcast'!$B$247*J33</f>
        <v>0</v>
      </c>
      <c r="K34" s="198">
        <f ca="1">'Incremental Network SummerFcast'!$B$245*K31+'Incremental Network SummerFcast'!$B$246*K32+'Incremental Network SummerFcast'!$B$247*K33</f>
        <v>0</v>
      </c>
      <c r="L34" s="198">
        <f ca="1">'Incremental Network SummerFcast'!$B$245*L31+'Incremental Network SummerFcast'!$B$246*L32+'Incremental Network SummerFcast'!$B$247*L33</f>
        <v>0</v>
      </c>
    </row>
    <row r="35" spans="1:12" ht="15.6" thickTop="1" thickBot="1">
      <c r="A35" s="187" t="s">
        <v>127</v>
      </c>
      <c r="B35" s="216"/>
      <c r="C35" s="190"/>
      <c r="D35" s="190"/>
      <c r="E35" s="190"/>
      <c r="F35" s="190"/>
      <c r="G35" s="190"/>
      <c r="H35" s="190"/>
      <c r="I35" s="190"/>
      <c r="J35" s="190"/>
      <c r="K35" s="190"/>
      <c r="L35" s="190"/>
    </row>
    <row r="36" spans="1:12" ht="15" thickBot="1">
      <c r="A36" s="191" t="str">
        <f>A28</f>
        <v>Uptake Scenario</v>
      </c>
      <c r="B36" s="191">
        <f t="shared" ref="B36:L36" si="4">B28</f>
        <v>2023</v>
      </c>
      <c r="C36" s="191">
        <f t="shared" si="4"/>
        <v>2024</v>
      </c>
      <c r="D36" s="191">
        <f t="shared" si="4"/>
        <v>2025</v>
      </c>
      <c r="E36" s="191">
        <f t="shared" si="4"/>
        <v>2026</v>
      </c>
      <c r="F36" s="191">
        <f t="shared" si="4"/>
        <v>2027</v>
      </c>
      <c r="G36" s="191">
        <f t="shared" si="4"/>
        <v>2028</v>
      </c>
      <c r="H36" s="191">
        <f t="shared" si="4"/>
        <v>2029</v>
      </c>
      <c r="I36" s="191">
        <f t="shared" si="4"/>
        <v>2030</v>
      </c>
      <c r="J36" s="191">
        <f t="shared" si="4"/>
        <v>2031</v>
      </c>
      <c r="K36" s="191">
        <f t="shared" si="4"/>
        <v>2032</v>
      </c>
      <c r="L36" s="191">
        <f t="shared" si="4"/>
        <v>2033</v>
      </c>
    </row>
    <row r="37" spans="1:12" ht="15.6" thickTop="1" thickBot="1">
      <c r="A37" s="193"/>
      <c r="B37" s="206"/>
      <c r="C37" s="206"/>
      <c r="D37" s="206"/>
      <c r="E37" s="206"/>
      <c r="F37" s="206"/>
      <c r="G37" s="206"/>
      <c r="H37" s="206"/>
      <c r="I37" s="206"/>
      <c r="J37" s="206"/>
      <c r="K37" s="215"/>
      <c r="L37" s="215"/>
    </row>
    <row r="38" spans="1:12" ht="15" thickBot="1">
      <c r="A38" s="193" t="s">
        <v>111</v>
      </c>
      <c r="B38" s="194">
        <f ca="1">IF($H$1="",
SUMIFS('Customer Scenario Forecast'!B$22:B$1183,'Customer Scenario Forecast'!$C$20:$C$1181,'Incremental Network SummerFcast'!$A35)+
SUMIFS('Customer Scenario Forecast'!B$22:B$1183,'Customer Scenario Forecast'!$D$20:$D$1181,'Incremental Network SummerFcast'!$A35)+
SUMIFS('Customer Scenario Forecast'!B$22:B$1183,'Customer Scenario Forecast'!$E$20:$E$1181,'Incremental Network SummerFcast'!$A35),
SUMIFS('Customer Scenario Forecast'!B$22:B$1183,'Customer Scenario Forecast'!$C$20:$C$1181,'Incremental Network SummerFcast'!$A35,'Customer Scenario Forecast'!$H$20:$H$1181,'Incremental Network SummerFcast'!$H$1)+
SUMIFS('Customer Scenario Forecast'!B$22:B$1183,'Customer Scenario Forecast'!$D$20:$D$1181,'Incremental Network SummerFcast'!$A35,'Customer Scenario Forecast'!$H$20:$H$1181,'Incremental Network SummerFcast'!$H$1)+
SUMIFS('Customer Scenario Forecast'!B$22:B$1183,'Customer Scenario Forecast'!$E$20:$E$1181,'Incremental Network SummerFcast'!$A35,'Customer Scenario Forecast'!$H$20:$H$1181,'Incremental Network SummerFcast'!$H$1))</f>
        <v>-6</v>
      </c>
      <c r="C38" s="194">
        <f ca="1">IF($H$1="",
SUMIFS('Customer Scenario Forecast'!C$22:C$1183,'Customer Scenario Forecast'!$C$20:$C$1181,'Incremental Network SummerFcast'!$A35)+
SUMIFS('Customer Scenario Forecast'!C$22:C$1183,'Customer Scenario Forecast'!$D$20:$D$1181,'Incremental Network SummerFcast'!$A35)+
SUMIFS('Customer Scenario Forecast'!C$22:C$1183,'Customer Scenario Forecast'!$E$20:$E$1181,'Incremental Network SummerFcast'!$A35),
SUMIFS('Customer Scenario Forecast'!C$22:C$1183,'Customer Scenario Forecast'!$C$20:$C$1181,'Incremental Network SummerFcast'!$A35,'Customer Scenario Forecast'!$H$20:$H$1181,'Incremental Network SummerFcast'!$H$1)+
SUMIFS('Customer Scenario Forecast'!C$22:C$1183,'Customer Scenario Forecast'!$D$20:$D$1181,'Incremental Network SummerFcast'!$A35,'Customer Scenario Forecast'!$H$20:$H$1181,'Incremental Network SummerFcast'!$H$1)+
SUMIFS('Customer Scenario Forecast'!C$22:C$1183,'Customer Scenario Forecast'!$E$20:$E$1181,'Incremental Network SummerFcast'!$A35,'Customer Scenario Forecast'!$H$20:$H$1181,'Incremental Network SummerFcast'!$H$1))</f>
        <v>0</v>
      </c>
      <c r="D38" s="194">
        <f ca="1">IF($H$1="",
SUMIFS('Customer Scenario Forecast'!D$22:D$1183,'Customer Scenario Forecast'!$C$20:$C$1181,'Incremental Network SummerFcast'!$A35)+
SUMIFS('Customer Scenario Forecast'!D$22:D$1183,'Customer Scenario Forecast'!$D$20:$D$1181,'Incremental Network SummerFcast'!$A35)+
SUMIFS('Customer Scenario Forecast'!D$22:D$1183,'Customer Scenario Forecast'!$E$20:$E$1181,'Incremental Network SummerFcast'!$A35),
SUMIFS('Customer Scenario Forecast'!D$22:D$1183,'Customer Scenario Forecast'!$C$20:$C$1181,'Incremental Network SummerFcast'!$A35,'Customer Scenario Forecast'!$H$20:$H$1181,'Incremental Network SummerFcast'!$H$1)+
SUMIFS('Customer Scenario Forecast'!D$22:D$1183,'Customer Scenario Forecast'!$D$20:$D$1181,'Incremental Network SummerFcast'!$A35,'Customer Scenario Forecast'!$H$20:$H$1181,'Incremental Network SummerFcast'!$H$1)+
SUMIFS('Customer Scenario Forecast'!D$22:D$1183,'Customer Scenario Forecast'!$E$20:$E$1181,'Incremental Network SummerFcast'!$A35,'Customer Scenario Forecast'!$H$20:$H$1181,'Incremental Network SummerFcast'!$H$1))</f>
        <v>4</v>
      </c>
      <c r="E38" s="194">
        <f ca="1">IF($H$1="",
SUMIFS('Customer Scenario Forecast'!E$22:E$1183,'Customer Scenario Forecast'!$C$20:$C$1181,'Incremental Network SummerFcast'!$A35)+
SUMIFS('Customer Scenario Forecast'!E$22:E$1183,'Customer Scenario Forecast'!$D$20:$D$1181,'Incremental Network SummerFcast'!$A35)+
SUMIFS('Customer Scenario Forecast'!E$22:E$1183,'Customer Scenario Forecast'!$E$20:$E$1181,'Incremental Network SummerFcast'!$A35),
SUMIFS('Customer Scenario Forecast'!E$22:E$1183,'Customer Scenario Forecast'!$C$20:$C$1181,'Incremental Network SummerFcast'!$A35,'Customer Scenario Forecast'!$H$20:$H$1181,'Incremental Network SummerFcast'!$H$1)+
SUMIFS('Customer Scenario Forecast'!E$22:E$1183,'Customer Scenario Forecast'!$D$20:$D$1181,'Incremental Network SummerFcast'!$A35,'Customer Scenario Forecast'!$H$20:$H$1181,'Incremental Network SummerFcast'!$H$1)+
SUMIFS('Customer Scenario Forecast'!E$22:E$1183,'Customer Scenario Forecast'!$E$20:$E$1181,'Incremental Network SummerFcast'!$A35,'Customer Scenario Forecast'!$H$20:$H$1181,'Incremental Network SummerFcast'!$H$1))</f>
        <v>6.65</v>
      </c>
      <c r="F38" s="194">
        <f ca="1">IF($H$1="",
SUMIFS('Customer Scenario Forecast'!F$22:F$1183,'Customer Scenario Forecast'!$C$20:$C$1181,'Incremental Network SummerFcast'!$A35)+
SUMIFS('Customer Scenario Forecast'!F$22:F$1183,'Customer Scenario Forecast'!$D$20:$D$1181,'Incremental Network SummerFcast'!$A35)+
SUMIFS('Customer Scenario Forecast'!F$22:F$1183,'Customer Scenario Forecast'!$E$20:$E$1181,'Incremental Network SummerFcast'!$A35),
SUMIFS('Customer Scenario Forecast'!F$22:F$1183,'Customer Scenario Forecast'!$C$20:$C$1181,'Incremental Network SummerFcast'!$A35,'Customer Scenario Forecast'!$H$20:$H$1181,'Incremental Network SummerFcast'!$H$1)+
SUMIFS('Customer Scenario Forecast'!F$22:F$1183,'Customer Scenario Forecast'!$D$20:$D$1181,'Incremental Network SummerFcast'!$A35,'Customer Scenario Forecast'!$H$20:$H$1181,'Incremental Network SummerFcast'!$H$1)+
SUMIFS('Customer Scenario Forecast'!F$22:F$1183,'Customer Scenario Forecast'!$E$20:$E$1181,'Incremental Network SummerFcast'!$A35,'Customer Scenario Forecast'!$H$20:$H$1181,'Incremental Network SummerFcast'!$H$1))</f>
        <v>18.075118233339847</v>
      </c>
      <c r="G38" s="194">
        <f ca="1">IF($H$1="",
SUMIFS('Customer Scenario Forecast'!G$22:G$1183,'Customer Scenario Forecast'!$C$20:$C$1181,'Incremental Network SummerFcast'!$A35)+
SUMIFS('Customer Scenario Forecast'!G$22:G$1183,'Customer Scenario Forecast'!$D$20:$D$1181,'Incremental Network SummerFcast'!$A35)+
SUMIFS('Customer Scenario Forecast'!G$22:G$1183,'Customer Scenario Forecast'!$E$20:$E$1181,'Incremental Network SummerFcast'!$A35),
SUMIFS('Customer Scenario Forecast'!G$22:G$1183,'Customer Scenario Forecast'!$C$20:$C$1181,'Incremental Network SummerFcast'!$A35,'Customer Scenario Forecast'!$H$20:$H$1181,'Incremental Network SummerFcast'!$H$1)+
SUMIFS('Customer Scenario Forecast'!G$22:G$1183,'Customer Scenario Forecast'!$D$20:$D$1181,'Incremental Network SummerFcast'!$A35,'Customer Scenario Forecast'!$H$20:$H$1181,'Incremental Network SummerFcast'!$H$1)+
SUMIFS('Customer Scenario Forecast'!G$22:G$1183,'Customer Scenario Forecast'!$E$20:$E$1181,'Incremental Network SummerFcast'!$A35,'Customer Scenario Forecast'!$H$20:$H$1181,'Incremental Network SummerFcast'!$H$1))</f>
        <v>27.495373506611948</v>
      </c>
      <c r="H38" s="194">
        <f ca="1">IF($H$1="",
SUMIFS('Customer Scenario Forecast'!H$22:H$1183,'Customer Scenario Forecast'!$C$20:$C$1181,'Incremental Network SummerFcast'!$A35)+
SUMIFS('Customer Scenario Forecast'!H$22:H$1183,'Customer Scenario Forecast'!$D$20:$D$1181,'Incremental Network SummerFcast'!$A35)+
SUMIFS('Customer Scenario Forecast'!H$22:H$1183,'Customer Scenario Forecast'!$E$20:$E$1181,'Incremental Network SummerFcast'!$A35),
SUMIFS('Customer Scenario Forecast'!H$22:H$1183,'Customer Scenario Forecast'!$C$20:$C$1181,'Incremental Network SummerFcast'!$A35,'Customer Scenario Forecast'!$H$20:$H$1181,'Incremental Network SummerFcast'!$H$1)+
SUMIFS('Customer Scenario Forecast'!H$22:H$1183,'Customer Scenario Forecast'!$D$20:$D$1181,'Incremental Network SummerFcast'!$A35,'Customer Scenario Forecast'!$H$20:$H$1181,'Incremental Network SummerFcast'!$H$1)+
SUMIFS('Customer Scenario Forecast'!H$22:H$1183,'Customer Scenario Forecast'!$E$20:$E$1181,'Incremental Network SummerFcast'!$A35,'Customer Scenario Forecast'!$H$20:$H$1181,'Incremental Network SummerFcast'!$H$1))</f>
        <v>34.206392554231002</v>
      </c>
      <c r="I38" s="194">
        <f ca="1">IF($H$1="",
SUMIFS('Customer Scenario Forecast'!I$22:I$1183,'Customer Scenario Forecast'!$C$20:$C$1181,'Incremental Network SummerFcast'!$A35)+
SUMIFS('Customer Scenario Forecast'!I$22:I$1183,'Customer Scenario Forecast'!$D$20:$D$1181,'Incremental Network SummerFcast'!$A35)+
SUMIFS('Customer Scenario Forecast'!I$22:I$1183,'Customer Scenario Forecast'!$E$20:$E$1181,'Incremental Network SummerFcast'!$A35),
SUMIFS('Customer Scenario Forecast'!I$22:I$1183,'Customer Scenario Forecast'!$C$20:$C$1181,'Incremental Network SummerFcast'!$A35,'Customer Scenario Forecast'!$H$20:$H$1181,'Incremental Network SummerFcast'!$H$1)+
SUMIFS('Customer Scenario Forecast'!I$22:I$1183,'Customer Scenario Forecast'!$D$20:$D$1181,'Incremental Network SummerFcast'!$A35,'Customer Scenario Forecast'!$H$20:$H$1181,'Incremental Network SummerFcast'!$H$1)+
SUMIFS('Customer Scenario Forecast'!I$22:I$1183,'Customer Scenario Forecast'!$E$20:$E$1181,'Incremental Network SummerFcast'!$A35,'Customer Scenario Forecast'!$H$20:$H$1181,'Incremental Network SummerFcast'!$H$1))</f>
        <v>46.082163982802427</v>
      </c>
      <c r="J38" s="194">
        <f ca="1">IF($H$1="",
SUMIFS('Customer Scenario Forecast'!J$22:J$1183,'Customer Scenario Forecast'!$C$20:$C$1181,'Incremental Network SummerFcast'!$A35)+
SUMIFS('Customer Scenario Forecast'!J$22:J$1183,'Customer Scenario Forecast'!$D$20:$D$1181,'Incremental Network SummerFcast'!$A35)+
SUMIFS('Customer Scenario Forecast'!J$22:J$1183,'Customer Scenario Forecast'!$E$20:$E$1181,'Incremental Network SummerFcast'!$A35),
SUMIFS('Customer Scenario Forecast'!J$22:J$1183,'Customer Scenario Forecast'!$C$20:$C$1181,'Incremental Network SummerFcast'!$A35,'Customer Scenario Forecast'!$H$20:$H$1181,'Incremental Network SummerFcast'!$H$1)+
SUMIFS('Customer Scenario Forecast'!J$22:J$1183,'Customer Scenario Forecast'!$D$20:$D$1181,'Incremental Network SummerFcast'!$A35,'Customer Scenario Forecast'!$H$20:$H$1181,'Incremental Network SummerFcast'!$H$1)+
SUMIFS('Customer Scenario Forecast'!J$22:J$1183,'Customer Scenario Forecast'!$E$20:$E$1181,'Incremental Network SummerFcast'!$A35,'Customer Scenario Forecast'!$H$20:$H$1181,'Incremental Network SummerFcast'!$H$1))</f>
        <v>65.777114597094652</v>
      </c>
      <c r="K38" s="194">
        <f ca="1">IF($H$1="",
SUMIFS('Customer Scenario Forecast'!K$22:K$1183,'Customer Scenario Forecast'!$C$20:$C$1181,'Incremental Network SummerFcast'!$A35)+
SUMIFS('Customer Scenario Forecast'!K$22:K$1183,'Customer Scenario Forecast'!$D$20:$D$1181,'Incremental Network SummerFcast'!$A35)+
SUMIFS('Customer Scenario Forecast'!K$22:K$1183,'Customer Scenario Forecast'!$E$20:$E$1181,'Incremental Network SummerFcast'!$A35),
SUMIFS('Customer Scenario Forecast'!K$22:K$1183,'Customer Scenario Forecast'!$C$20:$C$1181,'Incremental Network SummerFcast'!$A35,'Customer Scenario Forecast'!$H$20:$H$1181,'Incremental Network SummerFcast'!$H$1)+
SUMIFS('Customer Scenario Forecast'!K$22:K$1183,'Customer Scenario Forecast'!$D$20:$D$1181,'Incremental Network SummerFcast'!$A35,'Customer Scenario Forecast'!$H$20:$H$1181,'Incremental Network SummerFcast'!$H$1)+
SUMIFS('Customer Scenario Forecast'!K$22:K$1183,'Customer Scenario Forecast'!$E$20:$E$1181,'Incremental Network SummerFcast'!$A35,'Customer Scenario Forecast'!$H$20:$H$1181,'Incremental Network SummerFcast'!$H$1))</f>
        <v>103.27222105270015</v>
      </c>
      <c r="L38" s="194">
        <f ca="1">IF($H$1="",
SUMIFS('Customer Scenario Forecast'!L$22:L$1183,'Customer Scenario Forecast'!$C$20:$C$1181,'Incremental Network SummerFcast'!$A35)+
SUMIFS('Customer Scenario Forecast'!L$22:L$1183,'Customer Scenario Forecast'!$D$20:$D$1181,'Incremental Network SummerFcast'!$A35)+
SUMIFS('Customer Scenario Forecast'!L$22:L$1183,'Customer Scenario Forecast'!$E$20:$E$1181,'Incremental Network SummerFcast'!$A35),
SUMIFS('Customer Scenario Forecast'!L$22:L$1183,'Customer Scenario Forecast'!$C$20:$C$1181,'Incremental Network SummerFcast'!$A35,'Customer Scenario Forecast'!$H$20:$H$1181,'Incremental Network SummerFcast'!$H$1)+
SUMIFS('Customer Scenario Forecast'!L$22:L$1183,'Customer Scenario Forecast'!$D$20:$D$1181,'Incremental Network SummerFcast'!$A35,'Customer Scenario Forecast'!$H$20:$H$1181,'Incremental Network SummerFcast'!$H$1)+
SUMIFS('Customer Scenario Forecast'!L$22:L$1183,'Customer Scenario Forecast'!$E$20:$E$1181,'Incremental Network SummerFcast'!$A35,'Customer Scenario Forecast'!$H$20:$H$1181,'Incremental Network SummerFcast'!$H$1))</f>
        <v>137.2864432792652</v>
      </c>
    </row>
    <row r="39" spans="1:12" ht="15" thickBot="1">
      <c r="A39" s="195" t="s">
        <v>107</v>
      </c>
      <c r="B39" s="196">
        <f ca="1">IF($H$1="",
1*(
SUMIFS('Customer Scenario Forecast'!B$23:B$1184,'Customer Scenario Forecast'!$C$20:$C$1181,'Incremental Network SummerFcast'!$A35)+
SUMIFS('Customer Scenario Forecast'!B$23:B$1184,'Customer Scenario Forecast'!$D$20:$D$1181,'Incremental Network SummerFcast'!$A35)+
SUMIFS('Customer Scenario Forecast'!B$23:B$1184,'Customer Scenario Forecast'!$E$20:$E$1181,'Incremental Network SummerFcast'!$A35)+B37),
1*(
SUMIFS('Customer Scenario Forecast'!B$23:B$1184,'Customer Scenario Forecast'!$C$20:$C$1181,'Incremental Network SummerFcast'!$A35,'Customer Scenario Forecast'!$H$20:$H$1181,'Incremental Network SummerFcast'!$H$1)+
SUMIFS('Customer Scenario Forecast'!B$23:B$1184,'Customer Scenario Forecast'!$D$20:$D$1181,'Incremental Network SummerFcast'!$A35,'Customer Scenario Forecast'!$H$20:$H$1181,'Incremental Network SummerFcast'!$H$1)+
SUMIFS('Customer Scenario Forecast'!B$23:B$1184,'Customer Scenario Forecast'!$E$20:$E$1181,'Incremental Network SummerFcast'!$A35,'Customer Scenario Forecast'!$H$20:$H$1181,'Incremental Network SummerFcast'!$H$1)+B37))</f>
        <v>-6</v>
      </c>
      <c r="C39" s="196">
        <f ca="1">IF($H$1="",
1*(
SUMIFS('Customer Scenario Forecast'!C$23:C$1184,'Customer Scenario Forecast'!$C$20:$C$1181,'Incremental Network SummerFcast'!$A35)+
SUMIFS('Customer Scenario Forecast'!C$23:C$1184,'Customer Scenario Forecast'!$D$20:$D$1181,'Incremental Network SummerFcast'!$A35)+
SUMIFS('Customer Scenario Forecast'!C$23:C$1184,'Customer Scenario Forecast'!$E$20:$E$1181,'Incremental Network SummerFcast'!$A35)+C37),
1*(
SUMIFS('Customer Scenario Forecast'!C$23:C$1184,'Customer Scenario Forecast'!$C$20:$C$1181,'Incremental Network SummerFcast'!$A35,'Customer Scenario Forecast'!$H$20:$H$1181,'Incremental Network SummerFcast'!$H$1)+
SUMIFS('Customer Scenario Forecast'!C$23:C$1184,'Customer Scenario Forecast'!$D$20:$D$1181,'Incremental Network SummerFcast'!$A35,'Customer Scenario Forecast'!$H$20:$H$1181,'Incremental Network SummerFcast'!$H$1)+
SUMIFS('Customer Scenario Forecast'!C$23:C$1184,'Customer Scenario Forecast'!$E$20:$E$1181,'Incremental Network SummerFcast'!$A35,'Customer Scenario Forecast'!$H$20:$H$1181,'Incremental Network SummerFcast'!$H$1)+C37))</f>
        <v>0</v>
      </c>
      <c r="D39" s="196">
        <f ca="1">IF($H$1="",
1*(
SUMIFS('Customer Scenario Forecast'!D$23:D$1184,'Customer Scenario Forecast'!$C$20:$C$1181,'Incremental Network SummerFcast'!$A35)+
SUMIFS('Customer Scenario Forecast'!D$23:D$1184,'Customer Scenario Forecast'!$D$20:$D$1181,'Incremental Network SummerFcast'!$A35)+
SUMIFS('Customer Scenario Forecast'!D$23:D$1184,'Customer Scenario Forecast'!$E$20:$E$1181,'Incremental Network SummerFcast'!$A35)+D37),
1*(
SUMIFS('Customer Scenario Forecast'!D$23:D$1184,'Customer Scenario Forecast'!$C$20:$C$1181,'Incremental Network SummerFcast'!$A35,'Customer Scenario Forecast'!$H$20:$H$1181,'Incremental Network SummerFcast'!$H$1)+
SUMIFS('Customer Scenario Forecast'!D$23:D$1184,'Customer Scenario Forecast'!$D$20:$D$1181,'Incremental Network SummerFcast'!$A35,'Customer Scenario Forecast'!$H$20:$H$1181,'Incremental Network SummerFcast'!$H$1)+
SUMIFS('Customer Scenario Forecast'!D$23:D$1184,'Customer Scenario Forecast'!$E$20:$E$1181,'Incremental Network SummerFcast'!$A35,'Customer Scenario Forecast'!$H$20:$H$1181,'Incremental Network SummerFcast'!$H$1)+D37))</f>
        <v>4</v>
      </c>
      <c r="E39" s="196">
        <f ca="1">IF($H$1="",
1*(
SUMIFS('Customer Scenario Forecast'!E$23:E$1184,'Customer Scenario Forecast'!$C$20:$C$1181,'Incremental Network SummerFcast'!$A35)+
SUMIFS('Customer Scenario Forecast'!E$23:E$1184,'Customer Scenario Forecast'!$D$20:$D$1181,'Incremental Network SummerFcast'!$A35)+
SUMIFS('Customer Scenario Forecast'!E$23:E$1184,'Customer Scenario Forecast'!$E$20:$E$1181,'Incremental Network SummerFcast'!$A35)+E37),
1*(
SUMIFS('Customer Scenario Forecast'!E$23:E$1184,'Customer Scenario Forecast'!$C$20:$C$1181,'Incremental Network SummerFcast'!$A35,'Customer Scenario Forecast'!$H$20:$H$1181,'Incremental Network SummerFcast'!$H$1)+
SUMIFS('Customer Scenario Forecast'!E$23:E$1184,'Customer Scenario Forecast'!$D$20:$D$1181,'Incremental Network SummerFcast'!$A35,'Customer Scenario Forecast'!$H$20:$H$1181,'Incremental Network SummerFcast'!$H$1)+
SUMIFS('Customer Scenario Forecast'!E$23:E$1184,'Customer Scenario Forecast'!$E$20:$E$1181,'Incremental Network SummerFcast'!$A35,'Customer Scenario Forecast'!$H$20:$H$1181,'Incremental Network SummerFcast'!$H$1)+E37))</f>
        <v>6.65</v>
      </c>
      <c r="F39" s="196">
        <f ca="1">IF($H$1="",
1*(
SUMIFS('Customer Scenario Forecast'!F$23:F$1184,'Customer Scenario Forecast'!$C$20:$C$1181,'Incremental Network SummerFcast'!$A35)+
SUMIFS('Customer Scenario Forecast'!F$23:F$1184,'Customer Scenario Forecast'!$D$20:$D$1181,'Incremental Network SummerFcast'!$A35)+
SUMIFS('Customer Scenario Forecast'!F$23:F$1184,'Customer Scenario Forecast'!$E$20:$E$1181,'Incremental Network SummerFcast'!$A35)+F37),
1*(
SUMIFS('Customer Scenario Forecast'!F$23:F$1184,'Customer Scenario Forecast'!$C$20:$C$1181,'Incremental Network SummerFcast'!$A35,'Customer Scenario Forecast'!$H$20:$H$1181,'Incremental Network SummerFcast'!$H$1)+
SUMIFS('Customer Scenario Forecast'!F$23:F$1184,'Customer Scenario Forecast'!$D$20:$D$1181,'Incremental Network SummerFcast'!$A35,'Customer Scenario Forecast'!$H$20:$H$1181,'Incremental Network SummerFcast'!$H$1)+
SUMIFS('Customer Scenario Forecast'!F$23:F$1184,'Customer Scenario Forecast'!$E$20:$E$1181,'Incremental Network SummerFcast'!$A35,'Customer Scenario Forecast'!$H$20:$H$1181,'Incremental Network SummerFcast'!$H$1)+F37))</f>
        <v>9.3000000000000007</v>
      </c>
      <c r="G39" s="196">
        <f ca="1">IF($H$1="",
1*(
SUMIFS('Customer Scenario Forecast'!G$23:G$1184,'Customer Scenario Forecast'!$C$20:$C$1181,'Incremental Network SummerFcast'!$A35)+
SUMIFS('Customer Scenario Forecast'!G$23:G$1184,'Customer Scenario Forecast'!$D$20:$D$1181,'Incremental Network SummerFcast'!$A35)+
SUMIFS('Customer Scenario Forecast'!G$23:G$1184,'Customer Scenario Forecast'!$E$20:$E$1181,'Incremental Network SummerFcast'!$A35)+G37),
1*(
SUMIFS('Customer Scenario Forecast'!G$23:G$1184,'Customer Scenario Forecast'!$C$20:$C$1181,'Incremental Network SummerFcast'!$A35,'Customer Scenario Forecast'!$H$20:$H$1181,'Incremental Network SummerFcast'!$H$1)+
SUMIFS('Customer Scenario Forecast'!G$23:G$1184,'Customer Scenario Forecast'!$D$20:$D$1181,'Incremental Network SummerFcast'!$A35,'Customer Scenario Forecast'!$H$20:$H$1181,'Incremental Network SummerFcast'!$H$1)+
SUMIFS('Customer Scenario Forecast'!G$23:G$1184,'Customer Scenario Forecast'!$E$20:$E$1181,'Incremental Network SummerFcast'!$A35,'Customer Scenario Forecast'!$H$20:$H$1181,'Incremental Network SummerFcast'!$H$1)+G37))</f>
        <v>19.847606410005863</v>
      </c>
      <c r="H39" s="196">
        <f ca="1">IF($H$1="",
1*(
SUMIFS('Customer Scenario Forecast'!H$23:H$1184,'Customer Scenario Forecast'!$C$20:$C$1181,'Incremental Network SummerFcast'!$A35)+
SUMIFS('Customer Scenario Forecast'!H$23:H$1184,'Customer Scenario Forecast'!$D$20:$D$1181,'Incremental Network SummerFcast'!$A35)+
SUMIFS('Customer Scenario Forecast'!H$23:H$1184,'Customer Scenario Forecast'!$E$20:$E$1181,'Incremental Network SummerFcast'!$A35)+H37),
1*(
SUMIFS('Customer Scenario Forecast'!H$23:H$1184,'Customer Scenario Forecast'!$C$20:$C$1181,'Incremental Network SummerFcast'!$A35,'Customer Scenario Forecast'!$H$20:$H$1181,'Incremental Network SummerFcast'!$H$1)+
SUMIFS('Customer Scenario Forecast'!H$23:H$1184,'Customer Scenario Forecast'!$D$20:$D$1181,'Incremental Network SummerFcast'!$A35,'Customer Scenario Forecast'!$H$20:$H$1181,'Incremental Network SummerFcast'!$H$1)+
SUMIFS('Customer Scenario Forecast'!H$23:H$1184,'Customer Scenario Forecast'!$E$20:$E$1181,'Incremental Network SummerFcast'!$A35,'Customer Scenario Forecast'!$H$20:$H$1181,'Incremental Network SummerFcast'!$H$1)+H37))</f>
        <v>25.852999267148721</v>
      </c>
      <c r="I39" s="196">
        <f ca="1">IF($H$1="",
1*(
SUMIFS('Customer Scenario Forecast'!I$23:I$1184,'Customer Scenario Forecast'!$C$20:$C$1181,'Incremental Network SummerFcast'!$A35)+
SUMIFS('Customer Scenario Forecast'!I$23:I$1184,'Customer Scenario Forecast'!$D$20:$D$1181,'Incremental Network SummerFcast'!$A35)+
SUMIFS('Customer Scenario Forecast'!I$23:I$1184,'Customer Scenario Forecast'!$E$20:$E$1181,'Incremental Network SummerFcast'!$A35)+I37),
1*(
SUMIFS('Customer Scenario Forecast'!I$23:I$1184,'Customer Scenario Forecast'!$C$20:$C$1181,'Incremental Network SummerFcast'!$A35,'Customer Scenario Forecast'!$H$20:$H$1181,'Incremental Network SummerFcast'!$H$1)+
SUMIFS('Customer Scenario Forecast'!I$23:I$1184,'Customer Scenario Forecast'!$D$20:$D$1181,'Incremental Network SummerFcast'!$A35,'Customer Scenario Forecast'!$H$20:$H$1181,'Incremental Network SummerFcast'!$H$1)+
SUMIFS('Customer Scenario Forecast'!I$23:I$1184,'Customer Scenario Forecast'!$E$20:$E$1181,'Incremental Network SummerFcast'!$A35,'Customer Scenario Forecast'!$H$20:$H$1181,'Incremental Network SummerFcast'!$H$1)+I37))</f>
        <v>30.994713552863008</v>
      </c>
      <c r="J39" s="196">
        <f ca="1">IF($H$1="",
1*(
SUMIFS('Customer Scenario Forecast'!J$23:J$1184,'Customer Scenario Forecast'!$C$20:$C$1181,'Incremental Network SummerFcast'!$A35)+
SUMIFS('Customer Scenario Forecast'!J$23:J$1184,'Customer Scenario Forecast'!$D$20:$D$1181,'Incremental Network SummerFcast'!$A35)+
SUMIFS('Customer Scenario Forecast'!J$23:J$1184,'Customer Scenario Forecast'!$E$20:$E$1181,'Incremental Network SummerFcast'!$A35)+J37),
1*(
SUMIFS('Customer Scenario Forecast'!J$23:J$1184,'Customer Scenario Forecast'!$C$20:$C$1181,'Incremental Network SummerFcast'!$A35,'Customer Scenario Forecast'!$H$20:$H$1181,'Incremental Network SummerFcast'!$H$1)+
SUMIFS('Customer Scenario Forecast'!J$23:J$1184,'Customer Scenario Forecast'!$D$20:$D$1181,'Incremental Network SummerFcast'!$A35,'Customer Scenario Forecast'!$H$20:$H$1181,'Incremental Network SummerFcast'!$H$1)+
SUMIFS('Customer Scenario Forecast'!J$23:J$1184,'Customer Scenario Forecast'!$E$20:$E$1181,'Incremental Network SummerFcast'!$A35,'Customer Scenario Forecast'!$H$20:$H$1181,'Incremental Network SummerFcast'!$H$1)+J37))</f>
        <v>41.084113552863009</v>
      </c>
      <c r="K39" s="196">
        <f ca="1">IF($H$1="",
1*(
SUMIFS('Customer Scenario Forecast'!K$23:K$1184,'Customer Scenario Forecast'!$C$20:$C$1181,'Incremental Network SummerFcast'!$A35)+
SUMIFS('Customer Scenario Forecast'!K$23:K$1184,'Customer Scenario Forecast'!$D$20:$D$1181,'Incremental Network SummerFcast'!$A35)+
SUMIFS('Customer Scenario Forecast'!K$23:K$1184,'Customer Scenario Forecast'!$E$20:$E$1181,'Incremental Network SummerFcast'!$A35)+K37),
1*(
SUMIFS('Customer Scenario Forecast'!K$23:K$1184,'Customer Scenario Forecast'!$C$20:$C$1181,'Incremental Network SummerFcast'!$A35,'Customer Scenario Forecast'!$H$20:$H$1181,'Incremental Network SummerFcast'!$H$1)+
SUMIFS('Customer Scenario Forecast'!K$23:K$1184,'Customer Scenario Forecast'!$D$20:$D$1181,'Incremental Network SummerFcast'!$A35,'Customer Scenario Forecast'!$H$20:$H$1181,'Incremental Network SummerFcast'!$H$1)+
SUMIFS('Customer Scenario Forecast'!K$23:K$1184,'Customer Scenario Forecast'!$E$20:$E$1181,'Incremental Network SummerFcast'!$A35,'Customer Scenario Forecast'!$H$20:$H$1181,'Incremental Network SummerFcast'!$H$1)+K37))</f>
        <v>48.59797069572015</v>
      </c>
      <c r="L39" s="196">
        <f ca="1">IF($H$1="",
1*(
SUMIFS('Customer Scenario Forecast'!L$23:L$1184,'Customer Scenario Forecast'!$C$20:$C$1181,'Incremental Network SummerFcast'!$A35)+
SUMIFS('Customer Scenario Forecast'!L$23:L$1184,'Customer Scenario Forecast'!$D$20:$D$1181,'Incremental Network SummerFcast'!$A35)+
SUMIFS('Customer Scenario Forecast'!L$23:L$1184,'Customer Scenario Forecast'!$E$20:$E$1181,'Incremental Network SummerFcast'!$A35)+L37),
1*(
SUMIFS('Customer Scenario Forecast'!L$23:L$1184,'Customer Scenario Forecast'!$C$20:$C$1181,'Incremental Network SummerFcast'!$A35,'Customer Scenario Forecast'!$H$20:$H$1181,'Incremental Network SummerFcast'!$H$1)+
SUMIFS('Customer Scenario Forecast'!L$23:L$1184,'Customer Scenario Forecast'!$D$20:$D$1181,'Incremental Network SummerFcast'!$A35,'Customer Scenario Forecast'!$H$20:$H$1181,'Incremental Network SummerFcast'!$H$1)+
SUMIFS('Customer Scenario Forecast'!L$23:L$1184,'Customer Scenario Forecast'!$E$20:$E$1181,'Incremental Network SummerFcast'!$A35,'Customer Scenario Forecast'!$H$20:$H$1181,'Incremental Network SummerFcast'!$H$1)+L37))</f>
        <v>59.06236636388509</v>
      </c>
    </row>
    <row r="40" spans="1:12" ht="15" thickBot="1">
      <c r="A40" s="195" t="s">
        <v>108</v>
      </c>
      <c r="B40" s="196">
        <f ca="1">IF($H$1="",
1*(
SUMIFS('Customer Scenario Forecast'!B$24:B$1185,'Customer Scenario Forecast'!$C$20:$C$1181,'Incremental Network SummerFcast'!$A35)+
SUMIFS('Customer Scenario Forecast'!B$24:B$1185,'Customer Scenario Forecast'!$D$20:$D$1181,'Incremental Network SummerFcast'!$A35)+
SUMIFS('Customer Scenario Forecast'!B$24:B$1185,'Customer Scenario Forecast'!$E$20:$E$1181,'Incremental Network SummerFcast'!$A35)+B37),
1*(
SUMIFS('Customer Scenario Forecast'!B$24:B$1185,'Customer Scenario Forecast'!$C$20:$C$1181,'Incremental Network SummerFcast'!$A35,'Customer Scenario Forecast'!$H$20:$H$1181,'Incremental Network SummerFcast'!$H$1)+
SUMIFS('Customer Scenario Forecast'!B$24:B$1185,'Customer Scenario Forecast'!$D$20:$D$1181,'Incremental Network SummerFcast'!$A35,'Customer Scenario Forecast'!$H$20:$H$1181,'Incremental Network SummerFcast'!$H$1)+
SUMIFS('Customer Scenario Forecast'!B$24:B$1185,'Customer Scenario Forecast'!$E$20:$E$1181,'Incremental Network SummerFcast'!$A35,'Customer Scenario Forecast'!$H$20:$H$1181,'Incremental Network SummerFcast'!$H$1)+B37))</f>
        <v>-6</v>
      </c>
      <c r="C40" s="196">
        <f ca="1">IF($H$1="",
1*(
SUMIFS('Customer Scenario Forecast'!C$24:C$1185,'Customer Scenario Forecast'!$C$20:$C$1181,'Incremental Network SummerFcast'!$A35)+
SUMIFS('Customer Scenario Forecast'!C$24:C$1185,'Customer Scenario Forecast'!$D$20:$D$1181,'Incremental Network SummerFcast'!$A35)+
SUMIFS('Customer Scenario Forecast'!C$24:C$1185,'Customer Scenario Forecast'!$E$20:$E$1181,'Incremental Network SummerFcast'!$A35)+C37),
1*(
SUMIFS('Customer Scenario Forecast'!C$24:C$1185,'Customer Scenario Forecast'!$C$20:$C$1181,'Incremental Network SummerFcast'!$A35,'Customer Scenario Forecast'!$H$20:$H$1181,'Incremental Network SummerFcast'!$H$1)+
SUMIFS('Customer Scenario Forecast'!C$24:C$1185,'Customer Scenario Forecast'!$D$20:$D$1181,'Incremental Network SummerFcast'!$A35,'Customer Scenario Forecast'!$H$20:$H$1181,'Incremental Network SummerFcast'!$H$1)+
SUMIFS('Customer Scenario Forecast'!C$24:C$1185,'Customer Scenario Forecast'!$E$20:$E$1181,'Incremental Network SummerFcast'!$A35,'Customer Scenario Forecast'!$H$20:$H$1181,'Incremental Network SummerFcast'!$H$1)+C37))</f>
        <v>0</v>
      </c>
      <c r="D40" s="196">
        <f ca="1">IF($H$1="",
1*(
SUMIFS('Customer Scenario Forecast'!D$24:D$1185,'Customer Scenario Forecast'!$C$20:$C$1181,'Incremental Network SummerFcast'!$A35)+
SUMIFS('Customer Scenario Forecast'!D$24:D$1185,'Customer Scenario Forecast'!$D$20:$D$1181,'Incremental Network SummerFcast'!$A35)+
SUMIFS('Customer Scenario Forecast'!D$24:D$1185,'Customer Scenario Forecast'!$E$20:$E$1181,'Incremental Network SummerFcast'!$A35)+D37),
1*(
SUMIFS('Customer Scenario Forecast'!D$24:D$1185,'Customer Scenario Forecast'!$C$20:$C$1181,'Incremental Network SummerFcast'!$A35,'Customer Scenario Forecast'!$H$20:$H$1181,'Incremental Network SummerFcast'!$H$1)+
SUMIFS('Customer Scenario Forecast'!D$24:D$1185,'Customer Scenario Forecast'!$D$20:$D$1181,'Incremental Network SummerFcast'!$A35,'Customer Scenario Forecast'!$H$20:$H$1181,'Incremental Network SummerFcast'!$H$1)+
SUMIFS('Customer Scenario Forecast'!D$24:D$1185,'Customer Scenario Forecast'!$E$20:$E$1181,'Incremental Network SummerFcast'!$A35,'Customer Scenario Forecast'!$H$20:$H$1181,'Incremental Network SummerFcast'!$H$1)+D37))</f>
        <v>4</v>
      </c>
      <c r="E40" s="196">
        <f ca="1">IF($H$1="",
1*(
SUMIFS('Customer Scenario Forecast'!E$24:E$1185,'Customer Scenario Forecast'!$C$20:$C$1181,'Incremental Network SummerFcast'!$A35)+
SUMIFS('Customer Scenario Forecast'!E$24:E$1185,'Customer Scenario Forecast'!$D$20:$D$1181,'Incremental Network SummerFcast'!$A35)+
SUMIFS('Customer Scenario Forecast'!E$24:E$1185,'Customer Scenario Forecast'!$E$20:$E$1181,'Incremental Network SummerFcast'!$A35)+E37),
1*(
SUMIFS('Customer Scenario Forecast'!E$24:E$1185,'Customer Scenario Forecast'!$C$20:$C$1181,'Incremental Network SummerFcast'!$A35,'Customer Scenario Forecast'!$H$20:$H$1181,'Incremental Network SummerFcast'!$H$1)+
SUMIFS('Customer Scenario Forecast'!E$24:E$1185,'Customer Scenario Forecast'!$D$20:$D$1181,'Incremental Network SummerFcast'!$A35,'Customer Scenario Forecast'!$H$20:$H$1181,'Incremental Network SummerFcast'!$H$1)+
SUMIFS('Customer Scenario Forecast'!E$24:E$1185,'Customer Scenario Forecast'!$E$20:$E$1181,'Incremental Network SummerFcast'!$A35,'Customer Scenario Forecast'!$H$20:$H$1181,'Incremental Network SummerFcast'!$H$1)+E37))</f>
        <v>6.65</v>
      </c>
      <c r="F40" s="196">
        <f ca="1">IF($H$1="",
1*(
SUMIFS('Customer Scenario Forecast'!F$24:F$1185,'Customer Scenario Forecast'!$C$20:$C$1181,'Incremental Network SummerFcast'!$A35)+
SUMIFS('Customer Scenario Forecast'!F$24:F$1185,'Customer Scenario Forecast'!$D$20:$D$1181,'Incremental Network SummerFcast'!$A35)+
SUMIFS('Customer Scenario Forecast'!F$24:F$1185,'Customer Scenario Forecast'!$E$20:$E$1181,'Incremental Network SummerFcast'!$A35)+F37),
1*(
SUMIFS('Customer Scenario Forecast'!F$24:F$1185,'Customer Scenario Forecast'!$C$20:$C$1181,'Incremental Network SummerFcast'!$A35,'Customer Scenario Forecast'!$H$20:$H$1181,'Incremental Network SummerFcast'!$H$1)+
SUMIFS('Customer Scenario Forecast'!F$24:F$1185,'Customer Scenario Forecast'!$D$20:$D$1181,'Incremental Network SummerFcast'!$A35,'Customer Scenario Forecast'!$H$20:$H$1181,'Incremental Network SummerFcast'!$H$1)+
SUMIFS('Customer Scenario Forecast'!F$24:F$1185,'Customer Scenario Forecast'!$E$20:$E$1181,'Incremental Network SummerFcast'!$A35,'Customer Scenario Forecast'!$H$20:$H$1181,'Incremental Network SummerFcast'!$H$1)+F37))</f>
        <v>9.3000000000000007</v>
      </c>
      <c r="G40" s="196">
        <f ca="1">IF($H$1="",
1*(
SUMIFS('Customer Scenario Forecast'!G$24:G$1185,'Customer Scenario Forecast'!$C$20:$C$1181,'Incremental Network SummerFcast'!$A35)+
SUMIFS('Customer Scenario Forecast'!G$24:G$1185,'Customer Scenario Forecast'!$D$20:$D$1181,'Incremental Network SummerFcast'!$A35)+
SUMIFS('Customer Scenario Forecast'!G$24:G$1185,'Customer Scenario Forecast'!$E$20:$E$1181,'Incremental Network SummerFcast'!$A35)+G37),
1*(
SUMIFS('Customer Scenario Forecast'!G$24:G$1185,'Customer Scenario Forecast'!$C$20:$C$1181,'Incremental Network SummerFcast'!$A35,'Customer Scenario Forecast'!$H$20:$H$1181,'Incremental Network SummerFcast'!$H$1)+
SUMIFS('Customer Scenario Forecast'!G$24:G$1185,'Customer Scenario Forecast'!$D$20:$D$1181,'Incremental Network SummerFcast'!$A35,'Customer Scenario Forecast'!$H$20:$H$1181,'Incremental Network SummerFcast'!$H$1)+
SUMIFS('Customer Scenario Forecast'!G$24:G$1185,'Customer Scenario Forecast'!$E$20:$E$1181,'Incremental Network SummerFcast'!$A35,'Customer Scenario Forecast'!$H$20:$H$1181,'Incremental Network SummerFcast'!$H$1)+G37))</f>
        <v>11.950000000000001</v>
      </c>
      <c r="H40" s="196">
        <f ca="1">IF($H$1="",
1*(
SUMIFS('Customer Scenario Forecast'!H$24:H$1185,'Customer Scenario Forecast'!$C$20:$C$1181,'Incremental Network SummerFcast'!$A35)+
SUMIFS('Customer Scenario Forecast'!H$24:H$1185,'Customer Scenario Forecast'!$D$20:$D$1181,'Incremental Network SummerFcast'!$A35)+
SUMIFS('Customer Scenario Forecast'!H$24:H$1185,'Customer Scenario Forecast'!$E$20:$E$1181,'Incremental Network SummerFcast'!$A35)+H37),
1*(
SUMIFS('Customer Scenario Forecast'!H$24:H$1185,'Customer Scenario Forecast'!$C$20:$C$1181,'Incremental Network SummerFcast'!$A35,'Customer Scenario Forecast'!$H$20:$H$1181,'Incremental Network SummerFcast'!$H$1)+
SUMIFS('Customer Scenario Forecast'!H$24:H$1185,'Customer Scenario Forecast'!$D$20:$D$1181,'Incremental Network SummerFcast'!$A35,'Customer Scenario Forecast'!$H$20:$H$1181,'Incremental Network SummerFcast'!$H$1)+
SUMIFS('Customer Scenario Forecast'!H$24:H$1185,'Customer Scenario Forecast'!$E$20:$E$1181,'Incremental Network SummerFcast'!$A35,'Customer Scenario Forecast'!$H$20:$H$1181,'Incremental Network SummerFcast'!$H$1)+H37))</f>
        <v>19.86507094000391</v>
      </c>
      <c r="I40" s="196">
        <f ca="1">IF($H$1="",
1*(
SUMIFS('Customer Scenario Forecast'!I$24:I$1185,'Customer Scenario Forecast'!$C$20:$C$1181,'Incremental Network SummerFcast'!$A35)+
SUMIFS('Customer Scenario Forecast'!I$24:I$1185,'Customer Scenario Forecast'!$D$20:$D$1181,'Incremental Network SummerFcast'!$A35)+
SUMIFS('Customer Scenario Forecast'!I$24:I$1185,'Customer Scenario Forecast'!$E$20:$E$1181,'Incremental Network SummerFcast'!$A35)+I37),
1*(
SUMIFS('Customer Scenario Forecast'!I$24:I$1185,'Customer Scenario Forecast'!$C$20:$C$1181,'Incremental Network SummerFcast'!$A35,'Customer Scenario Forecast'!$H$20:$H$1181,'Incremental Network SummerFcast'!$H$1)+
SUMIFS('Customer Scenario Forecast'!I$24:I$1185,'Customer Scenario Forecast'!$D$20:$D$1181,'Incremental Network SummerFcast'!$A35,'Customer Scenario Forecast'!$H$20:$H$1181,'Incremental Network SummerFcast'!$H$1)+
SUMIFS('Customer Scenario Forecast'!I$24:I$1185,'Customer Scenario Forecast'!$E$20:$E$1181,'Incremental Network SummerFcast'!$A35,'Customer Scenario Forecast'!$H$20:$H$1181,'Incremental Network SummerFcast'!$H$1)+I37))</f>
        <v>24.75199951143248</v>
      </c>
      <c r="J40" s="196">
        <f ca="1">IF($H$1="",
1*(
SUMIFS('Customer Scenario Forecast'!J$24:J$1185,'Customer Scenario Forecast'!$C$20:$C$1181,'Incremental Network SummerFcast'!$A35)+
SUMIFS('Customer Scenario Forecast'!J$24:J$1185,'Customer Scenario Forecast'!$D$20:$D$1181,'Incremental Network SummerFcast'!$A35)+
SUMIFS('Customer Scenario Forecast'!J$24:J$1185,'Customer Scenario Forecast'!$E$20:$E$1181,'Incremental Network SummerFcast'!$A35)+J37),
1*(
SUMIFS('Customer Scenario Forecast'!J$24:J$1185,'Customer Scenario Forecast'!$C$20:$C$1181,'Incremental Network SummerFcast'!$A35,'Customer Scenario Forecast'!$H$20:$H$1181,'Incremental Network SummerFcast'!$H$1)+
SUMIFS('Customer Scenario Forecast'!J$24:J$1185,'Customer Scenario Forecast'!$D$20:$D$1181,'Incremental Network SummerFcast'!$A35,'Customer Scenario Forecast'!$H$20:$H$1181,'Incremental Network SummerFcast'!$H$1)+
SUMIFS('Customer Scenario Forecast'!J$24:J$1185,'Customer Scenario Forecast'!$E$20:$E$1181,'Incremental Network SummerFcast'!$A35,'Customer Scenario Forecast'!$H$20:$H$1181,'Incremental Network SummerFcast'!$H$1)+J37))</f>
        <v>29.063142368575335</v>
      </c>
      <c r="K40" s="196">
        <f ca="1">IF($H$1="",
1*(
SUMIFS('Customer Scenario Forecast'!K$24:K$1185,'Customer Scenario Forecast'!$C$20:$C$1181,'Incremental Network SummerFcast'!$A35)+
SUMIFS('Customer Scenario Forecast'!K$24:K$1185,'Customer Scenario Forecast'!$D$20:$D$1181,'Incremental Network SummerFcast'!$A35)+
SUMIFS('Customer Scenario Forecast'!K$24:K$1185,'Customer Scenario Forecast'!$E$20:$E$1181,'Incremental Network SummerFcast'!$A35)+K37),
1*(
SUMIFS('Customer Scenario Forecast'!K$24:K$1185,'Customer Scenario Forecast'!$C$20:$C$1181,'Incremental Network SummerFcast'!$A35,'Customer Scenario Forecast'!$H$20:$H$1181,'Incremental Network SummerFcast'!$H$1)+
SUMIFS('Customer Scenario Forecast'!K$24:K$1185,'Customer Scenario Forecast'!$D$20:$D$1181,'Incremental Network SummerFcast'!$A35,'Customer Scenario Forecast'!$H$20:$H$1181,'Incremental Network SummerFcast'!$H$1)+
SUMIFS('Customer Scenario Forecast'!K$24:K$1185,'Customer Scenario Forecast'!$E$20:$E$1181,'Incremental Network SummerFcast'!$A35,'Customer Scenario Forecast'!$H$20:$H$1181,'Incremental Network SummerFcast'!$H$1)+K37))</f>
        <v>36.672742368575335</v>
      </c>
      <c r="L40" s="196">
        <f ca="1">IF($H$1="",
1*(
SUMIFS('Customer Scenario Forecast'!L$24:L$1185,'Customer Scenario Forecast'!$C$20:$C$1181,'Incremental Network SummerFcast'!$A35)+
SUMIFS('Customer Scenario Forecast'!L$24:L$1185,'Customer Scenario Forecast'!$D$20:$D$1181,'Incremental Network SummerFcast'!$A35)+
SUMIFS('Customer Scenario Forecast'!L$24:L$1185,'Customer Scenario Forecast'!$E$20:$E$1181,'Incremental Network SummerFcast'!$A35)+L37),
1*(
SUMIFS('Customer Scenario Forecast'!L$24:L$1185,'Customer Scenario Forecast'!$C$20:$C$1181,'Incremental Network SummerFcast'!$A35,'Customer Scenario Forecast'!$H$20:$H$1181,'Incremental Network SummerFcast'!$H$1)+
SUMIFS('Customer Scenario Forecast'!L$24:L$1185,'Customer Scenario Forecast'!$D$20:$D$1181,'Incremental Network SummerFcast'!$A35,'Customer Scenario Forecast'!$H$20:$H$1181,'Incremental Network SummerFcast'!$H$1)+
SUMIFS('Customer Scenario Forecast'!L$24:L$1185,'Customer Scenario Forecast'!$E$20:$E$1181,'Incremental Network SummerFcast'!$A35,'Customer Scenario Forecast'!$H$20:$H$1181,'Incremental Network SummerFcast'!$H$1)+L37))</f>
        <v>42.565313797146757</v>
      </c>
    </row>
    <row r="41" spans="1:12" ht="15" thickBot="1">
      <c r="A41" s="197" t="s">
        <v>109</v>
      </c>
      <c r="B41" s="198">
        <f ca="1">IF($H$1="",
1*(
SUMIFS('Customer Scenario Forecast'!B$25:B$1186,'Customer Scenario Forecast'!$C$20:$C$1181,'Incremental Network SummerFcast'!$A35)+
SUMIFS('Customer Scenario Forecast'!B$25:B$1186,'Customer Scenario Forecast'!$D$20:$D$1181,'Incremental Network SummerFcast'!$A35)+
SUMIFS('Customer Scenario Forecast'!B$25:B$1186,'Customer Scenario Forecast'!$E$20:$E$1181,'Incremental Network SummerFcast'!$A35)+B37),
1*(
SUMIFS('Customer Scenario Forecast'!B$25:B$1186,'Customer Scenario Forecast'!$C$20:$C$1181,'Incremental Network SummerFcast'!$A35,'Customer Scenario Forecast'!$H$20:$H$1181,'Incremental Network SummerFcast'!$H$1)+
SUMIFS('Customer Scenario Forecast'!B$25:B$1186,'Customer Scenario Forecast'!$D$20:$D$1181,'Incremental Network SummerFcast'!$A35,'Customer Scenario Forecast'!$H$20:$H$1181,'Incremental Network SummerFcast'!$H$1)+
SUMIFS('Customer Scenario Forecast'!B$25:B$1186,'Customer Scenario Forecast'!$E$20:$E$1181,'Incremental Network SummerFcast'!$A35,'Customer Scenario Forecast'!$H$20:$H$1181,'Incremental Network SummerFcast'!$H$1)+B37))</f>
        <v>-6</v>
      </c>
      <c r="C41" s="198">
        <f ca="1">IF($H$1="",
1*(
SUMIFS('Customer Scenario Forecast'!C$25:C$1186,'Customer Scenario Forecast'!$C$20:$C$1181,'Incremental Network SummerFcast'!$A35)+
SUMIFS('Customer Scenario Forecast'!C$25:C$1186,'Customer Scenario Forecast'!$D$20:$D$1181,'Incremental Network SummerFcast'!$A35)+
SUMIFS('Customer Scenario Forecast'!C$25:C$1186,'Customer Scenario Forecast'!$E$20:$E$1181,'Incremental Network SummerFcast'!$A35)+C37),
1*(
SUMIFS('Customer Scenario Forecast'!C$25:C$1186,'Customer Scenario Forecast'!$C$20:$C$1181,'Incremental Network SummerFcast'!$A35,'Customer Scenario Forecast'!$H$20:$H$1181,'Incremental Network SummerFcast'!$H$1)+
SUMIFS('Customer Scenario Forecast'!C$25:C$1186,'Customer Scenario Forecast'!$D$20:$D$1181,'Incremental Network SummerFcast'!$A35,'Customer Scenario Forecast'!$H$20:$H$1181,'Incremental Network SummerFcast'!$H$1)+
SUMIFS('Customer Scenario Forecast'!C$25:C$1186,'Customer Scenario Forecast'!$E$20:$E$1181,'Incremental Network SummerFcast'!$A35,'Customer Scenario Forecast'!$H$20:$H$1181,'Incremental Network SummerFcast'!$H$1)+C37))</f>
        <v>0</v>
      </c>
      <c r="D41" s="198">
        <f ca="1">IF($H$1="",
1*(
SUMIFS('Customer Scenario Forecast'!D$25:D$1186,'Customer Scenario Forecast'!$C$20:$C$1181,'Incremental Network SummerFcast'!$A35)+
SUMIFS('Customer Scenario Forecast'!D$25:D$1186,'Customer Scenario Forecast'!$D$20:$D$1181,'Incremental Network SummerFcast'!$A35)+
SUMIFS('Customer Scenario Forecast'!D$25:D$1186,'Customer Scenario Forecast'!$E$20:$E$1181,'Incremental Network SummerFcast'!$A35)+D37),
1*(
SUMIFS('Customer Scenario Forecast'!D$25:D$1186,'Customer Scenario Forecast'!$C$20:$C$1181,'Incremental Network SummerFcast'!$A35,'Customer Scenario Forecast'!$H$20:$H$1181,'Incremental Network SummerFcast'!$H$1)+
SUMIFS('Customer Scenario Forecast'!D$25:D$1186,'Customer Scenario Forecast'!$D$20:$D$1181,'Incremental Network SummerFcast'!$A35,'Customer Scenario Forecast'!$H$20:$H$1181,'Incremental Network SummerFcast'!$H$1)+
SUMIFS('Customer Scenario Forecast'!D$25:D$1186,'Customer Scenario Forecast'!$E$20:$E$1181,'Incremental Network SummerFcast'!$A35,'Customer Scenario Forecast'!$H$20:$H$1181,'Incremental Network SummerFcast'!$H$1)+D37))</f>
        <v>4</v>
      </c>
      <c r="E41" s="198">
        <f ca="1">IF($H$1="",
1*(
SUMIFS('Customer Scenario Forecast'!E$25:E$1186,'Customer Scenario Forecast'!$C$20:$C$1181,'Incremental Network SummerFcast'!$A35)+
SUMIFS('Customer Scenario Forecast'!E$25:E$1186,'Customer Scenario Forecast'!$D$20:$D$1181,'Incremental Network SummerFcast'!$A35)+
SUMIFS('Customer Scenario Forecast'!E$25:E$1186,'Customer Scenario Forecast'!$E$20:$E$1181,'Incremental Network SummerFcast'!$A35)+E37),
1*(
SUMIFS('Customer Scenario Forecast'!E$25:E$1186,'Customer Scenario Forecast'!$C$20:$C$1181,'Incremental Network SummerFcast'!$A35,'Customer Scenario Forecast'!$H$20:$H$1181,'Incremental Network SummerFcast'!$H$1)+
SUMIFS('Customer Scenario Forecast'!E$25:E$1186,'Customer Scenario Forecast'!$D$20:$D$1181,'Incremental Network SummerFcast'!$A35,'Customer Scenario Forecast'!$H$20:$H$1181,'Incremental Network SummerFcast'!$H$1)+
SUMIFS('Customer Scenario Forecast'!E$25:E$1186,'Customer Scenario Forecast'!$E$20:$E$1181,'Incremental Network SummerFcast'!$A35,'Customer Scenario Forecast'!$H$20:$H$1181,'Incremental Network SummerFcast'!$H$1)+E37))</f>
        <v>6.65</v>
      </c>
      <c r="F41" s="198">
        <f ca="1">IF($H$1="",
1*(
SUMIFS('Customer Scenario Forecast'!F$25:F$1186,'Customer Scenario Forecast'!$C$20:$C$1181,'Incremental Network SummerFcast'!$A35)+
SUMIFS('Customer Scenario Forecast'!F$25:F$1186,'Customer Scenario Forecast'!$D$20:$D$1181,'Incremental Network SummerFcast'!$A35)+
SUMIFS('Customer Scenario Forecast'!F$25:F$1186,'Customer Scenario Forecast'!$E$20:$E$1181,'Incremental Network SummerFcast'!$A35)+F37),
1*(
SUMIFS('Customer Scenario Forecast'!F$25:F$1186,'Customer Scenario Forecast'!$C$20:$C$1181,'Incremental Network SummerFcast'!$A35,'Customer Scenario Forecast'!$H$20:$H$1181,'Incremental Network SummerFcast'!$H$1)+
SUMIFS('Customer Scenario Forecast'!F$25:F$1186,'Customer Scenario Forecast'!$D$20:$D$1181,'Incremental Network SummerFcast'!$A35,'Customer Scenario Forecast'!$H$20:$H$1181,'Incremental Network SummerFcast'!$H$1)+
SUMIFS('Customer Scenario Forecast'!F$25:F$1186,'Customer Scenario Forecast'!$E$20:$E$1181,'Incremental Network SummerFcast'!$A35,'Customer Scenario Forecast'!$H$20:$H$1181,'Incremental Network SummerFcast'!$H$1)+F37))</f>
        <v>18.075118233339847</v>
      </c>
      <c r="G41" s="198">
        <f ca="1">IF($H$1="",
1*(
SUMIFS('Customer Scenario Forecast'!G$25:G$1186,'Customer Scenario Forecast'!$C$20:$C$1181,'Incremental Network SummerFcast'!$A35)+
SUMIFS('Customer Scenario Forecast'!G$25:G$1186,'Customer Scenario Forecast'!$D$20:$D$1181,'Incremental Network SummerFcast'!$A35)+
SUMIFS('Customer Scenario Forecast'!G$25:G$1186,'Customer Scenario Forecast'!$E$20:$E$1181,'Incremental Network SummerFcast'!$A35)+G37),
1*(
SUMIFS('Customer Scenario Forecast'!G$25:G$1186,'Customer Scenario Forecast'!$C$20:$C$1181,'Incremental Network SummerFcast'!$A35,'Customer Scenario Forecast'!$H$20:$H$1181,'Incremental Network SummerFcast'!$H$1)+
SUMIFS('Customer Scenario Forecast'!G$25:G$1186,'Customer Scenario Forecast'!$D$20:$D$1181,'Incremental Network SummerFcast'!$A35,'Customer Scenario Forecast'!$H$20:$H$1181,'Incremental Network SummerFcast'!$H$1)+
SUMIFS('Customer Scenario Forecast'!G$25:G$1186,'Customer Scenario Forecast'!$E$20:$E$1181,'Incremental Network SummerFcast'!$A35,'Customer Scenario Forecast'!$H$20:$H$1181,'Incremental Network SummerFcast'!$H$1)+G37))</f>
        <v>24.453332519054136</v>
      </c>
      <c r="H41" s="198">
        <f ca="1">IF($H$1="",
1*(
SUMIFS('Customer Scenario Forecast'!H$25:H$1186,'Customer Scenario Forecast'!$C$20:$C$1181,'Incremental Network SummerFcast'!$A35)+
SUMIFS('Customer Scenario Forecast'!H$25:H$1186,'Customer Scenario Forecast'!$D$20:$D$1181,'Incremental Network SummerFcast'!$A35)+
SUMIFS('Customer Scenario Forecast'!H$25:H$1186,'Customer Scenario Forecast'!$E$20:$E$1181,'Incremental Network SummerFcast'!$A35)+H37),
1*(
SUMIFS('Customer Scenario Forecast'!H$25:H$1186,'Customer Scenario Forecast'!$C$20:$C$1181,'Incremental Network SummerFcast'!$A35,'Customer Scenario Forecast'!$H$20:$H$1181,'Incremental Network SummerFcast'!$H$1)+
SUMIFS('Customer Scenario Forecast'!H$25:H$1186,'Customer Scenario Forecast'!$D$20:$D$1181,'Incremental Network SummerFcast'!$A35,'Customer Scenario Forecast'!$H$20:$H$1181,'Incremental Network SummerFcast'!$H$1)+
SUMIFS('Customer Scenario Forecast'!H$25:H$1186,'Customer Scenario Forecast'!$E$20:$E$1181,'Incremental Network SummerFcast'!$A35,'Customer Scenario Forecast'!$H$20:$H$1181,'Incremental Network SummerFcast'!$H$1)+H37))</f>
        <v>29.871903947625565</v>
      </c>
      <c r="I41" s="198">
        <f ca="1">IF($H$1="",
1*(
SUMIFS('Customer Scenario Forecast'!I$25:I$1186,'Customer Scenario Forecast'!$C$20:$C$1181,'Incremental Network SummerFcast'!$A35)+
SUMIFS('Customer Scenario Forecast'!I$25:I$1186,'Customer Scenario Forecast'!$D$20:$D$1181,'Incremental Network SummerFcast'!$A35)+
SUMIFS('Customer Scenario Forecast'!I$25:I$1186,'Customer Scenario Forecast'!$E$20:$E$1181,'Incremental Network SummerFcast'!$A35)+I37),
1*(
SUMIFS('Customer Scenario Forecast'!I$25:I$1186,'Customer Scenario Forecast'!$C$20:$C$1181,'Incremental Network SummerFcast'!$A35,'Customer Scenario Forecast'!$H$20:$H$1181,'Incremental Network SummerFcast'!$H$1)+
SUMIFS('Customer Scenario Forecast'!I$25:I$1186,'Customer Scenario Forecast'!$D$20:$D$1181,'Incremental Network SummerFcast'!$A35,'Customer Scenario Forecast'!$H$20:$H$1181,'Incremental Network SummerFcast'!$H$1)+
SUMIFS('Customer Scenario Forecast'!I$25:I$1186,'Customer Scenario Forecast'!$E$20:$E$1181,'Incremental Network SummerFcast'!$A35,'Customer Scenario Forecast'!$H$20:$H$1181,'Incremental Network SummerFcast'!$H$1)+I37))</f>
        <v>40.787903947625566</v>
      </c>
      <c r="J41" s="198">
        <f ca="1">IF($H$1="",
1*(
SUMIFS('Customer Scenario Forecast'!J$25:J$1186,'Customer Scenario Forecast'!$C$20:$C$1181,'Incremental Network SummerFcast'!$A35)+
SUMIFS('Customer Scenario Forecast'!J$25:J$1186,'Customer Scenario Forecast'!$D$20:$D$1181,'Incremental Network SummerFcast'!$A35)+
SUMIFS('Customer Scenario Forecast'!J$25:J$1186,'Customer Scenario Forecast'!$E$20:$E$1181,'Incremental Network SummerFcast'!$A35)+J37),
1*(
SUMIFS('Customer Scenario Forecast'!J$25:J$1186,'Customer Scenario Forecast'!$C$20:$C$1181,'Incremental Network SummerFcast'!$A35,'Customer Scenario Forecast'!$H$20:$H$1181,'Incremental Network SummerFcast'!$H$1)+
SUMIFS('Customer Scenario Forecast'!J$25:J$1186,'Customer Scenario Forecast'!$D$20:$D$1181,'Incremental Network SummerFcast'!$A35,'Customer Scenario Forecast'!$H$20:$H$1181,'Incremental Network SummerFcast'!$H$1)+
SUMIFS('Customer Scenario Forecast'!J$25:J$1186,'Customer Scenario Forecast'!$E$20:$E$1181,'Incremental Network SummerFcast'!$A35,'Customer Scenario Forecast'!$H$20:$H$1181,'Incremental Network SummerFcast'!$H$1)+J37))</f>
        <v>49.937324417432087</v>
      </c>
      <c r="K41" s="198">
        <f ca="1">IF($H$1="",
1*(
SUMIFS('Customer Scenario Forecast'!K$25:K$1186,'Customer Scenario Forecast'!$C$20:$C$1181,'Incremental Network SummerFcast'!$A35)+
SUMIFS('Customer Scenario Forecast'!K$25:K$1186,'Customer Scenario Forecast'!$D$20:$D$1181,'Incremental Network SummerFcast'!$A35)+
SUMIFS('Customer Scenario Forecast'!K$25:K$1186,'Customer Scenario Forecast'!$E$20:$E$1181,'Incremental Network SummerFcast'!$A35)+K37),
1*(
SUMIFS('Customer Scenario Forecast'!K$25:K$1186,'Customer Scenario Forecast'!$C$20:$C$1181,'Incremental Network SummerFcast'!$A35,'Customer Scenario Forecast'!$H$20:$H$1181,'Incremental Network SummerFcast'!$H$1)+
SUMIFS('Customer Scenario Forecast'!K$25:K$1186,'Customer Scenario Forecast'!$D$20:$D$1181,'Incremental Network SummerFcast'!$A35,'Customer Scenario Forecast'!$H$20:$H$1181,'Incremental Network SummerFcast'!$H$1)+
SUMIFS('Customer Scenario Forecast'!K$25:K$1186,'Customer Scenario Forecast'!$E$20:$E$1181,'Incremental Network SummerFcast'!$A35,'Customer Scenario Forecast'!$H$20:$H$1181,'Incremental Network SummerFcast'!$H$1)+K37))</f>
        <v>65.213781854993158</v>
      </c>
      <c r="L41" s="198">
        <f ca="1">IF($H$1="",
1*(
SUMIFS('Customer Scenario Forecast'!L$25:L$1186,'Customer Scenario Forecast'!$C$20:$C$1181,'Incremental Network SummerFcast'!$A35)+
SUMIFS('Customer Scenario Forecast'!L$25:L$1186,'Customer Scenario Forecast'!$D$20:$D$1181,'Incremental Network SummerFcast'!$A35)+
SUMIFS('Customer Scenario Forecast'!L$25:L$1186,'Customer Scenario Forecast'!$E$20:$E$1181,'Incremental Network SummerFcast'!$A35)+L37),
1*(
SUMIFS('Customer Scenario Forecast'!L$25:L$1186,'Customer Scenario Forecast'!$C$20:$C$1181,'Incremental Network SummerFcast'!$A35,'Customer Scenario Forecast'!$H$20:$H$1181,'Incremental Network SummerFcast'!$H$1)+
SUMIFS('Customer Scenario Forecast'!L$25:L$1186,'Customer Scenario Forecast'!$D$20:$D$1181,'Incremental Network SummerFcast'!$A35,'Customer Scenario Forecast'!$H$20:$H$1181,'Incremental Network SummerFcast'!$H$1)+
SUMIFS('Customer Scenario Forecast'!L$25:L$1186,'Customer Scenario Forecast'!$E$20:$E$1181,'Incremental Network SummerFcast'!$A35,'Customer Scenario Forecast'!$H$20:$H$1181,'Incremental Network SummerFcast'!$H$1)+L37))</f>
        <v>69.262579440297046</v>
      </c>
    </row>
    <row r="42" spans="1:12" ht="15.6" thickTop="1" thickBot="1">
      <c r="A42" s="197" t="s">
        <v>148</v>
      </c>
      <c r="B42" s="198">
        <f ca="1">'Incremental Network SummerFcast'!$B$245*B39+'Incremental Network SummerFcast'!$B$246*B40+'Incremental Network SummerFcast'!$B$247*B41</f>
        <v>-6</v>
      </c>
      <c r="C42" s="198">
        <f ca="1">'Incremental Network SummerFcast'!$B$245*C39+'Incremental Network SummerFcast'!$B$246*C40+'Incremental Network SummerFcast'!$B$247*C41</f>
        <v>0</v>
      </c>
      <c r="D42" s="198">
        <f ca="1">'Incremental Network SummerFcast'!$B$245*D39+'Incremental Network SummerFcast'!$B$246*D40+'Incremental Network SummerFcast'!$B$247*D41</f>
        <v>4</v>
      </c>
      <c r="E42" s="198">
        <f ca="1">'Incremental Network SummerFcast'!$B$245*E39+'Incremental Network SummerFcast'!$B$246*E40+'Incremental Network SummerFcast'!$B$247*E41</f>
        <v>6.65</v>
      </c>
      <c r="F42" s="198">
        <f ca="1">'Incremental Network SummerFcast'!$B$245*F39+'Incremental Network SummerFcast'!$B$246*F40+'Incremental Network SummerFcast'!$B$247*F41</f>
        <v>11.493779558334962</v>
      </c>
      <c r="G42" s="198">
        <f ca="1">'Incremental Network SummerFcast'!$B$245*G39+'Incremental Network SummerFcast'!$B$246*G40+'Incremental Network SummerFcast'!$B$247*G41</f>
        <v>19.024636334766466</v>
      </c>
      <c r="H42" s="198">
        <f ca="1">'Incremental Network SummerFcast'!$B$245*H39+'Incremental Network SummerFcast'!$B$246*H40+'Incremental Network SummerFcast'!$B$247*H41</f>
        <v>25.360743355481731</v>
      </c>
      <c r="I42" s="198">
        <f ca="1">'Incremental Network SummerFcast'!$B$245*I39+'Incremental Network SummerFcast'!$B$246*I40+'Incremental Network SummerFcast'!$B$247*I41</f>
        <v>31.882332641196015</v>
      </c>
      <c r="J42" s="198">
        <f ca="1">'Incremental Network SummerFcast'!$B$245*J39+'Incremental Network SummerFcast'!$B$246*J40+'Incremental Network SummerFcast'!$B$247*J41</f>
        <v>40.292173472933356</v>
      </c>
      <c r="K42" s="198">
        <f ca="1">'Incremental Network SummerFcast'!$B$245*K39+'Incremental Network SummerFcast'!$B$246*K40+'Incremental Network SummerFcast'!$B$247*K41</f>
        <v>49.7706164037522</v>
      </c>
      <c r="L42" s="198">
        <f ca="1">'Incremental Network SummerFcast'!$B$245*L39+'Incremental Network SummerFcast'!$B$246*L40+'Incremental Network SummerFcast'!$B$247*L41</f>
        <v>57.488156491303499</v>
      </c>
    </row>
    <row r="43" spans="1:12" ht="15.6" thickTop="1" thickBot="1">
      <c r="A43" s="188" t="s">
        <v>122</v>
      </c>
      <c r="B43" s="216"/>
      <c r="C43" s="190"/>
      <c r="D43" s="190"/>
      <c r="E43" s="190"/>
      <c r="F43" s="190"/>
      <c r="G43" s="190"/>
      <c r="H43" s="190"/>
      <c r="I43" s="190"/>
      <c r="J43" s="190"/>
      <c r="K43" s="190"/>
      <c r="L43" s="190"/>
    </row>
    <row r="44" spans="1:12" ht="15" thickBot="1">
      <c r="A44" s="191" t="str">
        <f>A36</f>
        <v>Uptake Scenario</v>
      </c>
      <c r="B44" s="191">
        <f t="shared" ref="B44:L44" si="5">B36</f>
        <v>2023</v>
      </c>
      <c r="C44" s="191">
        <f t="shared" si="5"/>
        <v>2024</v>
      </c>
      <c r="D44" s="191">
        <f t="shared" si="5"/>
        <v>2025</v>
      </c>
      <c r="E44" s="191">
        <f t="shared" si="5"/>
        <v>2026</v>
      </c>
      <c r="F44" s="191">
        <f t="shared" si="5"/>
        <v>2027</v>
      </c>
      <c r="G44" s="191">
        <f t="shared" si="5"/>
        <v>2028</v>
      </c>
      <c r="H44" s="191">
        <f t="shared" si="5"/>
        <v>2029</v>
      </c>
      <c r="I44" s="191">
        <f t="shared" si="5"/>
        <v>2030</v>
      </c>
      <c r="J44" s="191">
        <f t="shared" si="5"/>
        <v>2031</v>
      </c>
      <c r="K44" s="191">
        <f t="shared" si="5"/>
        <v>2032</v>
      </c>
      <c r="L44" s="191">
        <f t="shared" si="5"/>
        <v>2033</v>
      </c>
    </row>
    <row r="45" spans="1:12" ht="15.6" thickTop="1" thickBot="1">
      <c r="A45" s="193"/>
      <c r="B45" s="206"/>
      <c r="C45" s="206"/>
      <c r="D45" s="206"/>
      <c r="E45" s="206"/>
      <c r="F45" s="206"/>
      <c r="G45" s="206"/>
      <c r="H45" s="206"/>
      <c r="I45" s="206"/>
      <c r="J45" s="206"/>
      <c r="K45" s="215"/>
      <c r="L45" s="215"/>
    </row>
    <row r="46" spans="1:12" ht="15" thickBot="1">
      <c r="A46" s="193" t="s">
        <v>111</v>
      </c>
      <c r="B46" s="194">
        <f ca="1">IF($H$1="",
SUMIFS('Customer Scenario Forecast'!B$22:B$1183,'Customer Scenario Forecast'!$C$20:$C$1181,'Incremental Network SummerFcast'!$A43)+
SUMIFS('Customer Scenario Forecast'!B$22:B$1183,'Customer Scenario Forecast'!$D$20:$D$1181,'Incremental Network SummerFcast'!$A43)+
SUMIFS('Customer Scenario Forecast'!B$22:B$1183,'Customer Scenario Forecast'!$E$20:$E$1181,'Incremental Network SummerFcast'!$A43),
SUMIFS('Customer Scenario Forecast'!B$22:B$1183,'Customer Scenario Forecast'!$C$20:$C$1181,'Incremental Network SummerFcast'!$A43,'Customer Scenario Forecast'!$H$20:$H$1181,'Incremental Network SummerFcast'!$H$1)+
SUMIFS('Customer Scenario Forecast'!B$22:B$1183,'Customer Scenario Forecast'!$D$20:$D$1181,'Incremental Network SummerFcast'!$A43,'Customer Scenario Forecast'!$H$20:$H$1181,'Incremental Network SummerFcast'!$H$1)+
SUMIFS('Customer Scenario Forecast'!B$22:B$1183,'Customer Scenario Forecast'!$E$20:$E$1181,'Incremental Network SummerFcast'!$A43,'Customer Scenario Forecast'!$H$20:$H$1181,'Incremental Network SummerFcast'!$H$1))</f>
        <v>-25</v>
      </c>
      <c r="C46" s="194">
        <f ca="1">IF($H$1="",
SUMIFS('Customer Scenario Forecast'!C$22:C$1183,'Customer Scenario Forecast'!$C$20:$C$1181,'Incremental Network SummerFcast'!$A43)+
SUMIFS('Customer Scenario Forecast'!C$22:C$1183,'Customer Scenario Forecast'!$D$20:$D$1181,'Incremental Network SummerFcast'!$A43)+
SUMIFS('Customer Scenario Forecast'!C$22:C$1183,'Customer Scenario Forecast'!$E$20:$E$1181,'Incremental Network SummerFcast'!$A43),
SUMIFS('Customer Scenario Forecast'!C$22:C$1183,'Customer Scenario Forecast'!$C$20:$C$1181,'Incremental Network SummerFcast'!$A43,'Customer Scenario Forecast'!$H$20:$H$1181,'Incremental Network SummerFcast'!$H$1)+
SUMIFS('Customer Scenario Forecast'!C$22:C$1183,'Customer Scenario Forecast'!$D$20:$D$1181,'Incremental Network SummerFcast'!$A43,'Customer Scenario Forecast'!$H$20:$H$1181,'Incremental Network SummerFcast'!$H$1)+
SUMIFS('Customer Scenario Forecast'!C$22:C$1183,'Customer Scenario Forecast'!$E$20:$E$1181,'Incremental Network SummerFcast'!$A43,'Customer Scenario Forecast'!$H$20:$H$1181,'Incremental Network SummerFcast'!$H$1))</f>
        <v>0</v>
      </c>
      <c r="D46" s="194">
        <f ca="1">IF($H$1="",
SUMIFS('Customer Scenario Forecast'!D$22:D$1183,'Customer Scenario Forecast'!$C$20:$C$1181,'Incremental Network SummerFcast'!$A43)+
SUMIFS('Customer Scenario Forecast'!D$22:D$1183,'Customer Scenario Forecast'!$D$20:$D$1181,'Incremental Network SummerFcast'!$A43)+
SUMIFS('Customer Scenario Forecast'!D$22:D$1183,'Customer Scenario Forecast'!$E$20:$E$1181,'Incremental Network SummerFcast'!$A43),
SUMIFS('Customer Scenario Forecast'!D$22:D$1183,'Customer Scenario Forecast'!$C$20:$C$1181,'Incremental Network SummerFcast'!$A43,'Customer Scenario Forecast'!$H$20:$H$1181,'Incremental Network SummerFcast'!$H$1)+
SUMIFS('Customer Scenario Forecast'!D$22:D$1183,'Customer Scenario Forecast'!$D$20:$D$1181,'Incremental Network SummerFcast'!$A43,'Customer Scenario Forecast'!$H$20:$H$1181,'Incremental Network SummerFcast'!$H$1)+
SUMIFS('Customer Scenario Forecast'!D$22:D$1183,'Customer Scenario Forecast'!$E$20:$E$1181,'Incremental Network SummerFcast'!$A43,'Customer Scenario Forecast'!$H$20:$H$1181,'Incremental Network SummerFcast'!$H$1))</f>
        <v>9.3601261155625028</v>
      </c>
      <c r="E46" s="194">
        <f ca="1">IF($H$1="",
SUMIFS('Customer Scenario Forecast'!E$22:E$1183,'Customer Scenario Forecast'!$C$20:$C$1181,'Incremental Network SummerFcast'!$A43)+
SUMIFS('Customer Scenario Forecast'!E$22:E$1183,'Customer Scenario Forecast'!$D$20:$D$1181,'Incremental Network SummerFcast'!$A43)+
SUMIFS('Customer Scenario Forecast'!E$22:E$1183,'Customer Scenario Forecast'!$E$20:$E$1181,'Incremental Network SummerFcast'!$A43),
SUMIFS('Customer Scenario Forecast'!E$22:E$1183,'Customer Scenario Forecast'!$C$20:$C$1181,'Incremental Network SummerFcast'!$A43,'Customer Scenario Forecast'!$H$20:$H$1181,'Incremental Network SummerFcast'!$H$1)+
SUMIFS('Customer Scenario Forecast'!E$22:E$1183,'Customer Scenario Forecast'!$D$20:$D$1181,'Incremental Network SummerFcast'!$A43,'Customer Scenario Forecast'!$H$20:$H$1181,'Incremental Network SummerFcast'!$H$1)+
SUMIFS('Customer Scenario Forecast'!E$22:E$1183,'Customer Scenario Forecast'!$E$20:$E$1181,'Incremental Network SummerFcast'!$A43,'Customer Scenario Forecast'!$H$20:$H$1181,'Incremental Network SummerFcast'!$H$1))</f>
        <v>44.976888020324409</v>
      </c>
      <c r="F46" s="194">
        <f ca="1">IF($H$1="",
SUMIFS('Customer Scenario Forecast'!F$22:F$1183,'Customer Scenario Forecast'!$C$20:$C$1181,'Incremental Network SummerFcast'!$A43)+
SUMIFS('Customer Scenario Forecast'!F$22:F$1183,'Customer Scenario Forecast'!$D$20:$D$1181,'Incremental Network SummerFcast'!$A43)+
SUMIFS('Customer Scenario Forecast'!F$22:F$1183,'Customer Scenario Forecast'!$E$20:$E$1181,'Incremental Network SummerFcast'!$A43),
SUMIFS('Customer Scenario Forecast'!F$22:F$1183,'Customer Scenario Forecast'!$C$20:$C$1181,'Incremental Network SummerFcast'!$A43,'Customer Scenario Forecast'!$H$20:$H$1181,'Incremental Network SummerFcast'!$H$1)+
SUMIFS('Customer Scenario Forecast'!F$22:F$1183,'Customer Scenario Forecast'!$D$20:$D$1181,'Incremental Network SummerFcast'!$A43,'Customer Scenario Forecast'!$H$20:$H$1181,'Incremental Network SummerFcast'!$H$1)+
SUMIFS('Customer Scenario Forecast'!F$22:F$1183,'Customer Scenario Forecast'!$E$20:$E$1181,'Incremental Network SummerFcast'!$A43,'Customer Scenario Forecast'!$H$20:$H$1181,'Incremental Network SummerFcast'!$H$1))</f>
        <v>65.56003087746727</v>
      </c>
      <c r="G46" s="194">
        <f ca="1">IF($H$1="",
SUMIFS('Customer Scenario Forecast'!G$22:G$1183,'Customer Scenario Forecast'!$C$20:$C$1181,'Incremental Network SummerFcast'!$A43)+
SUMIFS('Customer Scenario Forecast'!G$22:G$1183,'Customer Scenario Forecast'!$D$20:$D$1181,'Incremental Network SummerFcast'!$A43)+
SUMIFS('Customer Scenario Forecast'!G$22:G$1183,'Customer Scenario Forecast'!$E$20:$E$1181,'Incremental Network SummerFcast'!$A43),
SUMIFS('Customer Scenario Forecast'!G$22:G$1183,'Customer Scenario Forecast'!$C$20:$C$1181,'Incremental Network SummerFcast'!$A43,'Customer Scenario Forecast'!$H$20:$H$1181,'Incremental Network SummerFcast'!$H$1)+
SUMIFS('Customer Scenario Forecast'!G$22:G$1183,'Customer Scenario Forecast'!$D$20:$D$1181,'Incremental Network SummerFcast'!$A43,'Customer Scenario Forecast'!$H$20:$H$1181,'Incremental Network SummerFcast'!$H$1)+
SUMIFS('Customer Scenario Forecast'!G$22:G$1183,'Customer Scenario Forecast'!$E$20:$E$1181,'Incremental Network SummerFcast'!$A43,'Customer Scenario Forecast'!$H$20:$H$1181,'Incremental Network SummerFcast'!$H$1))</f>
        <v>92.317097544133929</v>
      </c>
      <c r="H46" s="194">
        <f ca="1">IF($H$1="",
SUMIFS('Customer Scenario Forecast'!H$22:H$1183,'Customer Scenario Forecast'!$C$20:$C$1181,'Incremental Network SummerFcast'!$A43)+
SUMIFS('Customer Scenario Forecast'!H$22:H$1183,'Customer Scenario Forecast'!$D$20:$D$1181,'Incremental Network SummerFcast'!$A43)+
SUMIFS('Customer Scenario Forecast'!H$22:H$1183,'Customer Scenario Forecast'!$E$20:$E$1181,'Incremental Network SummerFcast'!$A43),
SUMIFS('Customer Scenario Forecast'!H$22:H$1183,'Customer Scenario Forecast'!$C$20:$C$1181,'Incremental Network SummerFcast'!$A43,'Customer Scenario Forecast'!$H$20:$H$1181,'Incremental Network SummerFcast'!$H$1)+
SUMIFS('Customer Scenario Forecast'!H$22:H$1183,'Customer Scenario Forecast'!$D$20:$D$1181,'Incremental Network SummerFcast'!$A43,'Customer Scenario Forecast'!$H$20:$H$1181,'Incremental Network SummerFcast'!$H$1)+
SUMIFS('Customer Scenario Forecast'!H$22:H$1183,'Customer Scenario Forecast'!$E$20:$E$1181,'Incremental Network SummerFcast'!$A43,'Customer Scenario Forecast'!$H$20:$H$1181,'Incremental Network SummerFcast'!$H$1))</f>
        <v>152.48166897270534</v>
      </c>
      <c r="I46" s="194">
        <f ca="1">IF($H$1="",
SUMIFS('Customer Scenario Forecast'!I$22:I$1183,'Customer Scenario Forecast'!$C$20:$C$1181,'Incremental Network SummerFcast'!$A43)+
SUMIFS('Customer Scenario Forecast'!I$22:I$1183,'Customer Scenario Forecast'!$D$20:$D$1181,'Incremental Network SummerFcast'!$A43)+
SUMIFS('Customer Scenario Forecast'!I$22:I$1183,'Customer Scenario Forecast'!$E$20:$E$1181,'Incremental Network SummerFcast'!$A43),
SUMIFS('Customer Scenario Forecast'!I$22:I$1183,'Customer Scenario Forecast'!$C$20:$C$1181,'Incremental Network SummerFcast'!$A43,'Customer Scenario Forecast'!$H$20:$H$1181,'Incremental Network SummerFcast'!$H$1)+
SUMIFS('Customer Scenario Forecast'!I$22:I$1183,'Customer Scenario Forecast'!$D$20:$D$1181,'Incremental Network SummerFcast'!$A43,'Customer Scenario Forecast'!$H$20:$H$1181,'Incremental Network SummerFcast'!$H$1)+
SUMIFS('Customer Scenario Forecast'!I$22:I$1183,'Customer Scenario Forecast'!$E$20:$E$1181,'Incremental Network SummerFcast'!$A43,'Customer Scenario Forecast'!$H$20:$H$1181,'Incremental Network SummerFcast'!$H$1))</f>
        <v>187.95429955051787</v>
      </c>
      <c r="J46" s="194">
        <f ca="1">IF($H$1="",
SUMIFS('Customer Scenario Forecast'!J$22:J$1183,'Customer Scenario Forecast'!$C$20:$C$1181,'Incremental Network SummerFcast'!$A43)+
SUMIFS('Customer Scenario Forecast'!J$22:J$1183,'Customer Scenario Forecast'!$D$20:$D$1181,'Incremental Network SummerFcast'!$A43)+
SUMIFS('Customer Scenario Forecast'!J$22:J$1183,'Customer Scenario Forecast'!$E$20:$E$1181,'Incremental Network SummerFcast'!$A43),
SUMIFS('Customer Scenario Forecast'!J$22:J$1183,'Customer Scenario Forecast'!$C$20:$C$1181,'Incremental Network SummerFcast'!$A43,'Customer Scenario Forecast'!$H$20:$H$1181,'Incremental Network SummerFcast'!$H$1)+
SUMIFS('Customer Scenario Forecast'!J$22:J$1183,'Customer Scenario Forecast'!$D$20:$D$1181,'Incremental Network SummerFcast'!$A43,'Customer Scenario Forecast'!$H$20:$H$1181,'Incremental Network SummerFcast'!$H$1)+
SUMIFS('Customer Scenario Forecast'!J$22:J$1183,'Customer Scenario Forecast'!$E$20:$E$1181,'Incremental Network SummerFcast'!$A43,'Customer Scenario Forecast'!$H$20:$H$1181,'Incremental Network SummerFcast'!$H$1))</f>
        <v>223.55425496710313</v>
      </c>
      <c r="K46" s="194">
        <f ca="1">IF($H$1="",
SUMIFS('Customer Scenario Forecast'!K$22:K$1183,'Customer Scenario Forecast'!$C$20:$C$1181,'Incremental Network SummerFcast'!$A43)+
SUMIFS('Customer Scenario Forecast'!K$22:K$1183,'Customer Scenario Forecast'!$D$20:$D$1181,'Incremental Network SummerFcast'!$A43)+
SUMIFS('Customer Scenario Forecast'!K$22:K$1183,'Customer Scenario Forecast'!$E$20:$E$1181,'Incremental Network SummerFcast'!$A43),
SUMIFS('Customer Scenario Forecast'!K$22:K$1183,'Customer Scenario Forecast'!$C$20:$C$1181,'Incremental Network SummerFcast'!$A43,'Customer Scenario Forecast'!$H$20:$H$1181,'Incremental Network SummerFcast'!$H$1)+
SUMIFS('Customer Scenario Forecast'!K$22:K$1183,'Customer Scenario Forecast'!$D$20:$D$1181,'Incremental Network SummerFcast'!$A43,'Customer Scenario Forecast'!$H$20:$H$1181,'Incremental Network SummerFcast'!$H$1)+
SUMIFS('Customer Scenario Forecast'!K$22:K$1183,'Customer Scenario Forecast'!$E$20:$E$1181,'Incremental Network SummerFcast'!$A43,'Customer Scenario Forecast'!$H$20:$H$1181,'Incremental Network SummerFcast'!$H$1))</f>
        <v>252.54931795974201</v>
      </c>
      <c r="L46" s="194">
        <f ca="1">IF($H$1="",
SUMIFS('Customer Scenario Forecast'!L$22:L$1183,'Customer Scenario Forecast'!$C$20:$C$1181,'Incremental Network SummerFcast'!$A43)+
SUMIFS('Customer Scenario Forecast'!L$22:L$1183,'Customer Scenario Forecast'!$D$20:$D$1181,'Incremental Network SummerFcast'!$A43)+
SUMIFS('Customer Scenario Forecast'!L$22:L$1183,'Customer Scenario Forecast'!$E$20:$E$1181,'Incremental Network SummerFcast'!$A43),
SUMIFS('Customer Scenario Forecast'!L$22:L$1183,'Customer Scenario Forecast'!$C$20:$C$1181,'Incremental Network SummerFcast'!$A43,'Customer Scenario Forecast'!$H$20:$H$1181,'Incremental Network SummerFcast'!$H$1)+
SUMIFS('Customer Scenario Forecast'!L$22:L$1183,'Customer Scenario Forecast'!$D$20:$D$1181,'Incremental Network SummerFcast'!$A43,'Customer Scenario Forecast'!$H$20:$H$1181,'Incremental Network SummerFcast'!$H$1)+
SUMIFS('Customer Scenario Forecast'!L$22:L$1183,'Customer Scenario Forecast'!$E$20:$E$1181,'Incremental Network SummerFcast'!$A43,'Customer Scenario Forecast'!$H$20:$H$1181,'Incremental Network SummerFcast'!$H$1))</f>
        <v>274.61604569734868</v>
      </c>
    </row>
    <row r="47" spans="1:12" ht="15" thickBot="1">
      <c r="A47" s="195" t="s">
        <v>107</v>
      </c>
      <c r="B47" s="196">
        <f ca="1">IF($H$1="",
1*(
SUMIFS('Customer Scenario Forecast'!B$23:B$1184,'Customer Scenario Forecast'!$C$20:$C$1181,'Incremental Network SummerFcast'!$A43)+
SUMIFS('Customer Scenario Forecast'!B$23:B$1184,'Customer Scenario Forecast'!$D$20:$D$1181,'Incremental Network SummerFcast'!$A43)+
SUMIFS('Customer Scenario Forecast'!B$23:B$1184,'Customer Scenario Forecast'!$E$20:$E$1181,'Incremental Network SummerFcast'!$A43)+B45),
1*(
SUMIFS('Customer Scenario Forecast'!B$23:B$1184,'Customer Scenario Forecast'!$C$20:$C$1181,'Incremental Network SummerFcast'!$A43,'Customer Scenario Forecast'!$H$20:$H$1181,'Incremental Network SummerFcast'!$H$1)+
SUMIFS('Customer Scenario Forecast'!B$23:B$1184,'Customer Scenario Forecast'!$D$20:$D$1181,'Incremental Network SummerFcast'!$A43,'Customer Scenario Forecast'!$H$20:$H$1181,'Incremental Network SummerFcast'!$H$1)+
SUMIFS('Customer Scenario Forecast'!B$23:B$1184,'Customer Scenario Forecast'!$E$20:$E$1181,'Incremental Network SummerFcast'!$A43,'Customer Scenario Forecast'!$H$20:$H$1181,'Incremental Network SummerFcast'!$H$1)+B45))</f>
        <v>-25</v>
      </c>
      <c r="C47" s="196">
        <f ca="1">IF($H$1="",
1*(
SUMIFS('Customer Scenario Forecast'!C$23:C$1184,'Customer Scenario Forecast'!$C$20:$C$1181,'Incremental Network SummerFcast'!$A43)+
SUMIFS('Customer Scenario Forecast'!C$23:C$1184,'Customer Scenario Forecast'!$D$20:$D$1181,'Incremental Network SummerFcast'!$A43)+
SUMIFS('Customer Scenario Forecast'!C$23:C$1184,'Customer Scenario Forecast'!$E$20:$E$1181,'Incremental Network SummerFcast'!$A43)+C45),
1*(
SUMIFS('Customer Scenario Forecast'!C$23:C$1184,'Customer Scenario Forecast'!$C$20:$C$1181,'Incremental Network SummerFcast'!$A43,'Customer Scenario Forecast'!$H$20:$H$1181,'Incremental Network SummerFcast'!$H$1)+
SUMIFS('Customer Scenario Forecast'!C$23:C$1184,'Customer Scenario Forecast'!$D$20:$D$1181,'Incremental Network SummerFcast'!$A43,'Customer Scenario Forecast'!$H$20:$H$1181,'Incremental Network SummerFcast'!$H$1)+
SUMIFS('Customer Scenario Forecast'!C$23:C$1184,'Customer Scenario Forecast'!$E$20:$E$1181,'Incremental Network SummerFcast'!$A43,'Customer Scenario Forecast'!$H$20:$H$1181,'Incremental Network SummerFcast'!$H$1)+C45))</f>
        <v>0</v>
      </c>
      <c r="D47" s="196">
        <f ca="1">IF($H$1="",
1*(
SUMIFS('Customer Scenario Forecast'!D$23:D$1184,'Customer Scenario Forecast'!$C$20:$C$1181,'Incremental Network SummerFcast'!$A43)+
SUMIFS('Customer Scenario Forecast'!D$23:D$1184,'Customer Scenario Forecast'!$D$20:$D$1181,'Incremental Network SummerFcast'!$A43)+
SUMIFS('Customer Scenario Forecast'!D$23:D$1184,'Customer Scenario Forecast'!$E$20:$E$1181,'Incremental Network SummerFcast'!$A43)+D45),
1*(
SUMIFS('Customer Scenario Forecast'!D$23:D$1184,'Customer Scenario Forecast'!$C$20:$C$1181,'Incremental Network SummerFcast'!$A43,'Customer Scenario Forecast'!$H$20:$H$1181,'Incremental Network SummerFcast'!$H$1)+
SUMIFS('Customer Scenario Forecast'!D$23:D$1184,'Customer Scenario Forecast'!$D$20:$D$1181,'Incremental Network SummerFcast'!$A43,'Customer Scenario Forecast'!$H$20:$H$1181,'Incremental Network SummerFcast'!$H$1)+
SUMIFS('Customer Scenario Forecast'!D$23:D$1184,'Customer Scenario Forecast'!$E$20:$E$1181,'Incremental Network SummerFcast'!$A43,'Customer Scenario Forecast'!$H$20:$H$1181,'Incremental Network SummerFcast'!$H$1)+D45))</f>
        <v>0</v>
      </c>
      <c r="E47" s="196">
        <f ca="1">IF($H$1="",
1*(
SUMIFS('Customer Scenario Forecast'!E$23:E$1184,'Customer Scenario Forecast'!$C$20:$C$1181,'Incremental Network SummerFcast'!$A43)+
SUMIFS('Customer Scenario Forecast'!E$23:E$1184,'Customer Scenario Forecast'!$D$20:$D$1181,'Incremental Network SummerFcast'!$A43)+
SUMIFS('Customer Scenario Forecast'!E$23:E$1184,'Customer Scenario Forecast'!$E$20:$E$1181,'Incremental Network SummerFcast'!$A43)+E45),
1*(
SUMIFS('Customer Scenario Forecast'!E$23:E$1184,'Customer Scenario Forecast'!$C$20:$C$1181,'Incremental Network SummerFcast'!$A43,'Customer Scenario Forecast'!$H$20:$H$1181,'Incremental Network SummerFcast'!$H$1)+
SUMIFS('Customer Scenario Forecast'!E$23:E$1184,'Customer Scenario Forecast'!$D$20:$D$1181,'Incremental Network SummerFcast'!$A43,'Customer Scenario Forecast'!$H$20:$H$1181,'Incremental Network SummerFcast'!$H$1)+
SUMIFS('Customer Scenario Forecast'!E$23:E$1184,'Customer Scenario Forecast'!$E$20:$E$1181,'Incremental Network SummerFcast'!$A43,'Customer Scenario Forecast'!$H$20:$H$1181,'Incremental Network SummerFcast'!$H$1)+E45))</f>
        <v>16.899999999999999</v>
      </c>
      <c r="F47" s="196">
        <f ca="1">IF($H$1="",
1*(
SUMIFS('Customer Scenario Forecast'!F$23:F$1184,'Customer Scenario Forecast'!$C$20:$C$1181,'Incremental Network SummerFcast'!$A43)+
SUMIFS('Customer Scenario Forecast'!F$23:F$1184,'Customer Scenario Forecast'!$D$20:$D$1181,'Incremental Network SummerFcast'!$A43)+
SUMIFS('Customer Scenario Forecast'!F$23:F$1184,'Customer Scenario Forecast'!$E$20:$E$1181,'Incremental Network SummerFcast'!$A43)+F45),
1*(
SUMIFS('Customer Scenario Forecast'!F$23:F$1184,'Customer Scenario Forecast'!$C$20:$C$1181,'Incremental Network SummerFcast'!$A43,'Customer Scenario Forecast'!$H$20:$H$1181,'Incremental Network SummerFcast'!$H$1)+
SUMIFS('Customer Scenario Forecast'!F$23:F$1184,'Customer Scenario Forecast'!$D$20:$D$1181,'Incremental Network SummerFcast'!$A43,'Customer Scenario Forecast'!$H$20:$H$1181,'Incremental Network SummerFcast'!$H$1)+
SUMIFS('Customer Scenario Forecast'!F$23:F$1184,'Customer Scenario Forecast'!$E$20:$E$1181,'Incremental Network SummerFcast'!$A43,'Customer Scenario Forecast'!$H$20:$H$1181,'Incremental Network SummerFcast'!$H$1)+F45))</f>
        <v>23.886461796625625</v>
      </c>
      <c r="G47" s="196">
        <f ca="1">IF($H$1="",
1*(
SUMIFS('Customer Scenario Forecast'!G$23:G$1184,'Customer Scenario Forecast'!$C$20:$C$1181,'Incremental Network SummerFcast'!$A43)+
SUMIFS('Customer Scenario Forecast'!G$23:G$1184,'Customer Scenario Forecast'!$D$20:$D$1181,'Incremental Network SummerFcast'!$A43)+
SUMIFS('Customer Scenario Forecast'!G$23:G$1184,'Customer Scenario Forecast'!$E$20:$E$1181,'Incremental Network SummerFcast'!$A43)+G45),
1*(
SUMIFS('Customer Scenario Forecast'!G$23:G$1184,'Customer Scenario Forecast'!$C$20:$C$1181,'Incremental Network SummerFcast'!$A43,'Customer Scenario Forecast'!$H$20:$H$1181,'Incremental Network SummerFcast'!$H$1)+
SUMIFS('Customer Scenario Forecast'!G$23:G$1184,'Customer Scenario Forecast'!$D$20:$D$1181,'Incremental Network SummerFcast'!$A43,'Customer Scenario Forecast'!$H$20:$H$1181,'Incremental Network SummerFcast'!$H$1)+
SUMIFS('Customer Scenario Forecast'!G$23:G$1184,'Customer Scenario Forecast'!$E$20:$E$1181,'Incremental Network SummerFcast'!$A43,'Customer Scenario Forecast'!$H$20:$H$1181,'Incremental Network SummerFcast'!$H$1)+G45))</f>
        <v>36.757675129958962</v>
      </c>
      <c r="H47" s="196">
        <f ca="1">IF($H$1="",
1*(
SUMIFS('Customer Scenario Forecast'!H$23:H$1184,'Customer Scenario Forecast'!$C$20:$C$1181,'Incremental Network SummerFcast'!$A43)+
SUMIFS('Customer Scenario Forecast'!H$23:H$1184,'Customer Scenario Forecast'!$D$20:$D$1181,'Incremental Network SummerFcast'!$A43)+
SUMIFS('Customer Scenario Forecast'!H$23:H$1184,'Customer Scenario Forecast'!$E$20:$E$1181,'Incremental Network SummerFcast'!$A43)+H45),
1*(
SUMIFS('Customer Scenario Forecast'!H$23:H$1184,'Customer Scenario Forecast'!$C$20:$C$1181,'Incremental Network SummerFcast'!$A43,'Customer Scenario Forecast'!$H$20:$H$1181,'Incremental Network SummerFcast'!$H$1)+
SUMIFS('Customer Scenario Forecast'!H$23:H$1184,'Customer Scenario Forecast'!$D$20:$D$1181,'Incremental Network SummerFcast'!$A43,'Customer Scenario Forecast'!$H$20:$H$1181,'Incremental Network SummerFcast'!$H$1)+
SUMIFS('Customer Scenario Forecast'!H$23:H$1184,'Customer Scenario Forecast'!$E$20:$E$1181,'Incremental Network SummerFcast'!$A43,'Customer Scenario Forecast'!$H$20:$H$1181,'Incremental Network SummerFcast'!$H$1)+H45))</f>
        <v>52.604715129958961</v>
      </c>
      <c r="I47" s="196">
        <f ca="1">IF($H$1="",
1*(
SUMIFS('Customer Scenario Forecast'!I$23:I$1184,'Customer Scenario Forecast'!$C$20:$C$1181,'Incremental Network SummerFcast'!$A43)+
SUMIFS('Customer Scenario Forecast'!I$23:I$1184,'Customer Scenario Forecast'!$D$20:$D$1181,'Incremental Network SummerFcast'!$A43)+
SUMIFS('Customer Scenario Forecast'!I$23:I$1184,'Customer Scenario Forecast'!$E$20:$E$1181,'Incremental Network SummerFcast'!$A43)+I45),
1*(
SUMIFS('Customer Scenario Forecast'!I$23:I$1184,'Customer Scenario Forecast'!$C$20:$C$1181,'Incremental Network SummerFcast'!$A43,'Customer Scenario Forecast'!$H$20:$H$1181,'Incremental Network SummerFcast'!$H$1)+
SUMIFS('Customer Scenario Forecast'!I$23:I$1184,'Customer Scenario Forecast'!$D$20:$D$1181,'Incremental Network SummerFcast'!$A43,'Customer Scenario Forecast'!$H$20:$H$1181,'Incremental Network SummerFcast'!$H$1)+
SUMIFS('Customer Scenario Forecast'!I$23:I$1184,'Customer Scenario Forecast'!$E$20:$E$1181,'Incremental Network SummerFcast'!$A43,'Customer Scenario Forecast'!$H$20:$H$1181,'Incremental Network SummerFcast'!$H$1)+I45))</f>
        <v>71.425077796625629</v>
      </c>
      <c r="J47" s="196">
        <f ca="1">IF($H$1="",
1*(
SUMIFS('Customer Scenario Forecast'!J$23:J$1184,'Customer Scenario Forecast'!$C$20:$C$1181,'Incremental Network SummerFcast'!$A43)+
SUMIFS('Customer Scenario Forecast'!J$23:J$1184,'Customer Scenario Forecast'!$D$20:$D$1181,'Incremental Network SummerFcast'!$A43)+
SUMIFS('Customer Scenario Forecast'!J$23:J$1184,'Customer Scenario Forecast'!$E$20:$E$1181,'Incremental Network SummerFcast'!$A43)+J45),
1*(
SUMIFS('Customer Scenario Forecast'!J$23:J$1184,'Customer Scenario Forecast'!$C$20:$C$1181,'Incremental Network SummerFcast'!$A43,'Customer Scenario Forecast'!$H$20:$H$1181,'Incremental Network SummerFcast'!$H$1)+
SUMIFS('Customer Scenario Forecast'!J$23:J$1184,'Customer Scenario Forecast'!$D$20:$D$1181,'Incremental Network SummerFcast'!$A43,'Customer Scenario Forecast'!$H$20:$H$1181,'Incremental Network SummerFcast'!$H$1)+
SUMIFS('Customer Scenario Forecast'!J$23:J$1184,'Customer Scenario Forecast'!$E$20:$E$1181,'Incremental Network SummerFcast'!$A43,'Customer Scenario Forecast'!$H$20:$H$1181,'Incremental Network SummerFcast'!$H$1)+J45))</f>
        <v>93.133717796625618</v>
      </c>
      <c r="K47" s="196">
        <f ca="1">IF($H$1="",
1*(
SUMIFS('Customer Scenario Forecast'!K$23:K$1184,'Customer Scenario Forecast'!$C$20:$C$1181,'Incremental Network SummerFcast'!$A43)+
SUMIFS('Customer Scenario Forecast'!K$23:K$1184,'Customer Scenario Forecast'!$D$20:$D$1181,'Incremental Network SummerFcast'!$A43)+
SUMIFS('Customer Scenario Forecast'!K$23:K$1184,'Customer Scenario Forecast'!$E$20:$E$1181,'Incremental Network SummerFcast'!$A43)+K45),
1*(
SUMIFS('Customer Scenario Forecast'!K$23:K$1184,'Customer Scenario Forecast'!$C$20:$C$1181,'Incremental Network SummerFcast'!$A43,'Customer Scenario Forecast'!$H$20:$H$1181,'Incremental Network SummerFcast'!$H$1)+
SUMIFS('Customer Scenario Forecast'!K$23:K$1184,'Customer Scenario Forecast'!$D$20:$D$1181,'Incremental Network SummerFcast'!$A43,'Customer Scenario Forecast'!$H$20:$H$1181,'Incremental Network SummerFcast'!$H$1)+
SUMIFS('Customer Scenario Forecast'!K$23:K$1184,'Customer Scenario Forecast'!$E$20:$E$1181,'Incremental Network SummerFcast'!$A43,'Customer Scenario Forecast'!$H$20:$H$1181,'Incremental Network SummerFcast'!$H$1)+K45))</f>
        <v>115.25460677975376</v>
      </c>
      <c r="L47" s="196">
        <f ca="1">IF($H$1="",
1*(
SUMIFS('Customer Scenario Forecast'!L$23:L$1184,'Customer Scenario Forecast'!$C$20:$C$1181,'Incremental Network SummerFcast'!$A43)+
SUMIFS('Customer Scenario Forecast'!L$23:L$1184,'Customer Scenario Forecast'!$D$20:$D$1181,'Incremental Network SummerFcast'!$A43)+
SUMIFS('Customer Scenario Forecast'!L$23:L$1184,'Customer Scenario Forecast'!$E$20:$E$1181,'Incremental Network SummerFcast'!$A43)+L45),
1*(
SUMIFS('Customer Scenario Forecast'!L$23:L$1184,'Customer Scenario Forecast'!$C$20:$C$1181,'Incremental Network SummerFcast'!$A43,'Customer Scenario Forecast'!$H$20:$H$1181,'Incremental Network SummerFcast'!$H$1)+
SUMIFS('Customer Scenario Forecast'!L$23:L$1184,'Customer Scenario Forecast'!$D$20:$D$1181,'Incremental Network SummerFcast'!$A43,'Customer Scenario Forecast'!$H$20:$H$1181,'Incremental Network SummerFcast'!$H$1)+
SUMIFS('Customer Scenario Forecast'!L$23:L$1184,'Customer Scenario Forecast'!$E$20:$E$1181,'Incremental Network SummerFcast'!$A43,'Customer Scenario Forecast'!$H$20:$H$1181,'Incremental Network SummerFcast'!$H$1)+L45))</f>
        <v>121.5102496124031</v>
      </c>
    </row>
    <row r="48" spans="1:12" ht="15" thickBot="1">
      <c r="A48" s="195" t="s">
        <v>108</v>
      </c>
      <c r="B48" s="196">
        <f ca="1">IF($H$1="",
1*(
SUMIFS('Customer Scenario Forecast'!B$24:B$1185,'Customer Scenario Forecast'!$C$20:$C$1181,'Incremental Network SummerFcast'!$A43)+
SUMIFS('Customer Scenario Forecast'!B$24:B$1185,'Customer Scenario Forecast'!$D$20:$D$1181,'Incremental Network SummerFcast'!$A43)+
SUMIFS('Customer Scenario Forecast'!B$24:B$1185,'Customer Scenario Forecast'!$E$20:$E$1181,'Incremental Network SummerFcast'!$A43)+B45),
1*(
SUMIFS('Customer Scenario Forecast'!B$24:B$1185,'Customer Scenario Forecast'!$C$20:$C$1181,'Incremental Network SummerFcast'!$A43,'Customer Scenario Forecast'!$H$20:$H$1181,'Incremental Network SummerFcast'!$H$1)+
SUMIFS('Customer Scenario Forecast'!B$24:B$1185,'Customer Scenario Forecast'!$D$20:$D$1181,'Incremental Network SummerFcast'!$A43,'Customer Scenario Forecast'!$H$20:$H$1181,'Incremental Network SummerFcast'!$H$1)+
SUMIFS('Customer Scenario Forecast'!B$24:B$1185,'Customer Scenario Forecast'!$E$20:$E$1181,'Incremental Network SummerFcast'!$A43,'Customer Scenario Forecast'!$H$20:$H$1181,'Incremental Network SummerFcast'!$H$1)+B45))</f>
        <v>-25</v>
      </c>
      <c r="C48" s="196">
        <f ca="1">IF($H$1="",
1*(
SUMIFS('Customer Scenario Forecast'!C$24:C$1185,'Customer Scenario Forecast'!$C$20:$C$1181,'Incremental Network SummerFcast'!$A43)+
SUMIFS('Customer Scenario Forecast'!C$24:C$1185,'Customer Scenario Forecast'!$D$20:$D$1181,'Incremental Network SummerFcast'!$A43)+
SUMIFS('Customer Scenario Forecast'!C$24:C$1185,'Customer Scenario Forecast'!$E$20:$E$1181,'Incremental Network SummerFcast'!$A43)+C45),
1*(
SUMIFS('Customer Scenario Forecast'!C$24:C$1185,'Customer Scenario Forecast'!$C$20:$C$1181,'Incremental Network SummerFcast'!$A43,'Customer Scenario Forecast'!$H$20:$H$1181,'Incremental Network SummerFcast'!$H$1)+
SUMIFS('Customer Scenario Forecast'!C$24:C$1185,'Customer Scenario Forecast'!$D$20:$D$1181,'Incremental Network SummerFcast'!$A43,'Customer Scenario Forecast'!$H$20:$H$1181,'Incremental Network SummerFcast'!$H$1)+
SUMIFS('Customer Scenario Forecast'!C$24:C$1185,'Customer Scenario Forecast'!$E$20:$E$1181,'Incremental Network SummerFcast'!$A43,'Customer Scenario Forecast'!$H$20:$H$1181,'Incremental Network SummerFcast'!$H$1)+C45))</f>
        <v>0</v>
      </c>
      <c r="D48" s="196">
        <f ca="1">IF($H$1="",
1*(
SUMIFS('Customer Scenario Forecast'!D$24:D$1185,'Customer Scenario Forecast'!$C$20:$C$1181,'Incremental Network SummerFcast'!$A43)+
SUMIFS('Customer Scenario Forecast'!D$24:D$1185,'Customer Scenario Forecast'!$D$20:$D$1181,'Incremental Network SummerFcast'!$A43)+
SUMIFS('Customer Scenario Forecast'!D$24:D$1185,'Customer Scenario Forecast'!$E$20:$E$1181,'Incremental Network SummerFcast'!$A43)+D45),
1*(
SUMIFS('Customer Scenario Forecast'!D$24:D$1185,'Customer Scenario Forecast'!$C$20:$C$1181,'Incremental Network SummerFcast'!$A43,'Customer Scenario Forecast'!$H$20:$H$1181,'Incremental Network SummerFcast'!$H$1)+
SUMIFS('Customer Scenario Forecast'!D$24:D$1185,'Customer Scenario Forecast'!$D$20:$D$1181,'Incremental Network SummerFcast'!$A43,'Customer Scenario Forecast'!$H$20:$H$1181,'Incremental Network SummerFcast'!$H$1)+
SUMIFS('Customer Scenario Forecast'!D$24:D$1185,'Customer Scenario Forecast'!$E$20:$E$1181,'Incremental Network SummerFcast'!$A43,'Customer Scenario Forecast'!$H$20:$H$1181,'Incremental Network SummerFcast'!$H$1)+D45))</f>
        <v>0</v>
      </c>
      <c r="E48" s="196">
        <f ca="1">IF($H$1="",
1*(
SUMIFS('Customer Scenario Forecast'!E$24:E$1185,'Customer Scenario Forecast'!$C$20:$C$1181,'Incremental Network SummerFcast'!$A43)+
SUMIFS('Customer Scenario Forecast'!E$24:E$1185,'Customer Scenario Forecast'!$D$20:$D$1181,'Incremental Network SummerFcast'!$A43)+
SUMIFS('Customer Scenario Forecast'!E$24:E$1185,'Customer Scenario Forecast'!$E$20:$E$1181,'Incremental Network SummerFcast'!$A43)+E45),
1*(
SUMIFS('Customer Scenario Forecast'!E$24:E$1185,'Customer Scenario Forecast'!$C$20:$C$1181,'Incremental Network SummerFcast'!$A43,'Customer Scenario Forecast'!$H$20:$H$1181,'Incremental Network SummerFcast'!$H$1)+
SUMIFS('Customer Scenario Forecast'!E$24:E$1185,'Customer Scenario Forecast'!$D$20:$D$1181,'Incremental Network SummerFcast'!$A43,'Customer Scenario Forecast'!$H$20:$H$1181,'Incremental Network SummerFcast'!$H$1)+
SUMIFS('Customer Scenario Forecast'!E$24:E$1185,'Customer Scenario Forecast'!$E$20:$E$1181,'Incremental Network SummerFcast'!$A43,'Customer Scenario Forecast'!$H$20:$H$1181,'Incremental Network SummerFcast'!$H$1)+E45))</f>
        <v>16.899999999999999</v>
      </c>
      <c r="F48" s="196">
        <f ca="1">IF($H$1="",
1*(
SUMIFS('Customer Scenario Forecast'!F$24:F$1185,'Customer Scenario Forecast'!$C$20:$C$1181,'Incremental Network SummerFcast'!$A43)+
SUMIFS('Customer Scenario Forecast'!F$24:F$1185,'Customer Scenario Forecast'!$D$20:$D$1181,'Incremental Network SummerFcast'!$A43)+
SUMIFS('Customer Scenario Forecast'!F$24:F$1185,'Customer Scenario Forecast'!$E$20:$E$1181,'Incremental Network SummerFcast'!$A43)+F45),
1*(
SUMIFS('Customer Scenario Forecast'!F$24:F$1185,'Customer Scenario Forecast'!$C$20:$C$1181,'Incremental Network SummerFcast'!$A43,'Customer Scenario Forecast'!$H$20:$H$1181,'Incremental Network SummerFcast'!$H$1)+
SUMIFS('Customer Scenario Forecast'!F$24:F$1185,'Customer Scenario Forecast'!$D$20:$D$1181,'Incremental Network SummerFcast'!$A43,'Customer Scenario Forecast'!$H$20:$H$1181,'Incremental Network SummerFcast'!$H$1)+
SUMIFS('Customer Scenario Forecast'!F$24:F$1185,'Customer Scenario Forecast'!$E$20:$E$1181,'Incremental Network SummerFcast'!$A43,'Customer Scenario Forecast'!$H$20:$H$1181,'Incremental Network SummerFcast'!$H$1)+F45))</f>
        <v>19.3</v>
      </c>
      <c r="G48" s="196">
        <f ca="1">IF($H$1="",
1*(
SUMIFS('Customer Scenario Forecast'!G$24:G$1185,'Customer Scenario Forecast'!$C$20:$C$1181,'Incremental Network SummerFcast'!$A43)+
SUMIFS('Customer Scenario Forecast'!G$24:G$1185,'Customer Scenario Forecast'!$D$20:$D$1181,'Incremental Network SummerFcast'!$A43)+
SUMIFS('Customer Scenario Forecast'!G$24:G$1185,'Customer Scenario Forecast'!$E$20:$E$1181,'Incremental Network SummerFcast'!$A43)+G45),
1*(
SUMIFS('Customer Scenario Forecast'!G$24:G$1185,'Customer Scenario Forecast'!$C$20:$C$1181,'Incremental Network SummerFcast'!$A43,'Customer Scenario Forecast'!$H$20:$H$1181,'Incremental Network SummerFcast'!$H$1)+
SUMIFS('Customer Scenario Forecast'!G$24:G$1185,'Customer Scenario Forecast'!$D$20:$D$1181,'Incremental Network SummerFcast'!$A43,'Customer Scenario Forecast'!$H$20:$H$1181,'Incremental Network SummerFcast'!$H$1)+
SUMIFS('Customer Scenario Forecast'!G$24:G$1185,'Customer Scenario Forecast'!$E$20:$E$1181,'Incremental Network SummerFcast'!$A43,'Customer Scenario Forecast'!$H$20:$H$1181,'Incremental Network SummerFcast'!$H$1)+G45))</f>
        <v>24.872025223112502</v>
      </c>
      <c r="H48" s="196">
        <f ca="1">IF($H$1="",
1*(
SUMIFS('Customer Scenario Forecast'!H$24:H$1185,'Customer Scenario Forecast'!$C$20:$C$1181,'Incremental Network SummerFcast'!$A43)+
SUMIFS('Customer Scenario Forecast'!H$24:H$1185,'Customer Scenario Forecast'!$D$20:$D$1181,'Incremental Network SummerFcast'!$A43)+
SUMIFS('Customer Scenario Forecast'!H$24:H$1185,'Customer Scenario Forecast'!$E$20:$E$1181,'Incremental Network SummerFcast'!$A43)+H45),
1*(
SUMIFS('Customer Scenario Forecast'!H$24:H$1185,'Customer Scenario Forecast'!$C$20:$C$1181,'Incremental Network SummerFcast'!$A43,'Customer Scenario Forecast'!$H$20:$H$1181,'Incremental Network SummerFcast'!$H$1)+
SUMIFS('Customer Scenario Forecast'!H$24:H$1185,'Customer Scenario Forecast'!$D$20:$D$1181,'Incremental Network SummerFcast'!$A43,'Customer Scenario Forecast'!$H$20:$H$1181,'Incremental Network SummerFcast'!$H$1)+
SUMIFS('Customer Scenario Forecast'!H$24:H$1185,'Customer Scenario Forecast'!$E$20:$E$1181,'Incremental Network SummerFcast'!$A43,'Customer Scenario Forecast'!$H$20:$H$1181,'Incremental Network SummerFcast'!$H$1)+H45))</f>
        <v>43.015377604064881</v>
      </c>
      <c r="I48" s="196">
        <f ca="1">IF($H$1="",
1*(
SUMIFS('Customer Scenario Forecast'!I$24:I$1185,'Customer Scenario Forecast'!$C$20:$C$1181,'Incremental Network SummerFcast'!$A43)+
SUMIFS('Customer Scenario Forecast'!I$24:I$1185,'Customer Scenario Forecast'!$D$20:$D$1181,'Incremental Network SummerFcast'!$A43)+
SUMIFS('Customer Scenario Forecast'!I$24:I$1185,'Customer Scenario Forecast'!$E$20:$E$1181,'Incremental Network SummerFcast'!$A43)+I45),
1*(
SUMIFS('Customer Scenario Forecast'!I$24:I$1185,'Customer Scenario Forecast'!$C$20:$C$1181,'Incremental Network SummerFcast'!$A43,'Customer Scenario Forecast'!$H$20:$H$1181,'Incremental Network SummerFcast'!$H$1)+
SUMIFS('Customer Scenario Forecast'!I$24:I$1185,'Customer Scenario Forecast'!$D$20:$D$1181,'Incremental Network SummerFcast'!$A43,'Customer Scenario Forecast'!$H$20:$H$1181,'Incremental Network SummerFcast'!$H$1)+
SUMIFS('Customer Scenario Forecast'!I$24:I$1185,'Customer Scenario Forecast'!$E$20:$E$1181,'Incremental Network SummerFcast'!$A43,'Customer Scenario Forecast'!$H$20:$H$1181,'Incremental Network SummerFcast'!$H$1)+I45))</f>
        <v>58.106006175493455</v>
      </c>
      <c r="J48" s="196">
        <f ca="1">IF($H$1="",
1*(
SUMIFS('Customer Scenario Forecast'!J$24:J$1185,'Customer Scenario Forecast'!$C$20:$C$1181,'Incremental Network SummerFcast'!$A43)+
SUMIFS('Customer Scenario Forecast'!J$24:J$1185,'Customer Scenario Forecast'!$D$20:$D$1181,'Incremental Network SummerFcast'!$A43)+
SUMIFS('Customer Scenario Forecast'!J$24:J$1185,'Customer Scenario Forecast'!$E$20:$E$1181,'Incremental Network SummerFcast'!$A43)+J45),
1*(
SUMIFS('Customer Scenario Forecast'!J$24:J$1185,'Customer Scenario Forecast'!$C$20:$C$1181,'Incremental Network SummerFcast'!$A43,'Customer Scenario Forecast'!$H$20:$H$1181,'Incremental Network SummerFcast'!$H$1)+
SUMIFS('Customer Scenario Forecast'!J$24:J$1185,'Customer Scenario Forecast'!$D$20:$D$1181,'Incremental Network SummerFcast'!$A43,'Customer Scenario Forecast'!$H$20:$H$1181,'Incremental Network SummerFcast'!$H$1)+
SUMIFS('Customer Scenario Forecast'!J$24:J$1185,'Customer Scenario Forecast'!$E$20:$E$1181,'Incremental Network SummerFcast'!$A43,'Customer Scenario Forecast'!$H$20:$H$1181,'Incremental Network SummerFcast'!$H$1)+J45))</f>
        <v>73.769419508826786</v>
      </c>
      <c r="K48" s="196">
        <f ca="1">IF($H$1="",
1*(
SUMIFS('Customer Scenario Forecast'!K$24:K$1185,'Customer Scenario Forecast'!$C$20:$C$1181,'Incremental Network SummerFcast'!$A43)+
SUMIFS('Customer Scenario Forecast'!K$24:K$1185,'Customer Scenario Forecast'!$D$20:$D$1181,'Incremental Network SummerFcast'!$A43)+
SUMIFS('Customer Scenario Forecast'!K$24:K$1185,'Customer Scenario Forecast'!$E$20:$E$1181,'Incremental Network SummerFcast'!$A43)+K45),
1*(
SUMIFS('Customer Scenario Forecast'!K$24:K$1185,'Customer Scenario Forecast'!$C$20:$C$1181,'Incremental Network SummerFcast'!$A43,'Customer Scenario Forecast'!$H$20:$H$1181,'Incremental Network SummerFcast'!$H$1)+
SUMIFS('Customer Scenario Forecast'!K$24:K$1185,'Customer Scenario Forecast'!$D$20:$D$1181,'Incremental Network SummerFcast'!$A43,'Customer Scenario Forecast'!$H$20:$H$1181,'Incremental Network SummerFcast'!$H$1)+
SUMIFS('Customer Scenario Forecast'!K$24:K$1185,'Customer Scenario Forecast'!$E$20:$E$1181,'Incremental Network SummerFcast'!$A43,'Customer Scenario Forecast'!$H$20:$H$1181,'Incremental Network SummerFcast'!$H$1)+K45))</f>
        <v>76.722333794541072</v>
      </c>
      <c r="L48" s="196">
        <f ca="1">IF($H$1="",
1*(
SUMIFS('Customer Scenario Forecast'!L$24:L$1185,'Customer Scenario Forecast'!$C$20:$C$1181,'Incremental Network SummerFcast'!$A43)+
SUMIFS('Customer Scenario Forecast'!L$24:L$1185,'Customer Scenario Forecast'!$D$20:$D$1181,'Incremental Network SummerFcast'!$A43)+
SUMIFS('Customer Scenario Forecast'!L$24:L$1185,'Customer Scenario Forecast'!$E$20:$E$1181,'Incremental Network SummerFcast'!$A43)+L45),
1*(
SUMIFS('Customer Scenario Forecast'!L$24:L$1185,'Customer Scenario Forecast'!$C$20:$C$1181,'Incremental Network SummerFcast'!$A43,'Customer Scenario Forecast'!$H$20:$H$1181,'Incremental Network SummerFcast'!$H$1)+
SUMIFS('Customer Scenario Forecast'!L$24:L$1185,'Customer Scenario Forecast'!$D$20:$D$1181,'Incremental Network SummerFcast'!$A43,'Customer Scenario Forecast'!$H$20:$H$1181,'Incremental Network SummerFcast'!$H$1)+
SUMIFS('Customer Scenario Forecast'!L$24:L$1185,'Customer Scenario Forecast'!$E$20:$E$1181,'Incremental Network SummerFcast'!$A43,'Customer Scenario Forecast'!$H$20:$H$1181,'Incremental Network SummerFcast'!$H$1)+L45))</f>
        <v>81.292859910103573</v>
      </c>
    </row>
    <row r="49" spans="1:12" ht="15" thickBot="1">
      <c r="A49" s="197" t="s">
        <v>109</v>
      </c>
      <c r="B49" s="198">
        <f ca="1">IF($H$1="",
1*(
SUMIFS('Customer Scenario Forecast'!B$25:B$1186,'Customer Scenario Forecast'!$C$20:$C$1181,'Incremental Network SummerFcast'!$A43)+
SUMIFS('Customer Scenario Forecast'!B$25:B$1186,'Customer Scenario Forecast'!$D$20:$D$1181,'Incremental Network SummerFcast'!$A43)+
SUMIFS('Customer Scenario Forecast'!B$25:B$1186,'Customer Scenario Forecast'!$E$20:$E$1181,'Incremental Network SummerFcast'!$A43)+B45),
1*(
SUMIFS('Customer Scenario Forecast'!B$25:B$1186,'Customer Scenario Forecast'!$C$20:$C$1181,'Incremental Network SummerFcast'!$A43,'Customer Scenario Forecast'!$H$20:$H$1181,'Incremental Network SummerFcast'!$H$1)+
SUMIFS('Customer Scenario Forecast'!B$25:B$1186,'Customer Scenario Forecast'!$D$20:$D$1181,'Incremental Network SummerFcast'!$A43,'Customer Scenario Forecast'!$H$20:$H$1181,'Incremental Network SummerFcast'!$H$1)+
SUMIFS('Customer Scenario Forecast'!B$25:B$1186,'Customer Scenario Forecast'!$E$20:$E$1181,'Incremental Network SummerFcast'!$A43,'Customer Scenario Forecast'!$H$20:$H$1181,'Incremental Network SummerFcast'!$H$1)+B45))</f>
        <v>-25</v>
      </c>
      <c r="C49" s="198">
        <f ca="1">IF($H$1="",
1*(
SUMIFS('Customer Scenario Forecast'!C$25:C$1186,'Customer Scenario Forecast'!$C$20:$C$1181,'Incremental Network SummerFcast'!$A43)+
SUMIFS('Customer Scenario Forecast'!C$25:C$1186,'Customer Scenario Forecast'!$D$20:$D$1181,'Incremental Network SummerFcast'!$A43)+
SUMIFS('Customer Scenario Forecast'!C$25:C$1186,'Customer Scenario Forecast'!$E$20:$E$1181,'Incremental Network SummerFcast'!$A43)+C45),
1*(
SUMIFS('Customer Scenario Forecast'!C$25:C$1186,'Customer Scenario Forecast'!$C$20:$C$1181,'Incremental Network SummerFcast'!$A43,'Customer Scenario Forecast'!$H$20:$H$1181,'Incremental Network SummerFcast'!$H$1)+
SUMIFS('Customer Scenario Forecast'!C$25:C$1186,'Customer Scenario Forecast'!$D$20:$D$1181,'Incremental Network SummerFcast'!$A43,'Customer Scenario Forecast'!$H$20:$H$1181,'Incremental Network SummerFcast'!$H$1)+
SUMIFS('Customer Scenario Forecast'!C$25:C$1186,'Customer Scenario Forecast'!$E$20:$E$1181,'Incremental Network SummerFcast'!$A43,'Customer Scenario Forecast'!$H$20:$H$1181,'Incremental Network SummerFcast'!$H$1)+C45))</f>
        <v>0</v>
      </c>
      <c r="D49" s="198">
        <f ca="1">IF($H$1="",
1*(
SUMIFS('Customer Scenario Forecast'!D$25:D$1186,'Customer Scenario Forecast'!$C$20:$C$1181,'Incremental Network SummerFcast'!$A43)+
SUMIFS('Customer Scenario Forecast'!D$25:D$1186,'Customer Scenario Forecast'!$D$20:$D$1181,'Incremental Network SummerFcast'!$A43)+
SUMIFS('Customer Scenario Forecast'!D$25:D$1186,'Customer Scenario Forecast'!$E$20:$E$1181,'Incremental Network SummerFcast'!$A43)+D45),
1*(
SUMIFS('Customer Scenario Forecast'!D$25:D$1186,'Customer Scenario Forecast'!$C$20:$C$1181,'Incremental Network SummerFcast'!$A43,'Customer Scenario Forecast'!$H$20:$H$1181,'Incremental Network SummerFcast'!$H$1)+
SUMIFS('Customer Scenario Forecast'!D$25:D$1186,'Customer Scenario Forecast'!$D$20:$D$1181,'Incremental Network SummerFcast'!$A43,'Customer Scenario Forecast'!$H$20:$H$1181,'Incremental Network SummerFcast'!$H$1)+
SUMIFS('Customer Scenario Forecast'!D$25:D$1186,'Customer Scenario Forecast'!$E$20:$E$1181,'Incremental Network SummerFcast'!$A43,'Customer Scenario Forecast'!$H$20:$H$1181,'Incremental Network SummerFcast'!$H$1)+D45))</f>
        <v>0</v>
      </c>
      <c r="E49" s="198">
        <f ca="1">IF($H$1="",
1*(
SUMIFS('Customer Scenario Forecast'!E$25:E$1186,'Customer Scenario Forecast'!$C$20:$C$1181,'Incremental Network SummerFcast'!$A43)+
SUMIFS('Customer Scenario Forecast'!E$25:E$1186,'Customer Scenario Forecast'!$D$20:$D$1181,'Incremental Network SummerFcast'!$A43)+
SUMIFS('Customer Scenario Forecast'!E$25:E$1186,'Customer Scenario Forecast'!$E$20:$E$1181,'Incremental Network SummerFcast'!$A43)+E45),
1*(
SUMIFS('Customer Scenario Forecast'!E$25:E$1186,'Customer Scenario Forecast'!$C$20:$C$1181,'Incremental Network SummerFcast'!$A43,'Customer Scenario Forecast'!$H$20:$H$1181,'Incremental Network SummerFcast'!$H$1)+
SUMIFS('Customer Scenario Forecast'!E$25:E$1186,'Customer Scenario Forecast'!$D$20:$D$1181,'Incremental Network SummerFcast'!$A43,'Customer Scenario Forecast'!$H$20:$H$1181,'Incremental Network SummerFcast'!$H$1)+
SUMIFS('Customer Scenario Forecast'!E$25:E$1186,'Customer Scenario Forecast'!$E$20:$E$1181,'Incremental Network SummerFcast'!$A43,'Customer Scenario Forecast'!$H$20:$H$1181,'Incremental Network SummerFcast'!$H$1)+E45))</f>
        <v>23.639290803205</v>
      </c>
      <c r="F49" s="198">
        <f ca="1">IF($H$1="",
1*(
SUMIFS('Customer Scenario Forecast'!F$25:F$1186,'Customer Scenario Forecast'!$C$20:$C$1181,'Incremental Network SummerFcast'!$A43)+
SUMIFS('Customer Scenario Forecast'!F$25:F$1186,'Customer Scenario Forecast'!$D$20:$D$1181,'Incremental Network SummerFcast'!$A43)+
SUMIFS('Customer Scenario Forecast'!F$25:F$1186,'Customer Scenario Forecast'!$E$20:$E$1181,'Incremental Network SummerFcast'!$A43)+F45),
1*(
SUMIFS('Customer Scenario Forecast'!F$25:F$1186,'Customer Scenario Forecast'!$C$20:$C$1181,'Incremental Network SummerFcast'!$A43,'Customer Scenario Forecast'!$H$20:$H$1181,'Incremental Network SummerFcast'!$H$1)+
SUMIFS('Customer Scenario Forecast'!F$25:F$1186,'Customer Scenario Forecast'!$D$20:$D$1181,'Incremental Network SummerFcast'!$A43,'Customer Scenario Forecast'!$H$20:$H$1181,'Incremental Network SummerFcast'!$H$1)+
SUMIFS('Customer Scenario Forecast'!F$25:F$1186,'Customer Scenario Forecast'!$E$20:$E$1181,'Incremental Network SummerFcast'!$A43,'Customer Scenario Forecast'!$H$20:$H$1181,'Incremental Network SummerFcast'!$H$1)+F45))</f>
        <v>39.515359374633576</v>
      </c>
      <c r="G49" s="198">
        <f ca="1">IF($H$1="",
1*(
SUMIFS('Customer Scenario Forecast'!G$25:G$1186,'Customer Scenario Forecast'!$C$20:$C$1181,'Incremental Network SummerFcast'!$A43)+
SUMIFS('Customer Scenario Forecast'!G$25:G$1186,'Customer Scenario Forecast'!$D$20:$D$1181,'Incremental Network SummerFcast'!$A43)+
SUMIFS('Customer Scenario Forecast'!G$25:G$1186,'Customer Scenario Forecast'!$E$20:$E$1181,'Incremental Network SummerFcast'!$A43)+G45),
1*(
SUMIFS('Customer Scenario Forecast'!G$25:G$1186,'Customer Scenario Forecast'!$C$20:$C$1181,'Incremental Network SummerFcast'!$A43,'Customer Scenario Forecast'!$H$20:$H$1181,'Incremental Network SummerFcast'!$H$1)+
SUMIFS('Customer Scenario Forecast'!G$25:G$1186,'Customer Scenario Forecast'!$D$20:$D$1181,'Incremental Network SummerFcast'!$A43,'Customer Scenario Forecast'!$H$20:$H$1181,'Incremental Network SummerFcast'!$H$1)+
SUMIFS('Customer Scenario Forecast'!G$25:G$1186,'Customer Scenario Forecast'!$E$20:$E$1181,'Incremental Network SummerFcast'!$A43,'Customer Scenario Forecast'!$H$20:$H$1181,'Incremental Network SummerFcast'!$H$1)+G45))</f>
        <v>45.341622231776434</v>
      </c>
      <c r="H49" s="198">
        <f ca="1">IF($H$1="",
1*(
SUMIFS('Customer Scenario Forecast'!H$25:H$1186,'Customer Scenario Forecast'!$C$20:$C$1181,'Incremental Network SummerFcast'!$A43)+
SUMIFS('Customer Scenario Forecast'!H$25:H$1186,'Customer Scenario Forecast'!$D$20:$D$1181,'Incremental Network SummerFcast'!$A43)+
SUMIFS('Customer Scenario Forecast'!H$25:H$1186,'Customer Scenario Forecast'!$E$20:$E$1181,'Incremental Network SummerFcast'!$A43)+H45),
1*(
SUMIFS('Customer Scenario Forecast'!H$25:H$1186,'Customer Scenario Forecast'!$C$20:$C$1181,'Incremental Network SummerFcast'!$A43,'Customer Scenario Forecast'!$H$20:$H$1181,'Incremental Network SummerFcast'!$H$1)+
SUMIFS('Customer Scenario Forecast'!H$25:H$1186,'Customer Scenario Forecast'!$D$20:$D$1181,'Incremental Network SummerFcast'!$A43,'Customer Scenario Forecast'!$H$20:$H$1181,'Incremental Network SummerFcast'!$H$1)+
SUMIFS('Customer Scenario Forecast'!H$25:H$1186,'Customer Scenario Forecast'!$E$20:$E$1181,'Incremental Network SummerFcast'!$A43,'Customer Scenario Forecast'!$H$20:$H$1181,'Incremental Network SummerFcast'!$H$1)+H45))</f>
        <v>66.089910231776443</v>
      </c>
      <c r="I49" s="198">
        <f ca="1">IF($H$1="",
1*(
SUMIFS('Customer Scenario Forecast'!I$25:I$1186,'Customer Scenario Forecast'!$C$20:$C$1181,'Incremental Network SummerFcast'!$A43)+
SUMIFS('Customer Scenario Forecast'!I$25:I$1186,'Customer Scenario Forecast'!$D$20:$D$1181,'Incremental Network SummerFcast'!$A43)+
SUMIFS('Customer Scenario Forecast'!I$25:I$1186,'Customer Scenario Forecast'!$E$20:$E$1181,'Incremental Network SummerFcast'!$A43)+I45),
1*(
SUMIFS('Customer Scenario Forecast'!I$25:I$1186,'Customer Scenario Forecast'!$C$20:$C$1181,'Incremental Network SummerFcast'!$A43,'Customer Scenario Forecast'!$H$20:$H$1181,'Incremental Network SummerFcast'!$H$1)+
SUMIFS('Customer Scenario Forecast'!I$25:I$1186,'Customer Scenario Forecast'!$D$20:$D$1181,'Incremental Network SummerFcast'!$A43,'Customer Scenario Forecast'!$H$20:$H$1181,'Incremental Network SummerFcast'!$H$1)+
SUMIFS('Customer Scenario Forecast'!I$25:I$1186,'Customer Scenario Forecast'!$E$20:$E$1181,'Incremental Network SummerFcast'!$A43,'Customer Scenario Forecast'!$H$20:$H$1181,'Incremental Network SummerFcast'!$H$1)+I45))</f>
        <v>103.39560166034786</v>
      </c>
      <c r="J49" s="198">
        <f ca="1">IF($H$1="",
1*(
SUMIFS('Customer Scenario Forecast'!J$25:J$1186,'Customer Scenario Forecast'!$C$20:$C$1181,'Incremental Network SummerFcast'!$A43)+
SUMIFS('Customer Scenario Forecast'!J$25:J$1186,'Customer Scenario Forecast'!$D$20:$D$1181,'Incremental Network SummerFcast'!$A43)+
SUMIFS('Customer Scenario Forecast'!J$25:J$1186,'Customer Scenario Forecast'!$E$20:$E$1181,'Incremental Network SummerFcast'!$A43)+J45),
1*(
SUMIFS('Customer Scenario Forecast'!J$25:J$1186,'Customer Scenario Forecast'!$C$20:$C$1181,'Incremental Network SummerFcast'!$A43,'Customer Scenario Forecast'!$H$20:$H$1181,'Incremental Network SummerFcast'!$H$1)+
SUMIFS('Customer Scenario Forecast'!J$25:J$1186,'Customer Scenario Forecast'!$D$20:$D$1181,'Incremental Network SummerFcast'!$A43,'Customer Scenario Forecast'!$H$20:$H$1181,'Incremental Network SummerFcast'!$H$1)+
SUMIFS('Customer Scenario Forecast'!J$25:J$1186,'Customer Scenario Forecast'!$E$20:$E$1181,'Incremental Network SummerFcast'!$A43,'Customer Scenario Forecast'!$H$20:$H$1181,'Incremental Network SummerFcast'!$H$1)+J45))</f>
        <v>143.38309567637288</v>
      </c>
      <c r="K49" s="198">
        <f ca="1">IF($H$1="",
1*(
SUMIFS('Customer Scenario Forecast'!K$25:K$1186,'Customer Scenario Forecast'!$C$20:$C$1181,'Incremental Network SummerFcast'!$A43)+
SUMIFS('Customer Scenario Forecast'!K$25:K$1186,'Customer Scenario Forecast'!$D$20:$D$1181,'Incremental Network SummerFcast'!$A43)+
SUMIFS('Customer Scenario Forecast'!K$25:K$1186,'Customer Scenario Forecast'!$E$20:$E$1181,'Incremental Network SummerFcast'!$A43)+K45),
1*(
SUMIFS('Customer Scenario Forecast'!K$25:K$1186,'Customer Scenario Forecast'!$C$20:$C$1181,'Incremental Network SummerFcast'!$A43,'Customer Scenario Forecast'!$H$20:$H$1181,'Incremental Network SummerFcast'!$H$1)+
SUMIFS('Customer Scenario Forecast'!K$25:K$1186,'Customer Scenario Forecast'!$D$20:$D$1181,'Incremental Network SummerFcast'!$A43,'Customer Scenario Forecast'!$H$20:$H$1181,'Incremental Network SummerFcast'!$H$1)+
SUMIFS('Customer Scenario Forecast'!K$25:K$1186,'Customer Scenario Forecast'!$E$20:$E$1181,'Incremental Network SummerFcast'!$A43,'Customer Scenario Forecast'!$H$20:$H$1181,'Incremental Network SummerFcast'!$H$1)+K45))</f>
        <v>158.16106357631423</v>
      </c>
      <c r="L49" s="198">
        <f ca="1">IF($H$1="",
1*(
SUMIFS('Customer Scenario Forecast'!L$25:L$1186,'Customer Scenario Forecast'!$C$20:$C$1181,'Incremental Network SummerFcast'!$A43)+
SUMIFS('Customer Scenario Forecast'!L$25:L$1186,'Customer Scenario Forecast'!$D$20:$D$1181,'Incremental Network SummerFcast'!$A43)+
SUMIFS('Customer Scenario Forecast'!L$25:L$1186,'Customer Scenario Forecast'!$E$20:$E$1181,'Incremental Network SummerFcast'!$A43)+L45),
1*(
SUMIFS('Customer Scenario Forecast'!L$25:L$1186,'Customer Scenario Forecast'!$C$20:$C$1181,'Incremental Network SummerFcast'!$A43,'Customer Scenario Forecast'!$H$20:$H$1181,'Incremental Network SummerFcast'!$H$1)+
SUMIFS('Customer Scenario Forecast'!L$25:L$1186,'Customer Scenario Forecast'!$D$20:$D$1181,'Incremental Network SummerFcast'!$A43,'Customer Scenario Forecast'!$H$20:$H$1181,'Incremental Network SummerFcast'!$H$1)+
SUMIFS('Customer Scenario Forecast'!L$25:L$1186,'Customer Scenario Forecast'!$E$20:$E$1181,'Incremental Network SummerFcast'!$A43,'Customer Scenario Forecast'!$H$20:$H$1181,'Incremental Network SummerFcast'!$H$1)+L45))</f>
        <v>170.6648238030096</v>
      </c>
    </row>
    <row r="50" spans="1:12" ht="15.6" thickTop="1" thickBot="1">
      <c r="A50" s="197" t="s">
        <v>148</v>
      </c>
      <c r="B50" s="198">
        <f ca="1">'Incremental Network SummerFcast'!$B$245*B47+'Incremental Network SummerFcast'!$B$246*B48+'Incremental Network SummerFcast'!$B$247*B49</f>
        <v>-25</v>
      </c>
      <c r="C50" s="198">
        <f ca="1">'Incremental Network SummerFcast'!$B$245*C47+'Incremental Network SummerFcast'!$B$246*C48+'Incremental Network SummerFcast'!$B$247*C49</f>
        <v>0</v>
      </c>
      <c r="D50" s="198">
        <f ca="1">'Incremental Network SummerFcast'!$B$245*D47+'Incremental Network SummerFcast'!$B$246*D48+'Incremental Network SummerFcast'!$B$247*D49</f>
        <v>0</v>
      </c>
      <c r="E50" s="198">
        <f ca="1">'Incremental Network SummerFcast'!$B$245*E47+'Incremental Network SummerFcast'!$B$246*E48+'Incremental Network SummerFcast'!$B$247*E49</f>
        <v>18.584822700801247</v>
      </c>
      <c r="F50" s="198">
        <f ca="1">'Incremental Network SummerFcast'!$B$245*F47+'Incremental Network SummerFcast'!$B$246*F48+'Incremental Network SummerFcast'!$B$247*F49</f>
        <v>26.647070741971206</v>
      </c>
      <c r="G50" s="198">
        <f ca="1">'Incremental Network SummerFcast'!$B$245*G47+'Incremental Network SummerFcast'!$B$246*G48+'Incremental Network SummerFcast'!$B$247*G49</f>
        <v>35.932249428701716</v>
      </c>
      <c r="H50" s="198">
        <f ca="1">'Incremental Network SummerFcast'!$B$245*H47+'Incremental Network SummerFcast'!$B$246*H48+'Incremental Network SummerFcast'!$B$247*H49</f>
        <v>53.578679523939812</v>
      </c>
      <c r="I50" s="198">
        <f ca="1">'Incremental Network SummerFcast'!$B$245*I47+'Incremental Network SummerFcast'!$B$246*I48+'Incremental Network SummerFcast'!$B$247*I49</f>
        <v>76.087940857273139</v>
      </c>
      <c r="J50" s="198">
        <f ca="1">'Incremental Network SummerFcast'!$B$245*J47+'Incremental Network SummerFcast'!$B$246*J48+'Incremental Network SummerFcast'!$B$247*J49</f>
        <v>100.85498769461272</v>
      </c>
      <c r="K50" s="198">
        <f ca="1">'Incremental Network SummerFcast'!$B$245*K47+'Incremental Network SummerFcast'!$B$246*K48+'Incremental Network SummerFcast'!$B$247*K49</f>
        <v>116.34815273259071</v>
      </c>
      <c r="L50" s="198">
        <f ca="1">'Incremental Network SummerFcast'!$B$245*L47+'Incremental Network SummerFcast'!$B$246*L48+'Incremental Network SummerFcast'!$B$247*L49</f>
        <v>123.74454573447984</v>
      </c>
    </row>
    <row r="51" spans="1:12" ht="15.6" thickTop="1" thickBot="1">
      <c r="A51" s="188" t="s">
        <v>124</v>
      </c>
      <c r="B51" s="216"/>
      <c r="C51" s="190"/>
      <c r="D51" s="190"/>
      <c r="E51" s="190"/>
      <c r="F51" s="190"/>
      <c r="G51" s="190"/>
      <c r="H51" s="190"/>
      <c r="I51" s="190"/>
      <c r="J51" s="190"/>
      <c r="K51" s="190"/>
      <c r="L51" s="190"/>
    </row>
    <row r="52" spans="1:12" ht="15" thickBot="1">
      <c r="A52" s="191" t="str">
        <f>A44</f>
        <v>Uptake Scenario</v>
      </c>
      <c r="B52" s="191">
        <f t="shared" ref="B52:L52" si="6">B44</f>
        <v>2023</v>
      </c>
      <c r="C52" s="191">
        <f t="shared" si="6"/>
        <v>2024</v>
      </c>
      <c r="D52" s="191">
        <f t="shared" si="6"/>
        <v>2025</v>
      </c>
      <c r="E52" s="191">
        <f t="shared" si="6"/>
        <v>2026</v>
      </c>
      <c r="F52" s="191">
        <f t="shared" si="6"/>
        <v>2027</v>
      </c>
      <c r="G52" s="191">
        <f t="shared" si="6"/>
        <v>2028</v>
      </c>
      <c r="H52" s="191">
        <f t="shared" si="6"/>
        <v>2029</v>
      </c>
      <c r="I52" s="191">
        <f t="shared" si="6"/>
        <v>2030</v>
      </c>
      <c r="J52" s="191">
        <f t="shared" si="6"/>
        <v>2031</v>
      </c>
      <c r="K52" s="191">
        <f t="shared" si="6"/>
        <v>2032</v>
      </c>
      <c r="L52" s="191">
        <f t="shared" si="6"/>
        <v>2033</v>
      </c>
    </row>
    <row r="53" spans="1:12" ht="15.6" thickTop="1" thickBot="1">
      <c r="A53" s="193"/>
      <c r="B53" s="206"/>
      <c r="C53" s="206"/>
      <c r="D53" s="206"/>
      <c r="E53" s="206"/>
      <c r="F53" s="206"/>
      <c r="G53" s="206"/>
      <c r="H53" s="206"/>
      <c r="I53" s="206"/>
      <c r="J53" s="206"/>
      <c r="K53" s="215"/>
      <c r="L53" s="215"/>
    </row>
    <row r="54" spans="1:12" ht="15" thickBot="1">
      <c r="A54" s="193" t="s">
        <v>111</v>
      </c>
      <c r="B54" s="194">
        <f ca="1">IF($H$1="",
SUMIFS('Customer Scenario Forecast'!B$22:B$1183,'Customer Scenario Forecast'!$C$20:$C$1181,'Incremental Network SummerFcast'!$A51)+
SUMIFS('Customer Scenario Forecast'!B$22:B$1183,'Customer Scenario Forecast'!$D$20:$D$1181,'Incremental Network SummerFcast'!$A51)+
SUMIFS('Customer Scenario Forecast'!B$22:B$1183,'Customer Scenario Forecast'!$E$20:$E$1181,'Incremental Network SummerFcast'!$A51),
SUMIFS('Customer Scenario Forecast'!B$22:B$1183,'Customer Scenario Forecast'!$C$20:$C$1181,'Incremental Network SummerFcast'!$A51,'Customer Scenario Forecast'!$H$20:$H$1181,'Incremental Network SummerFcast'!$H$1)+
SUMIFS('Customer Scenario Forecast'!B$22:B$1183,'Customer Scenario Forecast'!$D$20:$D$1181,'Incremental Network SummerFcast'!$A51,'Customer Scenario Forecast'!$H$20:$H$1181,'Incremental Network SummerFcast'!$H$1)+
SUMIFS('Customer Scenario Forecast'!B$22:B$1183,'Customer Scenario Forecast'!$E$20:$E$1181,'Incremental Network SummerFcast'!$A51,'Customer Scenario Forecast'!$H$20:$H$1181,'Incremental Network SummerFcast'!$H$1))</f>
        <v>0</v>
      </c>
      <c r="C54" s="194">
        <f ca="1">IF($H$1="",
SUMIFS('Customer Scenario Forecast'!C$22:C$1183,'Customer Scenario Forecast'!$C$20:$C$1181,'Incremental Network SummerFcast'!$A51)+
SUMIFS('Customer Scenario Forecast'!C$22:C$1183,'Customer Scenario Forecast'!$D$20:$D$1181,'Incremental Network SummerFcast'!$A51)+
SUMIFS('Customer Scenario Forecast'!C$22:C$1183,'Customer Scenario Forecast'!$E$20:$E$1181,'Incremental Network SummerFcast'!$A51),
SUMIFS('Customer Scenario Forecast'!C$22:C$1183,'Customer Scenario Forecast'!$C$20:$C$1181,'Incremental Network SummerFcast'!$A51,'Customer Scenario Forecast'!$H$20:$H$1181,'Incremental Network SummerFcast'!$H$1)+
SUMIFS('Customer Scenario Forecast'!C$22:C$1183,'Customer Scenario Forecast'!$D$20:$D$1181,'Incremental Network SummerFcast'!$A51,'Customer Scenario Forecast'!$H$20:$H$1181,'Incremental Network SummerFcast'!$H$1)+
SUMIFS('Customer Scenario Forecast'!C$22:C$1183,'Customer Scenario Forecast'!$E$20:$E$1181,'Incremental Network SummerFcast'!$A51,'Customer Scenario Forecast'!$H$20:$H$1181,'Incremental Network SummerFcast'!$H$1))</f>
        <v>0</v>
      </c>
      <c r="D54" s="194">
        <f ca="1">IF($H$1="",
SUMIFS('Customer Scenario Forecast'!D$22:D$1183,'Customer Scenario Forecast'!$C$20:$C$1181,'Incremental Network SummerFcast'!$A51)+
SUMIFS('Customer Scenario Forecast'!D$22:D$1183,'Customer Scenario Forecast'!$D$20:$D$1181,'Incremental Network SummerFcast'!$A51)+
SUMIFS('Customer Scenario Forecast'!D$22:D$1183,'Customer Scenario Forecast'!$E$20:$E$1181,'Incremental Network SummerFcast'!$A51),
SUMIFS('Customer Scenario Forecast'!D$22:D$1183,'Customer Scenario Forecast'!$C$20:$C$1181,'Incremental Network SummerFcast'!$A51,'Customer Scenario Forecast'!$H$20:$H$1181,'Incremental Network SummerFcast'!$H$1)+
SUMIFS('Customer Scenario Forecast'!D$22:D$1183,'Customer Scenario Forecast'!$D$20:$D$1181,'Incremental Network SummerFcast'!$A51,'Customer Scenario Forecast'!$H$20:$H$1181,'Incremental Network SummerFcast'!$H$1)+
SUMIFS('Customer Scenario Forecast'!D$22:D$1183,'Customer Scenario Forecast'!$E$20:$E$1181,'Incremental Network SummerFcast'!$A51,'Customer Scenario Forecast'!$H$20:$H$1181,'Incremental Network SummerFcast'!$H$1))</f>
        <v>0</v>
      </c>
      <c r="E54" s="194">
        <f ca="1">IF($H$1="",
SUMIFS('Customer Scenario Forecast'!E$22:E$1183,'Customer Scenario Forecast'!$C$20:$C$1181,'Incremental Network SummerFcast'!$A51)+
SUMIFS('Customer Scenario Forecast'!E$22:E$1183,'Customer Scenario Forecast'!$D$20:$D$1181,'Incremental Network SummerFcast'!$A51)+
SUMIFS('Customer Scenario Forecast'!E$22:E$1183,'Customer Scenario Forecast'!$E$20:$E$1181,'Incremental Network SummerFcast'!$A51),
SUMIFS('Customer Scenario Forecast'!E$22:E$1183,'Customer Scenario Forecast'!$C$20:$C$1181,'Incremental Network SummerFcast'!$A51,'Customer Scenario Forecast'!$H$20:$H$1181,'Incremental Network SummerFcast'!$H$1)+
SUMIFS('Customer Scenario Forecast'!E$22:E$1183,'Customer Scenario Forecast'!$D$20:$D$1181,'Incremental Network SummerFcast'!$A51,'Customer Scenario Forecast'!$H$20:$H$1181,'Incremental Network SummerFcast'!$H$1)+
SUMIFS('Customer Scenario Forecast'!E$22:E$1183,'Customer Scenario Forecast'!$E$20:$E$1181,'Incremental Network SummerFcast'!$A51,'Customer Scenario Forecast'!$H$20:$H$1181,'Incremental Network SummerFcast'!$H$1))</f>
        <v>5.8500788222265641</v>
      </c>
      <c r="F54" s="194">
        <f ca="1">IF($H$1="",
SUMIFS('Customer Scenario Forecast'!F$22:F$1183,'Customer Scenario Forecast'!$C$20:$C$1181,'Incremental Network SummerFcast'!$A51)+
SUMIFS('Customer Scenario Forecast'!F$22:F$1183,'Customer Scenario Forecast'!$D$20:$D$1181,'Incremental Network SummerFcast'!$A51)+
SUMIFS('Customer Scenario Forecast'!F$22:F$1183,'Customer Scenario Forecast'!$E$20:$E$1181,'Incremental Network SummerFcast'!$A51),
SUMIFS('Customer Scenario Forecast'!F$22:F$1183,'Customer Scenario Forecast'!$C$20:$C$1181,'Incremental Network SummerFcast'!$A51,'Customer Scenario Forecast'!$H$20:$H$1181,'Incremental Network SummerFcast'!$H$1)+
SUMIFS('Customer Scenario Forecast'!F$22:F$1183,'Customer Scenario Forecast'!$D$20:$D$1181,'Incremental Network SummerFcast'!$A51,'Customer Scenario Forecast'!$H$20:$H$1181,'Incremental Network SummerFcast'!$H$1)+
SUMIFS('Customer Scenario Forecast'!F$22:F$1183,'Customer Scenario Forecast'!$E$20:$E$1181,'Incremental Network SummerFcast'!$A51,'Customer Scenario Forecast'!$H$20:$H$1181,'Incremental Network SummerFcast'!$H$1))</f>
        <v>8.3355550127027556</v>
      </c>
      <c r="G54" s="194">
        <f ca="1">IF($H$1="",
SUMIFS('Customer Scenario Forecast'!G$22:G$1183,'Customer Scenario Forecast'!$C$20:$C$1181,'Incremental Network SummerFcast'!$A51)+
SUMIFS('Customer Scenario Forecast'!G$22:G$1183,'Customer Scenario Forecast'!$D$20:$D$1181,'Incremental Network SummerFcast'!$A51)+
SUMIFS('Customer Scenario Forecast'!G$22:G$1183,'Customer Scenario Forecast'!$E$20:$E$1181,'Incremental Network SummerFcast'!$A51),
SUMIFS('Customer Scenario Forecast'!G$22:G$1183,'Customer Scenario Forecast'!$C$20:$C$1181,'Incremental Network SummerFcast'!$A51,'Customer Scenario Forecast'!$H$20:$H$1181,'Incremental Network SummerFcast'!$H$1)+
SUMIFS('Customer Scenario Forecast'!G$22:G$1183,'Customer Scenario Forecast'!$D$20:$D$1181,'Incremental Network SummerFcast'!$A51,'Customer Scenario Forecast'!$H$20:$H$1181,'Incremental Network SummerFcast'!$H$1)+
SUMIFS('Customer Scenario Forecast'!G$22:G$1183,'Customer Scenario Forecast'!$E$20:$E$1181,'Incremental Network SummerFcast'!$A51,'Customer Scenario Forecast'!$H$20:$H$1181,'Incremental Network SummerFcast'!$H$1))</f>
        <v>10.181269298417043</v>
      </c>
      <c r="H54" s="194">
        <f ca="1">IF($H$1="",
SUMIFS('Customer Scenario Forecast'!H$22:H$1183,'Customer Scenario Forecast'!$C$20:$C$1181,'Incremental Network SummerFcast'!$A51)+
SUMIFS('Customer Scenario Forecast'!H$22:H$1183,'Customer Scenario Forecast'!$D$20:$D$1181,'Incremental Network SummerFcast'!$A51)+
SUMIFS('Customer Scenario Forecast'!H$22:H$1183,'Customer Scenario Forecast'!$E$20:$E$1181,'Incremental Network SummerFcast'!$A51),
SUMIFS('Customer Scenario Forecast'!H$22:H$1183,'Customer Scenario Forecast'!$C$20:$C$1181,'Incremental Network SummerFcast'!$A51,'Customer Scenario Forecast'!$H$20:$H$1181,'Incremental Network SummerFcast'!$H$1)+
SUMIFS('Customer Scenario Forecast'!H$22:H$1183,'Customer Scenario Forecast'!$D$20:$D$1181,'Incremental Network SummerFcast'!$A51,'Customer Scenario Forecast'!$H$20:$H$1181,'Incremental Network SummerFcast'!$H$1)+
SUMIFS('Customer Scenario Forecast'!H$22:H$1183,'Customer Scenario Forecast'!$E$20:$E$1181,'Incremental Network SummerFcast'!$A51,'Customer Scenario Forecast'!$H$20:$H$1181,'Incremental Network SummerFcast'!$H$1))</f>
        <v>21.542014787310272</v>
      </c>
      <c r="I54" s="194">
        <f ca="1">IF($H$1="",
SUMIFS('Customer Scenario Forecast'!I$22:I$1183,'Customer Scenario Forecast'!$C$20:$C$1181,'Incremental Network SummerFcast'!$A51)+
SUMIFS('Customer Scenario Forecast'!I$22:I$1183,'Customer Scenario Forecast'!$D$20:$D$1181,'Incremental Network SummerFcast'!$A51)+
SUMIFS('Customer Scenario Forecast'!I$22:I$1183,'Customer Scenario Forecast'!$E$20:$E$1181,'Incremental Network SummerFcast'!$A51),
SUMIFS('Customer Scenario Forecast'!I$22:I$1183,'Customer Scenario Forecast'!$C$20:$C$1181,'Incremental Network SummerFcast'!$A51,'Customer Scenario Forecast'!$H$20:$H$1181,'Incremental Network SummerFcast'!$H$1)+
SUMIFS('Customer Scenario Forecast'!I$22:I$1183,'Customer Scenario Forecast'!$D$20:$D$1181,'Incremental Network SummerFcast'!$A51,'Customer Scenario Forecast'!$H$20:$H$1181,'Incremental Network SummerFcast'!$H$1)+
SUMIFS('Customer Scenario Forecast'!I$22:I$1183,'Customer Scenario Forecast'!$E$20:$E$1181,'Incremental Network SummerFcast'!$A51,'Customer Scenario Forecast'!$H$20:$H$1181,'Incremental Network SummerFcast'!$H$1))</f>
        <v>49.860647645104549</v>
      </c>
      <c r="J54" s="194">
        <f ca="1">IF($H$1="",
SUMIFS('Customer Scenario Forecast'!J$22:J$1183,'Customer Scenario Forecast'!$C$20:$C$1181,'Incremental Network SummerFcast'!$A51)+
SUMIFS('Customer Scenario Forecast'!J$22:J$1183,'Customer Scenario Forecast'!$D$20:$D$1181,'Incremental Network SummerFcast'!$A51)+
SUMIFS('Customer Scenario Forecast'!J$22:J$1183,'Customer Scenario Forecast'!$E$20:$E$1181,'Incremental Network SummerFcast'!$A51),
SUMIFS('Customer Scenario Forecast'!J$22:J$1183,'Customer Scenario Forecast'!$C$20:$C$1181,'Incremental Network SummerFcast'!$A51,'Customer Scenario Forecast'!$H$20:$H$1181,'Incremental Network SummerFcast'!$H$1)+
SUMIFS('Customer Scenario Forecast'!J$22:J$1183,'Customer Scenario Forecast'!$D$20:$D$1181,'Incremental Network SummerFcast'!$A51,'Customer Scenario Forecast'!$H$20:$H$1181,'Incremental Network SummerFcast'!$H$1)+
SUMIFS('Customer Scenario Forecast'!J$22:J$1183,'Customer Scenario Forecast'!$E$20:$E$1181,'Incremental Network SummerFcast'!$A51,'Customer Scenario Forecast'!$H$20:$H$1181,'Incremental Network SummerFcast'!$H$1))</f>
        <v>65.046565565761185</v>
      </c>
      <c r="K54" s="194">
        <f ca="1">IF($H$1="",
SUMIFS('Customer Scenario Forecast'!K$22:K$1183,'Customer Scenario Forecast'!$C$20:$C$1181,'Incremental Network SummerFcast'!$A51)+
SUMIFS('Customer Scenario Forecast'!K$22:K$1183,'Customer Scenario Forecast'!$D$20:$D$1181,'Incremental Network SummerFcast'!$A51)+
SUMIFS('Customer Scenario Forecast'!K$22:K$1183,'Customer Scenario Forecast'!$E$20:$E$1181,'Incremental Network SummerFcast'!$A51),
SUMIFS('Customer Scenario Forecast'!K$22:K$1183,'Customer Scenario Forecast'!$C$20:$C$1181,'Incremental Network SummerFcast'!$A51,'Customer Scenario Forecast'!$H$20:$H$1181,'Incremental Network SummerFcast'!$H$1)+
SUMIFS('Customer Scenario Forecast'!K$22:K$1183,'Customer Scenario Forecast'!$D$20:$D$1181,'Incremental Network SummerFcast'!$A51,'Customer Scenario Forecast'!$H$20:$H$1181,'Incremental Network SummerFcast'!$H$1)+
SUMIFS('Customer Scenario Forecast'!K$22:K$1183,'Customer Scenario Forecast'!$E$20:$E$1181,'Incremental Network SummerFcast'!$A51,'Customer Scenario Forecast'!$H$20:$H$1181,'Incremental Network SummerFcast'!$H$1))</f>
        <v>108.25252335352745</v>
      </c>
      <c r="L54" s="194">
        <f ca="1">IF($H$1="",
SUMIFS('Customer Scenario Forecast'!L$22:L$1183,'Customer Scenario Forecast'!$C$20:$C$1181,'Incremental Network SummerFcast'!$A51)+
SUMIFS('Customer Scenario Forecast'!L$22:L$1183,'Customer Scenario Forecast'!$D$20:$D$1181,'Incremental Network SummerFcast'!$A51)+
SUMIFS('Customer Scenario Forecast'!L$22:L$1183,'Customer Scenario Forecast'!$E$20:$E$1181,'Incremental Network SummerFcast'!$A51),
SUMIFS('Customer Scenario Forecast'!L$22:L$1183,'Customer Scenario Forecast'!$C$20:$C$1181,'Incremental Network SummerFcast'!$A51,'Customer Scenario Forecast'!$H$20:$H$1181,'Incremental Network SummerFcast'!$H$1)+
SUMIFS('Customer Scenario Forecast'!L$22:L$1183,'Customer Scenario Forecast'!$D$20:$D$1181,'Incremental Network SummerFcast'!$A51,'Customer Scenario Forecast'!$H$20:$H$1181,'Incremental Network SummerFcast'!$H$1)+
SUMIFS('Customer Scenario Forecast'!L$22:L$1183,'Customer Scenario Forecast'!$E$20:$E$1181,'Incremental Network SummerFcast'!$A51,'Customer Scenario Forecast'!$H$20:$H$1181,'Incremental Network SummerFcast'!$H$1))</f>
        <v>198.9312315614618</v>
      </c>
    </row>
    <row r="55" spans="1:12" ht="15" thickBot="1">
      <c r="A55" s="195" t="s">
        <v>107</v>
      </c>
      <c r="B55" s="196">
        <f ca="1">IF($H$1="",
1*(
SUMIFS('Customer Scenario Forecast'!B$23:B$1184,'Customer Scenario Forecast'!$C$20:$C$1181,'Incremental Network SummerFcast'!$A51)+
SUMIFS('Customer Scenario Forecast'!B$23:B$1184,'Customer Scenario Forecast'!$D$20:$D$1181,'Incremental Network SummerFcast'!$A51)+
SUMIFS('Customer Scenario Forecast'!B$23:B$1184,'Customer Scenario Forecast'!$E$20:$E$1181,'Incremental Network SummerFcast'!$A51)+B53),
1*(
SUMIFS('Customer Scenario Forecast'!B$23:B$1184,'Customer Scenario Forecast'!$C$20:$C$1181,'Incremental Network SummerFcast'!$A51,'Customer Scenario Forecast'!$H$20:$H$1181,'Incremental Network SummerFcast'!$H$1)+
SUMIFS('Customer Scenario Forecast'!B$23:B$1184,'Customer Scenario Forecast'!$D$20:$D$1181,'Incremental Network SummerFcast'!$A51,'Customer Scenario Forecast'!$H$20:$H$1181,'Incremental Network SummerFcast'!$H$1)+
SUMIFS('Customer Scenario Forecast'!B$23:B$1184,'Customer Scenario Forecast'!$E$20:$E$1181,'Incremental Network SummerFcast'!$A51,'Customer Scenario Forecast'!$H$20:$H$1181,'Incremental Network SummerFcast'!$H$1)+B53))</f>
        <v>0</v>
      </c>
      <c r="C55" s="196">
        <f ca="1">IF($H$1="",
1*(
SUMIFS('Customer Scenario Forecast'!C$23:C$1184,'Customer Scenario Forecast'!$C$20:$C$1181,'Incremental Network SummerFcast'!$A51)+
SUMIFS('Customer Scenario Forecast'!C$23:C$1184,'Customer Scenario Forecast'!$D$20:$D$1181,'Incremental Network SummerFcast'!$A51)+
SUMIFS('Customer Scenario Forecast'!C$23:C$1184,'Customer Scenario Forecast'!$E$20:$E$1181,'Incremental Network SummerFcast'!$A51)+C53),
1*(
SUMIFS('Customer Scenario Forecast'!C$23:C$1184,'Customer Scenario Forecast'!$C$20:$C$1181,'Incremental Network SummerFcast'!$A51,'Customer Scenario Forecast'!$H$20:$H$1181,'Incremental Network SummerFcast'!$H$1)+
SUMIFS('Customer Scenario Forecast'!C$23:C$1184,'Customer Scenario Forecast'!$D$20:$D$1181,'Incremental Network SummerFcast'!$A51,'Customer Scenario Forecast'!$H$20:$H$1181,'Incremental Network SummerFcast'!$H$1)+
SUMIFS('Customer Scenario Forecast'!C$23:C$1184,'Customer Scenario Forecast'!$E$20:$E$1181,'Incremental Network SummerFcast'!$A51,'Customer Scenario Forecast'!$H$20:$H$1181,'Incremental Network SummerFcast'!$H$1)+C53))</f>
        <v>0</v>
      </c>
      <c r="D55" s="196">
        <f ca="1">IF($H$1="",
1*(
SUMIFS('Customer Scenario Forecast'!D$23:D$1184,'Customer Scenario Forecast'!$C$20:$C$1181,'Incremental Network SummerFcast'!$A51)+
SUMIFS('Customer Scenario Forecast'!D$23:D$1184,'Customer Scenario Forecast'!$D$20:$D$1181,'Incremental Network SummerFcast'!$A51)+
SUMIFS('Customer Scenario Forecast'!D$23:D$1184,'Customer Scenario Forecast'!$E$20:$E$1181,'Incremental Network SummerFcast'!$A51)+D53),
1*(
SUMIFS('Customer Scenario Forecast'!D$23:D$1184,'Customer Scenario Forecast'!$C$20:$C$1181,'Incremental Network SummerFcast'!$A51,'Customer Scenario Forecast'!$H$20:$H$1181,'Incremental Network SummerFcast'!$H$1)+
SUMIFS('Customer Scenario Forecast'!D$23:D$1184,'Customer Scenario Forecast'!$D$20:$D$1181,'Incremental Network SummerFcast'!$A51,'Customer Scenario Forecast'!$H$20:$H$1181,'Incremental Network SummerFcast'!$H$1)+
SUMIFS('Customer Scenario Forecast'!D$23:D$1184,'Customer Scenario Forecast'!$E$20:$E$1181,'Incremental Network SummerFcast'!$A51,'Customer Scenario Forecast'!$H$20:$H$1181,'Incremental Network SummerFcast'!$H$1)+D53))</f>
        <v>0</v>
      </c>
      <c r="E55" s="196">
        <f ca="1">IF($H$1="",
1*(
SUMIFS('Customer Scenario Forecast'!E$23:E$1184,'Customer Scenario Forecast'!$C$20:$C$1181,'Incremental Network SummerFcast'!$A51)+
SUMIFS('Customer Scenario Forecast'!E$23:E$1184,'Customer Scenario Forecast'!$D$20:$D$1181,'Incremental Network SummerFcast'!$A51)+
SUMIFS('Customer Scenario Forecast'!E$23:E$1184,'Customer Scenario Forecast'!$E$20:$E$1181,'Incremental Network SummerFcast'!$A51)+E53),
1*(
SUMIFS('Customer Scenario Forecast'!E$23:E$1184,'Customer Scenario Forecast'!$C$20:$C$1181,'Incremental Network SummerFcast'!$A51,'Customer Scenario Forecast'!$H$20:$H$1181,'Incremental Network SummerFcast'!$H$1)+
SUMIFS('Customer Scenario Forecast'!E$23:E$1184,'Customer Scenario Forecast'!$D$20:$D$1181,'Incremental Network SummerFcast'!$A51,'Customer Scenario Forecast'!$H$20:$H$1181,'Incremental Network SummerFcast'!$H$1)+
SUMIFS('Customer Scenario Forecast'!E$23:E$1184,'Customer Scenario Forecast'!$E$20:$E$1181,'Incremental Network SummerFcast'!$A51,'Customer Scenario Forecast'!$H$20:$H$1181,'Incremental Network SummerFcast'!$H$1)+E53))</f>
        <v>0</v>
      </c>
      <c r="F55" s="196">
        <f ca="1">IF($H$1="",
1*(
SUMIFS('Customer Scenario Forecast'!F$23:F$1184,'Customer Scenario Forecast'!$C$20:$C$1181,'Incremental Network SummerFcast'!$A51)+
SUMIFS('Customer Scenario Forecast'!F$23:F$1184,'Customer Scenario Forecast'!$D$20:$D$1181,'Incremental Network SummerFcast'!$A51)+
SUMIFS('Customer Scenario Forecast'!F$23:F$1184,'Customer Scenario Forecast'!$E$20:$E$1181,'Incremental Network SummerFcast'!$A51)+F53),
1*(
SUMIFS('Customer Scenario Forecast'!F$23:F$1184,'Customer Scenario Forecast'!$C$20:$C$1181,'Incremental Network SummerFcast'!$A51,'Customer Scenario Forecast'!$H$20:$H$1181,'Incremental Network SummerFcast'!$H$1)+
SUMIFS('Customer Scenario Forecast'!F$23:F$1184,'Customer Scenario Forecast'!$D$20:$D$1181,'Incremental Network SummerFcast'!$A51,'Customer Scenario Forecast'!$H$20:$H$1181,'Incremental Network SummerFcast'!$H$1)+
SUMIFS('Customer Scenario Forecast'!F$23:F$1184,'Customer Scenario Forecast'!$E$20:$E$1181,'Incremental Network SummerFcast'!$A51,'Customer Scenario Forecast'!$H$20:$H$1181,'Incremental Network SummerFcast'!$H$1)+F53))</f>
        <v>5.2650709400039082</v>
      </c>
      <c r="G55" s="196">
        <f ca="1">IF($H$1="",
1*(
SUMIFS('Customer Scenario Forecast'!G$23:G$1184,'Customer Scenario Forecast'!$C$20:$C$1181,'Incremental Network SummerFcast'!$A51)+
SUMIFS('Customer Scenario Forecast'!G$23:G$1184,'Customer Scenario Forecast'!$D$20:$D$1181,'Incremental Network SummerFcast'!$A51)+
SUMIFS('Customer Scenario Forecast'!G$23:G$1184,'Customer Scenario Forecast'!$E$20:$E$1181,'Incremental Network SummerFcast'!$A51)+G53),
1*(
SUMIFS('Customer Scenario Forecast'!G$23:G$1184,'Customer Scenario Forecast'!$C$20:$C$1181,'Incremental Network SummerFcast'!$A51,'Customer Scenario Forecast'!$H$20:$H$1181,'Incremental Network SummerFcast'!$H$1)+
SUMIFS('Customer Scenario Forecast'!G$23:G$1184,'Customer Scenario Forecast'!$D$20:$D$1181,'Incremental Network SummerFcast'!$A51,'Customer Scenario Forecast'!$H$20:$H$1181,'Incremental Network SummerFcast'!$H$1)+
SUMIFS('Customer Scenario Forecast'!G$23:G$1184,'Customer Scenario Forecast'!$E$20:$E$1181,'Incremental Network SummerFcast'!$A51,'Customer Scenario Forecast'!$H$20:$H$1181,'Incremental Network SummerFcast'!$H$1)+G53))</f>
        <v>7.50199951143248</v>
      </c>
      <c r="H55" s="196">
        <f ca="1">IF($H$1="",
1*(
SUMIFS('Customer Scenario Forecast'!H$23:H$1184,'Customer Scenario Forecast'!$C$20:$C$1181,'Incremental Network SummerFcast'!$A51)+
SUMIFS('Customer Scenario Forecast'!H$23:H$1184,'Customer Scenario Forecast'!$D$20:$D$1181,'Incremental Network SummerFcast'!$A51)+
SUMIFS('Customer Scenario Forecast'!H$23:H$1184,'Customer Scenario Forecast'!$E$20:$E$1181,'Incremental Network SummerFcast'!$A51)+H53),
1*(
SUMIFS('Customer Scenario Forecast'!H$23:H$1184,'Customer Scenario Forecast'!$C$20:$C$1181,'Incremental Network SummerFcast'!$A51,'Customer Scenario Forecast'!$H$20:$H$1181,'Incremental Network SummerFcast'!$H$1)+
SUMIFS('Customer Scenario Forecast'!H$23:H$1184,'Customer Scenario Forecast'!$D$20:$D$1181,'Incremental Network SummerFcast'!$A51,'Customer Scenario Forecast'!$H$20:$H$1181,'Incremental Network SummerFcast'!$H$1)+
SUMIFS('Customer Scenario Forecast'!H$23:H$1184,'Customer Scenario Forecast'!$E$20:$E$1181,'Incremental Network SummerFcast'!$A51,'Customer Scenario Forecast'!$H$20:$H$1181,'Incremental Network SummerFcast'!$H$1)+H53))</f>
        <v>9.1631423685753379</v>
      </c>
      <c r="I55" s="196">
        <f ca="1">IF($H$1="",
1*(
SUMIFS('Customer Scenario Forecast'!I$23:I$1184,'Customer Scenario Forecast'!$C$20:$C$1181,'Incremental Network SummerFcast'!$A51)+
SUMIFS('Customer Scenario Forecast'!I$23:I$1184,'Customer Scenario Forecast'!$D$20:$D$1181,'Incremental Network SummerFcast'!$A51)+
SUMIFS('Customer Scenario Forecast'!I$23:I$1184,'Customer Scenario Forecast'!$E$20:$E$1181,'Incremental Network SummerFcast'!$A51)+I53),
1*(
SUMIFS('Customer Scenario Forecast'!I$23:I$1184,'Customer Scenario Forecast'!$C$20:$C$1181,'Incremental Network SummerFcast'!$A51,'Customer Scenario Forecast'!$H$20:$H$1181,'Incremental Network SummerFcast'!$H$1)+
SUMIFS('Customer Scenario Forecast'!I$23:I$1184,'Customer Scenario Forecast'!$D$20:$D$1181,'Incremental Network SummerFcast'!$A51,'Customer Scenario Forecast'!$H$20:$H$1181,'Incremental Network SummerFcast'!$H$1)+
SUMIFS('Customer Scenario Forecast'!I$23:I$1184,'Customer Scenario Forecast'!$E$20:$E$1181,'Incremental Network SummerFcast'!$A51,'Customer Scenario Forecast'!$H$20:$H$1181,'Incremental Network SummerFcast'!$H$1)+I53))</f>
        <v>14.122742368575338</v>
      </c>
      <c r="J55" s="196">
        <f ca="1">IF($H$1="",
1*(
SUMIFS('Customer Scenario Forecast'!J$23:J$1184,'Customer Scenario Forecast'!$C$20:$C$1181,'Incremental Network SummerFcast'!$A51)+
SUMIFS('Customer Scenario Forecast'!J$23:J$1184,'Customer Scenario Forecast'!$D$20:$D$1181,'Incremental Network SummerFcast'!$A51)+
SUMIFS('Customer Scenario Forecast'!J$23:J$1184,'Customer Scenario Forecast'!$E$20:$E$1181,'Incremental Network SummerFcast'!$A51)+J53),
1*(
SUMIFS('Customer Scenario Forecast'!J$23:J$1184,'Customer Scenario Forecast'!$C$20:$C$1181,'Incremental Network SummerFcast'!$A51,'Customer Scenario Forecast'!$H$20:$H$1181,'Incremental Network SummerFcast'!$H$1)+
SUMIFS('Customer Scenario Forecast'!J$23:J$1184,'Customer Scenario Forecast'!$D$20:$D$1181,'Incremental Network SummerFcast'!$A51,'Customer Scenario Forecast'!$H$20:$H$1181,'Incremental Network SummerFcast'!$H$1)+
SUMIFS('Customer Scenario Forecast'!J$23:J$1184,'Customer Scenario Forecast'!$E$20:$E$1181,'Incremental Network SummerFcast'!$A51,'Customer Scenario Forecast'!$H$20:$H$1181,'Incremental Network SummerFcast'!$H$1)+J53))</f>
        <v>20.231852420037782</v>
      </c>
      <c r="K55" s="196">
        <f ca="1">IF($H$1="",
1*(
SUMIFS('Customer Scenario Forecast'!K$23:K$1184,'Customer Scenario Forecast'!$C$20:$C$1181,'Incremental Network SummerFcast'!$A51)+
SUMIFS('Customer Scenario Forecast'!K$23:K$1184,'Customer Scenario Forecast'!$D$20:$D$1181,'Incremental Network SummerFcast'!$A51)+
SUMIFS('Customer Scenario Forecast'!K$23:K$1184,'Customer Scenario Forecast'!$E$20:$E$1181,'Incremental Network SummerFcast'!$A51)+K53),
1*(
SUMIFS('Customer Scenario Forecast'!K$23:K$1184,'Customer Scenario Forecast'!$C$20:$C$1181,'Incremental Network SummerFcast'!$A51,'Customer Scenario Forecast'!$H$20:$H$1181,'Incremental Network SummerFcast'!$H$1)+
SUMIFS('Customer Scenario Forecast'!K$23:K$1184,'Customer Scenario Forecast'!$D$20:$D$1181,'Incremental Network SummerFcast'!$A51,'Customer Scenario Forecast'!$H$20:$H$1181,'Incremental Network SummerFcast'!$H$1)+
SUMIFS('Customer Scenario Forecast'!K$23:K$1184,'Customer Scenario Forecast'!$E$20:$E$1181,'Incremental Network SummerFcast'!$A51,'Customer Scenario Forecast'!$H$20:$H$1181,'Incremental Network SummerFcast'!$H$1)+K53))</f>
        <v>24.955590453390656</v>
      </c>
      <c r="L55" s="196">
        <f ca="1">IF($H$1="",
1*(
SUMIFS('Customer Scenario Forecast'!L$23:L$1184,'Customer Scenario Forecast'!$C$20:$C$1181,'Incremental Network SummerFcast'!$A51)+
SUMIFS('Customer Scenario Forecast'!L$23:L$1184,'Customer Scenario Forecast'!$D$20:$D$1181,'Incremental Network SummerFcast'!$A51)+
SUMIFS('Customer Scenario Forecast'!L$23:L$1184,'Customer Scenario Forecast'!$E$20:$E$1181,'Incremental Network SummerFcast'!$A51)+L53),
1*(
SUMIFS('Customer Scenario Forecast'!L$23:L$1184,'Customer Scenario Forecast'!$C$20:$C$1181,'Incremental Network SummerFcast'!$A51,'Customer Scenario Forecast'!$H$20:$H$1181,'Incremental Network SummerFcast'!$H$1)+
SUMIFS('Customer Scenario Forecast'!L$23:L$1184,'Customer Scenario Forecast'!$D$20:$D$1181,'Incremental Network SummerFcast'!$A51,'Customer Scenario Forecast'!$H$20:$H$1181,'Incremental Network SummerFcast'!$H$1)+
SUMIFS('Customer Scenario Forecast'!L$23:L$1184,'Customer Scenario Forecast'!$E$20:$E$1181,'Incremental Network SummerFcast'!$A51,'Customer Scenario Forecast'!$H$20:$H$1181,'Incremental Network SummerFcast'!$H$1)+L53))</f>
        <v>25.881284336525308</v>
      </c>
    </row>
    <row r="56" spans="1:12" ht="15" thickBot="1">
      <c r="A56" s="195" t="s">
        <v>108</v>
      </c>
      <c r="B56" s="196">
        <f ca="1">IF($H$1="",
1*(
SUMIFS('Customer Scenario Forecast'!B$24:B$1185,'Customer Scenario Forecast'!$C$20:$C$1181,'Incremental Network SummerFcast'!$A51)+
SUMIFS('Customer Scenario Forecast'!B$24:B$1185,'Customer Scenario Forecast'!$D$20:$D$1181,'Incremental Network SummerFcast'!$A51)+
SUMIFS('Customer Scenario Forecast'!B$24:B$1185,'Customer Scenario Forecast'!$E$20:$E$1181,'Incremental Network SummerFcast'!$A51)+B53),
1*(
SUMIFS('Customer Scenario Forecast'!B$24:B$1185,'Customer Scenario Forecast'!$C$20:$C$1181,'Incremental Network SummerFcast'!$A51,'Customer Scenario Forecast'!$H$20:$H$1181,'Incremental Network SummerFcast'!$H$1)+
SUMIFS('Customer Scenario Forecast'!B$24:B$1185,'Customer Scenario Forecast'!$D$20:$D$1181,'Incremental Network SummerFcast'!$A51,'Customer Scenario Forecast'!$H$20:$H$1181,'Incremental Network SummerFcast'!$H$1)+
SUMIFS('Customer Scenario Forecast'!B$24:B$1185,'Customer Scenario Forecast'!$E$20:$E$1181,'Incremental Network SummerFcast'!$A51,'Customer Scenario Forecast'!$H$20:$H$1181,'Incremental Network SummerFcast'!$H$1)+B53))</f>
        <v>0</v>
      </c>
      <c r="C56" s="196">
        <f ca="1">IF($H$1="",
1*(
SUMIFS('Customer Scenario Forecast'!C$24:C$1185,'Customer Scenario Forecast'!$C$20:$C$1181,'Incremental Network SummerFcast'!$A51)+
SUMIFS('Customer Scenario Forecast'!C$24:C$1185,'Customer Scenario Forecast'!$D$20:$D$1181,'Incremental Network SummerFcast'!$A51)+
SUMIFS('Customer Scenario Forecast'!C$24:C$1185,'Customer Scenario Forecast'!$E$20:$E$1181,'Incremental Network SummerFcast'!$A51)+C53),
1*(
SUMIFS('Customer Scenario Forecast'!C$24:C$1185,'Customer Scenario Forecast'!$C$20:$C$1181,'Incremental Network SummerFcast'!$A51,'Customer Scenario Forecast'!$H$20:$H$1181,'Incremental Network SummerFcast'!$H$1)+
SUMIFS('Customer Scenario Forecast'!C$24:C$1185,'Customer Scenario Forecast'!$D$20:$D$1181,'Incremental Network SummerFcast'!$A51,'Customer Scenario Forecast'!$H$20:$H$1181,'Incremental Network SummerFcast'!$H$1)+
SUMIFS('Customer Scenario Forecast'!C$24:C$1185,'Customer Scenario Forecast'!$E$20:$E$1181,'Incremental Network SummerFcast'!$A51,'Customer Scenario Forecast'!$H$20:$H$1181,'Incremental Network SummerFcast'!$H$1)+C53))</f>
        <v>0</v>
      </c>
      <c r="D56" s="196">
        <f ca="1">IF($H$1="",
1*(
SUMIFS('Customer Scenario Forecast'!D$24:D$1185,'Customer Scenario Forecast'!$C$20:$C$1181,'Incremental Network SummerFcast'!$A51)+
SUMIFS('Customer Scenario Forecast'!D$24:D$1185,'Customer Scenario Forecast'!$D$20:$D$1181,'Incremental Network SummerFcast'!$A51)+
SUMIFS('Customer Scenario Forecast'!D$24:D$1185,'Customer Scenario Forecast'!$E$20:$E$1181,'Incremental Network SummerFcast'!$A51)+D53),
1*(
SUMIFS('Customer Scenario Forecast'!D$24:D$1185,'Customer Scenario Forecast'!$C$20:$C$1181,'Incremental Network SummerFcast'!$A51,'Customer Scenario Forecast'!$H$20:$H$1181,'Incremental Network SummerFcast'!$H$1)+
SUMIFS('Customer Scenario Forecast'!D$24:D$1185,'Customer Scenario Forecast'!$D$20:$D$1181,'Incremental Network SummerFcast'!$A51,'Customer Scenario Forecast'!$H$20:$H$1181,'Incremental Network SummerFcast'!$H$1)+
SUMIFS('Customer Scenario Forecast'!D$24:D$1185,'Customer Scenario Forecast'!$E$20:$E$1181,'Incremental Network SummerFcast'!$A51,'Customer Scenario Forecast'!$H$20:$H$1181,'Incremental Network SummerFcast'!$H$1)+D53))</f>
        <v>0</v>
      </c>
      <c r="E56" s="196">
        <f ca="1">IF($H$1="",
1*(
SUMIFS('Customer Scenario Forecast'!E$24:E$1185,'Customer Scenario Forecast'!$C$20:$C$1181,'Incremental Network SummerFcast'!$A51)+
SUMIFS('Customer Scenario Forecast'!E$24:E$1185,'Customer Scenario Forecast'!$D$20:$D$1181,'Incremental Network SummerFcast'!$A51)+
SUMIFS('Customer Scenario Forecast'!E$24:E$1185,'Customer Scenario Forecast'!$E$20:$E$1181,'Incremental Network SummerFcast'!$A51)+E53),
1*(
SUMIFS('Customer Scenario Forecast'!E$24:E$1185,'Customer Scenario Forecast'!$C$20:$C$1181,'Incremental Network SummerFcast'!$A51,'Customer Scenario Forecast'!$H$20:$H$1181,'Incremental Network SummerFcast'!$H$1)+
SUMIFS('Customer Scenario Forecast'!E$24:E$1185,'Customer Scenario Forecast'!$D$20:$D$1181,'Incremental Network SummerFcast'!$A51,'Customer Scenario Forecast'!$H$20:$H$1181,'Incremental Network SummerFcast'!$H$1)+
SUMIFS('Customer Scenario Forecast'!E$24:E$1185,'Customer Scenario Forecast'!$E$20:$E$1181,'Incremental Network SummerFcast'!$A51,'Customer Scenario Forecast'!$H$20:$H$1181,'Incremental Network SummerFcast'!$H$1)+E53))</f>
        <v>0</v>
      </c>
      <c r="F56" s="196">
        <f ca="1">IF($H$1="",
1*(
SUMIFS('Customer Scenario Forecast'!F$24:F$1185,'Customer Scenario Forecast'!$C$20:$C$1181,'Incremental Network SummerFcast'!$A51)+
SUMIFS('Customer Scenario Forecast'!F$24:F$1185,'Customer Scenario Forecast'!$D$20:$D$1181,'Incremental Network SummerFcast'!$A51)+
SUMIFS('Customer Scenario Forecast'!F$24:F$1185,'Customer Scenario Forecast'!$E$20:$E$1181,'Incremental Network SummerFcast'!$A51)+F53),
1*(
SUMIFS('Customer Scenario Forecast'!F$24:F$1185,'Customer Scenario Forecast'!$C$20:$C$1181,'Incremental Network SummerFcast'!$A51,'Customer Scenario Forecast'!$H$20:$H$1181,'Incremental Network SummerFcast'!$H$1)+
SUMIFS('Customer Scenario Forecast'!F$24:F$1185,'Customer Scenario Forecast'!$D$20:$D$1181,'Incremental Network SummerFcast'!$A51,'Customer Scenario Forecast'!$H$20:$H$1181,'Incremental Network SummerFcast'!$H$1)+
SUMIFS('Customer Scenario Forecast'!F$24:F$1185,'Customer Scenario Forecast'!$E$20:$E$1181,'Incremental Network SummerFcast'!$A51,'Customer Scenario Forecast'!$H$20:$H$1181,'Incremental Network SummerFcast'!$H$1)+F53))</f>
        <v>0</v>
      </c>
      <c r="G56" s="196">
        <f ca="1">IF($H$1="",
1*(
SUMIFS('Customer Scenario Forecast'!G$24:G$1185,'Customer Scenario Forecast'!$C$20:$C$1181,'Incremental Network SummerFcast'!$A51)+
SUMIFS('Customer Scenario Forecast'!G$24:G$1185,'Customer Scenario Forecast'!$D$20:$D$1181,'Incremental Network SummerFcast'!$A51)+
SUMIFS('Customer Scenario Forecast'!G$24:G$1185,'Customer Scenario Forecast'!$E$20:$E$1181,'Incremental Network SummerFcast'!$A51)+G53),
1*(
SUMIFS('Customer Scenario Forecast'!G$24:G$1185,'Customer Scenario Forecast'!$C$20:$C$1181,'Incremental Network SummerFcast'!$A51,'Customer Scenario Forecast'!$H$20:$H$1181,'Incremental Network SummerFcast'!$H$1)+
SUMIFS('Customer Scenario Forecast'!G$24:G$1185,'Customer Scenario Forecast'!$D$20:$D$1181,'Incremental Network SummerFcast'!$A51,'Customer Scenario Forecast'!$H$20:$H$1181,'Incremental Network SummerFcast'!$H$1)+
SUMIFS('Customer Scenario Forecast'!G$24:G$1185,'Customer Scenario Forecast'!$E$20:$E$1181,'Incremental Network SummerFcast'!$A51,'Customer Scenario Forecast'!$H$20:$H$1181,'Incremental Network SummerFcast'!$H$1)+G53))</f>
        <v>3.5100472933359383</v>
      </c>
      <c r="H56" s="196">
        <f ca="1">IF($H$1="",
1*(
SUMIFS('Customer Scenario Forecast'!H$24:H$1185,'Customer Scenario Forecast'!$C$20:$C$1181,'Incremental Network SummerFcast'!$A51)+
SUMIFS('Customer Scenario Forecast'!H$24:H$1185,'Customer Scenario Forecast'!$D$20:$D$1181,'Incremental Network SummerFcast'!$A51)+
SUMIFS('Customer Scenario Forecast'!H$24:H$1185,'Customer Scenario Forecast'!$E$20:$E$1181,'Incremental Network SummerFcast'!$A51)+H53),
1*(
SUMIFS('Customer Scenario Forecast'!H$24:H$1185,'Customer Scenario Forecast'!$C$20:$C$1181,'Incremental Network SummerFcast'!$A51,'Customer Scenario Forecast'!$H$20:$H$1181,'Incremental Network SummerFcast'!$H$1)+
SUMIFS('Customer Scenario Forecast'!H$24:H$1185,'Customer Scenario Forecast'!$D$20:$D$1181,'Incremental Network SummerFcast'!$A51,'Customer Scenario Forecast'!$H$20:$H$1181,'Incremental Network SummerFcast'!$H$1)+
SUMIFS('Customer Scenario Forecast'!H$24:H$1185,'Customer Scenario Forecast'!$E$20:$E$1181,'Incremental Network SummerFcast'!$A51,'Customer Scenario Forecast'!$H$20:$H$1181,'Incremental Network SummerFcast'!$H$1)+H53))</f>
        <v>5.0013330076216533</v>
      </c>
      <c r="I56" s="196">
        <f ca="1">IF($H$1="",
1*(
SUMIFS('Customer Scenario Forecast'!I$24:I$1185,'Customer Scenario Forecast'!$C$20:$C$1181,'Incremental Network SummerFcast'!$A51)+
SUMIFS('Customer Scenario Forecast'!I$24:I$1185,'Customer Scenario Forecast'!$D$20:$D$1181,'Incremental Network SummerFcast'!$A51)+
SUMIFS('Customer Scenario Forecast'!I$24:I$1185,'Customer Scenario Forecast'!$E$20:$E$1181,'Incremental Network SummerFcast'!$A51)+I53),
1*(
SUMIFS('Customer Scenario Forecast'!I$24:I$1185,'Customer Scenario Forecast'!$C$20:$C$1181,'Incremental Network SummerFcast'!$A51,'Customer Scenario Forecast'!$H$20:$H$1181,'Incremental Network SummerFcast'!$H$1)+
SUMIFS('Customer Scenario Forecast'!I$24:I$1185,'Customer Scenario Forecast'!$D$20:$D$1181,'Incremental Network SummerFcast'!$A51,'Customer Scenario Forecast'!$H$20:$H$1181,'Incremental Network SummerFcast'!$H$1)+
SUMIFS('Customer Scenario Forecast'!I$24:I$1185,'Customer Scenario Forecast'!$E$20:$E$1181,'Incremental Network SummerFcast'!$A51,'Customer Scenario Forecast'!$H$20:$H$1181,'Incremental Network SummerFcast'!$H$1)+I53))</f>
        <v>6.108761579050225</v>
      </c>
      <c r="J56" s="196">
        <f ca="1">IF($H$1="",
1*(
SUMIFS('Customer Scenario Forecast'!J$24:J$1185,'Customer Scenario Forecast'!$C$20:$C$1181,'Incremental Network SummerFcast'!$A51)+
SUMIFS('Customer Scenario Forecast'!J$24:J$1185,'Customer Scenario Forecast'!$D$20:$D$1181,'Incremental Network SummerFcast'!$A51)+
SUMIFS('Customer Scenario Forecast'!J$24:J$1185,'Customer Scenario Forecast'!$E$20:$E$1181,'Incremental Network SummerFcast'!$A51)+J53),
1*(
SUMIFS('Customer Scenario Forecast'!J$24:J$1185,'Customer Scenario Forecast'!$C$20:$C$1181,'Incremental Network SummerFcast'!$A51,'Customer Scenario Forecast'!$H$20:$H$1181,'Incremental Network SummerFcast'!$H$1)+
SUMIFS('Customer Scenario Forecast'!J$24:J$1185,'Customer Scenario Forecast'!$D$20:$D$1181,'Incremental Network SummerFcast'!$A51,'Customer Scenario Forecast'!$H$20:$H$1181,'Incremental Network SummerFcast'!$H$1)+
SUMIFS('Customer Scenario Forecast'!J$24:J$1185,'Customer Scenario Forecast'!$E$20:$E$1181,'Incremental Network SummerFcast'!$A51,'Customer Scenario Forecast'!$H$20:$H$1181,'Incremental Network SummerFcast'!$H$1)+J53))</f>
        <v>9.4151615790502241</v>
      </c>
      <c r="K56" s="196">
        <f ca="1">IF($H$1="",
1*(
SUMIFS('Customer Scenario Forecast'!K$24:K$1185,'Customer Scenario Forecast'!$C$20:$C$1181,'Incremental Network SummerFcast'!$A51)+
SUMIFS('Customer Scenario Forecast'!K$24:K$1185,'Customer Scenario Forecast'!$D$20:$D$1181,'Incremental Network SummerFcast'!$A51)+
SUMIFS('Customer Scenario Forecast'!K$24:K$1185,'Customer Scenario Forecast'!$E$20:$E$1181,'Incremental Network SummerFcast'!$A51)+K53),
1*(
SUMIFS('Customer Scenario Forecast'!K$24:K$1185,'Customer Scenario Forecast'!$C$20:$C$1181,'Incremental Network SummerFcast'!$A51,'Customer Scenario Forecast'!$H$20:$H$1181,'Incremental Network SummerFcast'!$H$1)+
SUMIFS('Customer Scenario Forecast'!K$24:K$1185,'Customer Scenario Forecast'!$D$20:$D$1181,'Incremental Network SummerFcast'!$A51,'Customer Scenario Forecast'!$H$20:$H$1181,'Incremental Network SummerFcast'!$H$1)+
SUMIFS('Customer Scenario Forecast'!K$24:K$1185,'Customer Scenario Forecast'!$E$20:$E$1181,'Incremental Network SummerFcast'!$A51,'Customer Scenario Forecast'!$H$20:$H$1181,'Incremental Network SummerFcast'!$H$1)+K53))</f>
        <v>12.746891629209822</v>
      </c>
      <c r="L56" s="196">
        <f ca="1">IF($H$1="",
1*(
SUMIFS('Customer Scenario Forecast'!L$24:L$1185,'Customer Scenario Forecast'!$C$20:$C$1181,'Incremental Network SummerFcast'!$A51)+
SUMIFS('Customer Scenario Forecast'!L$24:L$1185,'Customer Scenario Forecast'!$D$20:$D$1181,'Incremental Network SummerFcast'!$A51)+
SUMIFS('Customer Scenario Forecast'!L$24:L$1185,'Customer Scenario Forecast'!$E$20:$E$1181,'Incremental Network SummerFcast'!$A51)+L53),
1*(
SUMIFS('Customer Scenario Forecast'!L$24:L$1185,'Customer Scenario Forecast'!$C$20:$C$1181,'Incremental Network SummerFcast'!$A51,'Customer Scenario Forecast'!$H$20:$H$1181,'Incremental Network SummerFcast'!$H$1)+
SUMIFS('Customer Scenario Forecast'!L$24:L$1185,'Customer Scenario Forecast'!$D$20:$D$1181,'Incremental Network SummerFcast'!$A51,'Customer Scenario Forecast'!$H$20:$H$1181,'Incremental Network SummerFcast'!$H$1)+
SUMIFS('Customer Scenario Forecast'!L$24:L$1185,'Customer Scenario Forecast'!$E$20:$E$1181,'Incremental Network SummerFcast'!$A51,'Customer Scenario Forecast'!$H$20:$H$1181,'Incremental Network SummerFcast'!$H$1)+L53))</f>
        <v>15.581223333984754</v>
      </c>
    </row>
    <row r="57" spans="1:12" ht="15" thickBot="1">
      <c r="A57" s="197" t="s">
        <v>109</v>
      </c>
      <c r="B57" s="198">
        <f ca="1">IF($H$1="",
1*(
SUMIFS('Customer Scenario Forecast'!B$25:B$1186,'Customer Scenario Forecast'!$C$20:$C$1181,'Incremental Network SummerFcast'!$A51)+
SUMIFS('Customer Scenario Forecast'!B$25:B$1186,'Customer Scenario Forecast'!$D$20:$D$1181,'Incremental Network SummerFcast'!$A51)+
SUMIFS('Customer Scenario Forecast'!B$25:B$1186,'Customer Scenario Forecast'!$E$20:$E$1181,'Incremental Network SummerFcast'!$A51)+B53),
1*(
SUMIFS('Customer Scenario Forecast'!B$25:B$1186,'Customer Scenario Forecast'!$C$20:$C$1181,'Incremental Network SummerFcast'!$A51,'Customer Scenario Forecast'!$H$20:$H$1181,'Incremental Network SummerFcast'!$H$1)+
SUMIFS('Customer Scenario Forecast'!B$25:B$1186,'Customer Scenario Forecast'!$D$20:$D$1181,'Incremental Network SummerFcast'!$A51,'Customer Scenario Forecast'!$H$20:$H$1181,'Incremental Network SummerFcast'!$H$1)+
SUMIFS('Customer Scenario Forecast'!B$25:B$1186,'Customer Scenario Forecast'!$E$20:$E$1181,'Incremental Network SummerFcast'!$A51,'Customer Scenario Forecast'!$H$20:$H$1181,'Incremental Network SummerFcast'!$H$1)+B53))</f>
        <v>0</v>
      </c>
      <c r="C57" s="198">
        <f ca="1">IF($H$1="",
1*(
SUMIFS('Customer Scenario Forecast'!C$25:C$1186,'Customer Scenario Forecast'!$C$20:$C$1181,'Incremental Network SummerFcast'!$A51)+
SUMIFS('Customer Scenario Forecast'!C$25:C$1186,'Customer Scenario Forecast'!$D$20:$D$1181,'Incremental Network SummerFcast'!$A51)+
SUMIFS('Customer Scenario Forecast'!C$25:C$1186,'Customer Scenario Forecast'!$E$20:$E$1181,'Incremental Network SummerFcast'!$A51)+C53),
1*(
SUMIFS('Customer Scenario Forecast'!C$25:C$1186,'Customer Scenario Forecast'!$C$20:$C$1181,'Incremental Network SummerFcast'!$A51,'Customer Scenario Forecast'!$H$20:$H$1181,'Incremental Network SummerFcast'!$H$1)+
SUMIFS('Customer Scenario Forecast'!C$25:C$1186,'Customer Scenario Forecast'!$D$20:$D$1181,'Incremental Network SummerFcast'!$A51,'Customer Scenario Forecast'!$H$20:$H$1181,'Incremental Network SummerFcast'!$H$1)+
SUMIFS('Customer Scenario Forecast'!C$25:C$1186,'Customer Scenario Forecast'!$E$20:$E$1181,'Incremental Network SummerFcast'!$A51,'Customer Scenario Forecast'!$H$20:$H$1181,'Incremental Network SummerFcast'!$H$1)+C53))</f>
        <v>0</v>
      </c>
      <c r="D57" s="198">
        <f ca="1">IF($H$1="",
1*(
SUMIFS('Customer Scenario Forecast'!D$25:D$1186,'Customer Scenario Forecast'!$C$20:$C$1181,'Incremental Network SummerFcast'!$A51)+
SUMIFS('Customer Scenario Forecast'!D$25:D$1186,'Customer Scenario Forecast'!$D$20:$D$1181,'Incremental Network SummerFcast'!$A51)+
SUMIFS('Customer Scenario Forecast'!D$25:D$1186,'Customer Scenario Forecast'!$E$20:$E$1181,'Incremental Network SummerFcast'!$A51)+D53),
1*(
SUMIFS('Customer Scenario Forecast'!D$25:D$1186,'Customer Scenario Forecast'!$C$20:$C$1181,'Incremental Network SummerFcast'!$A51,'Customer Scenario Forecast'!$H$20:$H$1181,'Incremental Network SummerFcast'!$H$1)+
SUMIFS('Customer Scenario Forecast'!D$25:D$1186,'Customer Scenario Forecast'!$D$20:$D$1181,'Incremental Network SummerFcast'!$A51,'Customer Scenario Forecast'!$H$20:$H$1181,'Incremental Network SummerFcast'!$H$1)+
SUMIFS('Customer Scenario Forecast'!D$25:D$1186,'Customer Scenario Forecast'!$E$20:$E$1181,'Incremental Network SummerFcast'!$A51,'Customer Scenario Forecast'!$H$20:$H$1181,'Incremental Network SummerFcast'!$H$1)+D53))</f>
        <v>0</v>
      </c>
      <c r="E57" s="198">
        <f ca="1">IF($H$1="",
1*(
SUMIFS('Customer Scenario Forecast'!E$25:E$1186,'Customer Scenario Forecast'!$C$20:$C$1181,'Incremental Network SummerFcast'!$A51)+
SUMIFS('Customer Scenario Forecast'!E$25:E$1186,'Customer Scenario Forecast'!$D$20:$D$1181,'Incremental Network SummerFcast'!$A51)+
SUMIFS('Customer Scenario Forecast'!E$25:E$1186,'Customer Scenario Forecast'!$E$20:$E$1181,'Incremental Network SummerFcast'!$A51)+E53),
1*(
SUMIFS('Customer Scenario Forecast'!E$25:E$1186,'Customer Scenario Forecast'!$C$20:$C$1181,'Incremental Network SummerFcast'!$A51,'Customer Scenario Forecast'!$H$20:$H$1181,'Incremental Network SummerFcast'!$H$1)+
SUMIFS('Customer Scenario Forecast'!E$25:E$1186,'Customer Scenario Forecast'!$D$20:$D$1181,'Incremental Network SummerFcast'!$A51,'Customer Scenario Forecast'!$H$20:$H$1181,'Incremental Network SummerFcast'!$H$1)+
SUMIFS('Customer Scenario Forecast'!E$25:E$1186,'Customer Scenario Forecast'!$E$20:$E$1181,'Incremental Network SummerFcast'!$A51,'Customer Scenario Forecast'!$H$20:$H$1181,'Incremental Network SummerFcast'!$H$1)+E53))</f>
        <v>5.8500788222265641</v>
      </c>
      <c r="F57" s="198">
        <f ca="1">IF($H$1="",
1*(
SUMIFS('Customer Scenario Forecast'!F$25:F$1186,'Customer Scenario Forecast'!$C$20:$C$1181,'Incremental Network SummerFcast'!$A51)+
SUMIFS('Customer Scenario Forecast'!F$25:F$1186,'Customer Scenario Forecast'!$D$20:$D$1181,'Incremental Network SummerFcast'!$A51)+
SUMIFS('Customer Scenario Forecast'!F$25:F$1186,'Customer Scenario Forecast'!$E$20:$E$1181,'Incremental Network SummerFcast'!$A51)+F53),
1*(
SUMIFS('Customer Scenario Forecast'!F$25:F$1186,'Customer Scenario Forecast'!$C$20:$C$1181,'Incremental Network SummerFcast'!$A51,'Customer Scenario Forecast'!$H$20:$H$1181,'Incremental Network SummerFcast'!$H$1)+
SUMIFS('Customer Scenario Forecast'!F$25:F$1186,'Customer Scenario Forecast'!$D$20:$D$1181,'Incremental Network SummerFcast'!$A51,'Customer Scenario Forecast'!$H$20:$H$1181,'Incremental Network SummerFcast'!$H$1)+
SUMIFS('Customer Scenario Forecast'!F$25:F$1186,'Customer Scenario Forecast'!$E$20:$E$1181,'Incremental Network SummerFcast'!$A51,'Customer Scenario Forecast'!$H$20:$H$1181,'Incremental Network SummerFcast'!$H$1)+F53))</f>
        <v>8.3355550127027556</v>
      </c>
      <c r="G57" s="198">
        <f ca="1">IF($H$1="",
1*(
SUMIFS('Customer Scenario Forecast'!G$25:G$1186,'Customer Scenario Forecast'!$C$20:$C$1181,'Incremental Network SummerFcast'!$A51)+
SUMIFS('Customer Scenario Forecast'!G$25:G$1186,'Customer Scenario Forecast'!$D$20:$D$1181,'Incremental Network SummerFcast'!$A51)+
SUMIFS('Customer Scenario Forecast'!G$25:G$1186,'Customer Scenario Forecast'!$E$20:$E$1181,'Incremental Network SummerFcast'!$A51)+G53),
1*(
SUMIFS('Customer Scenario Forecast'!G$25:G$1186,'Customer Scenario Forecast'!$C$20:$C$1181,'Incremental Network SummerFcast'!$A51,'Customer Scenario Forecast'!$H$20:$H$1181,'Incremental Network SummerFcast'!$H$1)+
SUMIFS('Customer Scenario Forecast'!G$25:G$1186,'Customer Scenario Forecast'!$D$20:$D$1181,'Incremental Network SummerFcast'!$A51,'Customer Scenario Forecast'!$H$20:$H$1181,'Incremental Network SummerFcast'!$H$1)+
SUMIFS('Customer Scenario Forecast'!G$25:G$1186,'Customer Scenario Forecast'!$E$20:$E$1181,'Incremental Network SummerFcast'!$A51,'Customer Scenario Forecast'!$H$20:$H$1181,'Incremental Network SummerFcast'!$H$1)+G53))</f>
        <v>10.181269298417043</v>
      </c>
      <c r="H57" s="198">
        <f ca="1">IF($H$1="",
1*(
SUMIFS('Customer Scenario Forecast'!H$25:H$1186,'Customer Scenario Forecast'!$C$20:$C$1181,'Incremental Network SummerFcast'!$A51)+
SUMIFS('Customer Scenario Forecast'!H$25:H$1186,'Customer Scenario Forecast'!$D$20:$D$1181,'Incremental Network SummerFcast'!$A51)+
SUMIFS('Customer Scenario Forecast'!H$25:H$1186,'Customer Scenario Forecast'!$E$20:$E$1181,'Incremental Network SummerFcast'!$A51)+H53),
1*(
SUMIFS('Customer Scenario Forecast'!H$25:H$1186,'Customer Scenario Forecast'!$C$20:$C$1181,'Incremental Network SummerFcast'!$A51,'Customer Scenario Forecast'!$H$20:$H$1181,'Incremental Network SummerFcast'!$H$1)+
SUMIFS('Customer Scenario Forecast'!H$25:H$1186,'Customer Scenario Forecast'!$D$20:$D$1181,'Incremental Network SummerFcast'!$A51,'Customer Scenario Forecast'!$H$20:$H$1181,'Incremental Network SummerFcast'!$H$1)+
SUMIFS('Customer Scenario Forecast'!H$25:H$1186,'Customer Scenario Forecast'!$E$20:$E$1181,'Incremental Network SummerFcast'!$A51,'Customer Scenario Forecast'!$H$20:$H$1181,'Incremental Network SummerFcast'!$H$1)+H53))</f>
        <v>15.691935965083708</v>
      </c>
      <c r="I57" s="198">
        <f ca="1">IF($H$1="",
1*(
SUMIFS('Customer Scenario Forecast'!I$25:I$1186,'Customer Scenario Forecast'!$C$20:$C$1181,'Incremental Network SummerFcast'!$A51)+
SUMIFS('Customer Scenario Forecast'!I$25:I$1186,'Customer Scenario Forecast'!$D$20:$D$1181,'Incremental Network SummerFcast'!$A51)+
SUMIFS('Customer Scenario Forecast'!I$25:I$1186,'Customer Scenario Forecast'!$E$20:$E$1181,'Incremental Network SummerFcast'!$A51)+I53),
1*(
SUMIFS('Customer Scenario Forecast'!I$25:I$1186,'Customer Scenario Forecast'!$C$20:$C$1181,'Incremental Network SummerFcast'!$A51,'Customer Scenario Forecast'!$H$20:$H$1181,'Incremental Network SummerFcast'!$H$1)+
SUMIFS('Customer Scenario Forecast'!I$25:I$1186,'Customer Scenario Forecast'!$D$20:$D$1181,'Incremental Network SummerFcast'!$A51,'Customer Scenario Forecast'!$H$20:$H$1181,'Incremental Network SummerFcast'!$H$1)+
SUMIFS('Customer Scenario Forecast'!I$25:I$1186,'Customer Scenario Forecast'!$E$20:$E$1181,'Incremental Network SummerFcast'!$A51,'Customer Scenario Forecast'!$H$20:$H$1181,'Incremental Network SummerFcast'!$H$1)+I53))</f>
        <v>23.506849859943973</v>
      </c>
      <c r="J57" s="198">
        <f ca="1">IF($H$1="",
1*(
SUMIFS('Customer Scenario Forecast'!J$25:J$1186,'Customer Scenario Forecast'!$C$20:$C$1181,'Incremental Network SummerFcast'!$A51)+
SUMIFS('Customer Scenario Forecast'!J$25:J$1186,'Customer Scenario Forecast'!$D$20:$D$1181,'Incremental Network SummerFcast'!$A51)+
SUMIFS('Customer Scenario Forecast'!J$25:J$1186,'Customer Scenario Forecast'!$E$20:$E$1181,'Incremental Network SummerFcast'!$A51)+J53),
1*(
SUMIFS('Customer Scenario Forecast'!J$25:J$1186,'Customer Scenario Forecast'!$C$20:$C$1181,'Incremental Network SummerFcast'!$A51,'Customer Scenario Forecast'!$H$20:$H$1181,'Incremental Network SummerFcast'!$H$1)+
SUMIFS('Customer Scenario Forecast'!J$25:J$1186,'Customer Scenario Forecast'!$D$20:$D$1181,'Incremental Network SummerFcast'!$A51,'Customer Scenario Forecast'!$H$20:$H$1181,'Incremental Network SummerFcast'!$H$1)+
SUMIFS('Customer Scenario Forecast'!J$25:J$1186,'Customer Scenario Forecast'!$E$20:$E$1181,'Incremental Network SummerFcast'!$A51,'Customer Scenario Forecast'!$H$20:$H$1181,'Incremental Network SummerFcast'!$H$1)+J53))</f>
        <v>29.191786828219655</v>
      </c>
      <c r="K57" s="198">
        <f ca="1">IF($H$1="",
1*(
SUMIFS('Customer Scenario Forecast'!K$25:K$1186,'Customer Scenario Forecast'!$C$20:$C$1181,'Incremental Network SummerFcast'!$A51)+
SUMIFS('Customer Scenario Forecast'!K$25:K$1186,'Customer Scenario Forecast'!$D$20:$D$1181,'Incremental Network SummerFcast'!$A51)+
SUMIFS('Customer Scenario Forecast'!K$25:K$1186,'Customer Scenario Forecast'!$E$20:$E$1181,'Incremental Network SummerFcast'!$A51)+K53),
1*(
SUMIFS('Customer Scenario Forecast'!K$25:K$1186,'Customer Scenario Forecast'!$C$20:$C$1181,'Incremental Network SummerFcast'!$A51,'Customer Scenario Forecast'!$H$20:$H$1181,'Incremental Network SummerFcast'!$H$1)+
SUMIFS('Customer Scenario Forecast'!K$25:K$1186,'Customer Scenario Forecast'!$D$20:$D$1181,'Incremental Network SummerFcast'!$A51,'Customer Scenario Forecast'!$H$20:$H$1181,'Incremental Network SummerFcast'!$H$1)+
SUMIFS('Customer Scenario Forecast'!K$25:K$1186,'Customer Scenario Forecast'!$E$20:$E$1181,'Incremental Network SummerFcast'!$A51,'Customer Scenario Forecast'!$H$20:$H$1181,'Incremental Network SummerFcast'!$H$1)+K53))</f>
        <v>34.876923249299722</v>
      </c>
      <c r="L57" s="198">
        <f ca="1">IF($H$1="",
1*(
SUMIFS('Customer Scenario Forecast'!L$25:L$1186,'Customer Scenario Forecast'!$C$20:$C$1181,'Incremental Network SummerFcast'!$A51)+
SUMIFS('Customer Scenario Forecast'!L$25:L$1186,'Customer Scenario Forecast'!$D$20:$D$1181,'Incremental Network SummerFcast'!$A51)+
SUMIFS('Customer Scenario Forecast'!L$25:L$1186,'Customer Scenario Forecast'!$E$20:$E$1181,'Incremental Network SummerFcast'!$A51)+L53),
1*(
SUMIFS('Customer Scenario Forecast'!L$25:L$1186,'Customer Scenario Forecast'!$C$20:$C$1181,'Incremental Network SummerFcast'!$A51,'Customer Scenario Forecast'!$H$20:$H$1181,'Incremental Network SummerFcast'!$H$1)+
SUMIFS('Customer Scenario Forecast'!L$25:L$1186,'Customer Scenario Forecast'!$D$20:$D$1181,'Incremental Network SummerFcast'!$A51,'Customer Scenario Forecast'!$H$20:$H$1181,'Incremental Network SummerFcast'!$H$1)+
SUMIFS('Customer Scenario Forecast'!L$25:L$1186,'Customer Scenario Forecast'!$E$20:$E$1181,'Incremental Network SummerFcast'!$A51,'Customer Scenario Forecast'!$H$20:$H$1181,'Incremental Network SummerFcast'!$H$1)+L53))</f>
        <v>42.491288942739878</v>
      </c>
    </row>
    <row r="58" spans="1:12" ht="15.6" thickTop="1" thickBot="1">
      <c r="A58" s="197" t="s">
        <v>148</v>
      </c>
      <c r="B58" s="198">
        <f ca="1">'Incremental Network SummerFcast'!$B$245*B55+'Incremental Network SummerFcast'!$B$246*B56+'Incremental Network SummerFcast'!$B$247*B57</f>
        <v>0</v>
      </c>
      <c r="C58" s="198">
        <f ca="1">'Incremental Network SummerFcast'!$B$245*C55+'Incremental Network SummerFcast'!$B$246*C56+'Incremental Network SummerFcast'!$B$247*C57</f>
        <v>0</v>
      </c>
      <c r="D58" s="198">
        <f ca="1">'Incremental Network SummerFcast'!$B$245*D55+'Incremental Network SummerFcast'!$B$246*D56+'Incremental Network SummerFcast'!$B$247*D57</f>
        <v>0</v>
      </c>
      <c r="E58" s="198">
        <f ca="1">'Incremental Network SummerFcast'!$B$245*E55+'Incremental Network SummerFcast'!$B$246*E56+'Incremental Network SummerFcast'!$B$247*E57</f>
        <v>1.462519705556641</v>
      </c>
      <c r="F58" s="198">
        <f ca="1">'Incremental Network SummerFcast'!$B$245*F55+'Incremental Network SummerFcast'!$B$246*F56+'Incremental Network SummerFcast'!$B$247*F57</f>
        <v>4.7164242231776434</v>
      </c>
      <c r="G58" s="198">
        <f ca="1">'Incremental Network SummerFcast'!$B$245*G55+'Incremental Network SummerFcast'!$B$246*G56+'Incremental Network SummerFcast'!$B$247*G57</f>
        <v>7.1738289036544849</v>
      </c>
      <c r="H58" s="198">
        <f ca="1">'Incremental Network SummerFcast'!$B$245*H55+'Incremental Network SummerFcast'!$B$246*H56+'Incremental Network SummerFcast'!$B$247*H57</f>
        <v>9.7548884274640102</v>
      </c>
      <c r="I58" s="198">
        <f ca="1">'Incremental Network SummerFcast'!$B$245*I55+'Incremental Network SummerFcast'!$B$246*I56+'Incremental Network SummerFcast'!$B$247*I57</f>
        <v>14.465274044036217</v>
      </c>
      <c r="J58" s="198">
        <f ca="1">'Incremental Network SummerFcast'!$B$245*J55+'Incremental Network SummerFcast'!$B$246*J56+'Incremental Network SummerFcast'!$B$247*J57</f>
        <v>19.767663311836358</v>
      </c>
      <c r="K58" s="198">
        <f ca="1">'Incremental Network SummerFcast'!$B$245*K55+'Incremental Network SummerFcast'!$B$246*K56+'Incremental Network SummerFcast'!$B$247*K57</f>
        <v>24.383748946322712</v>
      </c>
      <c r="L58" s="198">
        <f ca="1">'Incremental Network SummerFcast'!$B$245*L55+'Incremental Network SummerFcast'!$B$246*L56+'Incremental Network SummerFcast'!$B$247*L57</f>
        <v>27.458770237443815</v>
      </c>
    </row>
    <row r="59" spans="1:12" ht="15.6" thickTop="1" thickBot="1">
      <c r="A59" s="188" t="s">
        <v>131</v>
      </c>
      <c r="B59" s="216"/>
      <c r="C59" s="190"/>
      <c r="D59" s="190"/>
      <c r="E59" s="190"/>
      <c r="F59" s="190"/>
      <c r="G59" s="190"/>
      <c r="H59" s="190"/>
      <c r="I59" s="190"/>
      <c r="J59" s="190"/>
      <c r="K59" s="190"/>
      <c r="L59" s="190"/>
    </row>
    <row r="60" spans="1:12" ht="15" thickBot="1">
      <c r="A60" s="191" t="str">
        <f>A52</f>
        <v>Uptake Scenario</v>
      </c>
      <c r="B60" s="191">
        <f t="shared" ref="B60:L60" si="7">B52</f>
        <v>2023</v>
      </c>
      <c r="C60" s="191">
        <f t="shared" si="7"/>
        <v>2024</v>
      </c>
      <c r="D60" s="191">
        <f t="shared" si="7"/>
        <v>2025</v>
      </c>
      <c r="E60" s="191">
        <f t="shared" si="7"/>
        <v>2026</v>
      </c>
      <c r="F60" s="191">
        <f t="shared" si="7"/>
        <v>2027</v>
      </c>
      <c r="G60" s="191">
        <f t="shared" si="7"/>
        <v>2028</v>
      </c>
      <c r="H60" s="191">
        <f t="shared" si="7"/>
        <v>2029</v>
      </c>
      <c r="I60" s="191">
        <f t="shared" si="7"/>
        <v>2030</v>
      </c>
      <c r="J60" s="191">
        <f t="shared" si="7"/>
        <v>2031</v>
      </c>
      <c r="K60" s="191">
        <f t="shared" si="7"/>
        <v>2032</v>
      </c>
      <c r="L60" s="191">
        <f t="shared" si="7"/>
        <v>2033</v>
      </c>
    </row>
    <row r="61" spans="1:12" ht="15.6" thickTop="1" thickBot="1">
      <c r="A61" s="193"/>
      <c r="B61" s="206"/>
      <c r="C61" s="206"/>
      <c r="D61" s="206"/>
      <c r="E61" s="206"/>
      <c r="F61" s="206"/>
      <c r="G61" s="206"/>
      <c r="H61" s="206"/>
      <c r="I61" s="206"/>
      <c r="J61" s="206"/>
      <c r="K61" s="215"/>
      <c r="L61" s="215"/>
    </row>
    <row r="62" spans="1:12" ht="15" thickBot="1">
      <c r="A62" s="193" t="s">
        <v>111</v>
      </c>
      <c r="B62" s="194">
        <f ca="1">IF($H$1="",
SUMIFS('Customer Scenario Forecast'!B$22:B$1183,'Customer Scenario Forecast'!$C$20:$C$1181,'Incremental Network SummerFcast'!$A59)+
SUMIFS('Customer Scenario Forecast'!B$22:B$1183,'Customer Scenario Forecast'!$D$20:$D$1181,'Incremental Network SummerFcast'!$A59)+
SUMIFS('Customer Scenario Forecast'!B$22:B$1183,'Customer Scenario Forecast'!$E$20:$E$1181,'Incremental Network SummerFcast'!$A59),
SUMIFS('Customer Scenario Forecast'!B$22:B$1183,'Customer Scenario Forecast'!$C$20:$C$1181,'Incremental Network SummerFcast'!$A59,'Customer Scenario Forecast'!$H$20:$H$1181,'Incremental Network SummerFcast'!$H$1)+
SUMIFS('Customer Scenario Forecast'!B$22:B$1183,'Customer Scenario Forecast'!$D$20:$D$1181,'Incremental Network SummerFcast'!$A59,'Customer Scenario Forecast'!$H$20:$H$1181,'Incremental Network SummerFcast'!$H$1)+
SUMIFS('Customer Scenario Forecast'!B$22:B$1183,'Customer Scenario Forecast'!$E$20:$E$1181,'Incremental Network SummerFcast'!$A59,'Customer Scenario Forecast'!$H$20:$H$1181,'Incremental Network SummerFcast'!$H$1))</f>
        <v>0</v>
      </c>
      <c r="C62" s="194">
        <f ca="1">IF($H$1="",
SUMIFS('Customer Scenario Forecast'!C$22:C$1183,'Customer Scenario Forecast'!$C$20:$C$1181,'Incremental Network SummerFcast'!$A59)+
SUMIFS('Customer Scenario Forecast'!C$22:C$1183,'Customer Scenario Forecast'!$D$20:$D$1181,'Incremental Network SummerFcast'!$A59)+
SUMIFS('Customer Scenario Forecast'!C$22:C$1183,'Customer Scenario Forecast'!$E$20:$E$1181,'Incremental Network SummerFcast'!$A59),
SUMIFS('Customer Scenario Forecast'!C$22:C$1183,'Customer Scenario Forecast'!$C$20:$C$1181,'Incremental Network SummerFcast'!$A59,'Customer Scenario Forecast'!$H$20:$H$1181,'Incremental Network SummerFcast'!$H$1)+
SUMIFS('Customer Scenario Forecast'!C$22:C$1183,'Customer Scenario Forecast'!$D$20:$D$1181,'Incremental Network SummerFcast'!$A59,'Customer Scenario Forecast'!$H$20:$H$1181,'Incremental Network SummerFcast'!$H$1)+
SUMIFS('Customer Scenario Forecast'!C$22:C$1183,'Customer Scenario Forecast'!$E$20:$E$1181,'Incremental Network SummerFcast'!$A59,'Customer Scenario Forecast'!$H$20:$H$1181,'Incremental Network SummerFcast'!$H$1))</f>
        <v>0</v>
      </c>
      <c r="D62" s="194">
        <f ca="1">IF($H$1="",
SUMIFS('Customer Scenario Forecast'!D$22:D$1183,'Customer Scenario Forecast'!$C$20:$C$1181,'Incremental Network SummerFcast'!$A59)+
SUMIFS('Customer Scenario Forecast'!D$22:D$1183,'Customer Scenario Forecast'!$D$20:$D$1181,'Incremental Network SummerFcast'!$A59)+
SUMIFS('Customer Scenario Forecast'!D$22:D$1183,'Customer Scenario Forecast'!$E$20:$E$1181,'Incremental Network SummerFcast'!$A59),
SUMIFS('Customer Scenario Forecast'!D$22:D$1183,'Customer Scenario Forecast'!$C$20:$C$1181,'Incremental Network SummerFcast'!$A59,'Customer Scenario Forecast'!$H$20:$H$1181,'Incremental Network SummerFcast'!$H$1)+
SUMIFS('Customer Scenario Forecast'!D$22:D$1183,'Customer Scenario Forecast'!$D$20:$D$1181,'Incremental Network SummerFcast'!$A59,'Customer Scenario Forecast'!$H$20:$H$1181,'Incremental Network SummerFcast'!$H$1)+
SUMIFS('Customer Scenario Forecast'!D$22:D$1183,'Customer Scenario Forecast'!$E$20:$E$1181,'Incremental Network SummerFcast'!$A59,'Customer Scenario Forecast'!$H$20:$H$1181,'Incremental Network SummerFcast'!$H$1))</f>
        <v>0</v>
      </c>
      <c r="E62" s="194">
        <f ca="1">IF($H$1="",
SUMIFS('Customer Scenario Forecast'!E$22:E$1183,'Customer Scenario Forecast'!$C$20:$C$1181,'Incremental Network SummerFcast'!$A59)+
SUMIFS('Customer Scenario Forecast'!E$22:E$1183,'Customer Scenario Forecast'!$D$20:$D$1181,'Incremental Network SummerFcast'!$A59)+
SUMIFS('Customer Scenario Forecast'!E$22:E$1183,'Customer Scenario Forecast'!$E$20:$E$1181,'Incremental Network SummerFcast'!$A59),
SUMIFS('Customer Scenario Forecast'!E$22:E$1183,'Customer Scenario Forecast'!$C$20:$C$1181,'Incremental Network SummerFcast'!$A59,'Customer Scenario Forecast'!$H$20:$H$1181,'Incremental Network SummerFcast'!$H$1)+
SUMIFS('Customer Scenario Forecast'!E$22:E$1183,'Customer Scenario Forecast'!$D$20:$D$1181,'Incremental Network SummerFcast'!$A59,'Customer Scenario Forecast'!$H$20:$H$1181,'Incremental Network SummerFcast'!$H$1)+
SUMIFS('Customer Scenario Forecast'!E$22:E$1183,'Customer Scenario Forecast'!$E$20:$E$1181,'Incremental Network SummerFcast'!$A59,'Customer Scenario Forecast'!$H$20:$H$1181,'Incremental Network SummerFcast'!$H$1))</f>
        <v>0</v>
      </c>
      <c r="F62" s="194">
        <f ca="1">IF($H$1="",
SUMIFS('Customer Scenario Forecast'!F$22:F$1183,'Customer Scenario Forecast'!$C$20:$C$1181,'Incremental Network SummerFcast'!$A59)+
SUMIFS('Customer Scenario Forecast'!F$22:F$1183,'Customer Scenario Forecast'!$D$20:$D$1181,'Incremental Network SummerFcast'!$A59)+
SUMIFS('Customer Scenario Forecast'!F$22:F$1183,'Customer Scenario Forecast'!$E$20:$E$1181,'Incremental Network SummerFcast'!$A59),
SUMIFS('Customer Scenario Forecast'!F$22:F$1183,'Customer Scenario Forecast'!$C$20:$C$1181,'Incremental Network SummerFcast'!$A59,'Customer Scenario Forecast'!$H$20:$H$1181,'Incremental Network SummerFcast'!$H$1)+
SUMIFS('Customer Scenario Forecast'!F$22:F$1183,'Customer Scenario Forecast'!$D$20:$D$1181,'Incremental Network SummerFcast'!$A59,'Customer Scenario Forecast'!$H$20:$H$1181,'Incremental Network SummerFcast'!$H$1)+
SUMIFS('Customer Scenario Forecast'!F$22:F$1183,'Customer Scenario Forecast'!$E$20:$E$1181,'Incremental Network SummerFcast'!$A59,'Customer Scenario Forecast'!$H$20:$H$1181,'Incremental Network SummerFcast'!$H$1))</f>
        <v>0</v>
      </c>
      <c r="G62" s="194">
        <f ca="1">IF($H$1="",
SUMIFS('Customer Scenario Forecast'!G$22:G$1183,'Customer Scenario Forecast'!$C$20:$C$1181,'Incremental Network SummerFcast'!$A59)+
SUMIFS('Customer Scenario Forecast'!G$22:G$1183,'Customer Scenario Forecast'!$D$20:$D$1181,'Incremental Network SummerFcast'!$A59)+
SUMIFS('Customer Scenario Forecast'!G$22:G$1183,'Customer Scenario Forecast'!$E$20:$E$1181,'Incremental Network SummerFcast'!$A59),
SUMIFS('Customer Scenario Forecast'!G$22:G$1183,'Customer Scenario Forecast'!$C$20:$C$1181,'Incremental Network SummerFcast'!$A59,'Customer Scenario Forecast'!$H$20:$H$1181,'Incremental Network SummerFcast'!$H$1)+
SUMIFS('Customer Scenario Forecast'!G$22:G$1183,'Customer Scenario Forecast'!$D$20:$D$1181,'Incremental Network SummerFcast'!$A59,'Customer Scenario Forecast'!$H$20:$H$1181,'Incremental Network SummerFcast'!$H$1)+
SUMIFS('Customer Scenario Forecast'!G$22:G$1183,'Customer Scenario Forecast'!$E$20:$E$1181,'Incremental Network SummerFcast'!$A59,'Customer Scenario Forecast'!$H$20:$H$1181,'Incremental Network SummerFcast'!$H$1))</f>
        <v>0</v>
      </c>
      <c r="H62" s="194">
        <f ca="1">IF($H$1="",
SUMIFS('Customer Scenario Forecast'!H$22:H$1183,'Customer Scenario Forecast'!$C$20:$C$1181,'Incremental Network SummerFcast'!$A59)+
SUMIFS('Customer Scenario Forecast'!H$22:H$1183,'Customer Scenario Forecast'!$D$20:$D$1181,'Incremental Network SummerFcast'!$A59)+
SUMIFS('Customer Scenario Forecast'!H$22:H$1183,'Customer Scenario Forecast'!$E$20:$E$1181,'Incremental Network SummerFcast'!$A59),
SUMIFS('Customer Scenario Forecast'!H$22:H$1183,'Customer Scenario Forecast'!$C$20:$C$1181,'Incremental Network SummerFcast'!$A59,'Customer Scenario Forecast'!$H$20:$H$1181,'Incremental Network SummerFcast'!$H$1)+
SUMIFS('Customer Scenario Forecast'!H$22:H$1183,'Customer Scenario Forecast'!$D$20:$D$1181,'Incremental Network SummerFcast'!$A59,'Customer Scenario Forecast'!$H$20:$H$1181,'Incremental Network SummerFcast'!$H$1)+
SUMIFS('Customer Scenario Forecast'!H$22:H$1183,'Customer Scenario Forecast'!$E$20:$E$1181,'Incremental Network SummerFcast'!$A59,'Customer Scenario Forecast'!$H$20:$H$1181,'Incremental Network SummerFcast'!$H$1))</f>
        <v>0</v>
      </c>
      <c r="I62" s="194">
        <f ca="1">IF($H$1="",
SUMIFS('Customer Scenario Forecast'!I$22:I$1183,'Customer Scenario Forecast'!$C$20:$C$1181,'Incremental Network SummerFcast'!$A59)+
SUMIFS('Customer Scenario Forecast'!I$22:I$1183,'Customer Scenario Forecast'!$D$20:$D$1181,'Incremental Network SummerFcast'!$A59)+
SUMIFS('Customer Scenario Forecast'!I$22:I$1183,'Customer Scenario Forecast'!$E$20:$E$1181,'Incremental Network SummerFcast'!$A59),
SUMIFS('Customer Scenario Forecast'!I$22:I$1183,'Customer Scenario Forecast'!$C$20:$C$1181,'Incremental Network SummerFcast'!$A59,'Customer Scenario Forecast'!$H$20:$H$1181,'Incremental Network SummerFcast'!$H$1)+
SUMIFS('Customer Scenario Forecast'!I$22:I$1183,'Customer Scenario Forecast'!$D$20:$D$1181,'Incremental Network SummerFcast'!$A59,'Customer Scenario Forecast'!$H$20:$H$1181,'Incremental Network SummerFcast'!$H$1)+
SUMIFS('Customer Scenario Forecast'!I$22:I$1183,'Customer Scenario Forecast'!$E$20:$E$1181,'Incremental Network SummerFcast'!$A59,'Customer Scenario Forecast'!$H$20:$H$1181,'Incremental Network SummerFcast'!$H$1))</f>
        <v>0</v>
      </c>
      <c r="J62" s="194">
        <f ca="1">IF($H$1="",
SUMIFS('Customer Scenario Forecast'!J$22:J$1183,'Customer Scenario Forecast'!$C$20:$C$1181,'Incremental Network SummerFcast'!$A59)+
SUMIFS('Customer Scenario Forecast'!J$22:J$1183,'Customer Scenario Forecast'!$D$20:$D$1181,'Incremental Network SummerFcast'!$A59)+
SUMIFS('Customer Scenario Forecast'!J$22:J$1183,'Customer Scenario Forecast'!$E$20:$E$1181,'Incremental Network SummerFcast'!$A59),
SUMIFS('Customer Scenario Forecast'!J$22:J$1183,'Customer Scenario Forecast'!$C$20:$C$1181,'Incremental Network SummerFcast'!$A59,'Customer Scenario Forecast'!$H$20:$H$1181,'Incremental Network SummerFcast'!$H$1)+
SUMIFS('Customer Scenario Forecast'!J$22:J$1183,'Customer Scenario Forecast'!$D$20:$D$1181,'Incremental Network SummerFcast'!$A59,'Customer Scenario Forecast'!$H$20:$H$1181,'Incremental Network SummerFcast'!$H$1)+
SUMIFS('Customer Scenario Forecast'!J$22:J$1183,'Customer Scenario Forecast'!$E$20:$E$1181,'Incremental Network SummerFcast'!$A59,'Customer Scenario Forecast'!$H$20:$H$1181,'Incremental Network SummerFcast'!$H$1))</f>
        <v>23.400315288906256</v>
      </c>
      <c r="K62" s="194">
        <f ca="1">IF($H$1="",
SUMIFS('Customer Scenario Forecast'!K$22:K$1183,'Customer Scenario Forecast'!$C$20:$C$1181,'Incremental Network SummerFcast'!$A59)+
SUMIFS('Customer Scenario Forecast'!K$22:K$1183,'Customer Scenario Forecast'!$D$20:$D$1181,'Incremental Network SummerFcast'!$A59)+
SUMIFS('Customer Scenario Forecast'!K$22:K$1183,'Customer Scenario Forecast'!$E$20:$E$1181,'Incremental Network SummerFcast'!$A59),
SUMIFS('Customer Scenario Forecast'!K$22:K$1183,'Customer Scenario Forecast'!$C$20:$C$1181,'Incremental Network SummerFcast'!$A59,'Customer Scenario Forecast'!$H$20:$H$1181,'Incremental Network SummerFcast'!$H$1)+
SUMIFS('Customer Scenario Forecast'!K$22:K$1183,'Customer Scenario Forecast'!$D$20:$D$1181,'Incremental Network SummerFcast'!$A59,'Customer Scenario Forecast'!$H$20:$H$1181,'Incremental Network SummerFcast'!$H$1)+
SUMIFS('Customer Scenario Forecast'!K$22:K$1183,'Customer Scenario Forecast'!$E$20:$E$1181,'Incremental Network SummerFcast'!$A59,'Customer Scenario Forecast'!$H$20:$H$1181,'Incremental Network SummerFcast'!$H$1))</f>
        <v>59.667574750830561</v>
      </c>
      <c r="L62" s="194">
        <f ca="1">IF($H$1="",
SUMIFS('Customer Scenario Forecast'!L$22:L$1183,'Customer Scenario Forecast'!$C$20:$C$1181,'Incremental Network SummerFcast'!$A59)+
SUMIFS('Customer Scenario Forecast'!L$22:L$1183,'Customer Scenario Forecast'!$D$20:$D$1181,'Incremental Network SummerFcast'!$A59)+
SUMIFS('Customer Scenario Forecast'!L$22:L$1183,'Customer Scenario Forecast'!$E$20:$E$1181,'Incremental Network SummerFcast'!$A59),
SUMIFS('Customer Scenario Forecast'!L$22:L$1183,'Customer Scenario Forecast'!$C$20:$C$1181,'Incremental Network SummerFcast'!$A59,'Customer Scenario Forecast'!$H$20:$H$1181,'Incremental Network SummerFcast'!$H$1)+
SUMIFS('Customer Scenario Forecast'!L$22:L$1183,'Customer Scenario Forecast'!$D$20:$D$1181,'Incremental Network SummerFcast'!$A59,'Customer Scenario Forecast'!$H$20:$H$1181,'Incremental Network SummerFcast'!$H$1)+
SUMIFS('Customer Scenario Forecast'!L$22:L$1183,'Customer Scenario Forecast'!$E$20:$E$1181,'Incremental Network SummerFcast'!$A59,'Customer Scenario Forecast'!$H$20:$H$1181,'Incremental Network SummerFcast'!$H$1))</f>
        <v>78.235074750830563</v>
      </c>
    </row>
    <row r="63" spans="1:12" ht="15" thickBot="1">
      <c r="A63" s="195" t="s">
        <v>107</v>
      </c>
      <c r="B63" s="196">
        <f ca="1">IF($H$1="",
1*(
SUMIFS('Customer Scenario Forecast'!B$23:B$1184,'Customer Scenario Forecast'!$C$20:$C$1181,'Incremental Network SummerFcast'!$A59)+
SUMIFS('Customer Scenario Forecast'!B$23:B$1184,'Customer Scenario Forecast'!$D$20:$D$1181,'Incremental Network SummerFcast'!$A59)+
SUMIFS('Customer Scenario Forecast'!B$23:B$1184,'Customer Scenario Forecast'!$E$20:$E$1181,'Incremental Network SummerFcast'!$A59)+B61),
1*(
SUMIFS('Customer Scenario Forecast'!B$23:B$1184,'Customer Scenario Forecast'!$C$20:$C$1181,'Incremental Network SummerFcast'!$A59,'Customer Scenario Forecast'!$H$20:$H$1181,'Incremental Network SummerFcast'!$H$1)+
SUMIFS('Customer Scenario Forecast'!B$23:B$1184,'Customer Scenario Forecast'!$D$20:$D$1181,'Incremental Network SummerFcast'!$A59,'Customer Scenario Forecast'!$H$20:$H$1181,'Incremental Network SummerFcast'!$H$1)+
SUMIFS('Customer Scenario Forecast'!B$23:B$1184,'Customer Scenario Forecast'!$E$20:$E$1181,'Incremental Network SummerFcast'!$A59,'Customer Scenario Forecast'!$H$20:$H$1181,'Incremental Network SummerFcast'!$H$1)+B61))</f>
        <v>0</v>
      </c>
      <c r="C63" s="196">
        <f ca="1">IF($H$1="",
1*(
SUMIFS('Customer Scenario Forecast'!C$23:C$1184,'Customer Scenario Forecast'!$C$20:$C$1181,'Incremental Network SummerFcast'!$A59)+
SUMIFS('Customer Scenario Forecast'!C$23:C$1184,'Customer Scenario Forecast'!$D$20:$D$1181,'Incremental Network SummerFcast'!$A59)+
SUMIFS('Customer Scenario Forecast'!C$23:C$1184,'Customer Scenario Forecast'!$E$20:$E$1181,'Incremental Network SummerFcast'!$A59)+C61),
1*(
SUMIFS('Customer Scenario Forecast'!C$23:C$1184,'Customer Scenario Forecast'!$C$20:$C$1181,'Incremental Network SummerFcast'!$A59,'Customer Scenario Forecast'!$H$20:$H$1181,'Incremental Network SummerFcast'!$H$1)+
SUMIFS('Customer Scenario Forecast'!C$23:C$1184,'Customer Scenario Forecast'!$D$20:$D$1181,'Incremental Network SummerFcast'!$A59,'Customer Scenario Forecast'!$H$20:$H$1181,'Incremental Network SummerFcast'!$H$1)+
SUMIFS('Customer Scenario Forecast'!C$23:C$1184,'Customer Scenario Forecast'!$E$20:$E$1181,'Incremental Network SummerFcast'!$A59,'Customer Scenario Forecast'!$H$20:$H$1181,'Incremental Network SummerFcast'!$H$1)+C61))</f>
        <v>0</v>
      </c>
      <c r="D63" s="196">
        <f ca="1">IF($H$1="",
1*(
SUMIFS('Customer Scenario Forecast'!D$23:D$1184,'Customer Scenario Forecast'!$C$20:$C$1181,'Incremental Network SummerFcast'!$A59)+
SUMIFS('Customer Scenario Forecast'!D$23:D$1184,'Customer Scenario Forecast'!$D$20:$D$1181,'Incremental Network SummerFcast'!$A59)+
SUMIFS('Customer Scenario Forecast'!D$23:D$1184,'Customer Scenario Forecast'!$E$20:$E$1181,'Incremental Network SummerFcast'!$A59)+D61),
1*(
SUMIFS('Customer Scenario Forecast'!D$23:D$1184,'Customer Scenario Forecast'!$C$20:$C$1181,'Incremental Network SummerFcast'!$A59,'Customer Scenario Forecast'!$H$20:$H$1181,'Incremental Network SummerFcast'!$H$1)+
SUMIFS('Customer Scenario Forecast'!D$23:D$1184,'Customer Scenario Forecast'!$D$20:$D$1181,'Incremental Network SummerFcast'!$A59,'Customer Scenario Forecast'!$H$20:$H$1181,'Incremental Network SummerFcast'!$H$1)+
SUMIFS('Customer Scenario Forecast'!D$23:D$1184,'Customer Scenario Forecast'!$E$20:$E$1181,'Incremental Network SummerFcast'!$A59,'Customer Scenario Forecast'!$H$20:$H$1181,'Incremental Network SummerFcast'!$H$1)+D61))</f>
        <v>0</v>
      </c>
      <c r="E63" s="196">
        <f ca="1">IF($H$1="",
1*(
SUMIFS('Customer Scenario Forecast'!E$23:E$1184,'Customer Scenario Forecast'!$C$20:$C$1181,'Incremental Network SummerFcast'!$A59)+
SUMIFS('Customer Scenario Forecast'!E$23:E$1184,'Customer Scenario Forecast'!$D$20:$D$1181,'Incremental Network SummerFcast'!$A59)+
SUMIFS('Customer Scenario Forecast'!E$23:E$1184,'Customer Scenario Forecast'!$E$20:$E$1181,'Incremental Network SummerFcast'!$A59)+E61),
1*(
SUMIFS('Customer Scenario Forecast'!E$23:E$1184,'Customer Scenario Forecast'!$C$20:$C$1181,'Incremental Network SummerFcast'!$A59,'Customer Scenario Forecast'!$H$20:$H$1181,'Incremental Network SummerFcast'!$H$1)+
SUMIFS('Customer Scenario Forecast'!E$23:E$1184,'Customer Scenario Forecast'!$D$20:$D$1181,'Incremental Network SummerFcast'!$A59,'Customer Scenario Forecast'!$H$20:$H$1181,'Incremental Network SummerFcast'!$H$1)+
SUMIFS('Customer Scenario Forecast'!E$23:E$1184,'Customer Scenario Forecast'!$E$20:$E$1181,'Incremental Network SummerFcast'!$A59,'Customer Scenario Forecast'!$H$20:$H$1181,'Incremental Network SummerFcast'!$H$1)+E61))</f>
        <v>0</v>
      </c>
      <c r="F63" s="196">
        <f ca="1">IF($H$1="",
1*(
SUMIFS('Customer Scenario Forecast'!F$23:F$1184,'Customer Scenario Forecast'!$C$20:$C$1181,'Incremental Network SummerFcast'!$A59)+
SUMIFS('Customer Scenario Forecast'!F$23:F$1184,'Customer Scenario Forecast'!$D$20:$D$1181,'Incremental Network SummerFcast'!$A59)+
SUMIFS('Customer Scenario Forecast'!F$23:F$1184,'Customer Scenario Forecast'!$E$20:$E$1181,'Incremental Network SummerFcast'!$A59)+F61),
1*(
SUMIFS('Customer Scenario Forecast'!F$23:F$1184,'Customer Scenario Forecast'!$C$20:$C$1181,'Incremental Network SummerFcast'!$A59,'Customer Scenario Forecast'!$H$20:$H$1181,'Incremental Network SummerFcast'!$H$1)+
SUMIFS('Customer Scenario Forecast'!F$23:F$1184,'Customer Scenario Forecast'!$D$20:$D$1181,'Incremental Network SummerFcast'!$A59,'Customer Scenario Forecast'!$H$20:$H$1181,'Incremental Network SummerFcast'!$H$1)+
SUMIFS('Customer Scenario Forecast'!F$23:F$1184,'Customer Scenario Forecast'!$E$20:$E$1181,'Incremental Network SummerFcast'!$A59,'Customer Scenario Forecast'!$H$20:$H$1181,'Incremental Network SummerFcast'!$H$1)+F61))</f>
        <v>0</v>
      </c>
      <c r="G63" s="196">
        <f ca="1">IF($H$1="",
1*(
SUMIFS('Customer Scenario Forecast'!G$23:G$1184,'Customer Scenario Forecast'!$C$20:$C$1181,'Incremental Network SummerFcast'!$A59)+
SUMIFS('Customer Scenario Forecast'!G$23:G$1184,'Customer Scenario Forecast'!$D$20:$D$1181,'Incremental Network SummerFcast'!$A59)+
SUMIFS('Customer Scenario Forecast'!G$23:G$1184,'Customer Scenario Forecast'!$E$20:$E$1181,'Incremental Network SummerFcast'!$A59)+G61),
1*(
SUMIFS('Customer Scenario Forecast'!G$23:G$1184,'Customer Scenario Forecast'!$C$20:$C$1181,'Incremental Network SummerFcast'!$A59,'Customer Scenario Forecast'!$H$20:$H$1181,'Incremental Network SummerFcast'!$H$1)+
SUMIFS('Customer Scenario Forecast'!G$23:G$1184,'Customer Scenario Forecast'!$D$20:$D$1181,'Incremental Network SummerFcast'!$A59,'Customer Scenario Forecast'!$H$20:$H$1181,'Incremental Network SummerFcast'!$H$1)+
SUMIFS('Customer Scenario Forecast'!G$23:G$1184,'Customer Scenario Forecast'!$E$20:$E$1181,'Incremental Network SummerFcast'!$A59,'Customer Scenario Forecast'!$H$20:$H$1181,'Incremental Network SummerFcast'!$H$1)+G61))</f>
        <v>0</v>
      </c>
      <c r="H63" s="196">
        <f ca="1">IF($H$1="",
1*(
SUMIFS('Customer Scenario Forecast'!H$23:H$1184,'Customer Scenario Forecast'!$C$20:$C$1181,'Incremental Network SummerFcast'!$A59)+
SUMIFS('Customer Scenario Forecast'!H$23:H$1184,'Customer Scenario Forecast'!$D$20:$D$1181,'Incremental Network SummerFcast'!$A59)+
SUMIFS('Customer Scenario Forecast'!H$23:H$1184,'Customer Scenario Forecast'!$E$20:$E$1181,'Incremental Network SummerFcast'!$A59)+H61),
1*(
SUMIFS('Customer Scenario Forecast'!H$23:H$1184,'Customer Scenario Forecast'!$C$20:$C$1181,'Incremental Network SummerFcast'!$A59,'Customer Scenario Forecast'!$H$20:$H$1181,'Incremental Network SummerFcast'!$H$1)+
SUMIFS('Customer Scenario Forecast'!H$23:H$1184,'Customer Scenario Forecast'!$D$20:$D$1181,'Incremental Network SummerFcast'!$A59,'Customer Scenario Forecast'!$H$20:$H$1181,'Incremental Network SummerFcast'!$H$1)+
SUMIFS('Customer Scenario Forecast'!H$23:H$1184,'Customer Scenario Forecast'!$E$20:$E$1181,'Incremental Network SummerFcast'!$A59,'Customer Scenario Forecast'!$H$20:$H$1181,'Incremental Network SummerFcast'!$H$1)+H61))</f>
        <v>0</v>
      </c>
      <c r="I63" s="196">
        <f ca="1">IF($H$1="",
1*(
SUMIFS('Customer Scenario Forecast'!I$23:I$1184,'Customer Scenario Forecast'!$C$20:$C$1181,'Incremental Network SummerFcast'!$A59)+
SUMIFS('Customer Scenario Forecast'!I$23:I$1184,'Customer Scenario Forecast'!$D$20:$D$1181,'Incremental Network SummerFcast'!$A59)+
SUMIFS('Customer Scenario Forecast'!I$23:I$1184,'Customer Scenario Forecast'!$E$20:$E$1181,'Incremental Network SummerFcast'!$A59)+I61),
1*(
SUMIFS('Customer Scenario Forecast'!I$23:I$1184,'Customer Scenario Forecast'!$C$20:$C$1181,'Incremental Network SummerFcast'!$A59,'Customer Scenario Forecast'!$H$20:$H$1181,'Incremental Network SummerFcast'!$H$1)+
SUMIFS('Customer Scenario Forecast'!I$23:I$1184,'Customer Scenario Forecast'!$D$20:$D$1181,'Incremental Network SummerFcast'!$A59,'Customer Scenario Forecast'!$H$20:$H$1181,'Incremental Network SummerFcast'!$H$1)+
SUMIFS('Customer Scenario Forecast'!I$23:I$1184,'Customer Scenario Forecast'!$E$20:$E$1181,'Incremental Network SummerFcast'!$A59,'Customer Scenario Forecast'!$H$20:$H$1181,'Incremental Network SummerFcast'!$H$1)+I61))</f>
        <v>0</v>
      </c>
      <c r="J63" s="196">
        <f ca="1">IF($H$1="",
1*(
SUMIFS('Customer Scenario Forecast'!J$23:J$1184,'Customer Scenario Forecast'!$C$20:$C$1181,'Incremental Network SummerFcast'!$A59)+
SUMIFS('Customer Scenario Forecast'!J$23:J$1184,'Customer Scenario Forecast'!$D$20:$D$1181,'Incremental Network SummerFcast'!$A59)+
SUMIFS('Customer Scenario Forecast'!J$23:J$1184,'Customer Scenario Forecast'!$E$20:$E$1181,'Incremental Network SummerFcast'!$A59)+J61),
1*(
SUMIFS('Customer Scenario Forecast'!J$23:J$1184,'Customer Scenario Forecast'!$C$20:$C$1181,'Incremental Network SummerFcast'!$A59,'Customer Scenario Forecast'!$H$20:$H$1181,'Incremental Network SummerFcast'!$H$1)+
SUMIFS('Customer Scenario Forecast'!J$23:J$1184,'Customer Scenario Forecast'!$D$20:$D$1181,'Incremental Network SummerFcast'!$A59,'Customer Scenario Forecast'!$H$20:$H$1181,'Incremental Network SummerFcast'!$H$1)+
SUMIFS('Customer Scenario Forecast'!J$23:J$1184,'Customer Scenario Forecast'!$E$20:$E$1181,'Incremental Network SummerFcast'!$A59,'Customer Scenario Forecast'!$H$20:$H$1181,'Incremental Network SummerFcast'!$H$1)+J61))</f>
        <v>0</v>
      </c>
      <c r="K63" s="196">
        <f ca="1">IF($H$1="",
1*(
SUMIFS('Customer Scenario Forecast'!K$23:K$1184,'Customer Scenario Forecast'!$C$20:$C$1181,'Incremental Network SummerFcast'!$A59)+
SUMIFS('Customer Scenario Forecast'!K$23:K$1184,'Customer Scenario Forecast'!$D$20:$D$1181,'Incremental Network SummerFcast'!$A59)+
SUMIFS('Customer Scenario Forecast'!K$23:K$1184,'Customer Scenario Forecast'!$E$20:$E$1181,'Incremental Network SummerFcast'!$A59)+K61),
1*(
SUMIFS('Customer Scenario Forecast'!K$23:K$1184,'Customer Scenario Forecast'!$C$20:$C$1181,'Incremental Network SummerFcast'!$A59,'Customer Scenario Forecast'!$H$20:$H$1181,'Incremental Network SummerFcast'!$H$1)+
SUMIFS('Customer Scenario Forecast'!K$23:K$1184,'Customer Scenario Forecast'!$D$20:$D$1181,'Incremental Network SummerFcast'!$A59,'Customer Scenario Forecast'!$H$20:$H$1181,'Incremental Network SummerFcast'!$H$1)+
SUMIFS('Customer Scenario Forecast'!K$23:K$1184,'Customer Scenario Forecast'!$E$20:$E$1181,'Incremental Network SummerFcast'!$A59,'Customer Scenario Forecast'!$H$20:$H$1181,'Incremental Network SummerFcast'!$H$1)+K61))</f>
        <v>0</v>
      </c>
      <c r="L63" s="196">
        <f ca="1">IF($H$1="",
1*(
SUMIFS('Customer Scenario Forecast'!L$23:L$1184,'Customer Scenario Forecast'!$C$20:$C$1181,'Incremental Network SummerFcast'!$A59)+
SUMIFS('Customer Scenario Forecast'!L$23:L$1184,'Customer Scenario Forecast'!$D$20:$D$1181,'Incremental Network SummerFcast'!$A59)+
SUMIFS('Customer Scenario Forecast'!L$23:L$1184,'Customer Scenario Forecast'!$E$20:$E$1181,'Incremental Network SummerFcast'!$A59)+L61),
1*(
SUMIFS('Customer Scenario Forecast'!L$23:L$1184,'Customer Scenario Forecast'!$C$20:$C$1181,'Incremental Network SummerFcast'!$A59,'Customer Scenario Forecast'!$H$20:$H$1181,'Incremental Network SummerFcast'!$H$1)+
SUMIFS('Customer Scenario Forecast'!L$23:L$1184,'Customer Scenario Forecast'!$D$20:$D$1181,'Incremental Network SummerFcast'!$A59,'Customer Scenario Forecast'!$H$20:$H$1181,'Incremental Network SummerFcast'!$H$1)+
SUMIFS('Customer Scenario Forecast'!L$23:L$1184,'Customer Scenario Forecast'!$E$20:$E$1181,'Incremental Network SummerFcast'!$A59,'Customer Scenario Forecast'!$H$20:$H$1181,'Incremental Network SummerFcast'!$H$1)+L61))</f>
        <v>0</v>
      </c>
    </row>
    <row r="64" spans="1:12" ht="15" thickBot="1">
      <c r="A64" s="195" t="s">
        <v>108</v>
      </c>
      <c r="B64" s="196">
        <f ca="1">IF($H$1="",
1*(
SUMIFS('Customer Scenario Forecast'!B$24:B$1185,'Customer Scenario Forecast'!$C$20:$C$1181,'Incremental Network SummerFcast'!$A59)+
SUMIFS('Customer Scenario Forecast'!B$24:B$1185,'Customer Scenario Forecast'!$D$20:$D$1181,'Incremental Network SummerFcast'!$A59)+
SUMIFS('Customer Scenario Forecast'!B$24:B$1185,'Customer Scenario Forecast'!$E$20:$E$1181,'Incremental Network SummerFcast'!$A59)+B61),
1*(
SUMIFS('Customer Scenario Forecast'!B$24:B$1185,'Customer Scenario Forecast'!$C$20:$C$1181,'Incremental Network SummerFcast'!$A59,'Customer Scenario Forecast'!$H$20:$H$1181,'Incremental Network SummerFcast'!$H$1)+
SUMIFS('Customer Scenario Forecast'!B$24:B$1185,'Customer Scenario Forecast'!$D$20:$D$1181,'Incremental Network SummerFcast'!$A59,'Customer Scenario Forecast'!$H$20:$H$1181,'Incremental Network SummerFcast'!$H$1)+
SUMIFS('Customer Scenario Forecast'!B$24:B$1185,'Customer Scenario Forecast'!$E$20:$E$1181,'Incremental Network SummerFcast'!$A59,'Customer Scenario Forecast'!$H$20:$H$1181,'Incremental Network SummerFcast'!$H$1)+B61))</f>
        <v>0</v>
      </c>
      <c r="C64" s="196">
        <f ca="1">IF($H$1="",
1*(
SUMIFS('Customer Scenario Forecast'!C$24:C$1185,'Customer Scenario Forecast'!$C$20:$C$1181,'Incremental Network SummerFcast'!$A59)+
SUMIFS('Customer Scenario Forecast'!C$24:C$1185,'Customer Scenario Forecast'!$D$20:$D$1181,'Incremental Network SummerFcast'!$A59)+
SUMIFS('Customer Scenario Forecast'!C$24:C$1185,'Customer Scenario Forecast'!$E$20:$E$1181,'Incremental Network SummerFcast'!$A59)+C61),
1*(
SUMIFS('Customer Scenario Forecast'!C$24:C$1185,'Customer Scenario Forecast'!$C$20:$C$1181,'Incremental Network SummerFcast'!$A59,'Customer Scenario Forecast'!$H$20:$H$1181,'Incremental Network SummerFcast'!$H$1)+
SUMIFS('Customer Scenario Forecast'!C$24:C$1185,'Customer Scenario Forecast'!$D$20:$D$1181,'Incremental Network SummerFcast'!$A59,'Customer Scenario Forecast'!$H$20:$H$1181,'Incremental Network SummerFcast'!$H$1)+
SUMIFS('Customer Scenario Forecast'!C$24:C$1185,'Customer Scenario Forecast'!$E$20:$E$1181,'Incremental Network SummerFcast'!$A59,'Customer Scenario Forecast'!$H$20:$H$1181,'Incremental Network SummerFcast'!$H$1)+C61))</f>
        <v>0</v>
      </c>
      <c r="D64" s="196">
        <f ca="1">IF($H$1="",
1*(
SUMIFS('Customer Scenario Forecast'!D$24:D$1185,'Customer Scenario Forecast'!$C$20:$C$1181,'Incremental Network SummerFcast'!$A59)+
SUMIFS('Customer Scenario Forecast'!D$24:D$1185,'Customer Scenario Forecast'!$D$20:$D$1181,'Incremental Network SummerFcast'!$A59)+
SUMIFS('Customer Scenario Forecast'!D$24:D$1185,'Customer Scenario Forecast'!$E$20:$E$1181,'Incremental Network SummerFcast'!$A59)+D61),
1*(
SUMIFS('Customer Scenario Forecast'!D$24:D$1185,'Customer Scenario Forecast'!$C$20:$C$1181,'Incremental Network SummerFcast'!$A59,'Customer Scenario Forecast'!$H$20:$H$1181,'Incremental Network SummerFcast'!$H$1)+
SUMIFS('Customer Scenario Forecast'!D$24:D$1185,'Customer Scenario Forecast'!$D$20:$D$1181,'Incremental Network SummerFcast'!$A59,'Customer Scenario Forecast'!$H$20:$H$1181,'Incremental Network SummerFcast'!$H$1)+
SUMIFS('Customer Scenario Forecast'!D$24:D$1185,'Customer Scenario Forecast'!$E$20:$E$1181,'Incremental Network SummerFcast'!$A59,'Customer Scenario Forecast'!$H$20:$H$1181,'Incremental Network SummerFcast'!$H$1)+D61))</f>
        <v>0</v>
      </c>
      <c r="E64" s="196">
        <f ca="1">IF($H$1="",
1*(
SUMIFS('Customer Scenario Forecast'!E$24:E$1185,'Customer Scenario Forecast'!$C$20:$C$1181,'Incremental Network SummerFcast'!$A59)+
SUMIFS('Customer Scenario Forecast'!E$24:E$1185,'Customer Scenario Forecast'!$D$20:$D$1181,'Incremental Network SummerFcast'!$A59)+
SUMIFS('Customer Scenario Forecast'!E$24:E$1185,'Customer Scenario Forecast'!$E$20:$E$1181,'Incremental Network SummerFcast'!$A59)+E61),
1*(
SUMIFS('Customer Scenario Forecast'!E$24:E$1185,'Customer Scenario Forecast'!$C$20:$C$1181,'Incremental Network SummerFcast'!$A59,'Customer Scenario Forecast'!$H$20:$H$1181,'Incremental Network SummerFcast'!$H$1)+
SUMIFS('Customer Scenario Forecast'!E$24:E$1185,'Customer Scenario Forecast'!$D$20:$D$1181,'Incremental Network SummerFcast'!$A59,'Customer Scenario Forecast'!$H$20:$H$1181,'Incremental Network SummerFcast'!$H$1)+
SUMIFS('Customer Scenario Forecast'!E$24:E$1185,'Customer Scenario Forecast'!$E$20:$E$1181,'Incremental Network SummerFcast'!$A59,'Customer Scenario Forecast'!$H$20:$H$1181,'Incremental Network SummerFcast'!$H$1)+E61))</f>
        <v>0</v>
      </c>
      <c r="F64" s="196">
        <f ca="1">IF($H$1="",
1*(
SUMIFS('Customer Scenario Forecast'!F$24:F$1185,'Customer Scenario Forecast'!$C$20:$C$1181,'Incremental Network SummerFcast'!$A59)+
SUMIFS('Customer Scenario Forecast'!F$24:F$1185,'Customer Scenario Forecast'!$D$20:$D$1181,'Incremental Network SummerFcast'!$A59)+
SUMIFS('Customer Scenario Forecast'!F$24:F$1185,'Customer Scenario Forecast'!$E$20:$E$1181,'Incremental Network SummerFcast'!$A59)+F61),
1*(
SUMIFS('Customer Scenario Forecast'!F$24:F$1185,'Customer Scenario Forecast'!$C$20:$C$1181,'Incremental Network SummerFcast'!$A59,'Customer Scenario Forecast'!$H$20:$H$1181,'Incremental Network SummerFcast'!$H$1)+
SUMIFS('Customer Scenario Forecast'!F$24:F$1185,'Customer Scenario Forecast'!$D$20:$D$1181,'Incremental Network SummerFcast'!$A59,'Customer Scenario Forecast'!$H$20:$H$1181,'Incremental Network SummerFcast'!$H$1)+
SUMIFS('Customer Scenario Forecast'!F$24:F$1185,'Customer Scenario Forecast'!$E$20:$E$1181,'Incremental Network SummerFcast'!$A59,'Customer Scenario Forecast'!$H$20:$H$1181,'Incremental Network SummerFcast'!$H$1)+F61))</f>
        <v>0</v>
      </c>
      <c r="G64" s="196">
        <f ca="1">IF($H$1="",
1*(
SUMIFS('Customer Scenario Forecast'!G$24:G$1185,'Customer Scenario Forecast'!$C$20:$C$1181,'Incremental Network SummerFcast'!$A59)+
SUMIFS('Customer Scenario Forecast'!G$24:G$1185,'Customer Scenario Forecast'!$D$20:$D$1181,'Incremental Network SummerFcast'!$A59)+
SUMIFS('Customer Scenario Forecast'!G$24:G$1185,'Customer Scenario Forecast'!$E$20:$E$1181,'Incremental Network SummerFcast'!$A59)+G61),
1*(
SUMIFS('Customer Scenario Forecast'!G$24:G$1185,'Customer Scenario Forecast'!$C$20:$C$1181,'Incremental Network SummerFcast'!$A59,'Customer Scenario Forecast'!$H$20:$H$1181,'Incremental Network SummerFcast'!$H$1)+
SUMIFS('Customer Scenario Forecast'!G$24:G$1185,'Customer Scenario Forecast'!$D$20:$D$1181,'Incremental Network SummerFcast'!$A59,'Customer Scenario Forecast'!$H$20:$H$1181,'Incremental Network SummerFcast'!$H$1)+
SUMIFS('Customer Scenario Forecast'!G$24:G$1185,'Customer Scenario Forecast'!$E$20:$E$1181,'Incremental Network SummerFcast'!$A59,'Customer Scenario Forecast'!$H$20:$H$1181,'Incremental Network SummerFcast'!$H$1)+G61))</f>
        <v>0</v>
      </c>
      <c r="H64" s="196">
        <f ca="1">IF($H$1="",
1*(
SUMIFS('Customer Scenario Forecast'!H$24:H$1185,'Customer Scenario Forecast'!$C$20:$C$1181,'Incremental Network SummerFcast'!$A59)+
SUMIFS('Customer Scenario Forecast'!H$24:H$1185,'Customer Scenario Forecast'!$D$20:$D$1181,'Incremental Network SummerFcast'!$A59)+
SUMIFS('Customer Scenario Forecast'!H$24:H$1185,'Customer Scenario Forecast'!$E$20:$E$1181,'Incremental Network SummerFcast'!$A59)+H61),
1*(
SUMIFS('Customer Scenario Forecast'!H$24:H$1185,'Customer Scenario Forecast'!$C$20:$C$1181,'Incremental Network SummerFcast'!$A59,'Customer Scenario Forecast'!$H$20:$H$1181,'Incremental Network SummerFcast'!$H$1)+
SUMIFS('Customer Scenario Forecast'!H$24:H$1185,'Customer Scenario Forecast'!$D$20:$D$1181,'Incremental Network SummerFcast'!$A59,'Customer Scenario Forecast'!$H$20:$H$1181,'Incremental Network SummerFcast'!$H$1)+
SUMIFS('Customer Scenario Forecast'!H$24:H$1185,'Customer Scenario Forecast'!$E$20:$E$1181,'Incremental Network SummerFcast'!$A59,'Customer Scenario Forecast'!$H$20:$H$1181,'Incremental Network SummerFcast'!$H$1)+H61))</f>
        <v>0</v>
      </c>
      <c r="I64" s="196">
        <f ca="1">IF($H$1="",
1*(
SUMIFS('Customer Scenario Forecast'!I$24:I$1185,'Customer Scenario Forecast'!$C$20:$C$1181,'Incremental Network SummerFcast'!$A59)+
SUMIFS('Customer Scenario Forecast'!I$24:I$1185,'Customer Scenario Forecast'!$D$20:$D$1181,'Incremental Network SummerFcast'!$A59)+
SUMIFS('Customer Scenario Forecast'!I$24:I$1185,'Customer Scenario Forecast'!$E$20:$E$1181,'Incremental Network SummerFcast'!$A59)+I61),
1*(
SUMIFS('Customer Scenario Forecast'!I$24:I$1185,'Customer Scenario Forecast'!$C$20:$C$1181,'Incremental Network SummerFcast'!$A59,'Customer Scenario Forecast'!$H$20:$H$1181,'Incremental Network SummerFcast'!$H$1)+
SUMIFS('Customer Scenario Forecast'!I$24:I$1185,'Customer Scenario Forecast'!$D$20:$D$1181,'Incremental Network SummerFcast'!$A59,'Customer Scenario Forecast'!$H$20:$H$1181,'Incremental Network SummerFcast'!$H$1)+
SUMIFS('Customer Scenario Forecast'!I$24:I$1185,'Customer Scenario Forecast'!$E$20:$E$1181,'Incremental Network SummerFcast'!$A59,'Customer Scenario Forecast'!$H$20:$H$1181,'Incremental Network SummerFcast'!$H$1)+I61))</f>
        <v>0</v>
      </c>
      <c r="J64" s="196">
        <f ca="1">IF($H$1="",
1*(
SUMIFS('Customer Scenario Forecast'!J$24:J$1185,'Customer Scenario Forecast'!$C$20:$C$1181,'Incremental Network SummerFcast'!$A59)+
SUMIFS('Customer Scenario Forecast'!J$24:J$1185,'Customer Scenario Forecast'!$D$20:$D$1181,'Incremental Network SummerFcast'!$A59)+
SUMIFS('Customer Scenario Forecast'!J$24:J$1185,'Customer Scenario Forecast'!$E$20:$E$1181,'Incremental Network SummerFcast'!$A59)+J61),
1*(
SUMIFS('Customer Scenario Forecast'!J$24:J$1185,'Customer Scenario Forecast'!$C$20:$C$1181,'Incremental Network SummerFcast'!$A59,'Customer Scenario Forecast'!$H$20:$H$1181,'Incremental Network SummerFcast'!$H$1)+
SUMIFS('Customer Scenario Forecast'!J$24:J$1185,'Customer Scenario Forecast'!$D$20:$D$1181,'Incremental Network SummerFcast'!$A59,'Customer Scenario Forecast'!$H$20:$H$1181,'Incremental Network SummerFcast'!$H$1)+
SUMIFS('Customer Scenario Forecast'!J$24:J$1185,'Customer Scenario Forecast'!$E$20:$E$1181,'Incremental Network SummerFcast'!$A59,'Customer Scenario Forecast'!$H$20:$H$1181,'Incremental Network SummerFcast'!$H$1)+J61))</f>
        <v>0</v>
      </c>
      <c r="K64" s="196">
        <f ca="1">IF($H$1="",
1*(
SUMIFS('Customer Scenario Forecast'!K$24:K$1185,'Customer Scenario Forecast'!$C$20:$C$1181,'Incremental Network SummerFcast'!$A59)+
SUMIFS('Customer Scenario Forecast'!K$24:K$1185,'Customer Scenario Forecast'!$D$20:$D$1181,'Incremental Network SummerFcast'!$A59)+
SUMIFS('Customer Scenario Forecast'!K$24:K$1185,'Customer Scenario Forecast'!$E$20:$E$1181,'Incremental Network SummerFcast'!$A59)+K61),
1*(
SUMIFS('Customer Scenario Forecast'!K$24:K$1185,'Customer Scenario Forecast'!$C$20:$C$1181,'Incremental Network SummerFcast'!$A59,'Customer Scenario Forecast'!$H$20:$H$1181,'Incremental Network SummerFcast'!$H$1)+
SUMIFS('Customer Scenario Forecast'!K$24:K$1185,'Customer Scenario Forecast'!$D$20:$D$1181,'Incremental Network SummerFcast'!$A59,'Customer Scenario Forecast'!$H$20:$H$1181,'Incremental Network SummerFcast'!$H$1)+
SUMIFS('Customer Scenario Forecast'!K$24:K$1185,'Customer Scenario Forecast'!$E$20:$E$1181,'Incremental Network SummerFcast'!$A59,'Customer Scenario Forecast'!$H$20:$H$1181,'Incremental Network SummerFcast'!$H$1)+K61))</f>
        <v>0</v>
      </c>
      <c r="L64" s="196">
        <f ca="1">IF($H$1="",
1*(
SUMIFS('Customer Scenario Forecast'!L$24:L$1185,'Customer Scenario Forecast'!$C$20:$C$1181,'Incremental Network SummerFcast'!$A59)+
SUMIFS('Customer Scenario Forecast'!L$24:L$1185,'Customer Scenario Forecast'!$D$20:$D$1181,'Incremental Network SummerFcast'!$A59)+
SUMIFS('Customer Scenario Forecast'!L$24:L$1185,'Customer Scenario Forecast'!$E$20:$E$1181,'Incremental Network SummerFcast'!$A59)+L61),
1*(
SUMIFS('Customer Scenario Forecast'!L$24:L$1185,'Customer Scenario Forecast'!$C$20:$C$1181,'Incremental Network SummerFcast'!$A59,'Customer Scenario Forecast'!$H$20:$H$1181,'Incremental Network SummerFcast'!$H$1)+
SUMIFS('Customer Scenario Forecast'!L$24:L$1185,'Customer Scenario Forecast'!$D$20:$D$1181,'Incremental Network SummerFcast'!$A59,'Customer Scenario Forecast'!$H$20:$H$1181,'Incremental Network SummerFcast'!$H$1)+
SUMIFS('Customer Scenario Forecast'!L$24:L$1185,'Customer Scenario Forecast'!$E$20:$E$1181,'Incremental Network SummerFcast'!$A59,'Customer Scenario Forecast'!$H$20:$H$1181,'Incremental Network SummerFcast'!$H$1)+L61))</f>
        <v>0</v>
      </c>
    </row>
    <row r="65" spans="1:12" ht="15" thickBot="1">
      <c r="A65" s="197" t="s">
        <v>109</v>
      </c>
      <c r="B65" s="198">
        <f ca="1">IF($H$1="",
1*(
SUMIFS('Customer Scenario Forecast'!B$25:B$1186,'Customer Scenario Forecast'!$C$20:$C$1181,'Incremental Network SummerFcast'!$A59)+
SUMIFS('Customer Scenario Forecast'!B$25:B$1186,'Customer Scenario Forecast'!$D$20:$D$1181,'Incremental Network SummerFcast'!$A59)+
SUMIFS('Customer Scenario Forecast'!B$25:B$1186,'Customer Scenario Forecast'!$E$20:$E$1181,'Incremental Network SummerFcast'!$A59)+B61),
1*(
SUMIFS('Customer Scenario Forecast'!B$25:B$1186,'Customer Scenario Forecast'!$C$20:$C$1181,'Incremental Network SummerFcast'!$A59,'Customer Scenario Forecast'!$H$20:$H$1181,'Incremental Network SummerFcast'!$H$1)+
SUMIFS('Customer Scenario Forecast'!B$25:B$1186,'Customer Scenario Forecast'!$D$20:$D$1181,'Incremental Network SummerFcast'!$A59,'Customer Scenario Forecast'!$H$20:$H$1181,'Incremental Network SummerFcast'!$H$1)+
SUMIFS('Customer Scenario Forecast'!B$25:B$1186,'Customer Scenario Forecast'!$E$20:$E$1181,'Incremental Network SummerFcast'!$A59,'Customer Scenario Forecast'!$H$20:$H$1181,'Incremental Network SummerFcast'!$H$1)+B61))</f>
        <v>0</v>
      </c>
      <c r="C65" s="198">
        <f ca="1">IF($H$1="",
1*(
SUMIFS('Customer Scenario Forecast'!C$25:C$1186,'Customer Scenario Forecast'!$C$20:$C$1181,'Incremental Network SummerFcast'!$A59)+
SUMIFS('Customer Scenario Forecast'!C$25:C$1186,'Customer Scenario Forecast'!$D$20:$D$1181,'Incremental Network SummerFcast'!$A59)+
SUMIFS('Customer Scenario Forecast'!C$25:C$1186,'Customer Scenario Forecast'!$E$20:$E$1181,'Incremental Network SummerFcast'!$A59)+C61),
1*(
SUMIFS('Customer Scenario Forecast'!C$25:C$1186,'Customer Scenario Forecast'!$C$20:$C$1181,'Incremental Network SummerFcast'!$A59,'Customer Scenario Forecast'!$H$20:$H$1181,'Incremental Network SummerFcast'!$H$1)+
SUMIFS('Customer Scenario Forecast'!C$25:C$1186,'Customer Scenario Forecast'!$D$20:$D$1181,'Incremental Network SummerFcast'!$A59,'Customer Scenario Forecast'!$H$20:$H$1181,'Incremental Network SummerFcast'!$H$1)+
SUMIFS('Customer Scenario Forecast'!C$25:C$1186,'Customer Scenario Forecast'!$E$20:$E$1181,'Incremental Network SummerFcast'!$A59,'Customer Scenario Forecast'!$H$20:$H$1181,'Incremental Network SummerFcast'!$H$1)+C61))</f>
        <v>0</v>
      </c>
      <c r="D65" s="198">
        <f ca="1">IF($H$1="",
1*(
SUMIFS('Customer Scenario Forecast'!D$25:D$1186,'Customer Scenario Forecast'!$C$20:$C$1181,'Incremental Network SummerFcast'!$A59)+
SUMIFS('Customer Scenario Forecast'!D$25:D$1186,'Customer Scenario Forecast'!$D$20:$D$1181,'Incremental Network SummerFcast'!$A59)+
SUMIFS('Customer Scenario Forecast'!D$25:D$1186,'Customer Scenario Forecast'!$E$20:$E$1181,'Incremental Network SummerFcast'!$A59)+D61),
1*(
SUMIFS('Customer Scenario Forecast'!D$25:D$1186,'Customer Scenario Forecast'!$C$20:$C$1181,'Incremental Network SummerFcast'!$A59,'Customer Scenario Forecast'!$H$20:$H$1181,'Incremental Network SummerFcast'!$H$1)+
SUMIFS('Customer Scenario Forecast'!D$25:D$1186,'Customer Scenario Forecast'!$D$20:$D$1181,'Incremental Network SummerFcast'!$A59,'Customer Scenario Forecast'!$H$20:$H$1181,'Incremental Network SummerFcast'!$H$1)+
SUMIFS('Customer Scenario Forecast'!D$25:D$1186,'Customer Scenario Forecast'!$E$20:$E$1181,'Incremental Network SummerFcast'!$A59,'Customer Scenario Forecast'!$H$20:$H$1181,'Incremental Network SummerFcast'!$H$1)+D61))</f>
        <v>0</v>
      </c>
      <c r="E65" s="198">
        <f ca="1">IF($H$1="",
1*(
SUMIFS('Customer Scenario Forecast'!E$25:E$1186,'Customer Scenario Forecast'!$C$20:$C$1181,'Incremental Network SummerFcast'!$A59)+
SUMIFS('Customer Scenario Forecast'!E$25:E$1186,'Customer Scenario Forecast'!$D$20:$D$1181,'Incremental Network SummerFcast'!$A59)+
SUMIFS('Customer Scenario Forecast'!E$25:E$1186,'Customer Scenario Forecast'!$E$20:$E$1181,'Incremental Network SummerFcast'!$A59)+E61),
1*(
SUMIFS('Customer Scenario Forecast'!E$25:E$1186,'Customer Scenario Forecast'!$C$20:$C$1181,'Incremental Network SummerFcast'!$A59,'Customer Scenario Forecast'!$H$20:$H$1181,'Incremental Network SummerFcast'!$H$1)+
SUMIFS('Customer Scenario Forecast'!E$25:E$1186,'Customer Scenario Forecast'!$D$20:$D$1181,'Incremental Network SummerFcast'!$A59,'Customer Scenario Forecast'!$H$20:$H$1181,'Incremental Network SummerFcast'!$H$1)+
SUMIFS('Customer Scenario Forecast'!E$25:E$1186,'Customer Scenario Forecast'!$E$20:$E$1181,'Incremental Network SummerFcast'!$A59,'Customer Scenario Forecast'!$H$20:$H$1181,'Incremental Network SummerFcast'!$H$1)+E61))</f>
        <v>0</v>
      </c>
      <c r="F65" s="198">
        <f ca="1">IF($H$1="",
1*(
SUMIFS('Customer Scenario Forecast'!F$25:F$1186,'Customer Scenario Forecast'!$C$20:$C$1181,'Incremental Network SummerFcast'!$A59)+
SUMIFS('Customer Scenario Forecast'!F$25:F$1186,'Customer Scenario Forecast'!$D$20:$D$1181,'Incremental Network SummerFcast'!$A59)+
SUMIFS('Customer Scenario Forecast'!F$25:F$1186,'Customer Scenario Forecast'!$E$20:$E$1181,'Incremental Network SummerFcast'!$A59)+F61),
1*(
SUMIFS('Customer Scenario Forecast'!F$25:F$1186,'Customer Scenario Forecast'!$C$20:$C$1181,'Incremental Network SummerFcast'!$A59,'Customer Scenario Forecast'!$H$20:$H$1181,'Incremental Network SummerFcast'!$H$1)+
SUMIFS('Customer Scenario Forecast'!F$25:F$1186,'Customer Scenario Forecast'!$D$20:$D$1181,'Incremental Network SummerFcast'!$A59,'Customer Scenario Forecast'!$H$20:$H$1181,'Incremental Network SummerFcast'!$H$1)+
SUMIFS('Customer Scenario Forecast'!F$25:F$1186,'Customer Scenario Forecast'!$E$20:$E$1181,'Incremental Network SummerFcast'!$A59,'Customer Scenario Forecast'!$H$20:$H$1181,'Incremental Network SummerFcast'!$H$1)+F61))</f>
        <v>0</v>
      </c>
      <c r="G65" s="198">
        <f ca="1">IF($H$1="",
1*(
SUMIFS('Customer Scenario Forecast'!G$25:G$1186,'Customer Scenario Forecast'!$C$20:$C$1181,'Incremental Network SummerFcast'!$A59)+
SUMIFS('Customer Scenario Forecast'!G$25:G$1186,'Customer Scenario Forecast'!$D$20:$D$1181,'Incremental Network SummerFcast'!$A59)+
SUMIFS('Customer Scenario Forecast'!G$25:G$1186,'Customer Scenario Forecast'!$E$20:$E$1181,'Incremental Network SummerFcast'!$A59)+G61),
1*(
SUMIFS('Customer Scenario Forecast'!G$25:G$1186,'Customer Scenario Forecast'!$C$20:$C$1181,'Incremental Network SummerFcast'!$A59,'Customer Scenario Forecast'!$H$20:$H$1181,'Incremental Network SummerFcast'!$H$1)+
SUMIFS('Customer Scenario Forecast'!G$25:G$1186,'Customer Scenario Forecast'!$D$20:$D$1181,'Incremental Network SummerFcast'!$A59,'Customer Scenario Forecast'!$H$20:$H$1181,'Incremental Network SummerFcast'!$H$1)+
SUMIFS('Customer Scenario Forecast'!G$25:G$1186,'Customer Scenario Forecast'!$E$20:$E$1181,'Incremental Network SummerFcast'!$A59,'Customer Scenario Forecast'!$H$20:$H$1181,'Incremental Network SummerFcast'!$H$1)+G61))</f>
        <v>0</v>
      </c>
      <c r="H65" s="198">
        <f ca="1">IF($H$1="",
1*(
SUMIFS('Customer Scenario Forecast'!H$25:H$1186,'Customer Scenario Forecast'!$C$20:$C$1181,'Incremental Network SummerFcast'!$A59)+
SUMIFS('Customer Scenario Forecast'!H$25:H$1186,'Customer Scenario Forecast'!$D$20:$D$1181,'Incremental Network SummerFcast'!$A59)+
SUMIFS('Customer Scenario Forecast'!H$25:H$1186,'Customer Scenario Forecast'!$E$20:$E$1181,'Incremental Network SummerFcast'!$A59)+H61),
1*(
SUMIFS('Customer Scenario Forecast'!H$25:H$1186,'Customer Scenario Forecast'!$C$20:$C$1181,'Incremental Network SummerFcast'!$A59,'Customer Scenario Forecast'!$H$20:$H$1181,'Incremental Network SummerFcast'!$H$1)+
SUMIFS('Customer Scenario Forecast'!H$25:H$1186,'Customer Scenario Forecast'!$D$20:$D$1181,'Incremental Network SummerFcast'!$A59,'Customer Scenario Forecast'!$H$20:$H$1181,'Incremental Network SummerFcast'!$H$1)+
SUMIFS('Customer Scenario Forecast'!H$25:H$1186,'Customer Scenario Forecast'!$E$20:$E$1181,'Incremental Network SummerFcast'!$A59,'Customer Scenario Forecast'!$H$20:$H$1181,'Incremental Network SummerFcast'!$H$1)+H61))</f>
        <v>0</v>
      </c>
      <c r="I65" s="198">
        <f ca="1">IF($H$1="",
1*(
SUMIFS('Customer Scenario Forecast'!I$25:I$1186,'Customer Scenario Forecast'!$C$20:$C$1181,'Incremental Network SummerFcast'!$A59)+
SUMIFS('Customer Scenario Forecast'!I$25:I$1186,'Customer Scenario Forecast'!$D$20:$D$1181,'Incremental Network SummerFcast'!$A59)+
SUMIFS('Customer Scenario Forecast'!I$25:I$1186,'Customer Scenario Forecast'!$E$20:$E$1181,'Incremental Network SummerFcast'!$A59)+I61),
1*(
SUMIFS('Customer Scenario Forecast'!I$25:I$1186,'Customer Scenario Forecast'!$C$20:$C$1181,'Incremental Network SummerFcast'!$A59,'Customer Scenario Forecast'!$H$20:$H$1181,'Incremental Network SummerFcast'!$H$1)+
SUMIFS('Customer Scenario Forecast'!I$25:I$1186,'Customer Scenario Forecast'!$D$20:$D$1181,'Incremental Network SummerFcast'!$A59,'Customer Scenario Forecast'!$H$20:$H$1181,'Incremental Network SummerFcast'!$H$1)+
SUMIFS('Customer Scenario Forecast'!I$25:I$1186,'Customer Scenario Forecast'!$E$20:$E$1181,'Incremental Network SummerFcast'!$A59,'Customer Scenario Forecast'!$H$20:$H$1181,'Incremental Network SummerFcast'!$H$1)+I61))</f>
        <v>0</v>
      </c>
      <c r="J65" s="198">
        <f ca="1">IF($H$1="",
1*(
SUMIFS('Customer Scenario Forecast'!J$25:J$1186,'Customer Scenario Forecast'!$C$20:$C$1181,'Incremental Network SummerFcast'!$A59)+
SUMIFS('Customer Scenario Forecast'!J$25:J$1186,'Customer Scenario Forecast'!$D$20:$D$1181,'Incremental Network SummerFcast'!$A59)+
SUMIFS('Customer Scenario Forecast'!J$25:J$1186,'Customer Scenario Forecast'!$E$20:$E$1181,'Incremental Network SummerFcast'!$A59)+J61),
1*(
SUMIFS('Customer Scenario Forecast'!J$25:J$1186,'Customer Scenario Forecast'!$C$20:$C$1181,'Incremental Network SummerFcast'!$A59,'Customer Scenario Forecast'!$H$20:$H$1181,'Incremental Network SummerFcast'!$H$1)+
SUMIFS('Customer Scenario Forecast'!J$25:J$1186,'Customer Scenario Forecast'!$D$20:$D$1181,'Incremental Network SummerFcast'!$A59,'Customer Scenario Forecast'!$H$20:$H$1181,'Incremental Network SummerFcast'!$H$1)+
SUMIFS('Customer Scenario Forecast'!J$25:J$1186,'Customer Scenario Forecast'!$E$20:$E$1181,'Incremental Network SummerFcast'!$A59,'Customer Scenario Forecast'!$H$20:$H$1181,'Incremental Network SummerFcast'!$H$1)+J61))</f>
        <v>0</v>
      </c>
      <c r="K65" s="198">
        <f ca="1">IF($H$1="",
1*(
SUMIFS('Customer Scenario Forecast'!K$25:K$1186,'Customer Scenario Forecast'!$C$20:$C$1181,'Incremental Network SummerFcast'!$A59)+
SUMIFS('Customer Scenario Forecast'!K$25:K$1186,'Customer Scenario Forecast'!$D$20:$D$1181,'Incremental Network SummerFcast'!$A59)+
SUMIFS('Customer Scenario Forecast'!K$25:K$1186,'Customer Scenario Forecast'!$E$20:$E$1181,'Incremental Network SummerFcast'!$A59)+K61),
1*(
SUMIFS('Customer Scenario Forecast'!K$25:K$1186,'Customer Scenario Forecast'!$C$20:$C$1181,'Incremental Network SummerFcast'!$A59,'Customer Scenario Forecast'!$H$20:$H$1181,'Incremental Network SummerFcast'!$H$1)+
SUMIFS('Customer Scenario Forecast'!K$25:K$1186,'Customer Scenario Forecast'!$D$20:$D$1181,'Incremental Network SummerFcast'!$A59,'Customer Scenario Forecast'!$H$20:$H$1181,'Incremental Network SummerFcast'!$H$1)+
SUMIFS('Customer Scenario Forecast'!K$25:K$1186,'Customer Scenario Forecast'!$E$20:$E$1181,'Incremental Network SummerFcast'!$A59,'Customer Scenario Forecast'!$H$20:$H$1181,'Incremental Network SummerFcast'!$H$1)+K61))</f>
        <v>0</v>
      </c>
      <c r="L65" s="198">
        <f ca="1">IF($H$1="",
1*(
SUMIFS('Customer Scenario Forecast'!L$25:L$1186,'Customer Scenario Forecast'!$C$20:$C$1181,'Incremental Network SummerFcast'!$A59)+
SUMIFS('Customer Scenario Forecast'!L$25:L$1186,'Customer Scenario Forecast'!$D$20:$D$1181,'Incremental Network SummerFcast'!$A59)+
SUMIFS('Customer Scenario Forecast'!L$25:L$1186,'Customer Scenario Forecast'!$E$20:$E$1181,'Incremental Network SummerFcast'!$A59)+L61),
1*(
SUMIFS('Customer Scenario Forecast'!L$25:L$1186,'Customer Scenario Forecast'!$C$20:$C$1181,'Incremental Network SummerFcast'!$A59,'Customer Scenario Forecast'!$H$20:$H$1181,'Incremental Network SummerFcast'!$H$1)+
SUMIFS('Customer Scenario Forecast'!L$25:L$1186,'Customer Scenario Forecast'!$D$20:$D$1181,'Incremental Network SummerFcast'!$A59,'Customer Scenario Forecast'!$H$20:$H$1181,'Incremental Network SummerFcast'!$H$1)+
SUMIFS('Customer Scenario Forecast'!L$25:L$1186,'Customer Scenario Forecast'!$E$20:$E$1181,'Incremental Network SummerFcast'!$A59,'Customer Scenario Forecast'!$H$20:$H$1181,'Incremental Network SummerFcast'!$H$1)+L61))</f>
        <v>0</v>
      </c>
    </row>
    <row r="66" spans="1:12" ht="15.6" thickTop="1" thickBot="1">
      <c r="A66" s="197" t="s">
        <v>148</v>
      </c>
      <c r="B66" s="198">
        <f ca="1">'Incremental Network SummerFcast'!$B$245*B63+'Incremental Network SummerFcast'!$B$246*B64+'Incremental Network SummerFcast'!$B$247*B65</f>
        <v>0</v>
      </c>
      <c r="C66" s="198">
        <f ca="1">'Incremental Network SummerFcast'!$B$245*C63+'Incremental Network SummerFcast'!$B$246*C64+'Incremental Network SummerFcast'!$B$247*C65</f>
        <v>0</v>
      </c>
      <c r="D66" s="198">
        <f ca="1">'Incremental Network SummerFcast'!$B$245*D63+'Incremental Network SummerFcast'!$B$246*D64+'Incremental Network SummerFcast'!$B$247*D65</f>
        <v>0</v>
      </c>
      <c r="E66" s="198">
        <f ca="1">'Incremental Network SummerFcast'!$B$245*E63+'Incremental Network SummerFcast'!$B$246*E64+'Incremental Network SummerFcast'!$B$247*E65</f>
        <v>0</v>
      </c>
      <c r="F66" s="198">
        <f ca="1">'Incremental Network SummerFcast'!$B$245*F63+'Incremental Network SummerFcast'!$B$246*F64+'Incremental Network SummerFcast'!$B$247*F65</f>
        <v>0</v>
      </c>
      <c r="G66" s="198">
        <f ca="1">'Incremental Network SummerFcast'!$B$245*G63+'Incremental Network SummerFcast'!$B$246*G64+'Incremental Network SummerFcast'!$B$247*G65</f>
        <v>0</v>
      </c>
      <c r="H66" s="198">
        <f ca="1">'Incremental Network SummerFcast'!$B$245*H63+'Incremental Network SummerFcast'!$B$246*H64+'Incremental Network SummerFcast'!$B$247*H65</f>
        <v>0</v>
      </c>
      <c r="I66" s="198">
        <f ca="1">'Incremental Network SummerFcast'!$B$245*I63+'Incremental Network SummerFcast'!$B$246*I64+'Incremental Network SummerFcast'!$B$247*I65</f>
        <v>0</v>
      </c>
      <c r="J66" s="198">
        <f ca="1">'Incremental Network SummerFcast'!$B$245*J63+'Incremental Network SummerFcast'!$B$246*J64+'Incremental Network SummerFcast'!$B$247*J65</f>
        <v>0</v>
      </c>
      <c r="K66" s="198">
        <f ca="1">'Incremental Network SummerFcast'!$B$245*K63+'Incremental Network SummerFcast'!$B$246*K64+'Incremental Network SummerFcast'!$B$247*K65</f>
        <v>0</v>
      </c>
      <c r="L66" s="198">
        <f ca="1">'Incremental Network SummerFcast'!$B$245*L63+'Incremental Network SummerFcast'!$B$246*L64+'Incremental Network SummerFcast'!$B$247*L65</f>
        <v>0</v>
      </c>
    </row>
    <row r="67" spans="1:12" ht="15.6" thickTop="1" thickBot="1">
      <c r="A67" s="188" t="s">
        <v>114</v>
      </c>
      <c r="B67" s="216"/>
      <c r="C67" s="190"/>
      <c r="D67" s="190"/>
      <c r="E67" s="190"/>
      <c r="F67" s="190"/>
      <c r="G67" s="190"/>
      <c r="H67" s="190"/>
      <c r="I67" s="190"/>
      <c r="J67" s="190"/>
      <c r="K67" s="190"/>
      <c r="L67" s="190"/>
    </row>
    <row r="68" spans="1:12" ht="15" thickBot="1">
      <c r="A68" s="191" t="str">
        <f>A60</f>
        <v>Uptake Scenario</v>
      </c>
      <c r="B68" s="191">
        <f t="shared" ref="B68:L68" si="8">B60</f>
        <v>2023</v>
      </c>
      <c r="C68" s="191">
        <f t="shared" si="8"/>
        <v>2024</v>
      </c>
      <c r="D68" s="191">
        <f t="shared" si="8"/>
        <v>2025</v>
      </c>
      <c r="E68" s="191">
        <f t="shared" si="8"/>
        <v>2026</v>
      </c>
      <c r="F68" s="191">
        <f t="shared" si="8"/>
        <v>2027</v>
      </c>
      <c r="G68" s="191">
        <f t="shared" si="8"/>
        <v>2028</v>
      </c>
      <c r="H68" s="191">
        <f t="shared" si="8"/>
        <v>2029</v>
      </c>
      <c r="I68" s="191">
        <f t="shared" si="8"/>
        <v>2030</v>
      </c>
      <c r="J68" s="191">
        <f t="shared" si="8"/>
        <v>2031</v>
      </c>
      <c r="K68" s="191">
        <f t="shared" si="8"/>
        <v>2032</v>
      </c>
      <c r="L68" s="191">
        <f t="shared" si="8"/>
        <v>2033</v>
      </c>
    </row>
    <row r="69" spans="1:12" ht="15.6" thickTop="1" thickBot="1">
      <c r="A69" s="193"/>
      <c r="B69" s="206"/>
      <c r="C69" s="206"/>
      <c r="D69" s="206"/>
      <c r="E69" s="206"/>
      <c r="F69" s="206"/>
      <c r="G69" s="206"/>
      <c r="H69" s="206"/>
      <c r="I69" s="206"/>
      <c r="J69" s="206"/>
      <c r="K69" s="215"/>
      <c r="L69" s="215"/>
    </row>
    <row r="70" spans="1:12" ht="15" thickBot="1">
      <c r="A70" s="193" t="s">
        <v>111</v>
      </c>
      <c r="B70" s="194">
        <f ca="1">IF($H$1="",
SUMIFS('Customer Scenario Forecast'!B$22:B$1183,'Customer Scenario Forecast'!$C$20:$C$1181,'Incremental Network SummerFcast'!$A67)+
SUMIFS('Customer Scenario Forecast'!B$22:B$1183,'Customer Scenario Forecast'!$D$20:$D$1181,'Incremental Network SummerFcast'!$A67)+
SUMIFS('Customer Scenario Forecast'!B$22:B$1183,'Customer Scenario Forecast'!$E$20:$E$1181,'Incremental Network SummerFcast'!$A67),
SUMIFS('Customer Scenario Forecast'!B$22:B$1183,'Customer Scenario Forecast'!$C$20:$C$1181,'Incremental Network SummerFcast'!$A67,'Customer Scenario Forecast'!$H$20:$H$1181,'Incremental Network SummerFcast'!$H$1)+
SUMIFS('Customer Scenario Forecast'!B$22:B$1183,'Customer Scenario Forecast'!$D$20:$D$1181,'Incremental Network SummerFcast'!$A67,'Customer Scenario Forecast'!$H$20:$H$1181,'Incremental Network SummerFcast'!$H$1)+
SUMIFS('Customer Scenario Forecast'!B$22:B$1183,'Customer Scenario Forecast'!$E$20:$E$1181,'Incremental Network SummerFcast'!$A67,'Customer Scenario Forecast'!$H$20:$H$1181,'Incremental Network SummerFcast'!$H$1))</f>
        <v>0</v>
      </c>
      <c r="C70" s="194">
        <f ca="1">IF($H$1="",
SUMIFS('Customer Scenario Forecast'!C$22:C$1183,'Customer Scenario Forecast'!$C$20:$C$1181,'Incremental Network SummerFcast'!$A67)+
SUMIFS('Customer Scenario Forecast'!C$22:C$1183,'Customer Scenario Forecast'!$D$20:$D$1181,'Incremental Network SummerFcast'!$A67)+
SUMIFS('Customer Scenario Forecast'!C$22:C$1183,'Customer Scenario Forecast'!$E$20:$E$1181,'Incremental Network SummerFcast'!$A67),
SUMIFS('Customer Scenario Forecast'!C$22:C$1183,'Customer Scenario Forecast'!$C$20:$C$1181,'Incremental Network SummerFcast'!$A67,'Customer Scenario Forecast'!$H$20:$H$1181,'Incremental Network SummerFcast'!$H$1)+
SUMIFS('Customer Scenario Forecast'!C$22:C$1183,'Customer Scenario Forecast'!$D$20:$D$1181,'Incremental Network SummerFcast'!$A67,'Customer Scenario Forecast'!$H$20:$H$1181,'Incremental Network SummerFcast'!$H$1)+
SUMIFS('Customer Scenario Forecast'!C$22:C$1183,'Customer Scenario Forecast'!$E$20:$E$1181,'Incremental Network SummerFcast'!$A67,'Customer Scenario Forecast'!$H$20:$H$1181,'Incremental Network SummerFcast'!$H$1))</f>
        <v>5</v>
      </c>
      <c r="D70" s="194">
        <f ca="1">IF($H$1="",
SUMIFS('Customer Scenario Forecast'!D$22:D$1183,'Customer Scenario Forecast'!$C$20:$C$1181,'Incremental Network SummerFcast'!$A67)+
SUMIFS('Customer Scenario Forecast'!D$22:D$1183,'Customer Scenario Forecast'!$D$20:$D$1181,'Incremental Network SummerFcast'!$A67)+
SUMIFS('Customer Scenario Forecast'!D$22:D$1183,'Customer Scenario Forecast'!$E$20:$E$1181,'Incremental Network SummerFcast'!$A67),
SUMIFS('Customer Scenario Forecast'!D$22:D$1183,'Customer Scenario Forecast'!$C$20:$C$1181,'Incremental Network SummerFcast'!$A67,'Customer Scenario Forecast'!$H$20:$H$1181,'Incremental Network SummerFcast'!$H$1)+
SUMIFS('Customer Scenario Forecast'!D$22:D$1183,'Customer Scenario Forecast'!$D$20:$D$1181,'Incremental Network SummerFcast'!$A67,'Customer Scenario Forecast'!$H$20:$H$1181,'Incremental Network SummerFcast'!$H$1)+
SUMIFS('Customer Scenario Forecast'!D$22:D$1183,'Customer Scenario Forecast'!$E$20:$E$1181,'Incremental Network SummerFcast'!$A67,'Customer Scenario Forecast'!$H$20:$H$1181,'Incremental Network SummerFcast'!$H$1))</f>
        <v>20</v>
      </c>
      <c r="E70" s="194">
        <f ca="1">IF($H$1="",
SUMIFS('Customer Scenario Forecast'!E$22:E$1183,'Customer Scenario Forecast'!$C$20:$C$1181,'Incremental Network SummerFcast'!$A67)+
SUMIFS('Customer Scenario Forecast'!E$22:E$1183,'Customer Scenario Forecast'!$D$20:$D$1181,'Incremental Network SummerFcast'!$A67)+
SUMIFS('Customer Scenario Forecast'!E$22:E$1183,'Customer Scenario Forecast'!$E$20:$E$1181,'Incremental Network SummerFcast'!$A67),
SUMIFS('Customer Scenario Forecast'!E$22:E$1183,'Customer Scenario Forecast'!$C$20:$C$1181,'Incremental Network SummerFcast'!$A67,'Customer Scenario Forecast'!$H$20:$H$1181,'Incremental Network SummerFcast'!$H$1)+
SUMIFS('Customer Scenario Forecast'!E$22:E$1183,'Customer Scenario Forecast'!$D$20:$D$1181,'Incremental Network SummerFcast'!$A67,'Customer Scenario Forecast'!$H$20:$H$1181,'Incremental Network SummerFcast'!$H$1)+
SUMIFS('Customer Scenario Forecast'!E$22:E$1183,'Customer Scenario Forecast'!$E$20:$E$1181,'Incremental Network SummerFcast'!$A67,'Customer Scenario Forecast'!$H$20:$H$1181,'Incremental Network SummerFcast'!$H$1))</f>
        <v>20</v>
      </c>
      <c r="F70" s="194">
        <f ca="1">IF($H$1="",
SUMIFS('Customer Scenario Forecast'!F$22:F$1183,'Customer Scenario Forecast'!$C$20:$C$1181,'Incremental Network SummerFcast'!$A67)+
SUMIFS('Customer Scenario Forecast'!F$22:F$1183,'Customer Scenario Forecast'!$D$20:$D$1181,'Incremental Network SummerFcast'!$A67)+
SUMIFS('Customer Scenario Forecast'!F$22:F$1183,'Customer Scenario Forecast'!$E$20:$E$1181,'Incremental Network SummerFcast'!$A67),
SUMIFS('Customer Scenario Forecast'!F$22:F$1183,'Customer Scenario Forecast'!$C$20:$C$1181,'Incremental Network SummerFcast'!$A67,'Customer Scenario Forecast'!$H$20:$H$1181,'Incremental Network SummerFcast'!$H$1)+
SUMIFS('Customer Scenario Forecast'!F$22:F$1183,'Customer Scenario Forecast'!$D$20:$D$1181,'Incremental Network SummerFcast'!$A67,'Customer Scenario Forecast'!$H$20:$H$1181,'Incremental Network SummerFcast'!$H$1)+
SUMIFS('Customer Scenario Forecast'!F$22:F$1183,'Customer Scenario Forecast'!$E$20:$E$1181,'Incremental Network SummerFcast'!$A67,'Customer Scenario Forecast'!$H$20:$H$1181,'Incremental Network SummerFcast'!$H$1))</f>
        <v>20</v>
      </c>
      <c r="G70" s="194">
        <f ca="1">IF($H$1="",
SUMIFS('Customer Scenario Forecast'!G$22:G$1183,'Customer Scenario Forecast'!$C$20:$C$1181,'Incremental Network SummerFcast'!$A67)+
SUMIFS('Customer Scenario Forecast'!G$22:G$1183,'Customer Scenario Forecast'!$D$20:$D$1181,'Incremental Network SummerFcast'!$A67)+
SUMIFS('Customer Scenario Forecast'!G$22:G$1183,'Customer Scenario Forecast'!$E$20:$E$1181,'Incremental Network SummerFcast'!$A67),
SUMIFS('Customer Scenario Forecast'!G$22:G$1183,'Customer Scenario Forecast'!$C$20:$C$1181,'Incremental Network SummerFcast'!$A67,'Customer Scenario Forecast'!$H$20:$H$1181,'Incremental Network SummerFcast'!$H$1)+
SUMIFS('Customer Scenario Forecast'!G$22:G$1183,'Customer Scenario Forecast'!$D$20:$D$1181,'Incremental Network SummerFcast'!$A67,'Customer Scenario Forecast'!$H$20:$H$1181,'Incremental Network SummerFcast'!$H$1)+
SUMIFS('Customer Scenario Forecast'!G$22:G$1183,'Customer Scenario Forecast'!$E$20:$E$1181,'Incremental Network SummerFcast'!$A67,'Customer Scenario Forecast'!$H$20:$H$1181,'Incremental Network SummerFcast'!$H$1))</f>
        <v>35</v>
      </c>
      <c r="H70" s="194">
        <f ca="1">IF($H$1="",
SUMIFS('Customer Scenario Forecast'!H$22:H$1183,'Customer Scenario Forecast'!$C$20:$C$1181,'Incremental Network SummerFcast'!$A67)+
SUMIFS('Customer Scenario Forecast'!H$22:H$1183,'Customer Scenario Forecast'!$D$20:$D$1181,'Incremental Network SummerFcast'!$A67)+
SUMIFS('Customer Scenario Forecast'!H$22:H$1183,'Customer Scenario Forecast'!$E$20:$E$1181,'Incremental Network SummerFcast'!$A67),
SUMIFS('Customer Scenario Forecast'!H$22:H$1183,'Customer Scenario Forecast'!$C$20:$C$1181,'Incremental Network SummerFcast'!$A67,'Customer Scenario Forecast'!$H$20:$H$1181,'Incremental Network SummerFcast'!$H$1)+
SUMIFS('Customer Scenario Forecast'!H$22:H$1183,'Customer Scenario Forecast'!$D$20:$D$1181,'Incremental Network SummerFcast'!$A67,'Customer Scenario Forecast'!$H$20:$H$1181,'Incremental Network SummerFcast'!$H$1)+
SUMIFS('Customer Scenario Forecast'!H$22:H$1183,'Customer Scenario Forecast'!$E$20:$E$1181,'Incremental Network SummerFcast'!$A67,'Customer Scenario Forecast'!$H$20:$H$1181,'Incremental Network SummerFcast'!$H$1))</f>
        <v>40</v>
      </c>
      <c r="I70" s="194">
        <f ca="1">IF($H$1="",
SUMIFS('Customer Scenario Forecast'!I$22:I$1183,'Customer Scenario Forecast'!$C$20:$C$1181,'Incremental Network SummerFcast'!$A67)+
SUMIFS('Customer Scenario Forecast'!I$22:I$1183,'Customer Scenario Forecast'!$D$20:$D$1181,'Incremental Network SummerFcast'!$A67)+
SUMIFS('Customer Scenario Forecast'!I$22:I$1183,'Customer Scenario Forecast'!$E$20:$E$1181,'Incremental Network SummerFcast'!$A67),
SUMIFS('Customer Scenario Forecast'!I$22:I$1183,'Customer Scenario Forecast'!$C$20:$C$1181,'Incremental Network SummerFcast'!$A67,'Customer Scenario Forecast'!$H$20:$H$1181,'Incremental Network SummerFcast'!$H$1)+
SUMIFS('Customer Scenario Forecast'!I$22:I$1183,'Customer Scenario Forecast'!$D$20:$D$1181,'Incremental Network SummerFcast'!$A67,'Customer Scenario Forecast'!$H$20:$H$1181,'Incremental Network SummerFcast'!$H$1)+
SUMIFS('Customer Scenario Forecast'!I$22:I$1183,'Customer Scenario Forecast'!$E$20:$E$1181,'Incremental Network SummerFcast'!$A67,'Customer Scenario Forecast'!$H$20:$H$1181,'Incremental Network SummerFcast'!$H$1))</f>
        <v>45</v>
      </c>
      <c r="J70" s="194">
        <f ca="1">IF($H$1="",
SUMIFS('Customer Scenario Forecast'!J$22:J$1183,'Customer Scenario Forecast'!$C$20:$C$1181,'Incremental Network SummerFcast'!$A67)+
SUMIFS('Customer Scenario Forecast'!J$22:J$1183,'Customer Scenario Forecast'!$D$20:$D$1181,'Incremental Network SummerFcast'!$A67)+
SUMIFS('Customer Scenario Forecast'!J$22:J$1183,'Customer Scenario Forecast'!$E$20:$E$1181,'Incremental Network SummerFcast'!$A67),
SUMIFS('Customer Scenario Forecast'!J$22:J$1183,'Customer Scenario Forecast'!$C$20:$C$1181,'Incremental Network SummerFcast'!$A67,'Customer Scenario Forecast'!$H$20:$H$1181,'Incremental Network SummerFcast'!$H$1)+
SUMIFS('Customer Scenario Forecast'!J$22:J$1183,'Customer Scenario Forecast'!$D$20:$D$1181,'Incremental Network SummerFcast'!$A67,'Customer Scenario Forecast'!$H$20:$H$1181,'Incremental Network SummerFcast'!$H$1)+
SUMIFS('Customer Scenario Forecast'!J$22:J$1183,'Customer Scenario Forecast'!$E$20:$E$1181,'Incremental Network SummerFcast'!$A67,'Customer Scenario Forecast'!$H$20:$H$1181,'Incremental Network SummerFcast'!$H$1))</f>
        <v>65.8</v>
      </c>
      <c r="K70" s="194">
        <f ca="1">IF($H$1="",
SUMIFS('Customer Scenario Forecast'!K$22:K$1183,'Customer Scenario Forecast'!$C$20:$C$1181,'Incremental Network SummerFcast'!$A67)+
SUMIFS('Customer Scenario Forecast'!K$22:K$1183,'Customer Scenario Forecast'!$D$20:$D$1181,'Incremental Network SummerFcast'!$A67)+
SUMIFS('Customer Scenario Forecast'!K$22:K$1183,'Customer Scenario Forecast'!$E$20:$E$1181,'Incremental Network SummerFcast'!$A67),
SUMIFS('Customer Scenario Forecast'!K$22:K$1183,'Customer Scenario Forecast'!$C$20:$C$1181,'Incremental Network SummerFcast'!$A67,'Customer Scenario Forecast'!$H$20:$H$1181,'Incremental Network SummerFcast'!$H$1)+
SUMIFS('Customer Scenario Forecast'!K$22:K$1183,'Customer Scenario Forecast'!$D$20:$D$1181,'Incremental Network SummerFcast'!$A67,'Customer Scenario Forecast'!$H$20:$H$1181,'Incremental Network SummerFcast'!$H$1)+
SUMIFS('Customer Scenario Forecast'!K$22:K$1183,'Customer Scenario Forecast'!$E$20:$E$1181,'Incremental Network SummerFcast'!$A67,'Customer Scenario Forecast'!$H$20:$H$1181,'Incremental Network SummerFcast'!$H$1))</f>
        <v>72.599999999999994</v>
      </c>
      <c r="L70" s="194">
        <f ca="1">IF($H$1="",
SUMIFS('Customer Scenario Forecast'!L$22:L$1183,'Customer Scenario Forecast'!$C$20:$C$1181,'Incremental Network SummerFcast'!$A67)+
SUMIFS('Customer Scenario Forecast'!L$22:L$1183,'Customer Scenario Forecast'!$D$20:$D$1181,'Incremental Network SummerFcast'!$A67)+
SUMIFS('Customer Scenario Forecast'!L$22:L$1183,'Customer Scenario Forecast'!$E$20:$E$1181,'Incremental Network SummerFcast'!$A67),
SUMIFS('Customer Scenario Forecast'!L$22:L$1183,'Customer Scenario Forecast'!$C$20:$C$1181,'Incremental Network SummerFcast'!$A67,'Customer Scenario Forecast'!$H$20:$H$1181,'Incremental Network SummerFcast'!$H$1)+
SUMIFS('Customer Scenario Forecast'!L$22:L$1183,'Customer Scenario Forecast'!$D$20:$D$1181,'Incremental Network SummerFcast'!$A67,'Customer Scenario Forecast'!$H$20:$H$1181,'Incremental Network SummerFcast'!$H$1)+
SUMIFS('Customer Scenario Forecast'!L$22:L$1183,'Customer Scenario Forecast'!$E$20:$E$1181,'Incremental Network SummerFcast'!$A67,'Customer Scenario Forecast'!$H$20:$H$1181,'Incremental Network SummerFcast'!$H$1))</f>
        <v>79.400000000000006</v>
      </c>
    </row>
    <row r="71" spans="1:12" ht="15" thickBot="1">
      <c r="A71" s="195" t="s">
        <v>107</v>
      </c>
      <c r="B71" s="196">
        <f ca="1">IF($H$1="",
1*(
SUMIFS('Customer Scenario Forecast'!B$23:B$1184,'Customer Scenario Forecast'!$C$20:$C$1181,'Incremental Network SummerFcast'!$A67)+
SUMIFS('Customer Scenario Forecast'!B$23:B$1184,'Customer Scenario Forecast'!$D$20:$D$1181,'Incremental Network SummerFcast'!$A67)+
SUMIFS('Customer Scenario Forecast'!B$23:B$1184,'Customer Scenario Forecast'!$E$20:$E$1181,'Incremental Network SummerFcast'!$A67)+B69),
1*(
SUMIFS('Customer Scenario Forecast'!B$23:B$1184,'Customer Scenario Forecast'!$C$20:$C$1181,'Incremental Network SummerFcast'!$A67,'Customer Scenario Forecast'!$H$20:$H$1181,'Incremental Network SummerFcast'!$H$1)+
SUMIFS('Customer Scenario Forecast'!B$23:B$1184,'Customer Scenario Forecast'!$D$20:$D$1181,'Incremental Network SummerFcast'!$A67,'Customer Scenario Forecast'!$H$20:$H$1181,'Incremental Network SummerFcast'!$H$1)+
SUMIFS('Customer Scenario Forecast'!B$23:B$1184,'Customer Scenario Forecast'!$E$20:$E$1181,'Incremental Network SummerFcast'!$A67,'Customer Scenario Forecast'!$H$20:$H$1181,'Incremental Network SummerFcast'!$H$1)+B69))</f>
        <v>0</v>
      </c>
      <c r="C71" s="196">
        <f ca="1">IF($H$1="",
1*(
SUMIFS('Customer Scenario Forecast'!C$23:C$1184,'Customer Scenario Forecast'!$C$20:$C$1181,'Incremental Network SummerFcast'!$A67)+
SUMIFS('Customer Scenario Forecast'!C$23:C$1184,'Customer Scenario Forecast'!$D$20:$D$1181,'Incremental Network SummerFcast'!$A67)+
SUMIFS('Customer Scenario Forecast'!C$23:C$1184,'Customer Scenario Forecast'!$E$20:$E$1181,'Incremental Network SummerFcast'!$A67)+C69),
1*(
SUMIFS('Customer Scenario Forecast'!C$23:C$1184,'Customer Scenario Forecast'!$C$20:$C$1181,'Incremental Network SummerFcast'!$A67,'Customer Scenario Forecast'!$H$20:$H$1181,'Incremental Network SummerFcast'!$H$1)+
SUMIFS('Customer Scenario Forecast'!C$23:C$1184,'Customer Scenario Forecast'!$D$20:$D$1181,'Incremental Network SummerFcast'!$A67,'Customer Scenario Forecast'!$H$20:$H$1181,'Incremental Network SummerFcast'!$H$1)+
SUMIFS('Customer Scenario Forecast'!C$23:C$1184,'Customer Scenario Forecast'!$E$20:$E$1181,'Incremental Network SummerFcast'!$A67,'Customer Scenario Forecast'!$H$20:$H$1181,'Incremental Network SummerFcast'!$H$1)+C69))</f>
        <v>0</v>
      </c>
      <c r="D71" s="196">
        <f ca="1">IF($H$1="",
1*(
SUMIFS('Customer Scenario Forecast'!D$23:D$1184,'Customer Scenario Forecast'!$C$20:$C$1181,'Incremental Network SummerFcast'!$A67)+
SUMIFS('Customer Scenario Forecast'!D$23:D$1184,'Customer Scenario Forecast'!$D$20:$D$1181,'Incremental Network SummerFcast'!$A67)+
SUMIFS('Customer Scenario Forecast'!D$23:D$1184,'Customer Scenario Forecast'!$E$20:$E$1181,'Incremental Network SummerFcast'!$A67)+D69),
1*(
SUMIFS('Customer Scenario Forecast'!D$23:D$1184,'Customer Scenario Forecast'!$C$20:$C$1181,'Incremental Network SummerFcast'!$A67,'Customer Scenario Forecast'!$H$20:$H$1181,'Incremental Network SummerFcast'!$H$1)+
SUMIFS('Customer Scenario Forecast'!D$23:D$1184,'Customer Scenario Forecast'!$D$20:$D$1181,'Incremental Network SummerFcast'!$A67,'Customer Scenario Forecast'!$H$20:$H$1181,'Incremental Network SummerFcast'!$H$1)+
SUMIFS('Customer Scenario Forecast'!D$23:D$1184,'Customer Scenario Forecast'!$E$20:$E$1181,'Incremental Network SummerFcast'!$A67,'Customer Scenario Forecast'!$H$20:$H$1181,'Incremental Network SummerFcast'!$H$1)+D69))</f>
        <v>4.5</v>
      </c>
      <c r="E71" s="196">
        <f ca="1">IF($H$1="",
1*(
SUMIFS('Customer Scenario Forecast'!E$23:E$1184,'Customer Scenario Forecast'!$C$20:$C$1181,'Incremental Network SummerFcast'!$A67)+
SUMIFS('Customer Scenario Forecast'!E$23:E$1184,'Customer Scenario Forecast'!$D$20:$D$1181,'Incremental Network SummerFcast'!$A67)+
SUMIFS('Customer Scenario Forecast'!E$23:E$1184,'Customer Scenario Forecast'!$E$20:$E$1181,'Incremental Network SummerFcast'!$A67)+E69),
1*(
SUMIFS('Customer Scenario Forecast'!E$23:E$1184,'Customer Scenario Forecast'!$C$20:$C$1181,'Incremental Network SummerFcast'!$A67,'Customer Scenario Forecast'!$H$20:$H$1181,'Incremental Network SummerFcast'!$H$1)+
SUMIFS('Customer Scenario Forecast'!E$23:E$1184,'Customer Scenario Forecast'!$D$20:$D$1181,'Incremental Network SummerFcast'!$A67,'Customer Scenario Forecast'!$H$20:$H$1181,'Incremental Network SummerFcast'!$H$1)+
SUMIFS('Customer Scenario Forecast'!E$23:E$1184,'Customer Scenario Forecast'!$E$20:$E$1181,'Incremental Network SummerFcast'!$A67,'Customer Scenario Forecast'!$H$20:$H$1181,'Incremental Network SummerFcast'!$H$1)+E69))</f>
        <v>13.5</v>
      </c>
      <c r="F71" s="196">
        <f ca="1">IF($H$1="",
1*(
SUMIFS('Customer Scenario Forecast'!F$23:F$1184,'Customer Scenario Forecast'!$C$20:$C$1181,'Incremental Network SummerFcast'!$A67)+
SUMIFS('Customer Scenario Forecast'!F$23:F$1184,'Customer Scenario Forecast'!$D$20:$D$1181,'Incremental Network SummerFcast'!$A67)+
SUMIFS('Customer Scenario Forecast'!F$23:F$1184,'Customer Scenario Forecast'!$E$20:$E$1181,'Incremental Network SummerFcast'!$A67)+F69),
1*(
SUMIFS('Customer Scenario Forecast'!F$23:F$1184,'Customer Scenario Forecast'!$C$20:$C$1181,'Incremental Network SummerFcast'!$A67,'Customer Scenario Forecast'!$H$20:$H$1181,'Incremental Network SummerFcast'!$H$1)+
SUMIFS('Customer Scenario Forecast'!F$23:F$1184,'Customer Scenario Forecast'!$D$20:$D$1181,'Incremental Network SummerFcast'!$A67,'Customer Scenario Forecast'!$H$20:$H$1181,'Incremental Network SummerFcast'!$H$1)+
SUMIFS('Customer Scenario Forecast'!F$23:F$1184,'Customer Scenario Forecast'!$E$20:$E$1181,'Incremental Network SummerFcast'!$A67,'Customer Scenario Forecast'!$H$20:$H$1181,'Incremental Network SummerFcast'!$H$1)+F69))</f>
        <v>13.5</v>
      </c>
      <c r="G71" s="196">
        <f ca="1">IF($H$1="",
1*(
SUMIFS('Customer Scenario Forecast'!G$23:G$1184,'Customer Scenario Forecast'!$C$20:$C$1181,'Incremental Network SummerFcast'!$A67)+
SUMIFS('Customer Scenario Forecast'!G$23:G$1184,'Customer Scenario Forecast'!$D$20:$D$1181,'Incremental Network SummerFcast'!$A67)+
SUMIFS('Customer Scenario Forecast'!G$23:G$1184,'Customer Scenario Forecast'!$E$20:$E$1181,'Incremental Network SummerFcast'!$A67)+G69),
1*(
SUMIFS('Customer Scenario Forecast'!G$23:G$1184,'Customer Scenario Forecast'!$C$20:$C$1181,'Incremental Network SummerFcast'!$A67,'Customer Scenario Forecast'!$H$20:$H$1181,'Incremental Network SummerFcast'!$H$1)+
SUMIFS('Customer Scenario Forecast'!G$23:G$1184,'Customer Scenario Forecast'!$D$20:$D$1181,'Incremental Network SummerFcast'!$A67,'Customer Scenario Forecast'!$H$20:$H$1181,'Incremental Network SummerFcast'!$H$1)+
SUMIFS('Customer Scenario Forecast'!G$23:G$1184,'Customer Scenario Forecast'!$E$20:$E$1181,'Incremental Network SummerFcast'!$A67,'Customer Scenario Forecast'!$H$20:$H$1181,'Incremental Network SummerFcast'!$H$1)+G69))</f>
        <v>15.25</v>
      </c>
      <c r="H71" s="196">
        <f ca="1">IF($H$1="",
1*(
SUMIFS('Customer Scenario Forecast'!H$23:H$1184,'Customer Scenario Forecast'!$C$20:$C$1181,'Incremental Network SummerFcast'!$A67)+
SUMIFS('Customer Scenario Forecast'!H$23:H$1184,'Customer Scenario Forecast'!$D$20:$D$1181,'Incremental Network SummerFcast'!$A67)+
SUMIFS('Customer Scenario Forecast'!H$23:H$1184,'Customer Scenario Forecast'!$E$20:$E$1181,'Incremental Network SummerFcast'!$A67)+H69),
1*(
SUMIFS('Customer Scenario Forecast'!H$23:H$1184,'Customer Scenario Forecast'!$C$20:$C$1181,'Incremental Network SummerFcast'!$A67,'Customer Scenario Forecast'!$H$20:$H$1181,'Incremental Network SummerFcast'!$H$1)+
SUMIFS('Customer Scenario Forecast'!H$23:H$1184,'Customer Scenario Forecast'!$D$20:$D$1181,'Incremental Network SummerFcast'!$A67,'Customer Scenario Forecast'!$H$20:$H$1181,'Incremental Network SummerFcast'!$H$1)+
SUMIFS('Customer Scenario Forecast'!H$23:H$1184,'Customer Scenario Forecast'!$E$20:$E$1181,'Incremental Network SummerFcast'!$A67,'Customer Scenario Forecast'!$H$20:$H$1181,'Incremental Network SummerFcast'!$H$1)+H69))</f>
        <v>15.25</v>
      </c>
      <c r="I71" s="196">
        <f ca="1">IF($H$1="",
1*(
SUMIFS('Customer Scenario Forecast'!I$23:I$1184,'Customer Scenario Forecast'!$C$20:$C$1181,'Incremental Network SummerFcast'!$A67)+
SUMIFS('Customer Scenario Forecast'!I$23:I$1184,'Customer Scenario Forecast'!$D$20:$D$1181,'Incremental Network SummerFcast'!$A67)+
SUMIFS('Customer Scenario Forecast'!I$23:I$1184,'Customer Scenario Forecast'!$E$20:$E$1181,'Incremental Network SummerFcast'!$A67)+I69),
1*(
SUMIFS('Customer Scenario Forecast'!I$23:I$1184,'Customer Scenario Forecast'!$C$20:$C$1181,'Incremental Network SummerFcast'!$A67,'Customer Scenario Forecast'!$H$20:$H$1181,'Incremental Network SummerFcast'!$H$1)+
SUMIFS('Customer Scenario Forecast'!I$23:I$1184,'Customer Scenario Forecast'!$D$20:$D$1181,'Incremental Network SummerFcast'!$A67,'Customer Scenario Forecast'!$H$20:$H$1181,'Incremental Network SummerFcast'!$H$1)+
SUMIFS('Customer Scenario Forecast'!I$23:I$1184,'Customer Scenario Forecast'!$E$20:$E$1181,'Incremental Network SummerFcast'!$A67,'Customer Scenario Forecast'!$H$20:$H$1181,'Incremental Network SummerFcast'!$H$1)+I69))</f>
        <v>15.25</v>
      </c>
      <c r="J71" s="196">
        <f ca="1">IF($H$1="",
1*(
SUMIFS('Customer Scenario Forecast'!J$23:J$1184,'Customer Scenario Forecast'!$C$20:$C$1181,'Incremental Network SummerFcast'!$A67)+
SUMIFS('Customer Scenario Forecast'!J$23:J$1184,'Customer Scenario Forecast'!$D$20:$D$1181,'Incremental Network SummerFcast'!$A67)+
SUMIFS('Customer Scenario Forecast'!J$23:J$1184,'Customer Scenario Forecast'!$E$20:$E$1181,'Incremental Network SummerFcast'!$A67)+J69),
1*(
SUMIFS('Customer Scenario Forecast'!J$23:J$1184,'Customer Scenario Forecast'!$C$20:$C$1181,'Incremental Network SummerFcast'!$A67,'Customer Scenario Forecast'!$H$20:$H$1181,'Incremental Network SummerFcast'!$H$1)+
SUMIFS('Customer Scenario Forecast'!J$23:J$1184,'Customer Scenario Forecast'!$D$20:$D$1181,'Incremental Network SummerFcast'!$A67,'Customer Scenario Forecast'!$H$20:$H$1181,'Incremental Network SummerFcast'!$H$1)+
SUMIFS('Customer Scenario Forecast'!J$23:J$1184,'Customer Scenario Forecast'!$E$20:$E$1181,'Incremental Network SummerFcast'!$A67,'Customer Scenario Forecast'!$H$20:$H$1181,'Incremental Network SummerFcast'!$H$1)+J69))</f>
        <v>30.799999999999997</v>
      </c>
      <c r="K71" s="196">
        <f ca="1">IF($H$1="",
1*(
SUMIFS('Customer Scenario Forecast'!K$23:K$1184,'Customer Scenario Forecast'!$C$20:$C$1181,'Incremental Network SummerFcast'!$A67)+
SUMIFS('Customer Scenario Forecast'!K$23:K$1184,'Customer Scenario Forecast'!$D$20:$D$1181,'Incremental Network SummerFcast'!$A67)+
SUMIFS('Customer Scenario Forecast'!K$23:K$1184,'Customer Scenario Forecast'!$E$20:$E$1181,'Incremental Network SummerFcast'!$A67)+K69),
1*(
SUMIFS('Customer Scenario Forecast'!K$23:K$1184,'Customer Scenario Forecast'!$C$20:$C$1181,'Incremental Network SummerFcast'!$A67,'Customer Scenario Forecast'!$H$20:$H$1181,'Incremental Network SummerFcast'!$H$1)+
SUMIFS('Customer Scenario Forecast'!K$23:K$1184,'Customer Scenario Forecast'!$D$20:$D$1181,'Incremental Network SummerFcast'!$A67,'Customer Scenario Forecast'!$H$20:$H$1181,'Incremental Network SummerFcast'!$H$1)+
SUMIFS('Customer Scenario Forecast'!K$23:K$1184,'Customer Scenario Forecast'!$E$20:$E$1181,'Incremental Network SummerFcast'!$A67,'Customer Scenario Forecast'!$H$20:$H$1181,'Incremental Network SummerFcast'!$H$1)+K69))</f>
        <v>31.5</v>
      </c>
      <c r="L71" s="196">
        <f ca="1">IF($H$1="",
1*(
SUMIFS('Customer Scenario Forecast'!L$23:L$1184,'Customer Scenario Forecast'!$C$20:$C$1181,'Incremental Network SummerFcast'!$A67)+
SUMIFS('Customer Scenario Forecast'!L$23:L$1184,'Customer Scenario Forecast'!$D$20:$D$1181,'Incremental Network SummerFcast'!$A67)+
SUMIFS('Customer Scenario Forecast'!L$23:L$1184,'Customer Scenario Forecast'!$E$20:$E$1181,'Incremental Network SummerFcast'!$A67)+L69),
1*(
SUMIFS('Customer Scenario Forecast'!L$23:L$1184,'Customer Scenario Forecast'!$C$20:$C$1181,'Incremental Network SummerFcast'!$A67,'Customer Scenario Forecast'!$H$20:$H$1181,'Incremental Network SummerFcast'!$H$1)+
SUMIFS('Customer Scenario Forecast'!L$23:L$1184,'Customer Scenario Forecast'!$D$20:$D$1181,'Incremental Network SummerFcast'!$A67,'Customer Scenario Forecast'!$H$20:$H$1181,'Incremental Network SummerFcast'!$H$1)+
SUMIFS('Customer Scenario Forecast'!L$23:L$1184,'Customer Scenario Forecast'!$E$20:$E$1181,'Incremental Network SummerFcast'!$A67,'Customer Scenario Forecast'!$H$20:$H$1181,'Incremental Network SummerFcast'!$H$1)+L69))</f>
        <v>29.75</v>
      </c>
    </row>
    <row r="72" spans="1:12" ht="15" thickBot="1">
      <c r="A72" s="195" t="s">
        <v>108</v>
      </c>
      <c r="B72" s="196">
        <f ca="1">IF($H$1="",
1*(
SUMIFS('Customer Scenario Forecast'!B$24:B$1185,'Customer Scenario Forecast'!$C$20:$C$1181,'Incremental Network SummerFcast'!$A67)+
SUMIFS('Customer Scenario Forecast'!B$24:B$1185,'Customer Scenario Forecast'!$D$20:$D$1181,'Incremental Network SummerFcast'!$A67)+
SUMIFS('Customer Scenario Forecast'!B$24:B$1185,'Customer Scenario Forecast'!$E$20:$E$1181,'Incremental Network SummerFcast'!$A67)+B69),
1*(
SUMIFS('Customer Scenario Forecast'!B$24:B$1185,'Customer Scenario Forecast'!$C$20:$C$1181,'Incremental Network SummerFcast'!$A67,'Customer Scenario Forecast'!$H$20:$H$1181,'Incremental Network SummerFcast'!$H$1)+
SUMIFS('Customer Scenario Forecast'!B$24:B$1185,'Customer Scenario Forecast'!$D$20:$D$1181,'Incremental Network SummerFcast'!$A67,'Customer Scenario Forecast'!$H$20:$H$1181,'Incremental Network SummerFcast'!$H$1)+
SUMIFS('Customer Scenario Forecast'!B$24:B$1185,'Customer Scenario Forecast'!$E$20:$E$1181,'Incremental Network SummerFcast'!$A67,'Customer Scenario Forecast'!$H$20:$H$1181,'Incremental Network SummerFcast'!$H$1)+B69))</f>
        <v>0</v>
      </c>
      <c r="C72" s="196">
        <f ca="1">IF($H$1="",
1*(
SUMIFS('Customer Scenario Forecast'!C$24:C$1185,'Customer Scenario Forecast'!$C$20:$C$1181,'Incremental Network SummerFcast'!$A67)+
SUMIFS('Customer Scenario Forecast'!C$24:C$1185,'Customer Scenario Forecast'!$D$20:$D$1181,'Incremental Network SummerFcast'!$A67)+
SUMIFS('Customer Scenario Forecast'!C$24:C$1185,'Customer Scenario Forecast'!$E$20:$E$1181,'Incremental Network SummerFcast'!$A67)+C69),
1*(
SUMIFS('Customer Scenario Forecast'!C$24:C$1185,'Customer Scenario Forecast'!$C$20:$C$1181,'Incremental Network SummerFcast'!$A67,'Customer Scenario Forecast'!$H$20:$H$1181,'Incremental Network SummerFcast'!$H$1)+
SUMIFS('Customer Scenario Forecast'!C$24:C$1185,'Customer Scenario Forecast'!$D$20:$D$1181,'Incremental Network SummerFcast'!$A67,'Customer Scenario Forecast'!$H$20:$H$1181,'Incremental Network SummerFcast'!$H$1)+
SUMIFS('Customer Scenario Forecast'!C$24:C$1185,'Customer Scenario Forecast'!$E$20:$E$1181,'Incremental Network SummerFcast'!$A67,'Customer Scenario Forecast'!$H$20:$H$1181,'Incremental Network SummerFcast'!$H$1)+C69))</f>
        <v>0</v>
      </c>
      <c r="D72" s="196">
        <f ca="1">IF($H$1="",
1*(
SUMIFS('Customer Scenario Forecast'!D$24:D$1185,'Customer Scenario Forecast'!$C$20:$C$1181,'Incremental Network SummerFcast'!$A67)+
SUMIFS('Customer Scenario Forecast'!D$24:D$1185,'Customer Scenario Forecast'!$D$20:$D$1181,'Incremental Network SummerFcast'!$A67)+
SUMIFS('Customer Scenario Forecast'!D$24:D$1185,'Customer Scenario Forecast'!$E$20:$E$1181,'Incremental Network SummerFcast'!$A67)+D69),
1*(
SUMIFS('Customer Scenario Forecast'!D$24:D$1185,'Customer Scenario Forecast'!$C$20:$C$1181,'Incremental Network SummerFcast'!$A67,'Customer Scenario Forecast'!$H$20:$H$1181,'Incremental Network SummerFcast'!$H$1)+
SUMIFS('Customer Scenario Forecast'!D$24:D$1185,'Customer Scenario Forecast'!$D$20:$D$1181,'Incremental Network SummerFcast'!$A67,'Customer Scenario Forecast'!$H$20:$H$1181,'Incremental Network SummerFcast'!$H$1)+
SUMIFS('Customer Scenario Forecast'!D$24:D$1185,'Customer Scenario Forecast'!$E$20:$E$1181,'Incremental Network SummerFcast'!$A67,'Customer Scenario Forecast'!$H$20:$H$1181,'Incremental Network SummerFcast'!$H$1)+D69))</f>
        <v>0</v>
      </c>
      <c r="E72" s="196">
        <f ca="1">IF($H$1="",
1*(
SUMIFS('Customer Scenario Forecast'!E$24:E$1185,'Customer Scenario Forecast'!$C$20:$C$1181,'Incremental Network SummerFcast'!$A67)+
SUMIFS('Customer Scenario Forecast'!E$24:E$1185,'Customer Scenario Forecast'!$D$20:$D$1181,'Incremental Network SummerFcast'!$A67)+
SUMIFS('Customer Scenario Forecast'!E$24:E$1185,'Customer Scenario Forecast'!$E$20:$E$1181,'Incremental Network SummerFcast'!$A67)+E69),
1*(
SUMIFS('Customer Scenario Forecast'!E$24:E$1185,'Customer Scenario Forecast'!$C$20:$C$1181,'Incremental Network SummerFcast'!$A67,'Customer Scenario Forecast'!$H$20:$H$1181,'Incremental Network SummerFcast'!$H$1)+
SUMIFS('Customer Scenario Forecast'!E$24:E$1185,'Customer Scenario Forecast'!$D$20:$D$1181,'Incremental Network SummerFcast'!$A67,'Customer Scenario Forecast'!$H$20:$H$1181,'Incremental Network SummerFcast'!$H$1)+
SUMIFS('Customer Scenario Forecast'!E$24:E$1185,'Customer Scenario Forecast'!$E$20:$E$1181,'Incremental Network SummerFcast'!$A67,'Customer Scenario Forecast'!$H$20:$H$1181,'Incremental Network SummerFcast'!$H$1)+E69))</f>
        <v>3</v>
      </c>
      <c r="F72" s="196">
        <f ca="1">IF($H$1="",
1*(
SUMIFS('Customer Scenario Forecast'!F$24:F$1185,'Customer Scenario Forecast'!$C$20:$C$1181,'Incremental Network SummerFcast'!$A67)+
SUMIFS('Customer Scenario Forecast'!F$24:F$1185,'Customer Scenario Forecast'!$D$20:$D$1181,'Incremental Network SummerFcast'!$A67)+
SUMIFS('Customer Scenario Forecast'!F$24:F$1185,'Customer Scenario Forecast'!$E$20:$E$1181,'Incremental Network SummerFcast'!$A67)+F69),
1*(
SUMIFS('Customer Scenario Forecast'!F$24:F$1185,'Customer Scenario Forecast'!$C$20:$C$1181,'Incremental Network SummerFcast'!$A67,'Customer Scenario Forecast'!$H$20:$H$1181,'Incremental Network SummerFcast'!$H$1)+
SUMIFS('Customer Scenario Forecast'!F$24:F$1185,'Customer Scenario Forecast'!$D$20:$D$1181,'Incremental Network SummerFcast'!$A67,'Customer Scenario Forecast'!$H$20:$H$1181,'Incremental Network SummerFcast'!$H$1)+
SUMIFS('Customer Scenario Forecast'!F$24:F$1185,'Customer Scenario Forecast'!$E$20:$E$1181,'Incremental Network SummerFcast'!$A67,'Customer Scenario Forecast'!$H$20:$H$1181,'Incremental Network SummerFcast'!$H$1)+F69))</f>
        <v>9</v>
      </c>
      <c r="G72" s="196">
        <f ca="1">IF($H$1="",
1*(
SUMIFS('Customer Scenario Forecast'!G$24:G$1185,'Customer Scenario Forecast'!$C$20:$C$1181,'Incremental Network SummerFcast'!$A67)+
SUMIFS('Customer Scenario Forecast'!G$24:G$1185,'Customer Scenario Forecast'!$D$20:$D$1181,'Incremental Network SummerFcast'!$A67)+
SUMIFS('Customer Scenario Forecast'!G$24:G$1185,'Customer Scenario Forecast'!$E$20:$E$1181,'Incremental Network SummerFcast'!$A67)+G69),
1*(
SUMIFS('Customer Scenario Forecast'!G$24:G$1185,'Customer Scenario Forecast'!$C$20:$C$1181,'Incremental Network SummerFcast'!$A67,'Customer Scenario Forecast'!$H$20:$H$1181,'Incremental Network SummerFcast'!$H$1)+
SUMIFS('Customer Scenario Forecast'!G$24:G$1185,'Customer Scenario Forecast'!$D$20:$D$1181,'Incremental Network SummerFcast'!$A67,'Customer Scenario Forecast'!$H$20:$H$1181,'Incremental Network SummerFcast'!$H$1)+
SUMIFS('Customer Scenario Forecast'!G$24:G$1185,'Customer Scenario Forecast'!$E$20:$E$1181,'Incremental Network SummerFcast'!$A67,'Customer Scenario Forecast'!$H$20:$H$1181,'Incremental Network SummerFcast'!$H$1)+G69))</f>
        <v>9</v>
      </c>
      <c r="H72" s="196">
        <f ca="1">IF($H$1="",
1*(
SUMIFS('Customer Scenario Forecast'!H$24:H$1185,'Customer Scenario Forecast'!$C$20:$C$1181,'Incremental Network SummerFcast'!$A67)+
SUMIFS('Customer Scenario Forecast'!H$24:H$1185,'Customer Scenario Forecast'!$D$20:$D$1181,'Incremental Network SummerFcast'!$A67)+
SUMIFS('Customer Scenario Forecast'!H$24:H$1185,'Customer Scenario Forecast'!$E$20:$E$1181,'Incremental Network SummerFcast'!$A67)+H69),
1*(
SUMIFS('Customer Scenario Forecast'!H$24:H$1185,'Customer Scenario Forecast'!$C$20:$C$1181,'Incremental Network SummerFcast'!$A67,'Customer Scenario Forecast'!$H$20:$H$1181,'Incremental Network SummerFcast'!$H$1)+
SUMIFS('Customer Scenario Forecast'!H$24:H$1185,'Customer Scenario Forecast'!$D$20:$D$1181,'Incremental Network SummerFcast'!$A67,'Customer Scenario Forecast'!$H$20:$H$1181,'Incremental Network SummerFcast'!$H$1)+
SUMIFS('Customer Scenario Forecast'!H$24:H$1185,'Customer Scenario Forecast'!$E$20:$E$1181,'Incremental Network SummerFcast'!$A67,'Customer Scenario Forecast'!$H$20:$H$1181,'Incremental Network SummerFcast'!$H$1)+H69))</f>
        <v>9</v>
      </c>
      <c r="I72" s="196">
        <f ca="1">IF($H$1="",
1*(
SUMIFS('Customer Scenario Forecast'!I$24:I$1185,'Customer Scenario Forecast'!$C$20:$C$1181,'Incremental Network SummerFcast'!$A67)+
SUMIFS('Customer Scenario Forecast'!I$24:I$1185,'Customer Scenario Forecast'!$D$20:$D$1181,'Incremental Network SummerFcast'!$A67)+
SUMIFS('Customer Scenario Forecast'!I$24:I$1185,'Customer Scenario Forecast'!$E$20:$E$1181,'Incremental Network SummerFcast'!$A67)+I69),
1*(
SUMIFS('Customer Scenario Forecast'!I$24:I$1185,'Customer Scenario Forecast'!$C$20:$C$1181,'Incremental Network SummerFcast'!$A67,'Customer Scenario Forecast'!$H$20:$H$1181,'Incremental Network SummerFcast'!$H$1)+
SUMIFS('Customer Scenario Forecast'!I$24:I$1185,'Customer Scenario Forecast'!$D$20:$D$1181,'Incremental Network SummerFcast'!$A67,'Customer Scenario Forecast'!$H$20:$H$1181,'Incremental Network SummerFcast'!$H$1)+
SUMIFS('Customer Scenario Forecast'!I$24:I$1185,'Customer Scenario Forecast'!$E$20:$E$1181,'Incremental Network SummerFcast'!$A67,'Customer Scenario Forecast'!$H$20:$H$1181,'Incremental Network SummerFcast'!$H$1)+I69))</f>
        <v>9.5</v>
      </c>
      <c r="J72" s="196">
        <f ca="1">IF($H$1="",
1*(
SUMIFS('Customer Scenario Forecast'!J$24:J$1185,'Customer Scenario Forecast'!$C$20:$C$1181,'Incremental Network SummerFcast'!$A67)+
SUMIFS('Customer Scenario Forecast'!J$24:J$1185,'Customer Scenario Forecast'!$D$20:$D$1181,'Incremental Network SummerFcast'!$A67)+
SUMIFS('Customer Scenario Forecast'!J$24:J$1185,'Customer Scenario Forecast'!$E$20:$E$1181,'Incremental Network SummerFcast'!$A67)+J69),
1*(
SUMIFS('Customer Scenario Forecast'!J$24:J$1185,'Customer Scenario Forecast'!$C$20:$C$1181,'Incremental Network SummerFcast'!$A67,'Customer Scenario Forecast'!$H$20:$H$1181,'Incremental Network SummerFcast'!$H$1)+
SUMIFS('Customer Scenario Forecast'!J$24:J$1185,'Customer Scenario Forecast'!$D$20:$D$1181,'Incremental Network SummerFcast'!$A67,'Customer Scenario Forecast'!$H$20:$H$1181,'Incremental Network SummerFcast'!$H$1)+
SUMIFS('Customer Scenario Forecast'!J$24:J$1185,'Customer Scenario Forecast'!$E$20:$E$1181,'Incremental Network SummerFcast'!$A67,'Customer Scenario Forecast'!$H$20:$H$1181,'Incremental Network SummerFcast'!$H$1)+J69))</f>
        <v>17.899999999999999</v>
      </c>
      <c r="K72" s="196">
        <f ca="1">IF($H$1="",
1*(
SUMIFS('Customer Scenario Forecast'!K$24:K$1185,'Customer Scenario Forecast'!$C$20:$C$1181,'Incremental Network SummerFcast'!$A67)+
SUMIFS('Customer Scenario Forecast'!K$24:K$1185,'Customer Scenario Forecast'!$D$20:$D$1181,'Incremental Network SummerFcast'!$A67)+
SUMIFS('Customer Scenario Forecast'!K$24:K$1185,'Customer Scenario Forecast'!$E$20:$E$1181,'Incremental Network SummerFcast'!$A67)+K69),
1*(
SUMIFS('Customer Scenario Forecast'!K$24:K$1185,'Customer Scenario Forecast'!$C$20:$C$1181,'Incremental Network SummerFcast'!$A67,'Customer Scenario Forecast'!$H$20:$H$1181,'Incremental Network SummerFcast'!$H$1)+
SUMIFS('Customer Scenario Forecast'!K$24:K$1185,'Customer Scenario Forecast'!$D$20:$D$1181,'Incremental Network SummerFcast'!$A67,'Customer Scenario Forecast'!$H$20:$H$1181,'Incremental Network SummerFcast'!$H$1)+
SUMIFS('Customer Scenario Forecast'!K$24:K$1185,'Customer Scenario Forecast'!$E$20:$E$1181,'Incremental Network SummerFcast'!$A67,'Customer Scenario Forecast'!$H$20:$H$1181,'Incremental Network SummerFcast'!$H$1)+K69))</f>
        <v>17.899999999999999</v>
      </c>
      <c r="L72" s="196">
        <f ca="1">IF($H$1="",
1*(
SUMIFS('Customer Scenario Forecast'!L$24:L$1185,'Customer Scenario Forecast'!$C$20:$C$1181,'Incremental Network SummerFcast'!$A67)+
SUMIFS('Customer Scenario Forecast'!L$24:L$1185,'Customer Scenario Forecast'!$D$20:$D$1181,'Incremental Network SummerFcast'!$A67)+
SUMIFS('Customer Scenario Forecast'!L$24:L$1185,'Customer Scenario Forecast'!$E$20:$E$1181,'Incremental Network SummerFcast'!$A67)+L69),
1*(
SUMIFS('Customer Scenario Forecast'!L$24:L$1185,'Customer Scenario Forecast'!$C$20:$C$1181,'Incremental Network SummerFcast'!$A67,'Customer Scenario Forecast'!$H$20:$H$1181,'Incremental Network SummerFcast'!$H$1)+
SUMIFS('Customer Scenario Forecast'!L$24:L$1185,'Customer Scenario Forecast'!$D$20:$D$1181,'Incremental Network SummerFcast'!$A67,'Customer Scenario Forecast'!$H$20:$H$1181,'Incremental Network SummerFcast'!$H$1)+
SUMIFS('Customer Scenario Forecast'!L$24:L$1185,'Customer Scenario Forecast'!$E$20:$E$1181,'Incremental Network SummerFcast'!$A67,'Customer Scenario Forecast'!$H$20:$H$1181,'Incremental Network SummerFcast'!$H$1)+L69))</f>
        <v>24.4</v>
      </c>
    </row>
    <row r="73" spans="1:12" ht="15" thickBot="1">
      <c r="A73" s="197" t="s">
        <v>109</v>
      </c>
      <c r="B73" s="198">
        <f ca="1">IF($H$1="",
1*(
SUMIFS('Customer Scenario Forecast'!B$25:B$1186,'Customer Scenario Forecast'!$C$20:$C$1181,'Incremental Network SummerFcast'!$A67)+
SUMIFS('Customer Scenario Forecast'!B$25:B$1186,'Customer Scenario Forecast'!$D$20:$D$1181,'Incremental Network SummerFcast'!$A67)+
SUMIFS('Customer Scenario Forecast'!B$25:B$1186,'Customer Scenario Forecast'!$E$20:$E$1181,'Incremental Network SummerFcast'!$A67)+B69),
1*(
SUMIFS('Customer Scenario Forecast'!B$25:B$1186,'Customer Scenario Forecast'!$C$20:$C$1181,'Incremental Network SummerFcast'!$A67,'Customer Scenario Forecast'!$H$20:$H$1181,'Incremental Network SummerFcast'!$H$1)+
SUMIFS('Customer Scenario Forecast'!B$25:B$1186,'Customer Scenario Forecast'!$D$20:$D$1181,'Incremental Network SummerFcast'!$A67,'Customer Scenario Forecast'!$H$20:$H$1181,'Incremental Network SummerFcast'!$H$1)+
SUMIFS('Customer Scenario Forecast'!B$25:B$1186,'Customer Scenario Forecast'!$E$20:$E$1181,'Incremental Network SummerFcast'!$A67,'Customer Scenario Forecast'!$H$20:$H$1181,'Incremental Network SummerFcast'!$H$1)+B69))</f>
        <v>0</v>
      </c>
      <c r="C73" s="198">
        <f ca="1">IF($H$1="",
1*(
SUMIFS('Customer Scenario Forecast'!C$25:C$1186,'Customer Scenario Forecast'!$C$20:$C$1181,'Incremental Network SummerFcast'!$A67)+
SUMIFS('Customer Scenario Forecast'!C$25:C$1186,'Customer Scenario Forecast'!$D$20:$D$1181,'Incremental Network SummerFcast'!$A67)+
SUMIFS('Customer Scenario Forecast'!C$25:C$1186,'Customer Scenario Forecast'!$E$20:$E$1181,'Incremental Network SummerFcast'!$A67)+C69),
1*(
SUMIFS('Customer Scenario Forecast'!C$25:C$1186,'Customer Scenario Forecast'!$C$20:$C$1181,'Incremental Network SummerFcast'!$A67,'Customer Scenario Forecast'!$H$20:$H$1181,'Incremental Network SummerFcast'!$H$1)+
SUMIFS('Customer Scenario Forecast'!C$25:C$1186,'Customer Scenario Forecast'!$D$20:$D$1181,'Incremental Network SummerFcast'!$A67,'Customer Scenario Forecast'!$H$20:$H$1181,'Incremental Network SummerFcast'!$H$1)+
SUMIFS('Customer Scenario Forecast'!C$25:C$1186,'Customer Scenario Forecast'!$E$20:$E$1181,'Incremental Network SummerFcast'!$A67,'Customer Scenario Forecast'!$H$20:$H$1181,'Incremental Network SummerFcast'!$H$1)+C69))</f>
        <v>5</v>
      </c>
      <c r="D73" s="198">
        <f ca="1">IF($H$1="",
1*(
SUMIFS('Customer Scenario Forecast'!D$25:D$1186,'Customer Scenario Forecast'!$C$20:$C$1181,'Incremental Network SummerFcast'!$A67)+
SUMIFS('Customer Scenario Forecast'!D$25:D$1186,'Customer Scenario Forecast'!$D$20:$D$1181,'Incremental Network SummerFcast'!$A67)+
SUMIFS('Customer Scenario Forecast'!D$25:D$1186,'Customer Scenario Forecast'!$E$20:$E$1181,'Incremental Network SummerFcast'!$A67)+D69),
1*(
SUMIFS('Customer Scenario Forecast'!D$25:D$1186,'Customer Scenario Forecast'!$C$20:$C$1181,'Incremental Network SummerFcast'!$A67,'Customer Scenario Forecast'!$H$20:$H$1181,'Incremental Network SummerFcast'!$H$1)+
SUMIFS('Customer Scenario Forecast'!D$25:D$1186,'Customer Scenario Forecast'!$D$20:$D$1181,'Incremental Network SummerFcast'!$A67,'Customer Scenario Forecast'!$H$20:$H$1181,'Incremental Network SummerFcast'!$H$1)+
SUMIFS('Customer Scenario Forecast'!D$25:D$1186,'Customer Scenario Forecast'!$E$20:$E$1181,'Incremental Network SummerFcast'!$A67,'Customer Scenario Forecast'!$H$20:$H$1181,'Incremental Network SummerFcast'!$H$1)+D69))</f>
        <v>15</v>
      </c>
      <c r="E73" s="198">
        <f ca="1">IF($H$1="",
1*(
SUMIFS('Customer Scenario Forecast'!E$25:E$1186,'Customer Scenario Forecast'!$C$20:$C$1181,'Incremental Network SummerFcast'!$A67)+
SUMIFS('Customer Scenario Forecast'!E$25:E$1186,'Customer Scenario Forecast'!$D$20:$D$1181,'Incremental Network SummerFcast'!$A67)+
SUMIFS('Customer Scenario Forecast'!E$25:E$1186,'Customer Scenario Forecast'!$E$20:$E$1181,'Incremental Network SummerFcast'!$A67)+E69),
1*(
SUMIFS('Customer Scenario Forecast'!E$25:E$1186,'Customer Scenario Forecast'!$C$20:$C$1181,'Incremental Network SummerFcast'!$A67,'Customer Scenario Forecast'!$H$20:$H$1181,'Incremental Network SummerFcast'!$H$1)+
SUMIFS('Customer Scenario Forecast'!E$25:E$1186,'Customer Scenario Forecast'!$D$20:$D$1181,'Incremental Network SummerFcast'!$A67,'Customer Scenario Forecast'!$H$20:$H$1181,'Incremental Network SummerFcast'!$H$1)+
SUMIFS('Customer Scenario Forecast'!E$25:E$1186,'Customer Scenario Forecast'!$E$20:$E$1181,'Incremental Network SummerFcast'!$A67,'Customer Scenario Forecast'!$H$20:$H$1181,'Incremental Network SummerFcast'!$H$1)+E69))</f>
        <v>15</v>
      </c>
      <c r="F73" s="198">
        <f ca="1">IF($H$1="",
1*(
SUMIFS('Customer Scenario Forecast'!F$25:F$1186,'Customer Scenario Forecast'!$C$20:$C$1181,'Incremental Network SummerFcast'!$A67)+
SUMIFS('Customer Scenario Forecast'!F$25:F$1186,'Customer Scenario Forecast'!$D$20:$D$1181,'Incremental Network SummerFcast'!$A67)+
SUMIFS('Customer Scenario Forecast'!F$25:F$1186,'Customer Scenario Forecast'!$E$20:$E$1181,'Incremental Network SummerFcast'!$A67)+F69),
1*(
SUMIFS('Customer Scenario Forecast'!F$25:F$1186,'Customer Scenario Forecast'!$C$20:$C$1181,'Incremental Network SummerFcast'!$A67,'Customer Scenario Forecast'!$H$20:$H$1181,'Incremental Network SummerFcast'!$H$1)+
SUMIFS('Customer Scenario Forecast'!F$25:F$1186,'Customer Scenario Forecast'!$D$20:$D$1181,'Incremental Network SummerFcast'!$A67,'Customer Scenario Forecast'!$H$20:$H$1181,'Incremental Network SummerFcast'!$H$1)+
SUMIFS('Customer Scenario Forecast'!F$25:F$1186,'Customer Scenario Forecast'!$E$20:$E$1181,'Incremental Network SummerFcast'!$A67,'Customer Scenario Forecast'!$H$20:$H$1181,'Incremental Network SummerFcast'!$H$1)+F69))</f>
        <v>17.7</v>
      </c>
      <c r="G73" s="198">
        <f ca="1">IF($H$1="",
1*(
SUMIFS('Customer Scenario Forecast'!G$25:G$1186,'Customer Scenario Forecast'!$C$20:$C$1181,'Incremental Network SummerFcast'!$A67)+
SUMIFS('Customer Scenario Forecast'!G$25:G$1186,'Customer Scenario Forecast'!$D$20:$D$1181,'Incremental Network SummerFcast'!$A67)+
SUMIFS('Customer Scenario Forecast'!G$25:G$1186,'Customer Scenario Forecast'!$E$20:$E$1181,'Incremental Network SummerFcast'!$A67)+G69),
1*(
SUMIFS('Customer Scenario Forecast'!G$25:G$1186,'Customer Scenario Forecast'!$C$20:$C$1181,'Incremental Network SummerFcast'!$A67,'Customer Scenario Forecast'!$H$20:$H$1181,'Incremental Network SummerFcast'!$H$1)+
SUMIFS('Customer Scenario Forecast'!G$25:G$1186,'Customer Scenario Forecast'!$D$20:$D$1181,'Incremental Network SummerFcast'!$A67,'Customer Scenario Forecast'!$H$20:$H$1181,'Incremental Network SummerFcast'!$H$1)+
SUMIFS('Customer Scenario Forecast'!G$25:G$1186,'Customer Scenario Forecast'!$E$20:$E$1181,'Incremental Network SummerFcast'!$A67,'Customer Scenario Forecast'!$H$20:$H$1181,'Incremental Network SummerFcast'!$H$1)+G69))</f>
        <v>17.7</v>
      </c>
      <c r="H73" s="198">
        <f ca="1">IF($H$1="",
1*(
SUMIFS('Customer Scenario Forecast'!H$25:H$1186,'Customer Scenario Forecast'!$C$20:$C$1181,'Incremental Network SummerFcast'!$A67)+
SUMIFS('Customer Scenario Forecast'!H$25:H$1186,'Customer Scenario Forecast'!$D$20:$D$1181,'Incremental Network SummerFcast'!$A67)+
SUMIFS('Customer Scenario Forecast'!H$25:H$1186,'Customer Scenario Forecast'!$E$20:$E$1181,'Incremental Network SummerFcast'!$A67)+H69),
1*(
SUMIFS('Customer Scenario Forecast'!H$25:H$1186,'Customer Scenario Forecast'!$C$20:$C$1181,'Incremental Network SummerFcast'!$A67,'Customer Scenario Forecast'!$H$20:$H$1181,'Incremental Network SummerFcast'!$H$1)+
SUMIFS('Customer Scenario Forecast'!H$25:H$1186,'Customer Scenario Forecast'!$D$20:$D$1181,'Incremental Network SummerFcast'!$A67,'Customer Scenario Forecast'!$H$20:$H$1181,'Incremental Network SummerFcast'!$H$1)+
SUMIFS('Customer Scenario Forecast'!H$25:H$1186,'Customer Scenario Forecast'!$E$20:$E$1181,'Incremental Network SummerFcast'!$A67,'Customer Scenario Forecast'!$H$20:$H$1181,'Incremental Network SummerFcast'!$H$1)+H69))</f>
        <v>17.7</v>
      </c>
      <c r="I73" s="198">
        <f ca="1">IF($H$1="",
1*(
SUMIFS('Customer Scenario Forecast'!I$25:I$1186,'Customer Scenario Forecast'!$C$20:$C$1181,'Incremental Network SummerFcast'!$A67)+
SUMIFS('Customer Scenario Forecast'!I$25:I$1186,'Customer Scenario Forecast'!$D$20:$D$1181,'Incremental Network SummerFcast'!$A67)+
SUMIFS('Customer Scenario Forecast'!I$25:I$1186,'Customer Scenario Forecast'!$E$20:$E$1181,'Incremental Network SummerFcast'!$A67)+I69),
1*(
SUMIFS('Customer Scenario Forecast'!I$25:I$1186,'Customer Scenario Forecast'!$C$20:$C$1181,'Incremental Network SummerFcast'!$A67,'Customer Scenario Forecast'!$H$20:$H$1181,'Incremental Network SummerFcast'!$H$1)+
SUMIFS('Customer Scenario Forecast'!I$25:I$1186,'Customer Scenario Forecast'!$D$20:$D$1181,'Incremental Network SummerFcast'!$A67,'Customer Scenario Forecast'!$H$20:$H$1181,'Incremental Network SummerFcast'!$H$1)+
SUMIFS('Customer Scenario Forecast'!I$25:I$1186,'Customer Scenario Forecast'!$E$20:$E$1181,'Incremental Network SummerFcast'!$A67,'Customer Scenario Forecast'!$H$20:$H$1181,'Incremental Network SummerFcast'!$H$1)+I69))</f>
        <v>30.4</v>
      </c>
      <c r="J73" s="198">
        <f ca="1">IF($H$1="",
1*(
SUMIFS('Customer Scenario Forecast'!J$25:J$1186,'Customer Scenario Forecast'!$C$20:$C$1181,'Incremental Network SummerFcast'!$A67)+
SUMIFS('Customer Scenario Forecast'!J$25:J$1186,'Customer Scenario Forecast'!$D$20:$D$1181,'Incremental Network SummerFcast'!$A67)+
SUMIFS('Customer Scenario Forecast'!J$25:J$1186,'Customer Scenario Forecast'!$E$20:$E$1181,'Incremental Network SummerFcast'!$A67)+J69),
1*(
SUMIFS('Customer Scenario Forecast'!J$25:J$1186,'Customer Scenario Forecast'!$C$20:$C$1181,'Incremental Network SummerFcast'!$A67,'Customer Scenario Forecast'!$H$20:$H$1181,'Incremental Network SummerFcast'!$H$1)+
SUMIFS('Customer Scenario Forecast'!J$25:J$1186,'Customer Scenario Forecast'!$D$20:$D$1181,'Incremental Network SummerFcast'!$A67,'Customer Scenario Forecast'!$H$20:$H$1181,'Incremental Network SummerFcast'!$H$1)+
SUMIFS('Customer Scenario Forecast'!J$25:J$1186,'Customer Scenario Forecast'!$E$20:$E$1181,'Incremental Network SummerFcast'!$A67,'Customer Scenario Forecast'!$H$20:$H$1181,'Incremental Network SummerFcast'!$H$1)+J69))</f>
        <v>47.1</v>
      </c>
      <c r="K73" s="198">
        <f ca="1">IF($H$1="",
1*(
SUMIFS('Customer Scenario Forecast'!K$25:K$1186,'Customer Scenario Forecast'!$C$20:$C$1181,'Incremental Network SummerFcast'!$A67)+
SUMIFS('Customer Scenario Forecast'!K$25:K$1186,'Customer Scenario Forecast'!$D$20:$D$1181,'Incremental Network SummerFcast'!$A67)+
SUMIFS('Customer Scenario Forecast'!K$25:K$1186,'Customer Scenario Forecast'!$E$20:$E$1181,'Incremental Network SummerFcast'!$A67)+K69),
1*(
SUMIFS('Customer Scenario Forecast'!K$25:K$1186,'Customer Scenario Forecast'!$C$20:$C$1181,'Incremental Network SummerFcast'!$A67,'Customer Scenario Forecast'!$H$20:$H$1181,'Incremental Network SummerFcast'!$H$1)+
SUMIFS('Customer Scenario Forecast'!K$25:K$1186,'Customer Scenario Forecast'!$D$20:$D$1181,'Incremental Network SummerFcast'!$A67,'Customer Scenario Forecast'!$H$20:$H$1181,'Incremental Network SummerFcast'!$H$1)+
SUMIFS('Customer Scenario Forecast'!K$25:K$1186,'Customer Scenario Forecast'!$E$20:$E$1181,'Incremental Network SummerFcast'!$A67,'Customer Scenario Forecast'!$H$20:$H$1181,'Incremental Network SummerFcast'!$H$1)+K69))</f>
        <v>43.86</v>
      </c>
      <c r="L73" s="198">
        <f ca="1">IF($H$1="",
1*(
SUMIFS('Customer Scenario Forecast'!L$25:L$1186,'Customer Scenario Forecast'!$C$20:$C$1181,'Incremental Network SummerFcast'!$A67)+
SUMIFS('Customer Scenario Forecast'!L$25:L$1186,'Customer Scenario Forecast'!$D$20:$D$1181,'Incremental Network SummerFcast'!$A67)+
SUMIFS('Customer Scenario Forecast'!L$25:L$1186,'Customer Scenario Forecast'!$E$20:$E$1181,'Incremental Network SummerFcast'!$A67)+L69),
1*(
SUMIFS('Customer Scenario Forecast'!L$25:L$1186,'Customer Scenario Forecast'!$C$20:$C$1181,'Incremental Network SummerFcast'!$A67,'Customer Scenario Forecast'!$H$20:$H$1181,'Incremental Network SummerFcast'!$H$1)+
SUMIFS('Customer Scenario Forecast'!L$25:L$1186,'Customer Scenario Forecast'!$D$20:$D$1181,'Incremental Network SummerFcast'!$A67,'Customer Scenario Forecast'!$H$20:$H$1181,'Incremental Network SummerFcast'!$H$1)+
SUMIFS('Customer Scenario Forecast'!L$25:L$1186,'Customer Scenario Forecast'!$E$20:$E$1181,'Incremental Network SummerFcast'!$A67,'Customer Scenario Forecast'!$H$20:$H$1181,'Incremental Network SummerFcast'!$H$1)+L69))</f>
        <v>46.29</v>
      </c>
    </row>
    <row r="74" spans="1:12" ht="15.6" thickTop="1" thickBot="1">
      <c r="A74" s="197" t="s">
        <v>148</v>
      </c>
      <c r="B74" s="198">
        <f ca="1">'Incremental Network SummerFcast'!$B$245*B71+'Incremental Network SummerFcast'!$B$246*B72+'Incremental Network SummerFcast'!$B$247*B73</f>
        <v>0</v>
      </c>
      <c r="C74" s="198">
        <f ca="1">'Incremental Network SummerFcast'!$B$245*C71+'Incremental Network SummerFcast'!$B$246*C72+'Incremental Network SummerFcast'!$B$247*C73</f>
        <v>1.25</v>
      </c>
      <c r="D74" s="198">
        <f ca="1">'Incremental Network SummerFcast'!$B$245*D71+'Incremental Network SummerFcast'!$B$246*D72+'Incremental Network SummerFcast'!$B$247*D73</f>
        <v>6</v>
      </c>
      <c r="E74" s="198">
        <f ca="1">'Incremental Network SummerFcast'!$B$245*E71+'Incremental Network SummerFcast'!$B$246*E72+'Incremental Network SummerFcast'!$B$247*E73</f>
        <v>11.25</v>
      </c>
      <c r="F74" s="198">
        <f ca="1">'Incremental Network SummerFcast'!$B$245*F71+'Incremental Network SummerFcast'!$B$246*F72+'Incremental Network SummerFcast'!$B$247*F73</f>
        <v>13.425000000000001</v>
      </c>
      <c r="G74" s="198">
        <f ca="1">'Incremental Network SummerFcast'!$B$245*G71+'Incremental Network SummerFcast'!$B$246*G72+'Incremental Network SummerFcast'!$B$247*G73</f>
        <v>14.3</v>
      </c>
      <c r="H74" s="198">
        <f ca="1">'Incremental Network SummerFcast'!$B$245*H71+'Incremental Network SummerFcast'!$B$246*H72+'Incremental Network SummerFcast'!$B$247*H73</f>
        <v>14.3</v>
      </c>
      <c r="I74" s="198">
        <f ca="1">'Incremental Network SummerFcast'!$B$245*I71+'Incremental Network SummerFcast'!$B$246*I72+'Incremental Network SummerFcast'!$B$247*I73</f>
        <v>17.600000000000001</v>
      </c>
      <c r="J74" s="198">
        <f ca="1">'Incremental Network SummerFcast'!$B$245*J71+'Incremental Network SummerFcast'!$B$246*J72+'Incremental Network SummerFcast'!$B$247*J73</f>
        <v>31.65</v>
      </c>
      <c r="K74" s="198">
        <f ca="1">'Incremental Network SummerFcast'!$B$245*K71+'Incremental Network SummerFcast'!$B$246*K72+'Incremental Network SummerFcast'!$B$247*K73</f>
        <v>31.19</v>
      </c>
      <c r="L74" s="198">
        <f ca="1">'Incremental Network SummerFcast'!$B$245*L71+'Incremental Network SummerFcast'!$B$246*L72+'Incremental Network SummerFcast'!$B$247*L73</f>
        <v>32.547499999999999</v>
      </c>
    </row>
    <row r="75" spans="1:12" ht="15.6" thickTop="1" thickBot="1">
      <c r="A75" s="188" t="s">
        <v>117</v>
      </c>
      <c r="B75" s="216"/>
      <c r="C75" s="190"/>
      <c r="D75" s="190"/>
      <c r="E75" s="190"/>
      <c r="F75" s="190"/>
      <c r="G75" s="190"/>
      <c r="H75" s="190"/>
      <c r="I75" s="190"/>
      <c r="J75" s="190"/>
      <c r="K75" s="190"/>
      <c r="L75" s="190"/>
    </row>
    <row r="76" spans="1:12" ht="15" thickBot="1">
      <c r="A76" s="191" t="str">
        <f>A68</f>
        <v>Uptake Scenario</v>
      </c>
      <c r="B76" s="191">
        <f t="shared" ref="B76:L76" si="9">B68</f>
        <v>2023</v>
      </c>
      <c r="C76" s="191">
        <f t="shared" si="9"/>
        <v>2024</v>
      </c>
      <c r="D76" s="191">
        <f t="shared" si="9"/>
        <v>2025</v>
      </c>
      <c r="E76" s="191">
        <f t="shared" si="9"/>
        <v>2026</v>
      </c>
      <c r="F76" s="191">
        <f t="shared" si="9"/>
        <v>2027</v>
      </c>
      <c r="G76" s="191">
        <f t="shared" si="9"/>
        <v>2028</v>
      </c>
      <c r="H76" s="191">
        <f t="shared" si="9"/>
        <v>2029</v>
      </c>
      <c r="I76" s="191">
        <f t="shared" si="9"/>
        <v>2030</v>
      </c>
      <c r="J76" s="191">
        <f t="shared" si="9"/>
        <v>2031</v>
      </c>
      <c r="K76" s="191">
        <f t="shared" si="9"/>
        <v>2032</v>
      </c>
      <c r="L76" s="191">
        <f t="shared" si="9"/>
        <v>2033</v>
      </c>
    </row>
    <row r="77" spans="1:12" ht="15.6" thickTop="1" thickBot="1">
      <c r="A77" s="193"/>
      <c r="B77" s="206"/>
      <c r="C77" s="206"/>
      <c r="D77" s="206"/>
      <c r="E77" s="206"/>
      <c r="F77" s="206"/>
      <c r="G77" s="206"/>
      <c r="H77" s="206"/>
      <c r="I77" s="206"/>
      <c r="J77" s="206"/>
      <c r="K77" s="215"/>
      <c r="L77" s="215"/>
    </row>
    <row r="78" spans="1:12" ht="15" thickBot="1">
      <c r="A78" s="193" t="s">
        <v>111</v>
      </c>
      <c r="B78" s="194">
        <f ca="1">IF($H$1="",
SUMIFS('Customer Scenario Forecast'!B$22:B$1183,'Customer Scenario Forecast'!$C$20:$C$1181,'Incremental Network SummerFcast'!$A75)+
SUMIFS('Customer Scenario Forecast'!B$22:B$1183,'Customer Scenario Forecast'!$D$20:$D$1181,'Incremental Network SummerFcast'!$A75)+
SUMIFS('Customer Scenario Forecast'!B$22:B$1183,'Customer Scenario Forecast'!$E$20:$E$1181,'Incremental Network SummerFcast'!$A75),
SUMIFS('Customer Scenario Forecast'!B$22:B$1183,'Customer Scenario Forecast'!$C$20:$C$1181,'Incremental Network SummerFcast'!$A75,'Customer Scenario Forecast'!$H$20:$H$1181,'Incremental Network SummerFcast'!$H$1)+
SUMIFS('Customer Scenario Forecast'!B$22:B$1183,'Customer Scenario Forecast'!$D$20:$D$1181,'Incremental Network SummerFcast'!$A75,'Customer Scenario Forecast'!$H$20:$H$1181,'Incremental Network SummerFcast'!$H$1)+
SUMIFS('Customer Scenario Forecast'!B$22:B$1183,'Customer Scenario Forecast'!$E$20:$E$1181,'Incremental Network SummerFcast'!$A75,'Customer Scenario Forecast'!$H$20:$H$1181,'Incremental Network SummerFcast'!$H$1))</f>
        <v>0</v>
      </c>
      <c r="C78" s="194">
        <f ca="1">IF($H$1="",
SUMIFS('Customer Scenario Forecast'!C$22:C$1183,'Customer Scenario Forecast'!$C$20:$C$1181,'Incremental Network SummerFcast'!$A75)+
SUMIFS('Customer Scenario Forecast'!C$22:C$1183,'Customer Scenario Forecast'!$D$20:$D$1181,'Incremental Network SummerFcast'!$A75)+
SUMIFS('Customer Scenario Forecast'!C$22:C$1183,'Customer Scenario Forecast'!$E$20:$E$1181,'Incremental Network SummerFcast'!$A75),
SUMIFS('Customer Scenario Forecast'!C$22:C$1183,'Customer Scenario Forecast'!$C$20:$C$1181,'Incremental Network SummerFcast'!$A75,'Customer Scenario Forecast'!$H$20:$H$1181,'Incremental Network SummerFcast'!$H$1)+
SUMIFS('Customer Scenario Forecast'!C$22:C$1183,'Customer Scenario Forecast'!$D$20:$D$1181,'Incremental Network SummerFcast'!$A75,'Customer Scenario Forecast'!$H$20:$H$1181,'Incremental Network SummerFcast'!$H$1)+
SUMIFS('Customer Scenario Forecast'!C$22:C$1183,'Customer Scenario Forecast'!$E$20:$E$1181,'Incremental Network SummerFcast'!$A75,'Customer Scenario Forecast'!$H$20:$H$1181,'Incremental Network SummerFcast'!$H$1))</f>
        <v>0</v>
      </c>
      <c r="D78" s="194">
        <f ca="1">IF($H$1="",
SUMIFS('Customer Scenario Forecast'!D$22:D$1183,'Customer Scenario Forecast'!$C$20:$C$1181,'Incremental Network SummerFcast'!$A75)+
SUMIFS('Customer Scenario Forecast'!D$22:D$1183,'Customer Scenario Forecast'!$D$20:$D$1181,'Incremental Network SummerFcast'!$A75)+
SUMIFS('Customer Scenario Forecast'!D$22:D$1183,'Customer Scenario Forecast'!$E$20:$E$1181,'Incremental Network SummerFcast'!$A75),
SUMIFS('Customer Scenario Forecast'!D$22:D$1183,'Customer Scenario Forecast'!$C$20:$C$1181,'Incremental Network SummerFcast'!$A75,'Customer Scenario Forecast'!$H$20:$H$1181,'Incremental Network SummerFcast'!$H$1)+
SUMIFS('Customer Scenario Forecast'!D$22:D$1183,'Customer Scenario Forecast'!$D$20:$D$1181,'Incremental Network SummerFcast'!$A75,'Customer Scenario Forecast'!$H$20:$H$1181,'Incremental Network SummerFcast'!$H$1)+
SUMIFS('Customer Scenario Forecast'!D$22:D$1183,'Customer Scenario Forecast'!$E$20:$E$1181,'Incremental Network SummerFcast'!$A75,'Customer Scenario Forecast'!$H$20:$H$1181,'Incremental Network SummerFcast'!$H$1))</f>
        <v>6</v>
      </c>
      <c r="E78" s="194">
        <f ca="1">IF($H$1="",
SUMIFS('Customer Scenario Forecast'!E$22:E$1183,'Customer Scenario Forecast'!$C$20:$C$1181,'Incremental Network SummerFcast'!$A75)+
SUMIFS('Customer Scenario Forecast'!E$22:E$1183,'Customer Scenario Forecast'!$D$20:$D$1181,'Incremental Network SummerFcast'!$A75)+
SUMIFS('Customer Scenario Forecast'!E$22:E$1183,'Customer Scenario Forecast'!$E$20:$E$1181,'Incremental Network SummerFcast'!$A75),
SUMIFS('Customer Scenario Forecast'!E$22:E$1183,'Customer Scenario Forecast'!$C$20:$C$1181,'Incremental Network SummerFcast'!$A75,'Customer Scenario Forecast'!$H$20:$H$1181,'Incremental Network SummerFcast'!$H$1)+
SUMIFS('Customer Scenario Forecast'!E$22:E$1183,'Customer Scenario Forecast'!$D$20:$D$1181,'Incremental Network SummerFcast'!$A75,'Customer Scenario Forecast'!$H$20:$H$1181,'Incremental Network SummerFcast'!$H$1)+
SUMIFS('Customer Scenario Forecast'!E$22:E$1183,'Customer Scenario Forecast'!$E$20:$E$1181,'Incremental Network SummerFcast'!$A75,'Customer Scenario Forecast'!$H$20:$H$1181,'Incremental Network SummerFcast'!$H$1))</f>
        <v>20</v>
      </c>
      <c r="F78" s="194">
        <f ca="1">IF($H$1="",
SUMIFS('Customer Scenario Forecast'!F$22:F$1183,'Customer Scenario Forecast'!$C$20:$C$1181,'Incremental Network SummerFcast'!$A75)+
SUMIFS('Customer Scenario Forecast'!F$22:F$1183,'Customer Scenario Forecast'!$D$20:$D$1181,'Incremental Network SummerFcast'!$A75)+
SUMIFS('Customer Scenario Forecast'!F$22:F$1183,'Customer Scenario Forecast'!$E$20:$E$1181,'Incremental Network SummerFcast'!$A75),
SUMIFS('Customer Scenario Forecast'!F$22:F$1183,'Customer Scenario Forecast'!$C$20:$C$1181,'Incremental Network SummerFcast'!$A75,'Customer Scenario Forecast'!$H$20:$H$1181,'Incremental Network SummerFcast'!$H$1)+
SUMIFS('Customer Scenario Forecast'!F$22:F$1183,'Customer Scenario Forecast'!$D$20:$D$1181,'Incremental Network SummerFcast'!$A75,'Customer Scenario Forecast'!$H$20:$H$1181,'Incremental Network SummerFcast'!$H$1)+
SUMIFS('Customer Scenario Forecast'!F$22:F$1183,'Customer Scenario Forecast'!$E$20:$E$1181,'Incremental Network SummerFcast'!$A75,'Customer Scenario Forecast'!$H$20:$H$1181,'Incremental Network SummerFcast'!$H$1))</f>
        <v>20</v>
      </c>
      <c r="G78" s="194">
        <f ca="1">IF($H$1="",
SUMIFS('Customer Scenario Forecast'!G$22:G$1183,'Customer Scenario Forecast'!$C$20:$C$1181,'Incremental Network SummerFcast'!$A75)+
SUMIFS('Customer Scenario Forecast'!G$22:G$1183,'Customer Scenario Forecast'!$D$20:$D$1181,'Incremental Network SummerFcast'!$A75)+
SUMIFS('Customer Scenario Forecast'!G$22:G$1183,'Customer Scenario Forecast'!$E$20:$E$1181,'Incremental Network SummerFcast'!$A75),
SUMIFS('Customer Scenario Forecast'!G$22:G$1183,'Customer Scenario Forecast'!$C$20:$C$1181,'Incremental Network SummerFcast'!$A75,'Customer Scenario Forecast'!$H$20:$H$1181,'Incremental Network SummerFcast'!$H$1)+
SUMIFS('Customer Scenario Forecast'!G$22:G$1183,'Customer Scenario Forecast'!$D$20:$D$1181,'Incremental Network SummerFcast'!$A75,'Customer Scenario Forecast'!$H$20:$H$1181,'Incremental Network SummerFcast'!$H$1)+
SUMIFS('Customer Scenario Forecast'!G$22:G$1183,'Customer Scenario Forecast'!$E$20:$E$1181,'Incremental Network SummerFcast'!$A75,'Customer Scenario Forecast'!$H$20:$H$1181,'Incremental Network SummerFcast'!$H$1))</f>
        <v>20</v>
      </c>
      <c r="H78" s="194">
        <f ca="1">IF($H$1="",
SUMIFS('Customer Scenario Forecast'!H$22:H$1183,'Customer Scenario Forecast'!$C$20:$C$1181,'Incremental Network SummerFcast'!$A75)+
SUMIFS('Customer Scenario Forecast'!H$22:H$1183,'Customer Scenario Forecast'!$D$20:$D$1181,'Incremental Network SummerFcast'!$A75)+
SUMIFS('Customer Scenario Forecast'!H$22:H$1183,'Customer Scenario Forecast'!$E$20:$E$1181,'Incremental Network SummerFcast'!$A75),
SUMIFS('Customer Scenario Forecast'!H$22:H$1183,'Customer Scenario Forecast'!$C$20:$C$1181,'Incremental Network SummerFcast'!$A75,'Customer Scenario Forecast'!$H$20:$H$1181,'Incremental Network SummerFcast'!$H$1)+
SUMIFS('Customer Scenario Forecast'!H$22:H$1183,'Customer Scenario Forecast'!$D$20:$D$1181,'Incremental Network SummerFcast'!$A75,'Customer Scenario Forecast'!$H$20:$H$1181,'Incremental Network SummerFcast'!$H$1)+
SUMIFS('Customer Scenario Forecast'!H$22:H$1183,'Customer Scenario Forecast'!$E$20:$E$1181,'Incremental Network SummerFcast'!$A75,'Customer Scenario Forecast'!$H$20:$H$1181,'Incremental Network SummerFcast'!$H$1))</f>
        <v>20</v>
      </c>
      <c r="I78" s="194">
        <f ca="1">IF($H$1="",
SUMIFS('Customer Scenario Forecast'!I$22:I$1183,'Customer Scenario Forecast'!$C$20:$C$1181,'Incremental Network SummerFcast'!$A75)+
SUMIFS('Customer Scenario Forecast'!I$22:I$1183,'Customer Scenario Forecast'!$D$20:$D$1181,'Incremental Network SummerFcast'!$A75)+
SUMIFS('Customer Scenario Forecast'!I$22:I$1183,'Customer Scenario Forecast'!$E$20:$E$1181,'Incremental Network SummerFcast'!$A75),
SUMIFS('Customer Scenario Forecast'!I$22:I$1183,'Customer Scenario Forecast'!$C$20:$C$1181,'Incremental Network SummerFcast'!$A75,'Customer Scenario Forecast'!$H$20:$H$1181,'Incremental Network SummerFcast'!$H$1)+
SUMIFS('Customer Scenario Forecast'!I$22:I$1183,'Customer Scenario Forecast'!$D$20:$D$1181,'Incremental Network SummerFcast'!$A75,'Customer Scenario Forecast'!$H$20:$H$1181,'Incremental Network SummerFcast'!$H$1)+
SUMIFS('Customer Scenario Forecast'!I$22:I$1183,'Customer Scenario Forecast'!$E$20:$E$1181,'Incremental Network SummerFcast'!$A75,'Customer Scenario Forecast'!$H$20:$H$1181,'Incremental Network SummerFcast'!$H$1))</f>
        <v>20</v>
      </c>
      <c r="J78" s="194">
        <f ca="1">IF($H$1="",
SUMIFS('Customer Scenario Forecast'!J$22:J$1183,'Customer Scenario Forecast'!$C$20:$C$1181,'Incremental Network SummerFcast'!$A75)+
SUMIFS('Customer Scenario Forecast'!J$22:J$1183,'Customer Scenario Forecast'!$D$20:$D$1181,'Incremental Network SummerFcast'!$A75)+
SUMIFS('Customer Scenario Forecast'!J$22:J$1183,'Customer Scenario Forecast'!$E$20:$E$1181,'Incremental Network SummerFcast'!$A75),
SUMIFS('Customer Scenario Forecast'!J$22:J$1183,'Customer Scenario Forecast'!$C$20:$C$1181,'Incremental Network SummerFcast'!$A75,'Customer Scenario Forecast'!$H$20:$H$1181,'Incremental Network SummerFcast'!$H$1)+
SUMIFS('Customer Scenario Forecast'!J$22:J$1183,'Customer Scenario Forecast'!$D$20:$D$1181,'Incremental Network SummerFcast'!$A75,'Customer Scenario Forecast'!$H$20:$H$1181,'Incremental Network SummerFcast'!$H$1)+
SUMIFS('Customer Scenario Forecast'!J$22:J$1183,'Customer Scenario Forecast'!$E$20:$E$1181,'Incremental Network SummerFcast'!$A75,'Customer Scenario Forecast'!$H$20:$H$1181,'Incremental Network SummerFcast'!$H$1))</f>
        <v>20</v>
      </c>
      <c r="K78" s="194">
        <f ca="1">IF($H$1="",
SUMIFS('Customer Scenario Forecast'!K$22:K$1183,'Customer Scenario Forecast'!$C$20:$C$1181,'Incremental Network SummerFcast'!$A75)+
SUMIFS('Customer Scenario Forecast'!K$22:K$1183,'Customer Scenario Forecast'!$D$20:$D$1181,'Incremental Network SummerFcast'!$A75)+
SUMIFS('Customer Scenario Forecast'!K$22:K$1183,'Customer Scenario Forecast'!$E$20:$E$1181,'Incremental Network SummerFcast'!$A75),
SUMIFS('Customer Scenario Forecast'!K$22:K$1183,'Customer Scenario Forecast'!$C$20:$C$1181,'Incremental Network SummerFcast'!$A75,'Customer Scenario Forecast'!$H$20:$H$1181,'Incremental Network SummerFcast'!$H$1)+
SUMIFS('Customer Scenario Forecast'!K$22:K$1183,'Customer Scenario Forecast'!$D$20:$D$1181,'Incremental Network SummerFcast'!$A75,'Customer Scenario Forecast'!$H$20:$H$1181,'Incremental Network SummerFcast'!$H$1)+
SUMIFS('Customer Scenario Forecast'!K$22:K$1183,'Customer Scenario Forecast'!$E$20:$E$1181,'Incremental Network SummerFcast'!$A75,'Customer Scenario Forecast'!$H$20:$H$1181,'Incremental Network SummerFcast'!$H$1))</f>
        <v>20</v>
      </c>
      <c r="L78" s="194">
        <f ca="1">IF($H$1="",
SUMIFS('Customer Scenario Forecast'!L$22:L$1183,'Customer Scenario Forecast'!$C$20:$C$1181,'Incremental Network SummerFcast'!$A75)+
SUMIFS('Customer Scenario Forecast'!L$22:L$1183,'Customer Scenario Forecast'!$D$20:$D$1181,'Incremental Network SummerFcast'!$A75)+
SUMIFS('Customer Scenario Forecast'!L$22:L$1183,'Customer Scenario Forecast'!$E$20:$E$1181,'Incremental Network SummerFcast'!$A75),
SUMIFS('Customer Scenario Forecast'!L$22:L$1183,'Customer Scenario Forecast'!$C$20:$C$1181,'Incremental Network SummerFcast'!$A75,'Customer Scenario Forecast'!$H$20:$H$1181,'Incremental Network SummerFcast'!$H$1)+
SUMIFS('Customer Scenario Forecast'!L$22:L$1183,'Customer Scenario Forecast'!$D$20:$D$1181,'Incremental Network SummerFcast'!$A75,'Customer Scenario Forecast'!$H$20:$H$1181,'Incremental Network SummerFcast'!$H$1)+
SUMIFS('Customer Scenario Forecast'!L$22:L$1183,'Customer Scenario Forecast'!$E$20:$E$1181,'Incremental Network SummerFcast'!$A75,'Customer Scenario Forecast'!$H$20:$H$1181,'Incremental Network SummerFcast'!$H$1))</f>
        <v>20</v>
      </c>
    </row>
    <row r="79" spans="1:12" ht="15" thickBot="1">
      <c r="A79" s="195" t="s">
        <v>107</v>
      </c>
      <c r="B79" s="196">
        <f ca="1">IF($H$1="",
1*(
SUMIFS('Customer Scenario Forecast'!B$23:B$1184,'Customer Scenario Forecast'!$C$20:$C$1181,'Incremental Network SummerFcast'!$A75)+
SUMIFS('Customer Scenario Forecast'!B$23:B$1184,'Customer Scenario Forecast'!$D$20:$D$1181,'Incremental Network SummerFcast'!$A75)+
SUMIFS('Customer Scenario Forecast'!B$23:B$1184,'Customer Scenario Forecast'!$E$20:$E$1181,'Incremental Network SummerFcast'!$A75)+B77),
1*(
SUMIFS('Customer Scenario Forecast'!B$23:B$1184,'Customer Scenario Forecast'!$C$20:$C$1181,'Incremental Network SummerFcast'!$A75,'Customer Scenario Forecast'!$H$20:$H$1181,'Incremental Network SummerFcast'!$H$1)+
SUMIFS('Customer Scenario Forecast'!B$23:B$1184,'Customer Scenario Forecast'!$D$20:$D$1181,'Incremental Network SummerFcast'!$A75,'Customer Scenario Forecast'!$H$20:$H$1181,'Incremental Network SummerFcast'!$H$1)+
SUMIFS('Customer Scenario Forecast'!B$23:B$1184,'Customer Scenario Forecast'!$E$20:$E$1181,'Incremental Network SummerFcast'!$A75,'Customer Scenario Forecast'!$H$20:$H$1181,'Incremental Network SummerFcast'!$H$1)+B77))</f>
        <v>0</v>
      </c>
      <c r="C79" s="196">
        <f ca="1">IF($H$1="",
1*(
SUMIFS('Customer Scenario Forecast'!C$23:C$1184,'Customer Scenario Forecast'!$C$20:$C$1181,'Incremental Network SummerFcast'!$A75)+
SUMIFS('Customer Scenario Forecast'!C$23:C$1184,'Customer Scenario Forecast'!$D$20:$D$1181,'Incremental Network SummerFcast'!$A75)+
SUMIFS('Customer Scenario Forecast'!C$23:C$1184,'Customer Scenario Forecast'!$E$20:$E$1181,'Incremental Network SummerFcast'!$A75)+C77),
1*(
SUMIFS('Customer Scenario Forecast'!C$23:C$1184,'Customer Scenario Forecast'!$C$20:$C$1181,'Incremental Network SummerFcast'!$A75,'Customer Scenario Forecast'!$H$20:$H$1181,'Incremental Network SummerFcast'!$H$1)+
SUMIFS('Customer Scenario Forecast'!C$23:C$1184,'Customer Scenario Forecast'!$D$20:$D$1181,'Incremental Network SummerFcast'!$A75,'Customer Scenario Forecast'!$H$20:$H$1181,'Incremental Network SummerFcast'!$H$1)+
SUMIFS('Customer Scenario Forecast'!C$23:C$1184,'Customer Scenario Forecast'!$E$20:$E$1181,'Incremental Network SummerFcast'!$A75,'Customer Scenario Forecast'!$H$20:$H$1181,'Incremental Network SummerFcast'!$H$1)+C77))</f>
        <v>0</v>
      </c>
      <c r="D79" s="196">
        <f ca="1">IF($H$1="",
1*(
SUMIFS('Customer Scenario Forecast'!D$23:D$1184,'Customer Scenario Forecast'!$C$20:$C$1181,'Incremental Network SummerFcast'!$A75)+
SUMIFS('Customer Scenario Forecast'!D$23:D$1184,'Customer Scenario Forecast'!$D$20:$D$1181,'Incremental Network SummerFcast'!$A75)+
SUMIFS('Customer Scenario Forecast'!D$23:D$1184,'Customer Scenario Forecast'!$E$20:$E$1181,'Incremental Network SummerFcast'!$A75)+D77),
1*(
SUMIFS('Customer Scenario Forecast'!D$23:D$1184,'Customer Scenario Forecast'!$C$20:$C$1181,'Incremental Network SummerFcast'!$A75,'Customer Scenario Forecast'!$H$20:$H$1181,'Incremental Network SummerFcast'!$H$1)+
SUMIFS('Customer Scenario Forecast'!D$23:D$1184,'Customer Scenario Forecast'!$D$20:$D$1181,'Incremental Network SummerFcast'!$A75,'Customer Scenario Forecast'!$H$20:$H$1181,'Incremental Network SummerFcast'!$H$1)+
SUMIFS('Customer Scenario Forecast'!D$23:D$1184,'Customer Scenario Forecast'!$E$20:$E$1181,'Incremental Network SummerFcast'!$A75,'Customer Scenario Forecast'!$H$20:$H$1181,'Incremental Network SummerFcast'!$H$1)+D77))</f>
        <v>0</v>
      </c>
      <c r="E79" s="196">
        <f ca="1">IF($H$1="",
1*(
SUMIFS('Customer Scenario Forecast'!E$23:E$1184,'Customer Scenario Forecast'!$C$20:$C$1181,'Incremental Network SummerFcast'!$A75)+
SUMIFS('Customer Scenario Forecast'!E$23:E$1184,'Customer Scenario Forecast'!$D$20:$D$1181,'Incremental Network SummerFcast'!$A75)+
SUMIFS('Customer Scenario Forecast'!E$23:E$1184,'Customer Scenario Forecast'!$E$20:$E$1181,'Incremental Network SummerFcast'!$A75)+E77),
1*(
SUMIFS('Customer Scenario Forecast'!E$23:E$1184,'Customer Scenario Forecast'!$C$20:$C$1181,'Incremental Network SummerFcast'!$A75,'Customer Scenario Forecast'!$H$20:$H$1181,'Incremental Network SummerFcast'!$H$1)+
SUMIFS('Customer Scenario Forecast'!E$23:E$1184,'Customer Scenario Forecast'!$D$20:$D$1181,'Incremental Network SummerFcast'!$A75,'Customer Scenario Forecast'!$H$20:$H$1181,'Incremental Network SummerFcast'!$H$1)+
SUMIFS('Customer Scenario Forecast'!E$23:E$1184,'Customer Scenario Forecast'!$E$20:$E$1181,'Incremental Network SummerFcast'!$A75,'Customer Scenario Forecast'!$H$20:$H$1181,'Incremental Network SummerFcast'!$H$1)+E77))</f>
        <v>0</v>
      </c>
      <c r="F79" s="196">
        <f ca="1">IF($H$1="",
1*(
SUMIFS('Customer Scenario Forecast'!F$23:F$1184,'Customer Scenario Forecast'!$C$20:$C$1181,'Incremental Network SummerFcast'!$A75)+
SUMIFS('Customer Scenario Forecast'!F$23:F$1184,'Customer Scenario Forecast'!$D$20:$D$1181,'Incremental Network SummerFcast'!$A75)+
SUMIFS('Customer Scenario Forecast'!F$23:F$1184,'Customer Scenario Forecast'!$E$20:$E$1181,'Incremental Network SummerFcast'!$A75)+F77),
1*(
SUMIFS('Customer Scenario Forecast'!F$23:F$1184,'Customer Scenario Forecast'!$C$20:$C$1181,'Incremental Network SummerFcast'!$A75,'Customer Scenario Forecast'!$H$20:$H$1181,'Incremental Network SummerFcast'!$H$1)+
SUMIFS('Customer Scenario Forecast'!F$23:F$1184,'Customer Scenario Forecast'!$D$20:$D$1181,'Incremental Network SummerFcast'!$A75,'Customer Scenario Forecast'!$H$20:$H$1181,'Incremental Network SummerFcast'!$H$1)+
SUMIFS('Customer Scenario Forecast'!F$23:F$1184,'Customer Scenario Forecast'!$E$20:$E$1181,'Incremental Network SummerFcast'!$A75,'Customer Scenario Forecast'!$H$20:$H$1181,'Incremental Network SummerFcast'!$H$1)+F77))</f>
        <v>0</v>
      </c>
      <c r="G79" s="196">
        <f ca="1">IF($H$1="",
1*(
SUMIFS('Customer Scenario Forecast'!G$23:G$1184,'Customer Scenario Forecast'!$C$20:$C$1181,'Incremental Network SummerFcast'!$A75)+
SUMIFS('Customer Scenario Forecast'!G$23:G$1184,'Customer Scenario Forecast'!$D$20:$D$1181,'Incremental Network SummerFcast'!$A75)+
SUMIFS('Customer Scenario Forecast'!G$23:G$1184,'Customer Scenario Forecast'!$E$20:$E$1181,'Incremental Network SummerFcast'!$A75)+G77),
1*(
SUMIFS('Customer Scenario Forecast'!G$23:G$1184,'Customer Scenario Forecast'!$C$20:$C$1181,'Incremental Network SummerFcast'!$A75,'Customer Scenario Forecast'!$H$20:$H$1181,'Incremental Network SummerFcast'!$H$1)+
SUMIFS('Customer Scenario Forecast'!G$23:G$1184,'Customer Scenario Forecast'!$D$20:$D$1181,'Incremental Network SummerFcast'!$A75,'Customer Scenario Forecast'!$H$20:$H$1181,'Incremental Network SummerFcast'!$H$1)+
SUMIFS('Customer Scenario Forecast'!G$23:G$1184,'Customer Scenario Forecast'!$E$20:$E$1181,'Incremental Network SummerFcast'!$A75,'Customer Scenario Forecast'!$H$20:$H$1181,'Incremental Network SummerFcast'!$H$1)+G77))</f>
        <v>2.0999999999999996</v>
      </c>
      <c r="H79" s="196">
        <f ca="1">IF($H$1="",
1*(
SUMIFS('Customer Scenario Forecast'!H$23:H$1184,'Customer Scenario Forecast'!$C$20:$C$1181,'Incremental Network SummerFcast'!$A75)+
SUMIFS('Customer Scenario Forecast'!H$23:H$1184,'Customer Scenario Forecast'!$D$20:$D$1181,'Incremental Network SummerFcast'!$A75)+
SUMIFS('Customer Scenario Forecast'!H$23:H$1184,'Customer Scenario Forecast'!$E$20:$E$1181,'Incremental Network SummerFcast'!$A75)+H77),
1*(
SUMIFS('Customer Scenario Forecast'!H$23:H$1184,'Customer Scenario Forecast'!$C$20:$C$1181,'Incremental Network SummerFcast'!$A75,'Customer Scenario Forecast'!$H$20:$H$1181,'Incremental Network SummerFcast'!$H$1)+
SUMIFS('Customer Scenario Forecast'!H$23:H$1184,'Customer Scenario Forecast'!$D$20:$D$1181,'Incremental Network SummerFcast'!$A75,'Customer Scenario Forecast'!$H$20:$H$1181,'Incremental Network SummerFcast'!$H$1)+
SUMIFS('Customer Scenario Forecast'!H$23:H$1184,'Customer Scenario Forecast'!$E$20:$E$1181,'Incremental Network SummerFcast'!$A75,'Customer Scenario Forecast'!$H$20:$H$1181,'Incremental Network SummerFcast'!$H$1)+H77))</f>
        <v>2.0999999999999996</v>
      </c>
      <c r="I79" s="196">
        <f ca="1">IF($H$1="",
1*(
SUMIFS('Customer Scenario Forecast'!I$23:I$1184,'Customer Scenario Forecast'!$C$20:$C$1181,'Incremental Network SummerFcast'!$A75)+
SUMIFS('Customer Scenario Forecast'!I$23:I$1184,'Customer Scenario Forecast'!$D$20:$D$1181,'Incremental Network SummerFcast'!$A75)+
SUMIFS('Customer Scenario Forecast'!I$23:I$1184,'Customer Scenario Forecast'!$E$20:$E$1181,'Incremental Network SummerFcast'!$A75)+I77),
1*(
SUMIFS('Customer Scenario Forecast'!I$23:I$1184,'Customer Scenario Forecast'!$C$20:$C$1181,'Incremental Network SummerFcast'!$A75,'Customer Scenario Forecast'!$H$20:$H$1181,'Incremental Network SummerFcast'!$H$1)+
SUMIFS('Customer Scenario Forecast'!I$23:I$1184,'Customer Scenario Forecast'!$D$20:$D$1181,'Incremental Network SummerFcast'!$A75,'Customer Scenario Forecast'!$H$20:$H$1181,'Incremental Network SummerFcast'!$H$1)+
SUMIFS('Customer Scenario Forecast'!I$23:I$1184,'Customer Scenario Forecast'!$E$20:$E$1181,'Incremental Network SummerFcast'!$A75,'Customer Scenario Forecast'!$H$20:$H$1181,'Incremental Network SummerFcast'!$H$1)+I77))</f>
        <v>2.0999999999999996</v>
      </c>
      <c r="J79" s="196">
        <f ca="1">IF($H$1="",
1*(
SUMIFS('Customer Scenario Forecast'!J$23:J$1184,'Customer Scenario Forecast'!$C$20:$C$1181,'Incremental Network SummerFcast'!$A75)+
SUMIFS('Customer Scenario Forecast'!J$23:J$1184,'Customer Scenario Forecast'!$D$20:$D$1181,'Incremental Network SummerFcast'!$A75)+
SUMIFS('Customer Scenario Forecast'!J$23:J$1184,'Customer Scenario Forecast'!$E$20:$E$1181,'Incremental Network SummerFcast'!$A75)+J77),
1*(
SUMIFS('Customer Scenario Forecast'!J$23:J$1184,'Customer Scenario Forecast'!$C$20:$C$1181,'Incremental Network SummerFcast'!$A75,'Customer Scenario Forecast'!$H$20:$H$1181,'Incremental Network SummerFcast'!$H$1)+
SUMIFS('Customer Scenario Forecast'!J$23:J$1184,'Customer Scenario Forecast'!$D$20:$D$1181,'Incremental Network SummerFcast'!$A75,'Customer Scenario Forecast'!$H$20:$H$1181,'Incremental Network SummerFcast'!$H$1)+
SUMIFS('Customer Scenario Forecast'!J$23:J$1184,'Customer Scenario Forecast'!$E$20:$E$1181,'Incremental Network SummerFcast'!$A75,'Customer Scenario Forecast'!$H$20:$H$1181,'Incremental Network SummerFcast'!$H$1)+J77))</f>
        <v>2.0999999999999996</v>
      </c>
      <c r="K79" s="196">
        <f ca="1">IF($H$1="",
1*(
SUMIFS('Customer Scenario Forecast'!K$23:K$1184,'Customer Scenario Forecast'!$C$20:$C$1181,'Incremental Network SummerFcast'!$A75)+
SUMIFS('Customer Scenario Forecast'!K$23:K$1184,'Customer Scenario Forecast'!$D$20:$D$1181,'Incremental Network SummerFcast'!$A75)+
SUMIFS('Customer Scenario Forecast'!K$23:K$1184,'Customer Scenario Forecast'!$E$20:$E$1181,'Incremental Network SummerFcast'!$A75)+K77),
1*(
SUMIFS('Customer Scenario Forecast'!K$23:K$1184,'Customer Scenario Forecast'!$C$20:$C$1181,'Incremental Network SummerFcast'!$A75,'Customer Scenario Forecast'!$H$20:$H$1181,'Incremental Network SummerFcast'!$H$1)+
SUMIFS('Customer Scenario Forecast'!K$23:K$1184,'Customer Scenario Forecast'!$D$20:$D$1181,'Incremental Network SummerFcast'!$A75,'Customer Scenario Forecast'!$H$20:$H$1181,'Incremental Network SummerFcast'!$H$1)+
SUMIFS('Customer Scenario Forecast'!K$23:K$1184,'Customer Scenario Forecast'!$E$20:$E$1181,'Incremental Network SummerFcast'!$A75,'Customer Scenario Forecast'!$H$20:$H$1181,'Incremental Network SummerFcast'!$H$1)+K77))</f>
        <v>2.0999999999999996</v>
      </c>
      <c r="L79" s="196">
        <f ca="1">IF($H$1="",
1*(
SUMIFS('Customer Scenario Forecast'!L$23:L$1184,'Customer Scenario Forecast'!$C$20:$C$1181,'Incremental Network SummerFcast'!$A75)+
SUMIFS('Customer Scenario Forecast'!L$23:L$1184,'Customer Scenario Forecast'!$D$20:$D$1181,'Incremental Network SummerFcast'!$A75)+
SUMIFS('Customer Scenario Forecast'!L$23:L$1184,'Customer Scenario Forecast'!$E$20:$E$1181,'Incremental Network SummerFcast'!$A75)+L77),
1*(
SUMIFS('Customer Scenario Forecast'!L$23:L$1184,'Customer Scenario Forecast'!$C$20:$C$1181,'Incremental Network SummerFcast'!$A75,'Customer Scenario Forecast'!$H$20:$H$1181,'Incremental Network SummerFcast'!$H$1)+
SUMIFS('Customer Scenario Forecast'!L$23:L$1184,'Customer Scenario Forecast'!$D$20:$D$1181,'Incremental Network SummerFcast'!$A75,'Customer Scenario Forecast'!$H$20:$H$1181,'Incremental Network SummerFcast'!$H$1)+
SUMIFS('Customer Scenario Forecast'!L$23:L$1184,'Customer Scenario Forecast'!$E$20:$E$1181,'Incremental Network SummerFcast'!$A75,'Customer Scenario Forecast'!$H$20:$H$1181,'Incremental Network SummerFcast'!$H$1)+L77))</f>
        <v>2.0999999999999996</v>
      </c>
    </row>
    <row r="80" spans="1:12" ht="15" thickBot="1">
      <c r="A80" s="195" t="s">
        <v>108</v>
      </c>
      <c r="B80" s="196">
        <f ca="1">IF($H$1="",
1*(
SUMIFS('Customer Scenario Forecast'!B$24:B$1185,'Customer Scenario Forecast'!$C$20:$C$1181,'Incremental Network SummerFcast'!$A75)+
SUMIFS('Customer Scenario Forecast'!B$24:B$1185,'Customer Scenario Forecast'!$D$20:$D$1181,'Incremental Network SummerFcast'!$A75)+
SUMIFS('Customer Scenario Forecast'!B$24:B$1185,'Customer Scenario Forecast'!$E$20:$E$1181,'Incremental Network SummerFcast'!$A75)+B77),
1*(
SUMIFS('Customer Scenario Forecast'!B$24:B$1185,'Customer Scenario Forecast'!$C$20:$C$1181,'Incremental Network SummerFcast'!$A75,'Customer Scenario Forecast'!$H$20:$H$1181,'Incremental Network SummerFcast'!$H$1)+
SUMIFS('Customer Scenario Forecast'!B$24:B$1185,'Customer Scenario Forecast'!$D$20:$D$1181,'Incremental Network SummerFcast'!$A75,'Customer Scenario Forecast'!$H$20:$H$1181,'Incremental Network SummerFcast'!$H$1)+
SUMIFS('Customer Scenario Forecast'!B$24:B$1185,'Customer Scenario Forecast'!$E$20:$E$1181,'Incremental Network SummerFcast'!$A75,'Customer Scenario Forecast'!$H$20:$H$1181,'Incremental Network SummerFcast'!$H$1)+B77))</f>
        <v>0</v>
      </c>
      <c r="C80" s="196">
        <f ca="1">IF($H$1="",
1*(
SUMIFS('Customer Scenario Forecast'!C$24:C$1185,'Customer Scenario Forecast'!$C$20:$C$1181,'Incremental Network SummerFcast'!$A75)+
SUMIFS('Customer Scenario Forecast'!C$24:C$1185,'Customer Scenario Forecast'!$D$20:$D$1181,'Incremental Network SummerFcast'!$A75)+
SUMIFS('Customer Scenario Forecast'!C$24:C$1185,'Customer Scenario Forecast'!$E$20:$E$1181,'Incremental Network SummerFcast'!$A75)+C77),
1*(
SUMIFS('Customer Scenario Forecast'!C$24:C$1185,'Customer Scenario Forecast'!$C$20:$C$1181,'Incremental Network SummerFcast'!$A75,'Customer Scenario Forecast'!$H$20:$H$1181,'Incremental Network SummerFcast'!$H$1)+
SUMIFS('Customer Scenario Forecast'!C$24:C$1185,'Customer Scenario Forecast'!$D$20:$D$1181,'Incremental Network SummerFcast'!$A75,'Customer Scenario Forecast'!$H$20:$H$1181,'Incremental Network SummerFcast'!$H$1)+
SUMIFS('Customer Scenario Forecast'!C$24:C$1185,'Customer Scenario Forecast'!$E$20:$E$1181,'Incremental Network SummerFcast'!$A75,'Customer Scenario Forecast'!$H$20:$H$1181,'Incremental Network SummerFcast'!$H$1)+C77))</f>
        <v>0</v>
      </c>
      <c r="D80" s="196">
        <f ca="1">IF($H$1="",
1*(
SUMIFS('Customer Scenario Forecast'!D$24:D$1185,'Customer Scenario Forecast'!$C$20:$C$1181,'Incremental Network SummerFcast'!$A75)+
SUMIFS('Customer Scenario Forecast'!D$24:D$1185,'Customer Scenario Forecast'!$D$20:$D$1181,'Incremental Network SummerFcast'!$A75)+
SUMIFS('Customer Scenario Forecast'!D$24:D$1185,'Customer Scenario Forecast'!$E$20:$E$1181,'Incremental Network SummerFcast'!$A75)+D77),
1*(
SUMIFS('Customer Scenario Forecast'!D$24:D$1185,'Customer Scenario Forecast'!$C$20:$C$1181,'Incremental Network SummerFcast'!$A75,'Customer Scenario Forecast'!$H$20:$H$1181,'Incremental Network SummerFcast'!$H$1)+
SUMIFS('Customer Scenario Forecast'!D$24:D$1185,'Customer Scenario Forecast'!$D$20:$D$1181,'Incremental Network SummerFcast'!$A75,'Customer Scenario Forecast'!$H$20:$H$1181,'Incremental Network SummerFcast'!$H$1)+
SUMIFS('Customer Scenario Forecast'!D$24:D$1185,'Customer Scenario Forecast'!$E$20:$E$1181,'Incremental Network SummerFcast'!$A75,'Customer Scenario Forecast'!$H$20:$H$1181,'Incremental Network SummerFcast'!$H$1)+D77))</f>
        <v>0</v>
      </c>
      <c r="E80" s="196">
        <f ca="1">IF($H$1="",
1*(
SUMIFS('Customer Scenario Forecast'!E$24:E$1185,'Customer Scenario Forecast'!$C$20:$C$1181,'Incremental Network SummerFcast'!$A75)+
SUMIFS('Customer Scenario Forecast'!E$24:E$1185,'Customer Scenario Forecast'!$D$20:$D$1181,'Incremental Network SummerFcast'!$A75)+
SUMIFS('Customer Scenario Forecast'!E$24:E$1185,'Customer Scenario Forecast'!$E$20:$E$1181,'Incremental Network SummerFcast'!$A75)+E77),
1*(
SUMIFS('Customer Scenario Forecast'!E$24:E$1185,'Customer Scenario Forecast'!$C$20:$C$1181,'Incremental Network SummerFcast'!$A75,'Customer Scenario Forecast'!$H$20:$H$1181,'Incremental Network SummerFcast'!$H$1)+
SUMIFS('Customer Scenario Forecast'!E$24:E$1185,'Customer Scenario Forecast'!$D$20:$D$1181,'Incremental Network SummerFcast'!$A75,'Customer Scenario Forecast'!$H$20:$H$1181,'Incremental Network SummerFcast'!$H$1)+
SUMIFS('Customer Scenario Forecast'!E$24:E$1185,'Customer Scenario Forecast'!$E$20:$E$1181,'Incremental Network SummerFcast'!$A75,'Customer Scenario Forecast'!$H$20:$H$1181,'Incremental Network SummerFcast'!$H$1)+E77))</f>
        <v>0</v>
      </c>
      <c r="F80" s="196">
        <f ca="1">IF($H$1="",
1*(
SUMIFS('Customer Scenario Forecast'!F$24:F$1185,'Customer Scenario Forecast'!$C$20:$C$1181,'Incremental Network SummerFcast'!$A75)+
SUMIFS('Customer Scenario Forecast'!F$24:F$1185,'Customer Scenario Forecast'!$D$20:$D$1181,'Incremental Network SummerFcast'!$A75)+
SUMIFS('Customer Scenario Forecast'!F$24:F$1185,'Customer Scenario Forecast'!$E$20:$E$1181,'Incremental Network SummerFcast'!$A75)+F77),
1*(
SUMIFS('Customer Scenario Forecast'!F$24:F$1185,'Customer Scenario Forecast'!$C$20:$C$1181,'Incremental Network SummerFcast'!$A75,'Customer Scenario Forecast'!$H$20:$H$1181,'Incremental Network SummerFcast'!$H$1)+
SUMIFS('Customer Scenario Forecast'!F$24:F$1185,'Customer Scenario Forecast'!$D$20:$D$1181,'Incremental Network SummerFcast'!$A75,'Customer Scenario Forecast'!$H$20:$H$1181,'Incremental Network SummerFcast'!$H$1)+
SUMIFS('Customer Scenario Forecast'!F$24:F$1185,'Customer Scenario Forecast'!$E$20:$E$1181,'Incremental Network SummerFcast'!$A75,'Customer Scenario Forecast'!$H$20:$H$1181,'Incremental Network SummerFcast'!$H$1)+F77))</f>
        <v>0</v>
      </c>
      <c r="G80" s="196">
        <f ca="1">IF($H$1="",
1*(
SUMIFS('Customer Scenario Forecast'!G$24:G$1185,'Customer Scenario Forecast'!$C$20:$C$1181,'Incremental Network SummerFcast'!$A75)+
SUMIFS('Customer Scenario Forecast'!G$24:G$1185,'Customer Scenario Forecast'!$D$20:$D$1181,'Incremental Network SummerFcast'!$A75)+
SUMIFS('Customer Scenario Forecast'!G$24:G$1185,'Customer Scenario Forecast'!$E$20:$E$1181,'Incremental Network SummerFcast'!$A75)+G77),
1*(
SUMIFS('Customer Scenario Forecast'!G$24:G$1185,'Customer Scenario Forecast'!$C$20:$C$1181,'Incremental Network SummerFcast'!$A75,'Customer Scenario Forecast'!$H$20:$H$1181,'Incremental Network SummerFcast'!$H$1)+
SUMIFS('Customer Scenario Forecast'!G$24:G$1185,'Customer Scenario Forecast'!$D$20:$D$1181,'Incremental Network SummerFcast'!$A75,'Customer Scenario Forecast'!$H$20:$H$1181,'Incremental Network SummerFcast'!$H$1)+
SUMIFS('Customer Scenario Forecast'!G$24:G$1185,'Customer Scenario Forecast'!$E$20:$E$1181,'Incremental Network SummerFcast'!$A75,'Customer Scenario Forecast'!$H$20:$H$1181,'Incremental Network SummerFcast'!$H$1)+G77))</f>
        <v>0</v>
      </c>
      <c r="H80" s="196">
        <f ca="1">IF($H$1="",
1*(
SUMIFS('Customer Scenario Forecast'!H$24:H$1185,'Customer Scenario Forecast'!$C$20:$C$1181,'Incremental Network SummerFcast'!$A75)+
SUMIFS('Customer Scenario Forecast'!H$24:H$1185,'Customer Scenario Forecast'!$D$20:$D$1181,'Incremental Network SummerFcast'!$A75)+
SUMIFS('Customer Scenario Forecast'!H$24:H$1185,'Customer Scenario Forecast'!$E$20:$E$1181,'Incremental Network SummerFcast'!$A75)+H77),
1*(
SUMIFS('Customer Scenario Forecast'!H$24:H$1185,'Customer Scenario Forecast'!$C$20:$C$1181,'Incremental Network SummerFcast'!$A75,'Customer Scenario Forecast'!$H$20:$H$1181,'Incremental Network SummerFcast'!$H$1)+
SUMIFS('Customer Scenario Forecast'!H$24:H$1185,'Customer Scenario Forecast'!$D$20:$D$1181,'Incremental Network SummerFcast'!$A75,'Customer Scenario Forecast'!$H$20:$H$1181,'Incremental Network SummerFcast'!$H$1)+
SUMIFS('Customer Scenario Forecast'!H$24:H$1185,'Customer Scenario Forecast'!$E$20:$E$1181,'Incremental Network SummerFcast'!$A75,'Customer Scenario Forecast'!$H$20:$H$1181,'Incremental Network SummerFcast'!$H$1)+H77))</f>
        <v>0</v>
      </c>
      <c r="I80" s="196">
        <f ca="1">IF($H$1="",
1*(
SUMIFS('Customer Scenario Forecast'!I$24:I$1185,'Customer Scenario Forecast'!$C$20:$C$1181,'Incremental Network SummerFcast'!$A75)+
SUMIFS('Customer Scenario Forecast'!I$24:I$1185,'Customer Scenario Forecast'!$D$20:$D$1181,'Incremental Network SummerFcast'!$A75)+
SUMIFS('Customer Scenario Forecast'!I$24:I$1185,'Customer Scenario Forecast'!$E$20:$E$1181,'Incremental Network SummerFcast'!$A75)+I77),
1*(
SUMIFS('Customer Scenario Forecast'!I$24:I$1185,'Customer Scenario Forecast'!$C$20:$C$1181,'Incremental Network SummerFcast'!$A75,'Customer Scenario Forecast'!$H$20:$H$1181,'Incremental Network SummerFcast'!$H$1)+
SUMIFS('Customer Scenario Forecast'!I$24:I$1185,'Customer Scenario Forecast'!$D$20:$D$1181,'Incremental Network SummerFcast'!$A75,'Customer Scenario Forecast'!$H$20:$H$1181,'Incremental Network SummerFcast'!$H$1)+
SUMIFS('Customer Scenario Forecast'!I$24:I$1185,'Customer Scenario Forecast'!$E$20:$E$1181,'Incremental Network SummerFcast'!$A75,'Customer Scenario Forecast'!$H$20:$H$1181,'Incremental Network SummerFcast'!$H$1)+I77))</f>
        <v>0.60000000000000009</v>
      </c>
      <c r="J80" s="196">
        <f ca="1">IF($H$1="",
1*(
SUMIFS('Customer Scenario Forecast'!J$24:J$1185,'Customer Scenario Forecast'!$C$20:$C$1181,'Incremental Network SummerFcast'!$A75)+
SUMIFS('Customer Scenario Forecast'!J$24:J$1185,'Customer Scenario Forecast'!$D$20:$D$1181,'Incremental Network SummerFcast'!$A75)+
SUMIFS('Customer Scenario Forecast'!J$24:J$1185,'Customer Scenario Forecast'!$E$20:$E$1181,'Incremental Network SummerFcast'!$A75)+J77),
1*(
SUMIFS('Customer Scenario Forecast'!J$24:J$1185,'Customer Scenario Forecast'!$C$20:$C$1181,'Incremental Network SummerFcast'!$A75,'Customer Scenario Forecast'!$H$20:$H$1181,'Incremental Network SummerFcast'!$H$1)+
SUMIFS('Customer Scenario Forecast'!J$24:J$1185,'Customer Scenario Forecast'!$D$20:$D$1181,'Incremental Network SummerFcast'!$A75,'Customer Scenario Forecast'!$H$20:$H$1181,'Incremental Network SummerFcast'!$H$1)+
SUMIFS('Customer Scenario Forecast'!J$24:J$1185,'Customer Scenario Forecast'!$E$20:$E$1181,'Incremental Network SummerFcast'!$A75,'Customer Scenario Forecast'!$H$20:$H$1181,'Incremental Network SummerFcast'!$H$1)+J77))</f>
        <v>0.60000000000000009</v>
      </c>
      <c r="K80" s="196">
        <f ca="1">IF($H$1="",
1*(
SUMIFS('Customer Scenario Forecast'!K$24:K$1185,'Customer Scenario Forecast'!$C$20:$C$1181,'Incremental Network SummerFcast'!$A75)+
SUMIFS('Customer Scenario Forecast'!K$24:K$1185,'Customer Scenario Forecast'!$D$20:$D$1181,'Incremental Network SummerFcast'!$A75)+
SUMIFS('Customer Scenario Forecast'!K$24:K$1185,'Customer Scenario Forecast'!$E$20:$E$1181,'Incremental Network SummerFcast'!$A75)+K77),
1*(
SUMIFS('Customer Scenario Forecast'!K$24:K$1185,'Customer Scenario Forecast'!$C$20:$C$1181,'Incremental Network SummerFcast'!$A75,'Customer Scenario Forecast'!$H$20:$H$1181,'Incremental Network SummerFcast'!$H$1)+
SUMIFS('Customer Scenario Forecast'!K$24:K$1185,'Customer Scenario Forecast'!$D$20:$D$1181,'Incremental Network SummerFcast'!$A75,'Customer Scenario Forecast'!$H$20:$H$1181,'Incremental Network SummerFcast'!$H$1)+
SUMIFS('Customer Scenario Forecast'!K$24:K$1185,'Customer Scenario Forecast'!$E$20:$E$1181,'Incremental Network SummerFcast'!$A75,'Customer Scenario Forecast'!$H$20:$H$1181,'Incremental Network SummerFcast'!$H$1)+K77))</f>
        <v>0.60000000000000009</v>
      </c>
      <c r="L80" s="196">
        <f ca="1">IF($H$1="",
1*(
SUMIFS('Customer Scenario Forecast'!L$24:L$1185,'Customer Scenario Forecast'!$C$20:$C$1181,'Incremental Network SummerFcast'!$A75)+
SUMIFS('Customer Scenario Forecast'!L$24:L$1185,'Customer Scenario Forecast'!$D$20:$D$1181,'Incremental Network SummerFcast'!$A75)+
SUMIFS('Customer Scenario Forecast'!L$24:L$1185,'Customer Scenario Forecast'!$E$20:$E$1181,'Incremental Network SummerFcast'!$A75)+L77),
1*(
SUMIFS('Customer Scenario Forecast'!L$24:L$1185,'Customer Scenario Forecast'!$C$20:$C$1181,'Incremental Network SummerFcast'!$A75,'Customer Scenario Forecast'!$H$20:$H$1181,'Incremental Network SummerFcast'!$H$1)+
SUMIFS('Customer Scenario Forecast'!L$24:L$1185,'Customer Scenario Forecast'!$D$20:$D$1181,'Incremental Network SummerFcast'!$A75,'Customer Scenario Forecast'!$H$20:$H$1181,'Incremental Network SummerFcast'!$H$1)+
SUMIFS('Customer Scenario Forecast'!L$24:L$1185,'Customer Scenario Forecast'!$E$20:$E$1181,'Incremental Network SummerFcast'!$A75,'Customer Scenario Forecast'!$H$20:$H$1181,'Incremental Network SummerFcast'!$H$1)+L77))</f>
        <v>0.60000000000000009</v>
      </c>
    </row>
    <row r="81" spans="1:13" ht="15" thickBot="1">
      <c r="A81" s="197" t="s">
        <v>109</v>
      </c>
      <c r="B81" s="198">
        <f ca="1">IF($H$1="",
1*(
SUMIFS('Customer Scenario Forecast'!B$25:B$1186,'Customer Scenario Forecast'!$C$20:$C$1181,'Incremental Network SummerFcast'!$A75)+
SUMIFS('Customer Scenario Forecast'!B$25:B$1186,'Customer Scenario Forecast'!$D$20:$D$1181,'Incremental Network SummerFcast'!$A75)+
SUMIFS('Customer Scenario Forecast'!B$25:B$1186,'Customer Scenario Forecast'!$E$20:$E$1181,'Incremental Network SummerFcast'!$A75)+B77),
1*(
SUMIFS('Customer Scenario Forecast'!B$25:B$1186,'Customer Scenario Forecast'!$C$20:$C$1181,'Incremental Network SummerFcast'!$A75,'Customer Scenario Forecast'!$H$20:$H$1181,'Incremental Network SummerFcast'!$H$1)+
SUMIFS('Customer Scenario Forecast'!B$25:B$1186,'Customer Scenario Forecast'!$D$20:$D$1181,'Incremental Network SummerFcast'!$A75,'Customer Scenario Forecast'!$H$20:$H$1181,'Incremental Network SummerFcast'!$H$1)+
SUMIFS('Customer Scenario Forecast'!B$25:B$1186,'Customer Scenario Forecast'!$E$20:$E$1181,'Incremental Network SummerFcast'!$A75,'Customer Scenario Forecast'!$H$20:$H$1181,'Incremental Network SummerFcast'!$H$1)+B77))</f>
        <v>0</v>
      </c>
      <c r="C81" s="198">
        <f ca="1">IF($H$1="",
1*(
SUMIFS('Customer Scenario Forecast'!C$25:C$1186,'Customer Scenario Forecast'!$C$20:$C$1181,'Incremental Network SummerFcast'!$A75)+
SUMIFS('Customer Scenario Forecast'!C$25:C$1186,'Customer Scenario Forecast'!$D$20:$D$1181,'Incremental Network SummerFcast'!$A75)+
SUMIFS('Customer Scenario Forecast'!C$25:C$1186,'Customer Scenario Forecast'!$E$20:$E$1181,'Incremental Network SummerFcast'!$A75)+C77),
1*(
SUMIFS('Customer Scenario Forecast'!C$25:C$1186,'Customer Scenario Forecast'!$C$20:$C$1181,'Incremental Network SummerFcast'!$A75,'Customer Scenario Forecast'!$H$20:$H$1181,'Incremental Network SummerFcast'!$H$1)+
SUMIFS('Customer Scenario Forecast'!C$25:C$1186,'Customer Scenario Forecast'!$D$20:$D$1181,'Incremental Network SummerFcast'!$A75,'Customer Scenario Forecast'!$H$20:$H$1181,'Incremental Network SummerFcast'!$H$1)+
SUMIFS('Customer Scenario Forecast'!C$25:C$1186,'Customer Scenario Forecast'!$E$20:$E$1181,'Incremental Network SummerFcast'!$A75,'Customer Scenario Forecast'!$H$20:$H$1181,'Incremental Network SummerFcast'!$H$1)+C77))</f>
        <v>0</v>
      </c>
      <c r="D81" s="198">
        <f ca="1">IF($H$1="",
1*(
SUMIFS('Customer Scenario Forecast'!D$25:D$1186,'Customer Scenario Forecast'!$C$20:$C$1181,'Incremental Network SummerFcast'!$A75)+
SUMIFS('Customer Scenario Forecast'!D$25:D$1186,'Customer Scenario Forecast'!$D$20:$D$1181,'Incremental Network SummerFcast'!$A75)+
SUMIFS('Customer Scenario Forecast'!D$25:D$1186,'Customer Scenario Forecast'!$E$20:$E$1181,'Incremental Network SummerFcast'!$A75)+D77),
1*(
SUMIFS('Customer Scenario Forecast'!D$25:D$1186,'Customer Scenario Forecast'!$C$20:$C$1181,'Incremental Network SummerFcast'!$A75,'Customer Scenario Forecast'!$H$20:$H$1181,'Incremental Network SummerFcast'!$H$1)+
SUMIFS('Customer Scenario Forecast'!D$25:D$1186,'Customer Scenario Forecast'!$D$20:$D$1181,'Incremental Network SummerFcast'!$A75,'Customer Scenario Forecast'!$H$20:$H$1181,'Incremental Network SummerFcast'!$H$1)+
SUMIFS('Customer Scenario Forecast'!D$25:D$1186,'Customer Scenario Forecast'!$E$20:$E$1181,'Incremental Network SummerFcast'!$A75,'Customer Scenario Forecast'!$H$20:$H$1181,'Incremental Network SummerFcast'!$H$1)+D77))</f>
        <v>0</v>
      </c>
      <c r="E81" s="198">
        <f ca="1">IF($H$1="",
1*(
SUMIFS('Customer Scenario Forecast'!E$25:E$1186,'Customer Scenario Forecast'!$C$20:$C$1181,'Incremental Network SummerFcast'!$A75)+
SUMIFS('Customer Scenario Forecast'!E$25:E$1186,'Customer Scenario Forecast'!$D$20:$D$1181,'Incremental Network SummerFcast'!$A75)+
SUMIFS('Customer Scenario Forecast'!E$25:E$1186,'Customer Scenario Forecast'!$E$20:$E$1181,'Incremental Network SummerFcast'!$A75)+E77),
1*(
SUMIFS('Customer Scenario Forecast'!E$25:E$1186,'Customer Scenario Forecast'!$C$20:$C$1181,'Incremental Network SummerFcast'!$A75,'Customer Scenario Forecast'!$H$20:$H$1181,'Incremental Network SummerFcast'!$H$1)+
SUMIFS('Customer Scenario Forecast'!E$25:E$1186,'Customer Scenario Forecast'!$D$20:$D$1181,'Incremental Network SummerFcast'!$A75,'Customer Scenario Forecast'!$H$20:$H$1181,'Incremental Network SummerFcast'!$H$1)+
SUMIFS('Customer Scenario Forecast'!E$25:E$1186,'Customer Scenario Forecast'!$E$20:$E$1181,'Incremental Network SummerFcast'!$A75,'Customer Scenario Forecast'!$H$20:$H$1181,'Incremental Network SummerFcast'!$H$1)+E77))</f>
        <v>0</v>
      </c>
      <c r="F81" s="198">
        <f ca="1">IF($H$1="",
1*(
SUMIFS('Customer Scenario Forecast'!F$25:F$1186,'Customer Scenario Forecast'!$C$20:$C$1181,'Incremental Network SummerFcast'!$A75)+
SUMIFS('Customer Scenario Forecast'!F$25:F$1186,'Customer Scenario Forecast'!$D$20:$D$1181,'Incremental Network SummerFcast'!$A75)+
SUMIFS('Customer Scenario Forecast'!F$25:F$1186,'Customer Scenario Forecast'!$E$20:$E$1181,'Incremental Network SummerFcast'!$A75)+F77),
1*(
SUMIFS('Customer Scenario Forecast'!F$25:F$1186,'Customer Scenario Forecast'!$C$20:$C$1181,'Incremental Network SummerFcast'!$A75,'Customer Scenario Forecast'!$H$20:$H$1181,'Incremental Network SummerFcast'!$H$1)+
SUMIFS('Customer Scenario Forecast'!F$25:F$1186,'Customer Scenario Forecast'!$D$20:$D$1181,'Incremental Network SummerFcast'!$A75,'Customer Scenario Forecast'!$H$20:$H$1181,'Incremental Network SummerFcast'!$H$1)+
SUMIFS('Customer Scenario Forecast'!F$25:F$1186,'Customer Scenario Forecast'!$E$20:$E$1181,'Incremental Network SummerFcast'!$A75,'Customer Scenario Forecast'!$H$20:$H$1181,'Incremental Network SummerFcast'!$H$1)+F77))</f>
        <v>3.2399999999999998</v>
      </c>
      <c r="G81" s="198">
        <f ca="1">IF($H$1="",
1*(
SUMIFS('Customer Scenario Forecast'!G$25:G$1186,'Customer Scenario Forecast'!$C$20:$C$1181,'Incremental Network SummerFcast'!$A75)+
SUMIFS('Customer Scenario Forecast'!G$25:G$1186,'Customer Scenario Forecast'!$D$20:$D$1181,'Incremental Network SummerFcast'!$A75)+
SUMIFS('Customer Scenario Forecast'!G$25:G$1186,'Customer Scenario Forecast'!$E$20:$E$1181,'Incremental Network SummerFcast'!$A75)+G77),
1*(
SUMIFS('Customer Scenario Forecast'!G$25:G$1186,'Customer Scenario Forecast'!$C$20:$C$1181,'Incremental Network SummerFcast'!$A75,'Customer Scenario Forecast'!$H$20:$H$1181,'Incremental Network SummerFcast'!$H$1)+
SUMIFS('Customer Scenario Forecast'!G$25:G$1186,'Customer Scenario Forecast'!$D$20:$D$1181,'Incremental Network SummerFcast'!$A75,'Customer Scenario Forecast'!$H$20:$H$1181,'Incremental Network SummerFcast'!$H$1)+
SUMIFS('Customer Scenario Forecast'!G$25:G$1186,'Customer Scenario Forecast'!$E$20:$E$1181,'Incremental Network SummerFcast'!$A75,'Customer Scenario Forecast'!$H$20:$H$1181,'Incremental Network SummerFcast'!$H$1)+G77))</f>
        <v>3.2399999999999998</v>
      </c>
      <c r="H81" s="198">
        <f ca="1">IF($H$1="",
1*(
SUMIFS('Customer Scenario Forecast'!H$25:H$1186,'Customer Scenario Forecast'!$C$20:$C$1181,'Incremental Network SummerFcast'!$A75)+
SUMIFS('Customer Scenario Forecast'!H$25:H$1186,'Customer Scenario Forecast'!$D$20:$D$1181,'Incremental Network SummerFcast'!$A75)+
SUMIFS('Customer Scenario Forecast'!H$25:H$1186,'Customer Scenario Forecast'!$E$20:$E$1181,'Incremental Network SummerFcast'!$A75)+H77),
1*(
SUMIFS('Customer Scenario Forecast'!H$25:H$1186,'Customer Scenario Forecast'!$C$20:$C$1181,'Incremental Network SummerFcast'!$A75,'Customer Scenario Forecast'!$H$20:$H$1181,'Incremental Network SummerFcast'!$H$1)+
SUMIFS('Customer Scenario Forecast'!H$25:H$1186,'Customer Scenario Forecast'!$D$20:$D$1181,'Incremental Network SummerFcast'!$A75,'Customer Scenario Forecast'!$H$20:$H$1181,'Incremental Network SummerFcast'!$H$1)+
SUMIFS('Customer Scenario Forecast'!H$25:H$1186,'Customer Scenario Forecast'!$E$20:$E$1181,'Incremental Network SummerFcast'!$A75,'Customer Scenario Forecast'!$H$20:$H$1181,'Incremental Network SummerFcast'!$H$1)+H77))</f>
        <v>3.2399999999999998</v>
      </c>
      <c r="I81" s="198">
        <f ca="1">IF($H$1="",
1*(
SUMIFS('Customer Scenario Forecast'!I$25:I$1186,'Customer Scenario Forecast'!$C$20:$C$1181,'Incremental Network SummerFcast'!$A75)+
SUMIFS('Customer Scenario Forecast'!I$25:I$1186,'Customer Scenario Forecast'!$D$20:$D$1181,'Incremental Network SummerFcast'!$A75)+
SUMIFS('Customer Scenario Forecast'!I$25:I$1186,'Customer Scenario Forecast'!$E$20:$E$1181,'Incremental Network SummerFcast'!$A75)+I77),
1*(
SUMIFS('Customer Scenario Forecast'!I$25:I$1186,'Customer Scenario Forecast'!$C$20:$C$1181,'Incremental Network SummerFcast'!$A75,'Customer Scenario Forecast'!$H$20:$H$1181,'Incremental Network SummerFcast'!$H$1)+
SUMIFS('Customer Scenario Forecast'!I$25:I$1186,'Customer Scenario Forecast'!$D$20:$D$1181,'Incremental Network SummerFcast'!$A75,'Customer Scenario Forecast'!$H$20:$H$1181,'Incremental Network SummerFcast'!$H$1)+
SUMIFS('Customer Scenario Forecast'!I$25:I$1186,'Customer Scenario Forecast'!$E$20:$E$1181,'Incremental Network SummerFcast'!$A75,'Customer Scenario Forecast'!$H$20:$H$1181,'Incremental Network SummerFcast'!$H$1)+I77))</f>
        <v>3.2399999999999998</v>
      </c>
      <c r="J81" s="198">
        <f ca="1">IF($H$1="",
1*(
SUMIFS('Customer Scenario Forecast'!J$25:J$1186,'Customer Scenario Forecast'!$C$20:$C$1181,'Incremental Network SummerFcast'!$A75)+
SUMIFS('Customer Scenario Forecast'!J$25:J$1186,'Customer Scenario Forecast'!$D$20:$D$1181,'Incremental Network SummerFcast'!$A75)+
SUMIFS('Customer Scenario Forecast'!J$25:J$1186,'Customer Scenario Forecast'!$E$20:$E$1181,'Incremental Network SummerFcast'!$A75)+J77),
1*(
SUMIFS('Customer Scenario Forecast'!J$25:J$1186,'Customer Scenario Forecast'!$C$20:$C$1181,'Incremental Network SummerFcast'!$A75,'Customer Scenario Forecast'!$H$20:$H$1181,'Incremental Network SummerFcast'!$H$1)+
SUMIFS('Customer Scenario Forecast'!J$25:J$1186,'Customer Scenario Forecast'!$D$20:$D$1181,'Incremental Network SummerFcast'!$A75,'Customer Scenario Forecast'!$H$20:$H$1181,'Incremental Network SummerFcast'!$H$1)+
SUMIFS('Customer Scenario Forecast'!J$25:J$1186,'Customer Scenario Forecast'!$E$20:$E$1181,'Incremental Network SummerFcast'!$A75,'Customer Scenario Forecast'!$H$20:$H$1181,'Incremental Network SummerFcast'!$H$1)+J77))</f>
        <v>10.8</v>
      </c>
      <c r="K81" s="198">
        <f ca="1">IF($H$1="",
1*(
SUMIFS('Customer Scenario Forecast'!K$25:K$1186,'Customer Scenario Forecast'!$C$20:$C$1181,'Incremental Network SummerFcast'!$A75)+
SUMIFS('Customer Scenario Forecast'!K$25:K$1186,'Customer Scenario Forecast'!$D$20:$D$1181,'Incremental Network SummerFcast'!$A75)+
SUMIFS('Customer Scenario Forecast'!K$25:K$1186,'Customer Scenario Forecast'!$E$20:$E$1181,'Incremental Network SummerFcast'!$A75)+K77),
1*(
SUMIFS('Customer Scenario Forecast'!K$25:K$1186,'Customer Scenario Forecast'!$C$20:$C$1181,'Incremental Network SummerFcast'!$A75,'Customer Scenario Forecast'!$H$20:$H$1181,'Incremental Network SummerFcast'!$H$1)+
SUMIFS('Customer Scenario Forecast'!K$25:K$1186,'Customer Scenario Forecast'!$D$20:$D$1181,'Incremental Network SummerFcast'!$A75,'Customer Scenario Forecast'!$H$20:$H$1181,'Incremental Network SummerFcast'!$H$1)+
SUMIFS('Customer Scenario Forecast'!K$25:K$1186,'Customer Scenario Forecast'!$E$20:$E$1181,'Incremental Network SummerFcast'!$A75,'Customer Scenario Forecast'!$H$20:$H$1181,'Incremental Network SummerFcast'!$H$1)+K77))</f>
        <v>10.8</v>
      </c>
      <c r="L81" s="198">
        <f ca="1">IF($H$1="",
1*(
SUMIFS('Customer Scenario Forecast'!L$25:L$1186,'Customer Scenario Forecast'!$C$20:$C$1181,'Incremental Network SummerFcast'!$A75)+
SUMIFS('Customer Scenario Forecast'!L$25:L$1186,'Customer Scenario Forecast'!$D$20:$D$1181,'Incremental Network SummerFcast'!$A75)+
SUMIFS('Customer Scenario Forecast'!L$25:L$1186,'Customer Scenario Forecast'!$E$20:$E$1181,'Incremental Network SummerFcast'!$A75)+L77),
1*(
SUMIFS('Customer Scenario Forecast'!L$25:L$1186,'Customer Scenario Forecast'!$C$20:$C$1181,'Incremental Network SummerFcast'!$A75,'Customer Scenario Forecast'!$H$20:$H$1181,'Incremental Network SummerFcast'!$H$1)+
SUMIFS('Customer Scenario Forecast'!L$25:L$1186,'Customer Scenario Forecast'!$D$20:$D$1181,'Incremental Network SummerFcast'!$A75,'Customer Scenario Forecast'!$H$20:$H$1181,'Incremental Network SummerFcast'!$H$1)+
SUMIFS('Customer Scenario Forecast'!L$25:L$1186,'Customer Scenario Forecast'!$E$20:$E$1181,'Incremental Network SummerFcast'!$A75,'Customer Scenario Forecast'!$H$20:$H$1181,'Incremental Network SummerFcast'!$H$1)+L77))</f>
        <v>10.8</v>
      </c>
    </row>
    <row r="82" spans="1:13" ht="15.6" thickTop="1" thickBot="1">
      <c r="A82" s="197" t="s">
        <v>148</v>
      </c>
      <c r="B82" s="198">
        <f ca="1">'Incremental Network SummerFcast'!$B$245*B79+'Incremental Network SummerFcast'!$B$246*B80+'Incremental Network SummerFcast'!$B$247*B81</f>
        <v>0</v>
      </c>
      <c r="C82" s="198">
        <f ca="1">'Incremental Network SummerFcast'!$B$245*C79+'Incremental Network SummerFcast'!$B$246*C80+'Incremental Network SummerFcast'!$B$247*C81</f>
        <v>0</v>
      </c>
      <c r="D82" s="198">
        <f ca="1">'Incremental Network SummerFcast'!$B$245*D79+'Incremental Network SummerFcast'!$B$246*D80+'Incremental Network SummerFcast'!$B$247*D81</f>
        <v>0</v>
      </c>
      <c r="E82" s="198">
        <f ca="1">'Incremental Network SummerFcast'!$B$245*E79+'Incremental Network SummerFcast'!$B$246*E80+'Incremental Network SummerFcast'!$B$247*E81</f>
        <v>0</v>
      </c>
      <c r="F82" s="198">
        <f ca="1">'Incremental Network SummerFcast'!$B$245*F79+'Incremental Network SummerFcast'!$B$246*F80+'Incremental Network SummerFcast'!$B$247*F81</f>
        <v>0.80999999999999994</v>
      </c>
      <c r="G82" s="198">
        <f ca="1">'Incremental Network SummerFcast'!$B$245*G79+'Incremental Network SummerFcast'!$B$246*G80+'Incremental Network SummerFcast'!$B$247*G81</f>
        <v>1.8599999999999999</v>
      </c>
      <c r="H82" s="198">
        <f ca="1">'Incremental Network SummerFcast'!$B$245*H79+'Incremental Network SummerFcast'!$B$246*H80+'Incremental Network SummerFcast'!$B$247*H81</f>
        <v>1.8599999999999999</v>
      </c>
      <c r="I82" s="198">
        <f ca="1">'Incremental Network SummerFcast'!$B$245*I79+'Incremental Network SummerFcast'!$B$246*I80+'Incremental Network SummerFcast'!$B$247*I81</f>
        <v>2.0099999999999998</v>
      </c>
      <c r="J82" s="198">
        <f ca="1">'Incremental Network SummerFcast'!$B$245*J79+'Incremental Network SummerFcast'!$B$246*J80+'Incremental Network SummerFcast'!$B$247*J81</f>
        <v>3.9</v>
      </c>
      <c r="K82" s="198">
        <f ca="1">'Incremental Network SummerFcast'!$B$245*K79+'Incremental Network SummerFcast'!$B$246*K80+'Incremental Network SummerFcast'!$B$247*K81</f>
        <v>3.9</v>
      </c>
      <c r="L82" s="198">
        <f ca="1">'Incremental Network SummerFcast'!$B$245*L79+'Incremental Network SummerFcast'!$B$246*L80+'Incremental Network SummerFcast'!$B$247*L81</f>
        <v>3.9</v>
      </c>
    </row>
    <row r="83" spans="1:13" ht="15.6" thickTop="1" thickBot="1">
      <c r="A83" s="188" t="s">
        <v>133</v>
      </c>
      <c r="B83" s="216"/>
      <c r="C83" s="190"/>
      <c r="D83" s="190"/>
      <c r="E83" s="190"/>
      <c r="F83" s="190"/>
      <c r="G83" s="190"/>
      <c r="H83" s="190"/>
      <c r="I83" s="190"/>
      <c r="J83" s="190"/>
      <c r="K83" s="190"/>
      <c r="L83" s="190"/>
    </row>
    <row r="84" spans="1:13" ht="15" thickBot="1">
      <c r="A84" s="191" t="str">
        <f>A76</f>
        <v>Uptake Scenario</v>
      </c>
      <c r="B84" s="191">
        <f t="shared" ref="B84:L84" si="10">B76</f>
        <v>2023</v>
      </c>
      <c r="C84" s="191">
        <f t="shared" si="10"/>
        <v>2024</v>
      </c>
      <c r="D84" s="191">
        <f t="shared" si="10"/>
        <v>2025</v>
      </c>
      <c r="E84" s="191">
        <f t="shared" si="10"/>
        <v>2026</v>
      </c>
      <c r="F84" s="191">
        <f t="shared" si="10"/>
        <v>2027</v>
      </c>
      <c r="G84" s="191">
        <f t="shared" si="10"/>
        <v>2028</v>
      </c>
      <c r="H84" s="191">
        <f t="shared" si="10"/>
        <v>2029</v>
      </c>
      <c r="I84" s="191">
        <f t="shared" si="10"/>
        <v>2030</v>
      </c>
      <c r="J84" s="191">
        <f t="shared" si="10"/>
        <v>2031</v>
      </c>
      <c r="K84" s="191">
        <f t="shared" si="10"/>
        <v>2032</v>
      </c>
      <c r="L84" s="191">
        <f t="shared" si="10"/>
        <v>2033</v>
      </c>
    </row>
    <row r="85" spans="1:13" ht="15.6" thickTop="1" thickBot="1">
      <c r="A85" s="193"/>
      <c r="B85" s="206"/>
      <c r="C85" s="206"/>
      <c r="D85" s="206"/>
      <c r="E85" s="206"/>
      <c r="F85" s="206"/>
      <c r="G85" s="206"/>
      <c r="H85" s="206"/>
      <c r="I85" s="206"/>
      <c r="J85" s="206"/>
      <c r="K85" s="215"/>
      <c r="L85" s="215"/>
    </row>
    <row r="86" spans="1:13" ht="15" thickBot="1">
      <c r="A86" s="193" t="s">
        <v>111</v>
      </c>
      <c r="B86" s="194">
        <f ca="1">IF($H$1="",
SUMIFS('Customer Scenario Forecast'!B$22:B$1183,'Customer Scenario Forecast'!$C$20:$C$1181,'Incremental Network SummerFcast'!$A83)+
SUMIFS('Customer Scenario Forecast'!B$22:B$1183,'Customer Scenario Forecast'!$D$20:$D$1181,'Incremental Network SummerFcast'!$A83)+
SUMIFS('Customer Scenario Forecast'!B$22:B$1183,'Customer Scenario Forecast'!$E$20:$E$1181,'Incremental Network SummerFcast'!$A83),
SUMIFS('Customer Scenario Forecast'!B$22:B$1183,'Customer Scenario Forecast'!$C$20:$C$1181,'Incremental Network SummerFcast'!$A83,'Customer Scenario Forecast'!$H$20:$H$1181,'Incremental Network SummerFcast'!$H$1)+
SUMIFS('Customer Scenario Forecast'!B$22:B$1183,'Customer Scenario Forecast'!$D$20:$D$1181,'Incremental Network SummerFcast'!$A83,'Customer Scenario Forecast'!$H$20:$H$1181,'Incremental Network SummerFcast'!$H$1)+
SUMIFS('Customer Scenario Forecast'!B$22:B$1183,'Customer Scenario Forecast'!$E$20:$E$1181,'Incremental Network SummerFcast'!$A83,'Customer Scenario Forecast'!$H$20:$H$1181,'Incremental Network SummerFcast'!$H$1))</f>
        <v>0</v>
      </c>
      <c r="C86" s="194">
        <f ca="1">IF($H$1="",
SUMIFS('Customer Scenario Forecast'!C$22:C$1183,'Customer Scenario Forecast'!$C$20:$C$1181,'Incremental Network SummerFcast'!$A83)+
SUMIFS('Customer Scenario Forecast'!C$22:C$1183,'Customer Scenario Forecast'!$D$20:$D$1181,'Incremental Network SummerFcast'!$A83)+
SUMIFS('Customer Scenario Forecast'!C$22:C$1183,'Customer Scenario Forecast'!$E$20:$E$1181,'Incremental Network SummerFcast'!$A83),
SUMIFS('Customer Scenario Forecast'!C$22:C$1183,'Customer Scenario Forecast'!$C$20:$C$1181,'Incremental Network SummerFcast'!$A83,'Customer Scenario Forecast'!$H$20:$H$1181,'Incremental Network SummerFcast'!$H$1)+
SUMIFS('Customer Scenario Forecast'!C$22:C$1183,'Customer Scenario Forecast'!$D$20:$D$1181,'Incremental Network SummerFcast'!$A83,'Customer Scenario Forecast'!$H$20:$H$1181,'Incremental Network SummerFcast'!$H$1)+
SUMIFS('Customer Scenario Forecast'!C$22:C$1183,'Customer Scenario Forecast'!$E$20:$E$1181,'Incremental Network SummerFcast'!$A83,'Customer Scenario Forecast'!$H$20:$H$1181,'Incremental Network SummerFcast'!$H$1))</f>
        <v>0</v>
      </c>
      <c r="D86" s="194">
        <f ca="1">IF($H$1="",
SUMIFS('Customer Scenario Forecast'!D$22:D$1183,'Customer Scenario Forecast'!$C$20:$C$1181,'Incremental Network SummerFcast'!$A83)+
SUMIFS('Customer Scenario Forecast'!D$22:D$1183,'Customer Scenario Forecast'!$D$20:$D$1181,'Incremental Network SummerFcast'!$A83)+
SUMIFS('Customer Scenario Forecast'!D$22:D$1183,'Customer Scenario Forecast'!$E$20:$E$1181,'Incremental Network SummerFcast'!$A83),
SUMIFS('Customer Scenario Forecast'!D$22:D$1183,'Customer Scenario Forecast'!$C$20:$C$1181,'Incremental Network SummerFcast'!$A83,'Customer Scenario Forecast'!$H$20:$H$1181,'Incremental Network SummerFcast'!$H$1)+
SUMIFS('Customer Scenario Forecast'!D$22:D$1183,'Customer Scenario Forecast'!$D$20:$D$1181,'Incremental Network SummerFcast'!$A83,'Customer Scenario Forecast'!$H$20:$H$1181,'Incremental Network SummerFcast'!$H$1)+
SUMIFS('Customer Scenario Forecast'!D$22:D$1183,'Customer Scenario Forecast'!$E$20:$E$1181,'Incremental Network SummerFcast'!$A83,'Customer Scenario Forecast'!$H$20:$H$1181,'Incremental Network SummerFcast'!$H$1))</f>
        <v>0</v>
      </c>
      <c r="E86" s="194">
        <f ca="1">IF($H$1="",
SUMIFS('Customer Scenario Forecast'!E$22:E$1183,'Customer Scenario Forecast'!$C$20:$C$1181,'Incremental Network SummerFcast'!$A83)+
SUMIFS('Customer Scenario Forecast'!E$22:E$1183,'Customer Scenario Forecast'!$D$20:$D$1181,'Incremental Network SummerFcast'!$A83)+
SUMIFS('Customer Scenario Forecast'!E$22:E$1183,'Customer Scenario Forecast'!$E$20:$E$1181,'Incremental Network SummerFcast'!$A83),
SUMIFS('Customer Scenario Forecast'!E$22:E$1183,'Customer Scenario Forecast'!$C$20:$C$1181,'Incremental Network SummerFcast'!$A83,'Customer Scenario Forecast'!$H$20:$H$1181,'Incremental Network SummerFcast'!$H$1)+
SUMIFS('Customer Scenario Forecast'!E$22:E$1183,'Customer Scenario Forecast'!$D$20:$D$1181,'Incremental Network SummerFcast'!$A83,'Customer Scenario Forecast'!$H$20:$H$1181,'Incremental Network SummerFcast'!$H$1)+
SUMIFS('Customer Scenario Forecast'!E$22:E$1183,'Customer Scenario Forecast'!$E$20:$E$1181,'Incremental Network SummerFcast'!$A83,'Customer Scenario Forecast'!$H$20:$H$1181,'Incremental Network SummerFcast'!$H$1))</f>
        <v>0</v>
      </c>
      <c r="F86" s="194">
        <f ca="1">IF($H$1="",
SUMIFS('Customer Scenario Forecast'!F$22:F$1183,'Customer Scenario Forecast'!$C$20:$C$1181,'Incremental Network SummerFcast'!$A83)+
SUMIFS('Customer Scenario Forecast'!F$22:F$1183,'Customer Scenario Forecast'!$D$20:$D$1181,'Incremental Network SummerFcast'!$A83)+
SUMIFS('Customer Scenario Forecast'!F$22:F$1183,'Customer Scenario Forecast'!$E$20:$E$1181,'Incremental Network SummerFcast'!$A83),
SUMIFS('Customer Scenario Forecast'!F$22:F$1183,'Customer Scenario Forecast'!$C$20:$C$1181,'Incremental Network SummerFcast'!$A83,'Customer Scenario Forecast'!$H$20:$H$1181,'Incremental Network SummerFcast'!$H$1)+
SUMIFS('Customer Scenario Forecast'!F$22:F$1183,'Customer Scenario Forecast'!$D$20:$D$1181,'Incremental Network SummerFcast'!$A83,'Customer Scenario Forecast'!$H$20:$H$1181,'Incremental Network SummerFcast'!$H$1)+
SUMIFS('Customer Scenario Forecast'!F$22:F$1183,'Customer Scenario Forecast'!$E$20:$E$1181,'Incremental Network SummerFcast'!$A83,'Customer Scenario Forecast'!$H$20:$H$1181,'Incremental Network SummerFcast'!$H$1))</f>
        <v>0</v>
      </c>
      <c r="G86" s="194">
        <f ca="1">IF($H$1="",
SUMIFS('Customer Scenario Forecast'!G$22:G$1183,'Customer Scenario Forecast'!$C$20:$C$1181,'Incremental Network SummerFcast'!$A83)+
SUMIFS('Customer Scenario Forecast'!G$22:G$1183,'Customer Scenario Forecast'!$D$20:$D$1181,'Incremental Network SummerFcast'!$A83)+
SUMIFS('Customer Scenario Forecast'!G$22:G$1183,'Customer Scenario Forecast'!$E$20:$E$1181,'Incremental Network SummerFcast'!$A83),
SUMIFS('Customer Scenario Forecast'!G$22:G$1183,'Customer Scenario Forecast'!$C$20:$C$1181,'Incremental Network SummerFcast'!$A83,'Customer Scenario Forecast'!$H$20:$H$1181,'Incremental Network SummerFcast'!$H$1)+
SUMIFS('Customer Scenario Forecast'!G$22:G$1183,'Customer Scenario Forecast'!$D$20:$D$1181,'Incremental Network SummerFcast'!$A83,'Customer Scenario Forecast'!$H$20:$H$1181,'Incremental Network SummerFcast'!$H$1)+
SUMIFS('Customer Scenario Forecast'!G$22:G$1183,'Customer Scenario Forecast'!$E$20:$E$1181,'Incremental Network SummerFcast'!$A83,'Customer Scenario Forecast'!$H$20:$H$1181,'Incremental Network SummerFcast'!$H$1))</f>
        <v>0</v>
      </c>
      <c r="H86" s="194">
        <f ca="1">IF($H$1="",
SUMIFS('Customer Scenario Forecast'!H$22:H$1183,'Customer Scenario Forecast'!$C$20:$C$1181,'Incremental Network SummerFcast'!$A83)+
SUMIFS('Customer Scenario Forecast'!H$22:H$1183,'Customer Scenario Forecast'!$D$20:$D$1181,'Incremental Network SummerFcast'!$A83)+
SUMIFS('Customer Scenario Forecast'!H$22:H$1183,'Customer Scenario Forecast'!$E$20:$E$1181,'Incremental Network SummerFcast'!$A83),
SUMIFS('Customer Scenario Forecast'!H$22:H$1183,'Customer Scenario Forecast'!$C$20:$C$1181,'Incremental Network SummerFcast'!$A83,'Customer Scenario Forecast'!$H$20:$H$1181,'Incremental Network SummerFcast'!$H$1)+
SUMIFS('Customer Scenario Forecast'!H$22:H$1183,'Customer Scenario Forecast'!$D$20:$D$1181,'Incremental Network SummerFcast'!$A83,'Customer Scenario Forecast'!$H$20:$H$1181,'Incremental Network SummerFcast'!$H$1)+
SUMIFS('Customer Scenario Forecast'!H$22:H$1183,'Customer Scenario Forecast'!$E$20:$E$1181,'Incremental Network SummerFcast'!$A83,'Customer Scenario Forecast'!$H$20:$H$1181,'Incremental Network SummerFcast'!$H$1))</f>
        <v>0</v>
      </c>
      <c r="I86" s="194">
        <f ca="1">IF($H$1="",
SUMIFS('Customer Scenario Forecast'!I$22:I$1183,'Customer Scenario Forecast'!$C$20:$C$1181,'Incremental Network SummerFcast'!$A83)+
SUMIFS('Customer Scenario Forecast'!I$22:I$1183,'Customer Scenario Forecast'!$D$20:$D$1181,'Incremental Network SummerFcast'!$A83)+
SUMIFS('Customer Scenario Forecast'!I$22:I$1183,'Customer Scenario Forecast'!$E$20:$E$1181,'Incremental Network SummerFcast'!$A83),
SUMIFS('Customer Scenario Forecast'!I$22:I$1183,'Customer Scenario Forecast'!$C$20:$C$1181,'Incremental Network SummerFcast'!$A83,'Customer Scenario Forecast'!$H$20:$H$1181,'Incremental Network SummerFcast'!$H$1)+
SUMIFS('Customer Scenario Forecast'!I$22:I$1183,'Customer Scenario Forecast'!$D$20:$D$1181,'Incremental Network SummerFcast'!$A83,'Customer Scenario Forecast'!$H$20:$H$1181,'Incremental Network SummerFcast'!$H$1)+
SUMIFS('Customer Scenario Forecast'!I$22:I$1183,'Customer Scenario Forecast'!$E$20:$E$1181,'Incremental Network SummerFcast'!$A83,'Customer Scenario Forecast'!$H$20:$H$1181,'Incremental Network SummerFcast'!$H$1))</f>
        <v>0</v>
      </c>
      <c r="J86" s="194">
        <f ca="1">IF($H$1="",
SUMIFS('Customer Scenario Forecast'!J$22:J$1183,'Customer Scenario Forecast'!$C$20:$C$1181,'Incremental Network SummerFcast'!$A83)+
SUMIFS('Customer Scenario Forecast'!J$22:J$1183,'Customer Scenario Forecast'!$D$20:$D$1181,'Incremental Network SummerFcast'!$A83)+
SUMIFS('Customer Scenario Forecast'!J$22:J$1183,'Customer Scenario Forecast'!$E$20:$E$1181,'Incremental Network SummerFcast'!$A83),
SUMIFS('Customer Scenario Forecast'!J$22:J$1183,'Customer Scenario Forecast'!$C$20:$C$1181,'Incremental Network SummerFcast'!$A83,'Customer Scenario Forecast'!$H$20:$H$1181,'Incremental Network SummerFcast'!$H$1)+
SUMIFS('Customer Scenario Forecast'!J$22:J$1183,'Customer Scenario Forecast'!$D$20:$D$1181,'Incremental Network SummerFcast'!$A83,'Customer Scenario Forecast'!$H$20:$H$1181,'Incremental Network SummerFcast'!$H$1)+
SUMIFS('Customer Scenario Forecast'!J$22:J$1183,'Customer Scenario Forecast'!$E$20:$E$1181,'Incremental Network SummerFcast'!$A83,'Customer Scenario Forecast'!$H$20:$H$1181,'Incremental Network SummerFcast'!$H$1))</f>
        <v>0</v>
      </c>
      <c r="K86" s="194">
        <f ca="1">IF($H$1="",
SUMIFS('Customer Scenario Forecast'!K$22:K$1183,'Customer Scenario Forecast'!$C$20:$C$1181,'Incremental Network SummerFcast'!$A83)+
SUMIFS('Customer Scenario Forecast'!K$22:K$1183,'Customer Scenario Forecast'!$D$20:$D$1181,'Incremental Network SummerFcast'!$A83)+
SUMIFS('Customer Scenario Forecast'!K$22:K$1183,'Customer Scenario Forecast'!$E$20:$E$1181,'Incremental Network SummerFcast'!$A83),
SUMIFS('Customer Scenario Forecast'!K$22:K$1183,'Customer Scenario Forecast'!$C$20:$C$1181,'Incremental Network SummerFcast'!$A83,'Customer Scenario Forecast'!$H$20:$H$1181,'Incremental Network SummerFcast'!$H$1)+
SUMIFS('Customer Scenario Forecast'!K$22:K$1183,'Customer Scenario Forecast'!$D$20:$D$1181,'Incremental Network SummerFcast'!$A83,'Customer Scenario Forecast'!$H$20:$H$1181,'Incremental Network SummerFcast'!$H$1)+
SUMIFS('Customer Scenario Forecast'!K$22:K$1183,'Customer Scenario Forecast'!$E$20:$E$1181,'Incremental Network SummerFcast'!$A83,'Customer Scenario Forecast'!$H$20:$H$1181,'Incremental Network SummerFcast'!$H$1))</f>
        <v>0</v>
      </c>
      <c r="L86" s="194">
        <f ca="1">IF($H$1="",
SUMIFS('Customer Scenario Forecast'!L$22:L$1183,'Customer Scenario Forecast'!$C$20:$C$1181,'Incremental Network SummerFcast'!$A83)+
SUMIFS('Customer Scenario Forecast'!L$22:L$1183,'Customer Scenario Forecast'!$D$20:$D$1181,'Incremental Network SummerFcast'!$A83)+
SUMIFS('Customer Scenario Forecast'!L$22:L$1183,'Customer Scenario Forecast'!$E$20:$E$1181,'Incremental Network SummerFcast'!$A83),
SUMIFS('Customer Scenario Forecast'!L$22:L$1183,'Customer Scenario Forecast'!$C$20:$C$1181,'Incremental Network SummerFcast'!$A83,'Customer Scenario Forecast'!$H$20:$H$1181,'Incremental Network SummerFcast'!$H$1)+
SUMIFS('Customer Scenario Forecast'!L$22:L$1183,'Customer Scenario Forecast'!$D$20:$D$1181,'Incremental Network SummerFcast'!$A83,'Customer Scenario Forecast'!$H$20:$H$1181,'Incremental Network SummerFcast'!$H$1)+
SUMIFS('Customer Scenario Forecast'!L$22:L$1183,'Customer Scenario Forecast'!$E$20:$E$1181,'Incremental Network SummerFcast'!$A83,'Customer Scenario Forecast'!$H$20:$H$1181,'Incremental Network SummerFcast'!$H$1))</f>
        <v>17.550236466679692</v>
      </c>
    </row>
    <row r="87" spans="1:13" ht="15" thickBot="1">
      <c r="A87" s="195" t="s">
        <v>107</v>
      </c>
      <c r="B87" s="196">
        <f ca="1">IF($H$1="",
1*(
SUMIFS('Customer Scenario Forecast'!B$23:B$1184,'Customer Scenario Forecast'!$C$20:$C$1181,'Incremental Network SummerFcast'!$A83)+
SUMIFS('Customer Scenario Forecast'!B$23:B$1184,'Customer Scenario Forecast'!$D$20:$D$1181,'Incremental Network SummerFcast'!$A83)+
SUMIFS('Customer Scenario Forecast'!B$23:B$1184,'Customer Scenario Forecast'!$E$20:$E$1181,'Incremental Network SummerFcast'!$A83)+B85),
1*(
SUMIFS('Customer Scenario Forecast'!B$23:B$1184,'Customer Scenario Forecast'!$C$20:$C$1181,'Incremental Network SummerFcast'!$A83,'Customer Scenario Forecast'!$H$20:$H$1181,'Incremental Network SummerFcast'!$H$1)+
SUMIFS('Customer Scenario Forecast'!B$23:B$1184,'Customer Scenario Forecast'!$D$20:$D$1181,'Incremental Network SummerFcast'!$A83,'Customer Scenario Forecast'!$H$20:$H$1181,'Incremental Network SummerFcast'!$H$1)+
SUMIFS('Customer Scenario Forecast'!B$23:B$1184,'Customer Scenario Forecast'!$E$20:$E$1181,'Incremental Network SummerFcast'!$A83,'Customer Scenario Forecast'!$H$20:$H$1181,'Incremental Network SummerFcast'!$H$1)+B85))</f>
        <v>0</v>
      </c>
      <c r="C87" s="196">
        <f ca="1">IF($H$1="",
1*(
SUMIFS('Customer Scenario Forecast'!C$23:C$1184,'Customer Scenario Forecast'!$C$20:$C$1181,'Incremental Network SummerFcast'!$A83)+
SUMIFS('Customer Scenario Forecast'!C$23:C$1184,'Customer Scenario Forecast'!$D$20:$D$1181,'Incremental Network SummerFcast'!$A83)+
SUMIFS('Customer Scenario Forecast'!C$23:C$1184,'Customer Scenario Forecast'!$E$20:$E$1181,'Incremental Network SummerFcast'!$A83)+C85),
1*(
SUMIFS('Customer Scenario Forecast'!C$23:C$1184,'Customer Scenario Forecast'!$C$20:$C$1181,'Incremental Network SummerFcast'!$A83,'Customer Scenario Forecast'!$H$20:$H$1181,'Incremental Network SummerFcast'!$H$1)+
SUMIFS('Customer Scenario Forecast'!C$23:C$1184,'Customer Scenario Forecast'!$D$20:$D$1181,'Incremental Network SummerFcast'!$A83,'Customer Scenario Forecast'!$H$20:$H$1181,'Incremental Network SummerFcast'!$H$1)+
SUMIFS('Customer Scenario Forecast'!C$23:C$1184,'Customer Scenario Forecast'!$E$20:$E$1181,'Incremental Network SummerFcast'!$A83,'Customer Scenario Forecast'!$H$20:$H$1181,'Incremental Network SummerFcast'!$H$1)+C85))</f>
        <v>0</v>
      </c>
      <c r="D87" s="196">
        <f ca="1">IF($H$1="",
1*(
SUMIFS('Customer Scenario Forecast'!D$23:D$1184,'Customer Scenario Forecast'!$C$20:$C$1181,'Incremental Network SummerFcast'!$A83)+
SUMIFS('Customer Scenario Forecast'!D$23:D$1184,'Customer Scenario Forecast'!$D$20:$D$1181,'Incremental Network SummerFcast'!$A83)+
SUMIFS('Customer Scenario Forecast'!D$23:D$1184,'Customer Scenario Forecast'!$E$20:$E$1181,'Incremental Network SummerFcast'!$A83)+D85),
1*(
SUMIFS('Customer Scenario Forecast'!D$23:D$1184,'Customer Scenario Forecast'!$C$20:$C$1181,'Incremental Network SummerFcast'!$A83,'Customer Scenario Forecast'!$H$20:$H$1181,'Incremental Network SummerFcast'!$H$1)+
SUMIFS('Customer Scenario Forecast'!D$23:D$1184,'Customer Scenario Forecast'!$D$20:$D$1181,'Incremental Network SummerFcast'!$A83,'Customer Scenario Forecast'!$H$20:$H$1181,'Incremental Network SummerFcast'!$H$1)+
SUMIFS('Customer Scenario Forecast'!D$23:D$1184,'Customer Scenario Forecast'!$E$20:$E$1181,'Incremental Network SummerFcast'!$A83,'Customer Scenario Forecast'!$H$20:$H$1181,'Incremental Network SummerFcast'!$H$1)+D85))</f>
        <v>0</v>
      </c>
      <c r="E87" s="196">
        <f ca="1">IF($H$1="",
1*(
SUMIFS('Customer Scenario Forecast'!E$23:E$1184,'Customer Scenario Forecast'!$C$20:$C$1181,'Incremental Network SummerFcast'!$A83)+
SUMIFS('Customer Scenario Forecast'!E$23:E$1184,'Customer Scenario Forecast'!$D$20:$D$1181,'Incremental Network SummerFcast'!$A83)+
SUMIFS('Customer Scenario Forecast'!E$23:E$1184,'Customer Scenario Forecast'!$E$20:$E$1181,'Incremental Network SummerFcast'!$A83)+E85),
1*(
SUMIFS('Customer Scenario Forecast'!E$23:E$1184,'Customer Scenario Forecast'!$C$20:$C$1181,'Incremental Network SummerFcast'!$A83,'Customer Scenario Forecast'!$H$20:$H$1181,'Incremental Network SummerFcast'!$H$1)+
SUMIFS('Customer Scenario Forecast'!E$23:E$1184,'Customer Scenario Forecast'!$D$20:$D$1181,'Incremental Network SummerFcast'!$A83,'Customer Scenario Forecast'!$H$20:$H$1181,'Incremental Network SummerFcast'!$H$1)+
SUMIFS('Customer Scenario Forecast'!E$23:E$1184,'Customer Scenario Forecast'!$E$20:$E$1181,'Incremental Network SummerFcast'!$A83,'Customer Scenario Forecast'!$H$20:$H$1181,'Incremental Network SummerFcast'!$H$1)+E85))</f>
        <v>0</v>
      </c>
      <c r="F87" s="196">
        <f ca="1">IF($H$1="",
1*(
SUMIFS('Customer Scenario Forecast'!F$23:F$1184,'Customer Scenario Forecast'!$C$20:$C$1181,'Incremental Network SummerFcast'!$A83)+
SUMIFS('Customer Scenario Forecast'!F$23:F$1184,'Customer Scenario Forecast'!$D$20:$D$1181,'Incremental Network SummerFcast'!$A83)+
SUMIFS('Customer Scenario Forecast'!F$23:F$1184,'Customer Scenario Forecast'!$E$20:$E$1181,'Incremental Network SummerFcast'!$A83)+F85),
1*(
SUMIFS('Customer Scenario Forecast'!F$23:F$1184,'Customer Scenario Forecast'!$C$20:$C$1181,'Incremental Network SummerFcast'!$A83,'Customer Scenario Forecast'!$H$20:$H$1181,'Incremental Network SummerFcast'!$H$1)+
SUMIFS('Customer Scenario Forecast'!F$23:F$1184,'Customer Scenario Forecast'!$D$20:$D$1181,'Incremental Network SummerFcast'!$A83,'Customer Scenario Forecast'!$H$20:$H$1181,'Incremental Network SummerFcast'!$H$1)+
SUMIFS('Customer Scenario Forecast'!F$23:F$1184,'Customer Scenario Forecast'!$E$20:$E$1181,'Incremental Network SummerFcast'!$A83,'Customer Scenario Forecast'!$H$20:$H$1181,'Incremental Network SummerFcast'!$H$1)+F85))</f>
        <v>0</v>
      </c>
      <c r="G87" s="196">
        <f ca="1">IF($H$1="",
1*(
SUMIFS('Customer Scenario Forecast'!G$23:G$1184,'Customer Scenario Forecast'!$C$20:$C$1181,'Incremental Network SummerFcast'!$A83)+
SUMIFS('Customer Scenario Forecast'!G$23:G$1184,'Customer Scenario Forecast'!$D$20:$D$1181,'Incremental Network SummerFcast'!$A83)+
SUMIFS('Customer Scenario Forecast'!G$23:G$1184,'Customer Scenario Forecast'!$E$20:$E$1181,'Incremental Network SummerFcast'!$A83)+G85),
1*(
SUMIFS('Customer Scenario Forecast'!G$23:G$1184,'Customer Scenario Forecast'!$C$20:$C$1181,'Incremental Network SummerFcast'!$A83,'Customer Scenario Forecast'!$H$20:$H$1181,'Incremental Network SummerFcast'!$H$1)+
SUMIFS('Customer Scenario Forecast'!G$23:G$1184,'Customer Scenario Forecast'!$D$20:$D$1181,'Incremental Network SummerFcast'!$A83,'Customer Scenario Forecast'!$H$20:$H$1181,'Incremental Network SummerFcast'!$H$1)+
SUMIFS('Customer Scenario Forecast'!G$23:G$1184,'Customer Scenario Forecast'!$E$20:$E$1181,'Incremental Network SummerFcast'!$A83,'Customer Scenario Forecast'!$H$20:$H$1181,'Incremental Network SummerFcast'!$H$1)+G85))</f>
        <v>0</v>
      </c>
      <c r="H87" s="196">
        <f ca="1">IF($H$1="",
1*(
SUMIFS('Customer Scenario Forecast'!H$23:H$1184,'Customer Scenario Forecast'!$C$20:$C$1181,'Incremental Network SummerFcast'!$A83)+
SUMIFS('Customer Scenario Forecast'!H$23:H$1184,'Customer Scenario Forecast'!$D$20:$D$1181,'Incremental Network SummerFcast'!$A83)+
SUMIFS('Customer Scenario Forecast'!H$23:H$1184,'Customer Scenario Forecast'!$E$20:$E$1181,'Incremental Network SummerFcast'!$A83)+H85),
1*(
SUMIFS('Customer Scenario Forecast'!H$23:H$1184,'Customer Scenario Forecast'!$C$20:$C$1181,'Incremental Network SummerFcast'!$A83,'Customer Scenario Forecast'!$H$20:$H$1181,'Incremental Network SummerFcast'!$H$1)+
SUMIFS('Customer Scenario Forecast'!H$23:H$1184,'Customer Scenario Forecast'!$D$20:$D$1181,'Incremental Network SummerFcast'!$A83,'Customer Scenario Forecast'!$H$20:$H$1181,'Incremental Network SummerFcast'!$H$1)+
SUMIFS('Customer Scenario Forecast'!H$23:H$1184,'Customer Scenario Forecast'!$E$20:$E$1181,'Incremental Network SummerFcast'!$A83,'Customer Scenario Forecast'!$H$20:$H$1181,'Incremental Network SummerFcast'!$H$1)+H85))</f>
        <v>0</v>
      </c>
      <c r="I87" s="196">
        <f ca="1">IF($H$1="",
1*(
SUMIFS('Customer Scenario Forecast'!I$23:I$1184,'Customer Scenario Forecast'!$C$20:$C$1181,'Incremental Network SummerFcast'!$A83)+
SUMIFS('Customer Scenario Forecast'!I$23:I$1184,'Customer Scenario Forecast'!$D$20:$D$1181,'Incremental Network SummerFcast'!$A83)+
SUMIFS('Customer Scenario Forecast'!I$23:I$1184,'Customer Scenario Forecast'!$E$20:$E$1181,'Incremental Network SummerFcast'!$A83)+I85),
1*(
SUMIFS('Customer Scenario Forecast'!I$23:I$1184,'Customer Scenario Forecast'!$C$20:$C$1181,'Incremental Network SummerFcast'!$A83,'Customer Scenario Forecast'!$H$20:$H$1181,'Incremental Network SummerFcast'!$H$1)+
SUMIFS('Customer Scenario Forecast'!I$23:I$1184,'Customer Scenario Forecast'!$D$20:$D$1181,'Incremental Network SummerFcast'!$A83,'Customer Scenario Forecast'!$H$20:$H$1181,'Incremental Network SummerFcast'!$H$1)+
SUMIFS('Customer Scenario Forecast'!I$23:I$1184,'Customer Scenario Forecast'!$E$20:$E$1181,'Incremental Network SummerFcast'!$A83,'Customer Scenario Forecast'!$H$20:$H$1181,'Incremental Network SummerFcast'!$H$1)+I85))</f>
        <v>0</v>
      </c>
      <c r="J87" s="196">
        <f ca="1">IF($H$1="",
1*(
SUMIFS('Customer Scenario Forecast'!J$23:J$1184,'Customer Scenario Forecast'!$C$20:$C$1181,'Incremental Network SummerFcast'!$A83)+
SUMIFS('Customer Scenario Forecast'!J$23:J$1184,'Customer Scenario Forecast'!$D$20:$D$1181,'Incremental Network SummerFcast'!$A83)+
SUMIFS('Customer Scenario Forecast'!J$23:J$1184,'Customer Scenario Forecast'!$E$20:$E$1181,'Incremental Network SummerFcast'!$A83)+J85),
1*(
SUMIFS('Customer Scenario Forecast'!J$23:J$1184,'Customer Scenario Forecast'!$C$20:$C$1181,'Incremental Network SummerFcast'!$A83,'Customer Scenario Forecast'!$H$20:$H$1181,'Incremental Network SummerFcast'!$H$1)+
SUMIFS('Customer Scenario Forecast'!J$23:J$1184,'Customer Scenario Forecast'!$D$20:$D$1181,'Incremental Network SummerFcast'!$A83,'Customer Scenario Forecast'!$H$20:$H$1181,'Incremental Network SummerFcast'!$H$1)+
SUMIFS('Customer Scenario Forecast'!J$23:J$1184,'Customer Scenario Forecast'!$E$20:$E$1181,'Incremental Network SummerFcast'!$A83,'Customer Scenario Forecast'!$H$20:$H$1181,'Incremental Network SummerFcast'!$H$1)+J85))</f>
        <v>0</v>
      </c>
      <c r="K87" s="196">
        <f ca="1">IF($H$1="",
1*(
SUMIFS('Customer Scenario Forecast'!K$23:K$1184,'Customer Scenario Forecast'!$C$20:$C$1181,'Incremental Network SummerFcast'!$A83)+
SUMIFS('Customer Scenario Forecast'!K$23:K$1184,'Customer Scenario Forecast'!$D$20:$D$1181,'Incremental Network SummerFcast'!$A83)+
SUMIFS('Customer Scenario Forecast'!K$23:K$1184,'Customer Scenario Forecast'!$E$20:$E$1181,'Incremental Network SummerFcast'!$A83)+K85),
1*(
SUMIFS('Customer Scenario Forecast'!K$23:K$1184,'Customer Scenario Forecast'!$C$20:$C$1181,'Incremental Network SummerFcast'!$A83,'Customer Scenario Forecast'!$H$20:$H$1181,'Incremental Network SummerFcast'!$H$1)+
SUMIFS('Customer Scenario Forecast'!K$23:K$1184,'Customer Scenario Forecast'!$D$20:$D$1181,'Incremental Network SummerFcast'!$A83,'Customer Scenario Forecast'!$H$20:$H$1181,'Incremental Network SummerFcast'!$H$1)+
SUMIFS('Customer Scenario Forecast'!K$23:K$1184,'Customer Scenario Forecast'!$E$20:$E$1181,'Incremental Network SummerFcast'!$A83,'Customer Scenario Forecast'!$H$20:$H$1181,'Incremental Network SummerFcast'!$H$1)+K85))</f>
        <v>0</v>
      </c>
      <c r="L87" s="196">
        <f ca="1">IF($H$1="",
1*(
SUMIFS('Customer Scenario Forecast'!L$23:L$1184,'Customer Scenario Forecast'!$C$20:$C$1181,'Incremental Network SummerFcast'!$A83)+
SUMIFS('Customer Scenario Forecast'!L$23:L$1184,'Customer Scenario Forecast'!$D$20:$D$1181,'Incremental Network SummerFcast'!$A83)+
SUMIFS('Customer Scenario Forecast'!L$23:L$1184,'Customer Scenario Forecast'!$E$20:$E$1181,'Incremental Network SummerFcast'!$A83)+L85),
1*(
SUMIFS('Customer Scenario Forecast'!L$23:L$1184,'Customer Scenario Forecast'!$C$20:$C$1181,'Incremental Network SummerFcast'!$A83,'Customer Scenario Forecast'!$H$20:$H$1181,'Incremental Network SummerFcast'!$H$1)+
SUMIFS('Customer Scenario Forecast'!L$23:L$1184,'Customer Scenario Forecast'!$D$20:$D$1181,'Incremental Network SummerFcast'!$A83,'Customer Scenario Forecast'!$H$20:$H$1181,'Incremental Network SummerFcast'!$H$1)+
SUMIFS('Customer Scenario Forecast'!L$23:L$1184,'Customer Scenario Forecast'!$E$20:$E$1181,'Incremental Network SummerFcast'!$A83,'Customer Scenario Forecast'!$H$20:$H$1181,'Incremental Network SummerFcast'!$H$1)+L85))</f>
        <v>0</v>
      </c>
    </row>
    <row r="88" spans="1:13" ht="15" thickBot="1">
      <c r="A88" s="195" t="s">
        <v>108</v>
      </c>
      <c r="B88" s="196">
        <f ca="1">IF($H$1="",
1*(
SUMIFS('Customer Scenario Forecast'!B$24:B$1185,'Customer Scenario Forecast'!$C$20:$C$1181,'Incremental Network SummerFcast'!$A83)+
SUMIFS('Customer Scenario Forecast'!B$24:B$1185,'Customer Scenario Forecast'!$D$20:$D$1181,'Incremental Network SummerFcast'!$A83)+
SUMIFS('Customer Scenario Forecast'!B$24:B$1185,'Customer Scenario Forecast'!$E$20:$E$1181,'Incremental Network SummerFcast'!$A83)+B85),
1*(
SUMIFS('Customer Scenario Forecast'!B$24:B$1185,'Customer Scenario Forecast'!$C$20:$C$1181,'Incremental Network SummerFcast'!$A83,'Customer Scenario Forecast'!$H$20:$H$1181,'Incremental Network SummerFcast'!$H$1)+
SUMIFS('Customer Scenario Forecast'!B$24:B$1185,'Customer Scenario Forecast'!$D$20:$D$1181,'Incremental Network SummerFcast'!$A83,'Customer Scenario Forecast'!$H$20:$H$1181,'Incremental Network SummerFcast'!$H$1)+
SUMIFS('Customer Scenario Forecast'!B$24:B$1185,'Customer Scenario Forecast'!$E$20:$E$1181,'Incremental Network SummerFcast'!$A83,'Customer Scenario Forecast'!$H$20:$H$1181,'Incremental Network SummerFcast'!$H$1)+B85))</f>
        <v>0</v>
      </c>
      <c r="C88" s="196">
        <f ca="1">IF($H$1="",
1*(
SUMIFS('Customer Scenario Forecast'!C$24:C$1185,'Customer Scenario Forecast'!$C$20:$C$1181,'Incremental Network SummerFcast'!$A83)+
SUMIFS('Customer Scenario Forecast'!C$24:C$1185,'Customer Scenario Forecast'!$D$20:$D$1181,'Incremental Network SummerFcast'!$A83)+
SUMIFS('Customer Scenario Forecast'!C$24:C$1185,'Customer Scenario Forecast'!$E$20:$E$1181,'Incremental Network SummerFcast'!$A83)+C85),
1*(
SUMIFS('Customer Scenario Forecast'!C$24:C$1185,'Customer Scenario Forecast'!$C$20:$C$1181,'Incremental Network SummerFcast'!$A83,'Customer Scenario Forecast'!$H$20:$H$1181,'Incremental Network SummerFcast'!$H$1)+
SUMIFS('Customer Scenario Forecast'!C$24:C$1185,'Customer Scenario Forecast'!$D$20:$D$1181,'Incremental Network SummerFcast'!$A83,'Customer Scenario Forecast'!$H$20:$H$1181,'Incremental Network SummerFcast'!$H$1)+
SUMIFS('Customer Scenario Forecast'!C$24:C$1185,'Customer Scenario Forecast'!$E$20:$E$1181,'Incremental Network SummerFcast'!$A83,'Customer Scenario Forecast'!$H$20:$H$1181,'Incremental Network SummerFcast'!$H$1)+C85))</f>
        <v>0</v>
      </c>
      <c r="D88" s="196">
        <f ca="1">IF($H$1="",
1*(
SUMIFS('Customer Scenario Forecast'!D$24:D$1185,'Customer Scenario Forecast'!$C$20:$C$1181,'Incremental Network SummerFcast'!$A83)+
SUMIFS('Customer Scenario Forecast'!D$24:D$1185,'Customer Scenario Forecast'!$D$20:$D$1181,'Incremental Network SummerFcast'!$A83)+
SUMIFS('Customer Scenario Forecast'!D$24:D$1185,'Customer Scenario Forecast'!$E$20:$E$1181,'Incremental Network SummerFcast'!$A83)+D85),
1*(
SUMIFS('Customer Scenario Forecast'!D$24:D$1185,'Customer Scenario Forecast'!$C$20:$C$1181,'Incremental Network SummerFcast'!$A83,'Customer Scenario Forecast'!$H$20:$H$1181,'Incremental Network SummerFcast'!$H$1)+
SUMIFS('Customer Scenario Forecast'!D$24:D$1185,'Customer Scenario Forecast'!$D$20:$D$1181,'Incremental Network SummerFcast'!$A83,'Customer Scenario Forecast'!$H$20:$H$1181,'Incremental Network SummerFcast'!$H$1)+
SUMIFS('Customer Scenario Forecast'!D$24:D$1185,'Customer Scenario Forecast'!$E$20:$E$1181,'Incremental Network SummerFcast'!$A83,'Customer Scenario Forecast'!$H$20:$H$1181,'Incremental Network SummerFcast'!$H$1)+D85))</f>
        <v>0</v>
      </c>
      <c r="E88" s="196">
        <f ca="1">IF($H$1="",
1*(
SUMIFS('Customer Scenario Forecast'!E$24:E$1185,'Customer Scenario Forecast'!$C$20:$C$1181,'Incremental Network SummerFcast'!$A83)+
SUMIFS('Customer Scenario Forecast'!E$24:E$1185,'Customer Scenario Forecast'!$D$20:$D$1181,'Incremental Network SummerFcast'!$A83)+
SUMIFS('Customer Scenario Forecast'!E$24:E$1185,'Customer Scenario Forecast'!$E$20:$E$1181,'Incremental Network SummerFcast'!$A83)+E85),
1*(
SUMIFS('Customer Scenario Forecast'!E$24:E$1185,'Customer Scenario Forecast'!$C$20:$C$1181,'Incremental Network SummerFcast'!$A83,'Customer Scenario Forecast'!$H$20:$H$1181,'Incremental Network SummerFcast'!$H$1)+
SUMIFS('Customer Scenario Forecast'!E$24:E$1185,'Customer Scenario Forecast'!$D$20:$D$1181,'Incremental Network SummerFcast'!$A83,'Customer Scenario Forecast'!$H$20:$H$1181,'Incremental Network SummerFcast'!$H$1)+
SUMIFS('Customer Scenario Forecast'!E$24:E$1185,'Customer Scenario Forecast'!$E$20:$E$1181,'Incremental Network SummerFcast'!$A83,'Customer Scenario Forecast'!$H$20:$H$1181,'Incremental Network SummerFcast'!$H$1)+E85))</f>
        <v>0</v>
      </c>
      <c r="F88" s="196">
        <f ca="1">IF($H$1="",
1*(
SUMIFS('Customer Scenario Forecast'!F$24:F$1185,'Customer Scenario Forecast'!$C$20:$C$1181,'Incremental Network SummerFcast'!$A83)+
SUMIFS('Customer Scenario Forecast'!F$24:F$1185,'Customer Scenario Forecast'!$D$20:$D$1181,'Incremental Network SummerFcast'!$A83)+
SUMIFS('Customer Scenario Forecast'!F$24:F$1185,'Customer Scenario Forecast'!$E$20:$E$1181,'Incremental Network SummerFcast'!$A83)+F85),
1*(
SUMIFS('Customer Scenario Forecast'!F$24:F$1185,'Customer Scenario Forecast'!$C$20:$C$1181,'Incremental Network SummerFcast'!$A83,'Customer Scenario Forecast'!$H$20:$H$1181,'Incremental Network SummerFcast'!$H$1)+
SUMIFS('Customer Scenario Forecast'!F$24:F$1185,'Customer Scenario Forecast'!$D$20:$D$1181,'Incremental Network SummerFcast'!$A83,'Customer Scenario Forecast'!$H$20:$H$1181,'Incremental Network SummerFcast'!$H$1)+
SUMIFS('Customer Scenario Forecast'!F$24:F$1185,'Customer Scenario Forecast'!$E$20:$E$1181,'Incremental Network SummerFcast'!$A83,'Customer Scenario Forecast'!$H$20:$H$1181,'Incremental Network SummerFcast'!$H$1)+F85))</f>
        <v>0</v>
      </c>
      <c r="G88" s="196">
        <f ca="1">IF($H$1="",
1*(
SUMIFS('Customer Scenario Forecast'!G$24:G$1185,'Customer Scenario Forecast'!$C$20:$C$1181,'Incremental Network SummerFcast'!$A83)+
SUMIFS('Customer Scenario Forecast'!G$24:G$1185,'Customer Scenario Forecast'!$D$20:$D$1181,'Incremental Network SummerFcast'!$A83)+
SUMIFS('Customer Scenario Forecast'!G$24:G$1185,'Customer Scenario Forecast'!$E$20:$E$1181,'Incremental Network SummerFcast'!$A83)+G85),
1*(
SUMIFS('Customer Scenario Forecast'!G$24:G$1185,'Customer Scenario Forecast'!$C$20:$C$1181,'Incremental Network SummerFcast'!$A83,'Customer Scenario Forecast'!$H$20:$H$1181,'Incremental Network SummerFcast'!$H$1)+
SUMIFS('Customer Scenario Forecast'!G$24:G$1185,'Customer Scenario Forecast'!$D$20:$D$1181,'Incremental Network SummerFcast'!$A83,'Customer Scenario Forecast'!$H$20:$H$1181,'Incremental Network SummerFcast'!$H$1)+
SUMIFS('Customer Scenario Forecast'!G$24:G$1185,'Customer Scenario Forecast'!$E$20:$E$1181,'Incremental Network SummerFcast'!$A83,'Customer Scenario Forecast'!$H$20:$H$1181,'Incremental Network SummerFcast'!$H$1)+G85))</f>
        <v>0</v>
      </c>
      <c r="H88" s="196">
        <f ca="1">IF($H$1="",
1*(
SUMIFS('Customer Scenario Forecast'!H$24:H$1185,'Customer Scenario Forecast'!$C$20:$C$1181,'Incremental Network SummerFcast'!$A83)+
SUMIFS('Customer Scenario Forecast'!H$24:H$1185,'Customer Scenario Forecast'!$D$20:$D$1181,'Incremental Network SummerFcast'!$A83)+
SUMIFS('Customer Scenario Forecast'!H$24:H$1185,'Customer Scenario Forecast'!$E$20:$E$1181,'Incremental Network SummerFcast'!$A83)+H85),
1*(
SUMIFS('Customer Scenario Forecast'!H$24:H$1185,'Customer Scenario Forecast'!$C$20:$C$1181,'Incremental Network SummerFcast'!$A83,'Customer Scenario Forecast'!$H$20:$H$1181,'Incremental Network SummerFcast'!$H$1)+
SUMIFS('Customer Scenario Forecast'!H$24:H$1185,'Customer Scenario Forecast'!$D$20:$D$1181,'Incremental Network SummerFcast'!$A83,'Customer Scenario Forecast'!$H$20:$H$1181,'Incremental Network SummerFcast'!$H$1)+
SUMIFS('Customer Scenario Forecast'!H$24:H$1185,'Customer Scenario Forecast'!$E$20:$E$1181,'Incremental Network SummerFcast'!$A83,'Customer Scenario Forecast'!$H$20:$H$1181,'Incremental Network SummerFcast'!$H$1)+H85))</f>
        <v>0</v>
      </c>
      <c r="I88" s="196">
        <f ca="1">IF($H$1="",
1*(
SUMIFS('Customer Scenario Forecast'!I$24:I$1185,'Customer Scenario Forecast'!$C$20:$C$1181,'Incremental Network SummerFcast'!$A83)+
SUMIFS('Customer Scenario Forecast'!I$24:I$1185,'Customer Scenario Forecast'!$D$20:$D$1181,'Incremental Network SummerFcast'!$A83)+
SUMIFS('Customer Scenario Forecast'!I$24:I$1185,'Customer Scenario Forecast'!$E$20:$E$1181,'Incremental Network SummerFcast'!$A83)+I85),
1*(
SUMIFS('Customer Scenario Forecast'!I$24:I$1185,'Customer Scenario Forecast'!$C$20:$C$1181,'Incremental Network SummerFcast'!$A83,'Customer Scenario Forecast'!$H$20:$H$1181,'Incremental Network SummerFcast'!$H$1)+
SUMIFS('Customer Scenario Forecast'!I$24:I$1185,'Customer Scenario Forecast'!$D$20:$D$1181,'Incremental Network SummerFcast'!$A83,'Customer Scenario Forecast'!$H$20:$H$1181,'Incremental Network SummerFcast'!$H$1)+
SUMIFS('Customer Scenario Forecast'!I$24:I$1185,'Customer Scenario Forecast'!$E$20:$E$1181,'Incremental Network SummerFcast'!$A83,'Customer Scenario Forecast'!$H$20:$H$1181,'Incremental Network SummerFcast'!$H$1)+I85))</f>
        <v>0</v>
      </c>
      <c r="J88" s="196">
        <f ca="1">IF($H$1="",
1*(
SUMIFS('Customer Scenario Forecast'!J$24:J$1185,'Customer Scenario Forecast'!$C$20:$C$1181,'Incremental Network SummerFcast'!$A83)+
SUMIFS('Customer Scenario Forecast'!J$24:J$1185,'Customer Scenario Forecast'!$D$20:$D$1181,'Incremental Network SummerFcast'!$A83)+
SUMIFS('Customer Scenario Forecast'!J$24:J$1185,'Customer Scenario Forecast'!$E$20:$E$1181,'Incremental Network SummerFcast'!$A83)+J85),
1*(
SUMIFS('Customer Scenario Forecast'!J$24:J$1185,'Customer Scenario Forecast'!$C$20:$C$1181,'Incremental Network SummerFcast'!$A83,'Customer Scenario Forecast'!$H$20:$H$1181,'Incremental Network SummerFcast'!$H$1)+
SUMIFS('Customer Scenario Forecast'!J$24:J$1185,'Customer Scenario Forecast'!$D$20:$D$1181,'Incremental Network SummerFcast'!$A83,'Customer Scenario Forecast'!$H$20:$H$1181,'Incremental Network SummerFcast'!$H$1)+
SUMIFS('Customer Scenario Forecast'!J$24:J$1185,'Customer Scenario Forecast'!$E$20:$E$1181,'Incremental Network SummerFcast'!$A83,'Customer Scenario Forecast'!$H$20:$H$1181,'Incremental Network SummerFcast'!$H$1)+J85))</f>
        <v>0</v>
      </c>
      <c r="K88" s="196">
        <f ca="1">IF($H$1="",
1*(
SUMIFS('Customer Scenario Forecast'!K$24:K$1185,'Customer Scenario Forecast'!$C$20:$C$1181,'Incremental Network SummerFcast'!$A83)+
SUMIFS('Customer Scenario Forecast'!K$24:K$1185,'Customer Scenario Forecast'!$D$20:$D$1181,'Incremental Network SummerFcast'!$A83)+
SUMIFS('Customer Scenario Forecast'!K$24:K$1185,'Customer Scenario Forecast'!$E$20:$E$1181,'Incremental Network SummerFcast'!$A83)+K85),
1*(
SUMIFS('Customer Scenario Forecast'!K$24:K$1185,'Customer Scenario Forecast'!$C$20:$C$1181,'Incremental Network SummerFcast'!$A83,'Customer Scenario Forecast'!$H$20:$H$1181,'Incremental Network SummerFcast'!$H$1)+
SUMIFS('Customer Scenario Forecast'!K$24:K$1185,'Customer Scenario Forecast'!$D$20:$D$1181,'Incremental Network SummerFcast'!$A83,'Customer Scenario Forecast'!$H$20:$H$1181,'Incremental Network SummerFcast'!$H$1)+
SUMIFS('Customer Scenario Forecast'!K$24:K$1185,'Customer Scenario Forecast'!$E$20:$E$1181,'Incremental Network SummerFcast'!$A83,'Customer Scenario Forecast'!$H$20:$H$1181,'Incremental Network SummerFcast'!$H$1)+K85))</f>
        <v>0</v>
      </c>
      <c r="L88" s="196">
        <f ca="1">IF($H$1="",
1*(
SUMIFS('Customer Scenario Forecast'!L$24:L$1185,'Customer Scenario Forecast'!$C$20:$C$1181,'Incremental Network SummerFcast'!$A83)+
SUMIFS('Customer Scenario Forecast'!L$24:L$1185,'Customer Scenario Forecast'!$D$20:$D$1181,'Incremental Network SummerFcast'!$A83)+
SUMIFS('Customer Scenario Forecast'!L$24:L$1185,'Customer Scenario Forecast'!$E$20:$E$1181,'Incremental Network SummerFcast'!$A83)+L85),
1*(
SUMIFS('Customer Scenario Forecast'!L$24:L$1185,'Customer Scenario Forecast'!$C$20:$C$1181,'Incremental Network SummerFcast'!$A83,'Customer Scenario Forecast'!$H$20:$H$1181,'Incremental Network SummerFcast'!$H$1)+
SUMIFS('Customer Scenario Forecast'!L$24:L$1185,'Customer Scenario Forecast'!$D$20:$D$1181,'Incremental Network SummerFcast'!$A83,'Customer Scenario Forecast'!$H$20:$H$1181,'Incremental Network SummerFcast'!$H$1)+
SUMIFS('Customer Scenario Forecast'!L$24:L$1185,'Customer Scenario Forecast'!$E$20:$E$1181,'Incremental Network SummerFcast'!$A83,'Customer Scenario Forecast'!$H$20:$H$1181,'Incremental Network SummerFcast'!$H$1)+L85))</f>
        <v>0</v>
      </c>
    </row>
    <row r="89" spans="1:13" ht="15" thickBot="1">
      <c r="A89" s="197" t="s">
        <v>109</v>
      </c>
      <c r="B89" s="198">
        <f ca="1">IF($H$1="",
1*(
SUMIFS('Customer Scenario Forecast'!B$25:B$1186,'Customer Scenario Forecast'!$C$20:$C$1181,'Incremental Network SummerFcast'!$A83)+
SUMIFS('Customer Scenario Forecast'!B$25:B$1186,'Customer Scenario Forecast'!$D$20:$D$1181,'Incremental Network SummerFcast'!$A83)+
SUMIFS('Customer Scenario Forecast'!B$25:B$1186,'Customer Scenario Forecast'!$E$20:$E$1181,'Incremental Network SummerFcast'!$A83)+B85),
1*(
SUMIFS('Customer Scenario Forecast'!B$25:B$1186,'Customer Scenario Forecast'!$C$20:$C$1181,'Incremental Network SummerFcast'!$A83,'Customer Scenario Forecast'!$H$20:$H$1181,'Incremental Network SummerFcast'!$H$1)+
SUMIFS('Customer Scenario Forecast'!B$25:B$1186,'Customer Scenario Forecast'!$D$20:$D$1181,'Incremental Network SummerFcast'!$A83,'Customer Scenario Forecast'!$H$20:$H$1181,'Incremental Network SummerFcast'!$H$1)+
SUMIFS('Customer Scenario Forecast'!B$25:B$1186,'Customer Scenario Forecast'!$E$20:$E$1181,'Incremental Network SummerFcast'!$A83,'Customer Scenario Forecast'!$H$20:$H$1181,'Incremental Network SummerFcast'!$H$1)+B85))</f>
        <v>0</v>
      </c>
      <c r="C89" s="198">
        <f ca="1">IF($H$1="",
1*(
SUMIFS('Customer Scenario Forecast'!C$25:C$1186,'Customer Scenario Forecast'!$C$20:$C$1181,'Incremental Network SummerFcast'!$A83)+
SUMIFS('Customer Scenario Forecast'!C$25:C$1186,'Customer Scenario Forecast'!$D$20:$D$1181,'Incremental Network SummerFcast'!$A83)+
SUMIFS('Customer Scenario Forecast'!C$25:C$1186,'Customer Scenario Forecast'!$E$20:$E$1181,'Incremental Network SummerFcast'!$A83)+C85),
1*(
SUMIFS('Customer Scenario Forecast'!C$25:C$1186,'Customer Scenario Forecast'!$C$20:$C$1181,'Incremental Network SummerFcast'!$A83,'Customer Scenario Forecast'!$H$20:$H$1181,'Incremental Network SummerFcast'!$H$1)+
SUMIFS('Customer Scenario Forecast'!C$25:C$1186,'Customer Scenario Forecast'!$D$20:$D$1181,'Incremental Network SummerFcast'!$A83,'Customer Scenario Forecast'!$H$20:$H$1181,'Incremental Network SummerFcast'!$H$1)+
SUMIFS('Customer Scenario Forecast'!C$25:C$1186,'Customer Scenario Forecast'!$E$20:$E$1181,'Incremental Network SummerFcast'!$A83,'Customer Scenario Forecast'!$H$20:$H$1181,'Incremental Network SummerFcast'!$H$1)+C85))</f>
        <v>0</v>
      </c>
      <c r="D89" s="198">
        <f ca="1">IF($H$1="",
1*(
SUMIFS('Customer Scenario Forecast'!D$25:D$1186,'Customer Scenario Forecast'!$C$20:$C$1181,'Incremental Network SummerFcast'!$A83)+
SUMIFS('Customer Scenario Forecast'!D$25:D$1186,'Customer Scenario Forecast'!$D$20:$D$1181,'Incremental Network SummerFcast'!$A83)+
SUMIFS('Customer Scenario Forecast'!D$25:D$1186,'Customer Scenario Forecast'!$E$20:$E$1181,'Incremental Network SummerFcast'!$A83)+D85),
1*(
SUMIFS('Customer Scenario Forecast'!D$25:D$1186,'Customer Scenario Forecast'!$C$20:$C$1181,'Incremental Network SummerFcast'!$A83,'Customer Scenario Forecast'!$H$20:$H$1181,'Incremental Network SummerFcast'!$H$1)+
SUMIFS('Customer Scenario Forecast'!D$25:D$1186,'Customer Scenario Forecast'!$D$20:$D$1181,'Incremental Network SummerFcast'!$A83,'Customer Scenario Forecast'!$H$20:$H$1181,'Incremental Network SummerFcast'!$H$1)+
SUMIFS('Customer Scenario Forecast'!D$25:D$1186,'Customer Scenario Forecast'!$E$20:$E$1181,'Incremental Network SummerFcast'!$A83,'Customer Scenario Forecast'!$H$20:$H$1181,'Incremental Network SummerFcast'!$H$1)+D85))</f>
        <v>0</v>
      </c>
      <c r="E89" s="198">
        <f ca="1">IF($H$1="",
1*(
SUMIFS('Customer Scenario Forecast'!E$25:E$1186,'Customer Scenario Forecast'!$C$20:$C$1181,'Incremental Network SummerFcast'!$A83)+
SUMIFS('Customer Scenario Forecast'!E$25:E$1186,'Customer Scenario Forecast'!$D$20:$D$1181,'Incremental Network SummerFcast'!$A83)+
SUMIFS('Customer Scenario Forecast'!E$25:E$1186,'Customer Scenario Forecast'!$E$20:$E$1181,'Incremental Network SummerFcast'!$A83)+E85),
1*(
SUMIFS('Customer Scenario Forecast'!E$25:E$1186,'Customer Scenario Forecast'!$C$20:$C$1181,'Incremental Network SummerFcast'!$A83,'Customer Scenario Forecast'!$H$20:$H$1181,'Incremental Network SummerFcast'!$H$1)+
SUMIFS('Customer Scenario Forecast'!E$25:E$1186,'Customer Scenario Forecast'!$D$20:$D$1181,'Incremental Network SummerFcast'!$A83,'Customer Scenario Forecast'!$H$20:$H$1181,'Incremental Network SummerFcast'!$H$1)+
SUMIFS('Customer Scenario Forecast'!E$25:E$1186,'Customer Scenario Forecast'!$E$20:$E$1181,'Incremental Network SummerFcast'!$A83,'Customer Scenario Forecast'!$H$20:$H$1181,'Incremental Network SummerFcast'!$H$1)+E85))</f>
        <v>0</v>
      </c>
      <c r="F89" s="198">
        <f ca="1">IF($H$1="",
1*(
SUMIFS('Customer Scenario Forecast'!F$25:F$1186,'Customer Scenario Forecast'!$C$20:$C$1181,'Incremental Network SummerFcast'!$A83)+
SUMIFS('Customer Scenario Forecast'!F$25:F$1186,'Customer Scenario Forecast'!$D$20:$D$1181,'Incremental Network SummerFcast'!$A83)+
SUMIFS('Customer Scenario Forecast'!F$25:F$1186,'Customer Scenario Forecast'!$E$20:$E$1181,'Incremental Network SummerFcast'!$A83)+F85),
1*(
SUMIFS('Customer Scenario Forecast'!F$25:F$1186,'Customer Scenario Forecast'!$C$20:$C$1181,'Incremental Network SummerFcast'!$A83,'Customer Scenario Forecast'!$H$20:$H$1181,'Incremental Network SummerFcast'!$H$1)+
SUMIFS('Customer Scenario Forecast'!F$25:F$1186,'Customer Scenario Forecast'!$D$20:$D$1181,'Incremental Network SummerFcast'!$A83,'Customer Scenario Forecast'!$H$20:$H$1181,'Incremental Network SummerFcast'!$H$1)+
SUMIFS('Customer Scenario Forecast'!F$25:F$1186,'Customer Scenario Forecast'!$E$20:$E$1181,'Incremental Network SummerFcast'!$A83,'Customer Scenario Forecast'!$H$20:$H$1181,'Incremental Network SummerFcast'!$H$1)+F85))</f>
        <v>0</v>
      </c>
      <c r="G89" s="198">
        <f ca="1">IF($H$1="",
1*(
SUMIFS('Customer Scenario Forecast'!G$25:G$1186,'Customer Scenario Forecast'!$C$20:$C$1181,'Incremental Network SummerFcast'!$A83)+
SUMIFS('Customer Scenario Forecast'!G$25:G$1186,'Customer Scenario Forecast'!$D$20:$D$1181,'Incremental Network SummerFcast'!$A83)+
SUMIFS('Customer Scenario Forecast'!G$25:G$1186,'Customer Scenario Forecast'!$E$20:$E$1181,'Incremental Network SummerFcast'!$A83)+G85),
1*(
SUMIFS('Customer Scenario Forecast'!G$25:G$1186,'Customer Scenario Forecast'!$C$20:$C$1181,'Incremental Network SummerFcast'!$A83,'Customer Scenario Forecast'!$H$20:$H$1181,'Incremental Network SummerFcast'!$H$1)+
SUMIFS('Customer Scenario Forecast'!G$25:G$1186,'Customer Scenario Forecast'!$D$20:$D$1181,'Incremental Network SummerFcast'!$A83,'Customer Scenario Forecast'!$H$20:$H$1181,'Incremental Network SummerFcast'!$H$1)+
SUMIFS('Customer Scenario Forecast'!G$25:G$1186,'Customer Scenario Forecast'!$E$20:$E$1181,'Incremental Network SummerFcast'!$A83,'Customer Scenario Forecast'!$H$20:$H$1181,'Incremental Network SummerFcast'!$H$1)+G85))</f>
        <v>0</v>
      </c>
      <c r="H89" s="198">
        <f ca="1">IF($H$1="",
1*(
SUMIFS('Customer Scenario Forecast'!H$25:H$1186,'Customer Scenario Forecast'!$C$20:$C$1181,'Incremental Network SummerFcast'!$A83)+
SUMIFS('Customer Scenario Forecast'!H$25:H$1186,'Customer Scenario Forecast'!$D$20:$D$1181,'Incremental Network SummerFcast'!$A83)+
SUMIFS('Customer Scenario Forecast'!H$25:H$1186,'Customer Scenario Forecast'!$E$20:$E$1181,'Incremental Network SummerFcast'!$A83)+H85),
1*(
SUMIFS('Customer Scenario Forecast'!H$25:H$1186,'Customer Scenario Forecast'!$C$20:$C$1181,'Incremental Network SummerFcast'!$A83,'Customer Scenario Forecast'!$H$20:$H$1181,'Incremental Network SummerFcast'!$H$1)+
SUMIFS('Customer Scenario Forecast'!H$25:H$1186,'Customer Scenario Forecast'!$D$20:$D$1181,'Incremental Network SummerFcast'!$A83,'Customer Scenario Forecast'!$H$20:$H$1181,'Incremental Network SummerFcast'!$H$1)+
SUMIFS('Customer Scenario Forecast'!H$25:H$1186,'Customer Scenario Forecast'!$E$20:$E$1181,'Incremental Network SummerFcast'!$A83,'Customer Scenario Forecast'!$H$20:$H$1181,'Incremental Network SummerFcast'!$H$1)+H85))</f>
        <v>0</v>
      </c>
      <c r="I89" s="198">
        <f ca="1">IF($H$1="",
1*(
SUMIFS('Customer Scenario Forecast'!I$25:I$1186,'Customer Scenario Forecast'!$C$20:$C$1181,'Incremental Network SummerFcast'!$A83)+
SUMIFS('Customer Scenario Forecast'!I$25:I$1186,'Customer Scenario Forecast'!$D$20:$D$1181,'Incremental Network SummerFcast'!$A83)+
SUMIFS('Customer Scenario Forecast'!I$25:I$1186,'Customer Scenario Forecast'!$E$20:$E$1181,'Incremental Network SummerFcast'!$A83)+I85),
1*(
SUMIFS('Customer Scenario Forecast'!I$25:I$1186,'Customer Scenario Forecast'!$C$20:$C$1181,'Incremental Network SummerFcast'!$A83,'Customer Scenario Forecast'!$H$20:$H$1181,'Incremental Network SummerFcast'!$H$1)+
SUMIFS('Customer Scenario Forecast'!I$25:I$1186,'Customer Scenario Forecast'!$D$20:$D$1181,'Incremental Network SummerFcast'!$A83,'Customer Scenario Forecast'!$H$20:$H$1181,'Incremental Network SummerFcast'!$H$1)+
SUMIFS('Customer Scenario Forecast'!I$25:I$1186,'Customer Scenario Forecast'!$E$20:$E$1181,'Incremental Network SummerFcast'!$A83,'Customer Scenario Forecast'!$H$20:$H$1181,'Incremental Network SummerFcast'!$H$1)+I85))</f>
        <v>0</v>
      </c>
      <c r="J89" s="198">
        <f ca="1">IF($H$1="",
1*(
SUMIFS('Customer Scenario Forecast'!J$25:J$1186,'Customer Scenario Forecast'!$C$20:$C$1181,'Incremental Network SummerFcast'!$A83)+
SUMIFS('Customer Scenario Forecast'!J$25:J$1186,'Customer Scenario Forecast'!$D$20:$D$1181,'Incremental Network SummerFcast'!$A83)+
SUMIFS('Customer Scenario Forecast'!J$25:J$1186,'Customer Scenario Forecast'!$E$20:$E$1181,'Incremental Network SummerFcast'!$A83)+J85),
1*(
SUMIFS('Customer Scenario Forecast'!J$25:J$1186,'Customer Scenario Forecast'!$C$20:$C$1181,'Incremental Network SummerFcast'!$A83,'Customer Scenario Forecast'!$H$20:$H$1181,'Incremental Network SummerFcast'!$H$1)+
SUMIFS('Customer Scenario Forecast'!J$25:J$1186,'Customer Scenario Forecast'!$D$20:$D$1181,'Incremental Network SummerFcast'!$A83,'Customer Scenario Forecast'!$H$20:$H$1181,'Incremental Network SummerFcast'!$H$1)+
SUMIFS('Customer Scenario Forecast'!J$25:J$1186,'Customer Scenario Forecast'!$E$20:$E$1181,'Incremental Network SummerFcast'!$A83,'Customer Scenario Forecast'!$H$20:$H$1181,'Incremental Network SummerFcast'!$H$1)+J85))</f>
        <v>0</v>
      </c>
      <c r="K89" s="198">
        <f ca="1">IF($H$1="",
1*(
SUMIFS('Customer Scenario Forecast'!K$25:K$1186,'Customer Scenario Forecast'!$C$20:$C$1181,'Incremental Network SummerFcast'!$A83)+
SUMIFS('Customer Scenario Forecast'!K$25:K$1186,'Customer Scenario Forecast'!$D$20:$D$1181,'Incremental Network SummerFcast'!$A83)+
SUMIFS('Customer Scenario Forecast'!K$25:K$1186,'Customer Scenario Forecast'!$E$20:$E$1181,'Incremental Network SummerFcast'!$A83)+K85),
1*(
SUMIFS('Customer Scenario Forecast'!K$25:K$1186,'Customer Scenario Forecast'!$C$20:$C$1181,'Incremental Network SummerFcast'!$A83,'Customer Scenario Forecast'!$H$20:$H$1181,'Incremental Network SummerFcast'!$H$1)+
SUMIFS('Customer Scenario Forecast'!K$25:K$1186,'Customer Scenario Forecast'!$D$20:$D$1181,'Incremental Network SummerFcast'!$A83,'Customer Scenario Forecast'!$H$20:$H$1181,'Incremental Network SummerFcast'!$H$1)+
SUMIFS('Customer Scenario Forecast'!K$25:K$1186,'Customer Scenario Forecast'!$E$20:$E$1181,'Incremental Network SummerFcast'!$A83,'Customer Scenario Forecast'!$H$20:$H$1181,'Incremental Network SummerFcast'!$H$1)+K85))</f>
        <v>0</v>
      </c>
      <c r="L89" s="198">
        <f ca="1">IF($H$1="",
1*(
SUMIFS('Customer Scenario Forecast'!L$25:L$1186,'Customer Scenario Forecast'!$C$20:$C$1181,'Incremental Network SummerFcast'!$A83)+
SUMIFS('Customer Scenario Forecast'!L$25:L$1186,'Customer Scenario Forecast'!$D$20:$D$1181,'Incremental Network SummerFcast'!$A83)+
SUMIFS('Customer Scenario Forecast'!L$25:L$1186,'Customer Scenario Forecast'!$E$20:$E$1181,'Incremental Network SummerFcast'!$A83)+L85),
1*(
SUMIFS('Customer Scenario Forecast'!L$25:L$1186,'Customer Scenario Forecast'!$C$20:$C$1181,'Incremental Network SummerFcast'!$A83,'Customer Scenario Forecast'!$H$20:$H$1181,'Incremental Network SummerFcast'!$H$1)+
SUMIFS('Customer Scenario Forecast'!L$25:L$1186,'Customer Scenario Forecast'!$D$20:$D$1181,'Incremental Network SummerFcast'!$A83,'Customer Scenario Forecast'!$H$20:$H$1181,'Incremental Network SummerFcast'!$H$1)+
SUMIFS('Customer Scenario Forecast'!L$25:L$1186,'Customer Scenario Forecast'!$E$20:$E$1181,'Incremental Network SummerFcast'!$A83,'Customer Scenario Forecast'!$H$20:$H$1181,'Incremental Network SummerFcast'!$H$1)+L85))</f>
        <v>0</v>
      </c>
    </row>
    <row r="90" spans="1:13" ht="15.6" thickTop="1" thickBot="1">
      <c r="A90" s="197" t="s">
        <v>148</v>
      </c>
      <c r="B90" s="198">
        <f ca="1">'Incremental Network SummerFcast'!$B$245*B87+'Incremental Network SummerFcast'!$B$246*B88+'Incremental Network SummerFcast'!$B$247*B89</f>
        <v>0</v>
      </c>
      <c r="C90" s="198">
        <f ca="1">'Incremental Network SummerFcast'!$B$245*C87+'Incremental Network SummerFcast'!$B$246*C88+'Incremental Network SummerFcast'!$B$247*C89</f>
        <v>0</v>
      </c>
      <c r="D90" s="198">
        <f ca="1">'Incremental Network SummerFcast'!$B$245*D87+'Incremental Network SummerFcast'!$B$246*D88+'Incremental Network SummerFcast'!$B$247*D89</f>
        <v>0</v>
      </c>
      <c r="E90" s="198">
        <f ca="1">'Incremental Network SummerFcast'!$B$245*E87+'Incremental Network SummerFcast'!$B$246*E88+'Incremental Network SummerFcast'!$B$247*E89</f>
        <v>0</v>
      </c>
      <c r="F90" s="198">
        <f ca="1">'Incremental Network SummerFcast'!$B$245*F87+'Incremental Network SummerFcast'!$B$246*F88+'Incremental Network SummerFcast'!$B$247*F89</f>
        <v>0</v>
      </c>
      <c r="G90" s="198">
        <f ca="1">'Incremental Network SummerFcast'!$B$245*G87+'Incremental Network SummerFcast'!$B$246*G88+'Incremental Network SummerFcast'!$B$247*G89</f>
        <v>0</v>
      </c>
      <c r="H90" s="198">
        <f ca="1">'Incremental Network SummerFcast'!$B$245*H87+'Incremental Network SummerFcast'!$B$246*H88+'Incremental Network SummerFcast'!$B$247*H89</f>
        <v>0</v>
      </c>
      <c r="I90" s="198">
        <f ca="1">'Incremental Network SummerFcast'!$B$245*I87+'Incremental Network SummerFcast'!$B$246*I88+'Incremental Network SummerFcast'!$B$247*I89</f>
        <v>0</v>
      </c>
      <c r="J90" s="198">
        <f ca="1">'Incremental Network SummerFcast'!$B$245*J87+'Incremental Network SummerFcast'!$B$246*J88+'Incremental Network SummerFcast'!$B$247*J89</f>
        <v>0</v>
      </c>
      <c r="K90" s="198">
        <f ca="1">'Incremental Network SummerFcast'!$B$245*K87+'Incremental Network SummerFcast'!$B$246*K88+'Incremental Network SummerFcast'!$B$247*K89</f>
        <v>0</v>
      </c>
      <c r="L90" s="198">
        <f ca="1">'Incremental Network SummerFcast'!$B$245*L87+'Incremental Network SummerFcast'!$B$246*L88+'Incremental Network SummerFcast'!$B$247*L89</f>
        <v>0</v>
      </c>
    </row>
    <row r="91" spans="1:13" ht="15.6" thickTop="1" thickBot="1">
      <c r="A91" s="187" t="s">
        <v>116</v>
      </c>
      <c r="B91" s="216"/>
      <c r="C91" s="190"/>
      <c r="D91" s="190"/>
      <c r="E91" s="190"/>
      <c r="F91" s="190"/>
      <c r="G91" s="190"/>
      <c r="H91" s="190"/>
      <c r="I91" s="190"/>
      <c r="J91" s="190"/>
      <c r="K91" s="190"/>
      <c r="L91" s="190"/>
    </row>
    <row r="92" spans="1:13" ht="15" thickBot="1">
      <c r="A92" s="191" t="str">
        <f>A84</f>
        <v>Uptake Scenario</v>
      </c>
      <c r="B92" s="191">
        <f t="shared" ref="B92:L92" si="11">B84</f>
        <v>2023</v>
      </c>
      <c r="C92" s="191">
        <f t="shared" si="11"/>
        <v>2024</v>
      </c>
      <c r="D92" s="191">
        <f t="shared" si="11"/>
        <v>2025</v>
      </c>
      <c r="E92" s="191">
        <f t="shared" si="11"/>
        <v>2026</v>
      </c>
      <c r="F92" s="191">
        <f t="shared" si="11"/>
        <v>2027</v>
      </c>
      <c r="G92" s="191">
        <f t="shared" si="11"/>
        <v>2028</v>
      </c>
      <c r="H92" s="191">
        <f t="shared" si="11"/>
        <v>2029</v>
      </c>
      <c r="I92" s="191">
        <f t="shared" si="11"/>
        <v>2030</v>
      </c>
      <c r="J92" s="191">
        <f t="shared" si="11"/>
        <v>2031</v>
      </c>
      <c r="K92" s="191">
        <f t="shared" si="11"/>
        <v>2032</v>
      </c>
      <c r="L92" s="191">
        <f t="shared" si="11"/>
        <v>2033</v>
      </c>
    </row>
    <row r="93" spans="1:13" ht="15.6" thickTop="1" thickBot="1">
      <c r="A93" s="193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37"/>
    </row>
    <row r="94" spans="1:13" ht="15" thickBot="1">
      <c r="A94" s="193" t="s">
        <v>111</v>
      </c>
      <c r="B94" s="194">
        <f ca="1">IF($H$1="",
SUMIFS('Customer Scenario Forecast'!B$22:B$1183,'Customer Scenario Forecast'!$C$20:$C$1181,'Incremental Network SummerFcast'!$A91)+
SUMIFS('Customer Scenario Forecast'!B$22:B$1183,'Customer Scenario Forecast'!$D$20:$D$1181,'Incremental Network SummerFcast'!$A91)+
SUMIFS('Customer Scenario Forecast'!B$22:B$1183,'Customer Scenario Forecast'!$E$20:$E$1181,'Incremental Network SummerFcast'!$A91),
SUMIFS('Customer Scenario Forecast'!B$22:B$1183,'Customer Scenario Forecast'!$C$20:$C$1181,'Incremental Network SummerFcast'!$A91,'Customer Scenario Forecast'!$H$20:$H$1181,'Incremental Network SummerFcast'!$H$1)+
SUMIFS('Customer Scenario Forecast'!B$22:B$1183,'Customer Scenario Forecast'!$D$20:$D$1181,'Incremental Network SummerFcast'!$A91,'Customer Scenario Forecast'!$H$20:$H$1181,'Incremental Network SummerFcast'!$H$1)+
SUMIFS('Customer Scenario Forecast'!B$22:B$1183,'Customer Scenario Forecast'!$E$20:$E$1181,'Incremental Network SummerFcast'!$A91,'Customer Scenario Forecast'!$H$20:$H$1181,'Incremental Network SummerFcast'!$H$1))</f>
        <v>0</v>
      </c>
      <c r="C94" s="194">
        <f ca="1">IF($H$1="",
SUMIFS('Customer Scenario Forecast'!C$22:C$1183,'Customer Scenario Forecast'!$C$20:$C$1181,'Incremental Network SummerFcast'!$A91)+
SUMIFS('Customer Scenario Forecast'!C$22:C$1183,'Customer Scenario Forecast'!$D$20:$D$1181,'Incremental Network SummerFcast'!$A91)+
SUMIFS('Customer Scenario Forecast'!C$22:C$1183,'Customer Scenario Forecast'!$E$20:$E$1181,'Incremental Network SummerFcast'!$A91),
SUMIFS('Customer Scenario Forecast'!C$22:C$1183,'Customer Scenario Forecast'!$C$20:$C$1181,'Incremental Network SummerFcast'!$A91,'Customer Scenario Forecast'!$H$20:$H$1181,'Incremental Network SummerFcast'!$H$1)+
SUMIFS('Customer Scenario Forecast'!C$22:C$1183,'Customer Scenario Forecast'!$D$20:$D$1181,'Incremental Network SummerFcast'!$A91,'Customer Scenario Forecast'!$H$20:$H$1181,'Incremental Network SummerFcast'!$H$1)+
SUMIFS('Customer Scenario Forecast'!C$22:C$1183,'Customer Scenario Forecast'!$E$20:$E$1181,'Incremental Network SummerFcast'!$A91,'Customer Scenario Forecast'!$H$20:$H$1181,'Incremental Network SummerFcast'!$H$1))</f>
        <v>0</v>
      </c>
      <c r="D94" s="194">
        <f ca="1">IF($H$1="",
SUMIFS('Customer Scenario Forecast'!D$22:D$1183,'Customer Scenario Forecast'!$C$20:$C$1181,'Incremental Network SummerFcast'!$A91)+
SUMIFS('Customer Scenario Forecast'!D$22:D$1183,'Customer Scenario Forecast'!$D$20:$D$1181,'Incremental Network SummerFcast'!$A91)+
SUMIFS('Customer Scenario Forecast'!D$22:D$1183,'Customer Scenario Forecast'!$E$20:$E$1181,'Incremental Network SummerFcast'!$A91),
SUMIFS('Customer Scenario Forecast'!D$22:D$1183,'Customer Scenario Forecast'!$C$20:$C$1181,'Incremental Network SummerFcast'!$A91,'Customer Scenario Forecast'!$H$20:$H$1181,'Incremental Network SummerFcast'!$H$1)+
SUMIFS('Customer Scenario Forecast'!D$22:D$1183,'Customer Scenario Forecast'!$D$20:$D$1181,'Incremental Network SummerFcast'!$A91,'Customer Scenario Forecast'!$H$20:$H$1181,'Incremental Network SummerFcast'!$H$1)+
SUMIFS('Customer Scenario Forecast'!D$22:D$1183,'Customer Scenario Forecast'!$E$20:$E$1181,'Incremental Network SummerFcast'!$A91,'Customer Scenario Forecast'!$H$20:$H$1181,'Incremental Network SummerFcast'!$H$1))</f>
        <v>6</v>
      </c>
      <c r="E94" s="194">
        <f ca="1">IF($H$1="",
SUMIFS('Customer Scenario Forecast'!E$22:E$1183,'Customer Scenario Forecast'!$C$20:$C$1181,'Incremental Network SummerFcast'!$A91)+
SUMIFS('Customer Scenario Forecast'!E$22:E$1183,'Customer Scenario Forecast'!$D$20:$D$1181,'Incremental Network SummerFcast'!$A91)+
SUMIFS('Customer Scenario Forecast'!E$22:E$1183,'Customer Scenario Forecast'!$E$20:$E$1181,'Incremental Network SummerFcast'!$A91),
SUMIFS('Customer Scenario Forecast'!E$22:E$1183,'Customer Scenario Forecast'!$C$20:$C$1181,'Incremental Network SummerFcast'!$A91,'Customer Scenario Forecast'!$H$20:$H$1181,'Incremental Network SummerFcast'!$H$1)+
SUMIFS('Customer Scenario Forecast'!E$22:E$1183,'Customer Scenario Forecast'!$D$20:$D$1181,'Incremental Network SummerFcast'!$A91,'Customer Scenario Forecast'!$H$20:$H$1181,'Incremental Network SummerFcast'!$H$1)+
SUMIFS('Customer Scenario Forecast'!E$22:E$1183,'Customer Scenario Forecast'!$E$20:$E$1181,'Incremental Network SummerFcast'!$A91,'Customer Scenario Forecast'!$H$20:$H$1181,'Incremental Network SummerFcast'!$H$1))</f>
        <v>20</v>
      </c>
      <c r="F94" s="194">
        <f ca="1">IF($H$1="",
SUMIFS('Customer Scenario Forecast'!F$22:F$1183,'Customer Scenario Forecast'!$C$20:$C$1181,'Incremental Network SummerFcast'!$A91)+
SUMIFS('Customer Scenario Forecast'!F$22:F$1183,'Customer Scenario Forecast'!$D$20:$D$1181,'Incremental Network SummerFcast'!$A91)+
SUMIFS('Customer Scenario Forecast'!F$22:F$1183,'Customer Scenario Forecast'!$E$20:$E$1181,'Incremental Network SummerFcast'!$A91),
SUMIFS('Customer Scenario Forecast'!F$22:F$1183,'Customer Scenario Forecast'!$C$20:$C$1181,'Incremental Network SummerFcast'!$A91,'Customer Scenario Forecast'!$H$20:$H$1181,'Incremental Network SummerFcast'!$H$1)+
SUMIFS('Customer Scenario Forecast'!F$22:F$1183,'Customer Scenario Forecast'!$D$20:$D$1181,'Incremental Network SummerFcast'!$A91,'Customer Scenario Forecast'!$H$20:$H$1181,'Incremental Network SummerFcast'!$H$1)+
SUMIFS('Customer Scenario Forecast'!F$22:F$1183,'Customer Scenario Forecast'!$E$20:$E$1181,'Incremental Network SummerFcast'!$A91,'Customer Scenario Forecast'!$H$20:$H$1181,'Incremental Network SummerFcast'!$H$1))</f>
        <v>20</v>
      </c>
      <c r="G94" s="194">
        <f ca="1">IF($H$1="",
SUMIFS('Customer Scenario Forecast'!G$22:G$1183,'Customer Scenario Forecast'!$C$20:$C$1181,'Incremental Network SummerFcast'!$A91)+
SUMIFS('Customer Scenario Forecast'!G$22:G$1183,'Customer Scenario Forecast'!$D$20:$D$1181,'Incremental Network SummerFcast'!$A91)+
SUMIFS('Customer Scenario Forecast'!G$22:G$1183,'Customer Scenario Forecast'!$E$20:$E$1181,'Incremental Network SummerFcast'!$A91),
SUMIFS('Customer Scenario Forecast'!G$22:G$1183,'Customer Scenario Forecast'!$C$20:$C$1181,'Incremental Network SummerFcast'!$A91,'Customer Scenario Forecast'!$H$20:$H$1181,'Incremental Network SummerFcast'!$H$1)+
SUMIFS('Customer Scenario Forecast'!G$22:G$1183,'Customer Scenario Forecast'!$D$20:$D$1181,'Incremental Network SummerFcast'!$A91,'Customer Scenario Forecast'!$H$20:$H$1181,'Incremental Network SummerFcast'!$H$1)+
SUMIFS('Customer Scenario Forecast'!G$22:G$1183,'Customer Scenario Forecast'!$E$20:$E$1181,'Incremental Network SummerFcast'!$A91,'Customer Scenario Forecast'!$H$20:$H$1181,'Incremental Network SummerFcast'!$H$1))</f>
        <v>20</v>
      </c>
      <c r="H94" s="194">
        <f ca="1">IF($H$1="",
SUMIFS('Customer Scenario Forecast'!H$22:H$1183,'Customer Scenario Forecast'!$C$20:$C$1181,'Incremental Network SummerFcast'!$A91)+
SUMIFS('Customer Scenario Forecast'!H$22:H$1183,'Customer Scenario Forecast'!$D$20:$D$1181,'Incremental Network SummerFcast'!$A91)+
SUMIFS('Customer Scenario Forecast'!H$22:H$1183,'Customer Scenario Forecast'!$E$20:$E$1181,'Incremental Network SummerFcast'!$A91),
SUMIFS('Customer Scenario Forecast'!H$22:H$1183,'Customer Scenario Forecast'!$C$20:$C$1181,'Incremental Network SummerFcast'!$A91,'Customer Scenario Forecast'!$H$20:$H$1181,'Incremental Network SummerFcast'!$H$1)+
SUMIFS('Customer Scenario Forecast'!H$22:H$1183,'Customer Scenario Forecast'!$D$20:$D$1181,'Incremental Network SummerFcast'!$A91,'Customer Scenario Forecast'!$H$20:$H$1181,'Incremental Network SummerFcast'!$H$1)+
SUMIFS('Customer Scenario Forecast'!H$22:H$1183,'Customer Scenario Forecast'!$E$20:$E$1181,'Incremental Network SummerFcast'!$A91,'Customer Scenario Forecast'!$H$20:$H$1181,'Incremental Network SummerFcast'!$H$1))</f>
        <v>20</v>
      </c>
      <c r="I94" s="194">
        <f ca="1">IF($H$1="",
SUMIFS('Customer Scenario Forecast'!I$22:I$1183,'Customer Scenario Forecast'!$C$20:$C$1181,'Incremental Network SummerFcast'!$A91)+
SUMIFS('Customer Scenario Forecast'!I$22:I$1183,'Customer Scenario Forecast'!$D$20:$D$1181,'Incremental Network SummerFcast'!$A91)+
SUMIFS('Customer Scenario Forecast'!I$22:I$1183,'Customer Scenario Forecast'!$E$20:$E$1181,'Incremental Network SummerFcast'!$A91),
SUMIFS('Customer Scenario Forecast'!I$22:I$1183,'Customer Scenario Forecast'!$C$20:$C$1181,'Incremental Network SummerFcast'!$A91,'Customer Scenario Forecast'!$H$20:$H$1181,'Incremental Network SummerFcast'!$H$1)+
SUMIFS('Customer Scenario Forecast'!I$22:I$1183,'Customer Scenario Forecast'!$D$20:$D$1181,'Incremental Network SummerFcast'!$A91,'Customer Scenario Forecast'!$H$20:$H$1181,'Incremental Network SummerFcast'!$H$1)+
SUMIFS('Customer Scenario Forecast'!I$22:I$1183,'Customer Scenario Forecast'!$E$20:$E$1181,'Incremental Network SummerFcast'!$A91,'Customer Scenario Forecast'!$H$20:$H$1181,'Incremental Network SummerFcast'!$H$1))</f>
        <v>20</v>
      </c>
      <c r="J94" s="194">
        <f ca="1">IF($H$1="",
SUMIFS('Customer Scenario Forecast'!J$22:J$1183,'Customer Scenario Forecast'!$C$20:$C$1181,'Incremental Network SummerFcast'!$A91)+
SUMIFS('Customer Scenario Forecast'!J$22:J$1183,'Customer Scenario Forecast'!$D$20:$D$1181,'Incremental Network SummerFcast'!$A91)+
SUMIFS('Customer Scenario Forecast'!J$22:J$1183,'Customer Scenario Forecast'!$E$20:$E$1181,'Incremental Network SummerFcast'!$A91),
SUMIFS('Customer Scenario Forecast'!J$22:J$1183,'Customer Scenario Forecast'!$C$20:$C$1181,'Incremental Network SummerFcast'!$A91,'Customer Scenario Forecast'!$H$20:$H$1181,'Incremental Network SummerFcast'!$H$1)+
SUMIFS('Customer Scenario Forecast'!J$22:J$1183,'Customer Scenario Forecast'!$D$20:$D$1181,'Incremental Network SummerFcast'!$A91,'Customer Scenario Forecast'!$H$20:$H$1181,'Incremental Network SummerFcast'!$H$1)+
SUMIFS('Customer Scenario Forecast'!J$22:J$1183,'Customer Scenario Forecast'!$E$20:$E$1181,'Incremental Network SummerFcast'!$A91,'Customer Scenario Forecast'!$H$20:$H$1181,'Incremental Network SummerFcast'!$H$1))</f>
        <v>20</v>
      </c>
      <c r="K94" s="194">
        <f ca="1">IF($H$1="",
SUMIFS('Customer Scenario Forecast'!K$22:K$1183,'Customer Scenario Forecast'!$C$20:$C$1181,'Incremental Network SummerFcast'!$A91)+
SUMIFS('Customer Scenario Forecast'!K$22:K$1183,'Customer Scenario Forecast'!$D$20:$D$1181,'Incremental Network SummerFcast'!$A91)+
SUMIFS('Customer Scenario Forecast'!K$22:K$1183,'Customer Scenario Forecast'!$E$20:$E$1181,'Incremental Network SummerFcast'!$A91),
SUMIFS('Customer Scenario Forecast'!K$22:K$1183,'Customer Scenario Forecast'!$C$20:$C$1181,'Incremental Network SummerFcast'!$A91,'Customer Scenario Forecast'!$H$20:$H$1181,'Incremental Network SummerFcast'!$H$1)+
SUMIFS('Customer Scenario Forecast'!K$22:K$1183,'Customer Scenario Forecast'!$D$20:$D$1181,'Incremental Network SummerFcast'!$A91,'Customer Scenario Forecast'!$H$20:$H$1181,'Incremental Network SummerFcast'!$H$1)+
SUMIFS('Customer Scenario Forecast'!K$22:K$1183,'Customer Scenario Forecast'!$E$20:$E$1181,'Incremental Network SummerFcast'!$A91,'Customer Scenario Forecast'!$H$20:$H$1181,'Incremental Network SummerFcast'!$H$1))</f>
        <v>20</v>
      </c>
      <c r="L94" s="194">
        <f ca="1">IF($H$1="",
SUMIFS('Customer Scenario Forecast'!L$22:L$1183,'Customer Scenario Forecast'!$C$20:$C$1181,'Incremental Network SummerFcast'!$A91)+
SUMIFS('Customer Scenario Forecast'!L$22:L$1183,'Customer Scenario Forecast'!$D$20:$D$1181,'Incremental Network SummerFcast'!$A91)+
SUMIFS('Customer Scenario Forecast'!L$22:L$1183,'Customer Scenario Forecast'!$E$20:$E$1181,'Incremental Network SummerFcast'!$A91),
SUMIFS('Customer Scenario Forecast'!L$22:L$1183,'Customer Scenario Forecast'!$C$20:$C$1181,'Incremental Network SummerFcast'!$A91,'Customer Scenario Forecast'!$H$20:$H$1181,'Incremental Network SummerFcast'!$H$1)+
SUMIFS('Customer Scenario Forecast'!L$22:L$1183,'Customer Scenario Forecast'!$D$20:$D$1181,'Incremental Network SummerFcast'!$A91,'Customer Scenario Forecast'!$H$20:$H$1181,'Incremental Network SummerFcast'!$H$1)+
SUMIFS('Customer Scenario Forecast'!L$22:L$1183,'Customer Scenario Forecast'!$E$20:$E$1181,'Incremental Network SummerFcast'!$A91,'Customer Scenario Forecast'!$H$20:$H$1181,'Incremental Network SummerFcast'!$H$1))</f>
        <v>20</v>
      </c>
      <c r="M94" s="37"/>
    </row>
    <row r="95" spans="1:13" ht="15" thickBot="1">
      <c r="A95" s="195" t="s">
        <v>107</v>
      </c>
      <c r="B95" s="196">
        <f ca="1">IF($H$1="",
1*(
SUMIFS('Customer Scenario Forecast'!B$23:B$1184,'Customer Scenario Forecast'!$C$20:$C$1181,'Incremental Network SummerFcast'!$A91)+
SUMIFS('Customer Scenario Forecast'!B$23:B$1184,'Customer Scenario Forecast'!$D$20:$D$1181,'Incremental Network SummerFcast'!$A91)+
SUMIFS('Customer Scenario Forecast'!B$23:B$1184,'Customer Scenario Forecast'!$E$20:$E$1181,'Incremental Network SummerFcast'!$A91)+B93),
1*(
SUMIFS('Customer Scenario Forecast'!B$23:B$1184,'Customer Scenario Forecast'!$C$20:$C$1181,'Incremental Network SummerFcast'!$A91,'Customer Scenario Forecast'!$H$20:$H$1181,'Incremental Network SummerFcast'!$H$1)+
SUMIFS('Customer Scenario Forecast'!B$23:B$1184,'Customer Scenario Forecast'!$D$20:$D$1181,'Incremental Network SummerFcast'!$A91,'Customer Scenario Forecast'!$H$20:$H$1181,'Incremental Network SummerFcast'!$H$1)+
SUMIFS('Customer Scenario Forecast'!B$23:B$1184,'Customer Scenario Forecast'!$E$20:$E$1181,'Incremental Network SummerFcast'!$A91,'Customer Scenario Forecast'!$H$20:$H$1181,'Incremental Network SummerFcast'!$H$1)+B93))</f>
        <v>0</v>
      </c>
      <c r="C95" s="196">
        <f ca="1">IF($H$1="",
1*(
SUMIFS('Customer Scenario Forecast'!C$23:C$1184,'Customer Scenario Forecast'!$C$20:$C$1181,'Incremental Network SummerFcast'!$A91)+
SUMIFS('Customer Scenario Forecast'!C$23:C$1184,'Customer Scenario Forecast'!$D$20:$D$1181,'Incremental Network SummerFcast'!$A91)+
SUMIFS('Customer Scenario Forecast'!C$23:C$1184,'Customer Scenario Forecast'!$E$20:$E$1181,'Incremental Network SummerFcast'!$A91)+C93),
1*(
SUMIFS('Customer Scenario Forecast'!C$23:C$1184,'Customer Scenario Forecast'!$C$20:$C$1181,'Incremental Network SummerFcast'!$A91,'Customer Scenario Forecast'!$H$20:$H$1181,'Incremental Network SummerFcast'!$H$1)+
SUMIFS('Customer Scenario Forecast'!C$23:C$1184,'Customer Scenario Forecast'!$D$20:$D$1181,'Incremental Network SummerFcast'!$A91,'Customer Scenario Forecast'!$H$20:$H$1181,'Incremental Network SummerFcast'!$H$1)+
SUMIFS('Customer Scenario Forecast'!C$23:C$1184,'Customer Scenario Forecast'!$E$20:$E$1181,'Incremental Network SummerFcast'!$A91,'Customer Scenario Forecast'!$H$20:$H$1181,'Incremental Network SummerFcast'!$H$1)+C93))</f>
        <v>0</v>
      </c>
      <c r="D95" s="196">
        <f ca="1">IF($H$1="",
1*(
SUMIFS('Customer Scenario Forecast'!D$23:D$1184,'Customer Scenario Forecast'!$C$20:$C$1181,'Incremental Network SummerFcast'!$A91)+
SUMIFS('Customer Scenario Forecast'!D$23:D$1184,'Customer Scenario Forecast'!$D$20:$D$1181,'Incremental Network SummerFcast'!$A91)+
SUMIFS('Customer Scenario Forecast'!D$23:D$1184,'Customer Scenario Forecast'!$E$20:$E$1181,'Incremental Network SummerFcast'!$A91)+D93),
1*(
SUMIFS('Customer Scenario Forecast'!D$23:D$1184,'Customer Scenario Forecast'!$C$20:$C$1181,'Incremental Network SummerFcast'!$A91,'Customer Scenario Forecast'!$H$20:$H$1181,'Incremental Network SummerFcast'!$H$1)+
SUMIFS('Customer Scenario Forecast'!D$23:D$1184,'Customer Scenario Forecast'!$D$20:$D$1181,'Incremental Network SummerFcast'!$A91,'Customer Scenario Forecast'!$H$20:$H$1181,'Incremental Network SummerFcast'!$H$1)+
SUMIFS('Customer Scenario Forecast'!D$23:D$1184,'Customer Scenario Forecast'!$E$20:$E$1181,'Incremental Network SummerFcast'!$A91,'Customer Scenario Forecast'!$H$20:$H$1181,'Incremental Network SummerFcast'!$H$1)+D93))</f>
        <v>0</v>
      </c>
      <c r="E95" s="196">
        <f ca="1">IF($H$1="",
1*(
SUMIFS('Customer Scenario Forecast'!E$23:E$1184,'Customer Scenario Forecast'!$C$20:$C$1181,'Incremental Network SummerFcast'!$A91)+
SUMIFS('Customer Scenario Forecast'!E$23:E$1184,'Customer Scenario Forecast'!$D$20:$D$1181,'Incremental Network SummerFcast'!$A91)+
SUMIFS('Customer Scenario Forecast'!E$23:E$1184,'Customer Scenario Forecast'!$E$20:$E$1181,'Incremental Network SummerFcast'!$A91)+E93),
1*(
SUMIFS('Customer Scenario Forecast'!E$23:E$1184,'Customer Scenario Forecast'!$C$20:$C$1181,'Incremental Network SummerFcast'!$A91,'Customer Scenario Forecast'!$H$20:$H$1181,'Incremental Network SummerFcast'!$H$1)+
SUMIFS('Customer Scenario Forecast'!E$23:E$1184,'Customer Scenario Forecast'!$D$20:$D$1181,'Incremental Network SummerFcast'!$A91,'Customer Scenario Forecast'!$H$20:$H$1181,'Incremental Network SummerFcast'!$H$1)+
SUMIFS('Customer Scenario Forecast'!E$23:E$1184,'Customer Scenario Forecast'!$E$20:$E$1181,'Incremental Network SummerFcast'!$A91,'Customer Scenario Forecast'!$H$20:$H$1181,'Incremental Network SummerFcast'!$H$1)+E93))</f>
        <v>0</v>
      </c>
      <c r="F95" s="196">
        <f ca="1">IF($H$1="",
1*(
SUMIFS('Customer Scenario Forecast'!F$23:F$1184,'Customer Scenario Forecast'!$C$20:$C$1181,'Incremental Network SummerFcast'!$A91)+
SUMIFS('Customer Scenario Forecast'!F$23:F$1184,'Customer Scenario Forecast'!$D$20:$D$1181,'Incremental Network SummerFcast'!$A91)+
SUMIFS('Customer Scenario Forecast'!F$23:F$1184,'Customer Scenario Forecast'!$E$20:$E$1181,'Incremental Network SummerFcast'!$A91)+F93),
1*(
SUMIFS('Customer Scenario Forecast'!F$23:F$1184,'Customer Scenario Forecast'!$C$20:$C$1181,'Incremental Network SummerFcast'!$A91,'Customer Scenario Forecast'!$H$20:$H$1181,'Incremental Network SummerFcast'!$H$1)+
SUMIFS('Customer Scenario Forecast'!F$23:F$1184,'Customer Scenario Forecast'!$D$20:$D$1181,'Incremental Network SummerFcast'!$A91,'Customer Scenario Forecast'!$H$20:$H$1181,'Incremental Network SummerFcast'!$H$1)+
SUMIFS('Customer Scenario Forecast'!F$23:F$1184,'Customer Scenario Forecast'!$E$20:$E$1181,'Incremental Network SummerFcast'!$A91,'Customer Scenario Forecast'!$H$20:$H$1181,'Incremental Network SummerFcast'!$H$1)+F93))</f>
        <v>0</v>
      </c>
      <c r="G95" s="196">
        <f ca="1">IF($H$1="",
1*(
SUMIFS('Customer Scenario Forecast'!G$23:G$1184,'Customer Scenario Forecast'!$C$20:$C$1181,'Incremental Network SummerFcast'!$A91)+
SUMIFS('Customer Scenario Forecast'!G$23:G$1184,'Customer Scenario Forecast'!$D$20:$D$1181,'Incremental Network SummerFcast'!$A91)+
SUMIFS('Customer Scenario Forecast'!G$23:G$1184,'Customer Scenario Forecast'!$E$20:$E$1181,'Incremental Network SummerFcast'!$A91)+G93),
1*(
SUMIFS('Customer Scenario Forecast'!G$23:G$1184,'Customer Scenario Forecast'!$C$20:$C$1181,'Incremental Network SummerFcast'!$A91,'Customer Scenario Forecast'!$H$20:$H$1181,'Incremental Network SummerFcast'!$H$1)+
SUMIFS('Customer Scenario Forecast'!G$23:G$1184,'Customer Scenario Forecast'!$D$20:$D$1181,'Incremental Network SummerFcast'!$A91,'Customer Scenario Forecast'!$H$20:$H$1181,'Incremental Network SummerFcast'!$H$1)+
SUMIFS('Customer Scenario Forecast'!G$23:G$1184,'Customer Scenario Forecast'!$E$20:$E$1181,'Incremental Network SummerFcast'!$A91,'Customer Scenario Forecast'!$H$20:$H$1181,'Incremental Network SummerFcast'!$H$1)+G93))</f>
        <v>2.0999999999999996</v>
      </c>
      <c r="H95" s="196">
        <f ca="1">IF($H$1="",
1*(
SUMIFS('Customer Scenario Forecast'!H$23:H$1184,'Customer Scenario Forecast'!$C$20:$C$1181,'Incremental Network SummerFcast'!$A91)+
SUMIFS('Customer Scenario Forecast'!H$23:H$1184,'Customer Scenario Forecast'!$D$20:$D$1181,'Incremental Network SummerFcast'!$A91)+
SUMIFS('Customer Scenario Forecast'!H$23:H$1184,'Customer Scenario Forecast'!$E$20:$E$1181,'Incremental Network SummerFcast'!$A91)+H93),
1*(
SUMIFS('Customer Scenario Forecast'!H$23:H$1184,'Customer Scenario Forecast'!$C$20:$C$1181,'Incremental Network SummerFcast'!$A91,'Customer Scenario Forecast'!$H$20:$H$1181,'Incremental Network SummerFcast'!$H$1)+
SUMIFS('Customer Scenario Forecast'!H$23:H$1184,'Customer Scenario Forecast'!$D$20:$D$1181,'Incremental Network SummerFcast'!$A91,'Customer Scenario Forecast'!$H$20:$H$1181,'Incremental Network SummerFcast'!$H$1)+
SUMIFS('Customer Scenario Forecast'!H$23:H$1184,'Customer Scenario Forecast'!$E$20:$E$1181,'Incremental Network SummerFcast'!$A91,'Customer Scenario Forecast'!$H$20:$H$1181,'Incremental Network SummerFcast'!$H$1)+H93))</f>
        <v>2.0999999999999996</v>
      </c>
      <c r="I95" s="196">
        <f ca="1">IF($H$1="",
1*(
SUMIFS('Customer Scenario Forecast'!I$23:I$1184,'Customer Scenario Forecast'!$C$20:$C$1181,'Incremental Network SummerFcast'!$A91)+
SUMIFS('Customer Scenario Forecast'!I$23:I$1184,'Customer Scenario Forecast'!$D$20:$D$1181,'Incremental Network SummerFcast'!$A91)+
SUMIFS('Customer Scenario Forecast'!I$23:I$1184,'Customer Scenario Forecast'!$E$20:$E$1181,'Incremental Network SummerFcast'!$A91)+I93),
1*(
SUMIFS('Customer Scenario Forecast'!I$23:I$1184,'Customer Scenario Forecast'!$C$20:$C$1181,'Incremental Network SummerFcast'!$A91,'Customer Scenario Forecast'!$H$20:$H$1181,'Incremental Network SummerFcast'!$H$1)+
SUMIFS('Customer Scenario Forecast'!I$23:I$1184,'Customer Scenario Forecast'!$D$20:$D$1181,'Incremental Network SummerFcast'!$A91,'Customer Scenario Forecast'!$H$20:$H$1181,'Incremental Network SummerFcast'!$H$1)+
SUMIFS('Customer Scenario Forecast'!I$23:I$1184,'Customer Scenario Forecast'!$E$20:$E$1181,'Incremental Network SummerFcast'!$A91,'Customer Scenario Forecast'!$H$20:$H$1181,'Incremental Network SummerFcast'!$H$1)+I93))</f>
        <v>2.0999999999999996</v>
      </c>
      <c r="J95" s="196">
        <f ca="1">IF($H$1="",
1*(
SUMIFS('Customer Scenario Forecast'!J$23:J$1184,'Customer Scenario Forecast'!$C$20:$C$1181,'Incremental Network SummerFcast'!$A91)+
SUMIFS('Customer Scenario Forecast'!J$23:J$1184,'Customer Scenario Forecast'!$D$20:$D$1181,'Incremental Network SummerFcast'!$A91)+
SUMIFS('Customer Scenario Forecast'!J$23:J$1184,'Customer Scenario Forecast'!$E$20:$E$1181,'Incremental Network SummerFcast'!$A91)+J93),
1*(
SUMIFS('Customer Scenario Forecast'!J$23:J$1184,'Customer Scenario Forecast'!$C$20:$C$1181,'Incremental Network SummerFcast'!$A91,'Customer Scenario Forecast'!$H$20:$H$1181,'Incremental Network SummerFcast'!$H$1)+
SUMIFS('Customer Scenario Forecast'!J$23:J$1184,'Customer Scenario Forecast'!$D$20:$D$1181,'Incremental Network SummerFcast'!$A91,'Customer Scenario Forecast'!$H$20:$H$1181,'Incremental Network SummerFcast'!$H$1)+
SUMIFS('Customer Scenario Forecast'!J$23:J$1184,'Customer Scenario Forecast'!$E$20:$E$1181,'Incremental Network SummerFcast'!$A91,'Customer Scenario Forecast'!$H$20:$H$1181,'Incremental Network SummerFcast'!$H$1)+J93))</f>
        <v>2.0999999999999996</v>
      </c>
      <c r="K95" s="196">
        <f ca="1">IF($H$1="",
1*(
SUMIFS('Customer Scenario Forecast'!K$23:K$1184,'Customer Scenario Forecast'!$C$20:$C$1181,'Incremental Network SummerFcast'!$A91)+
SUMIFS('Customer Scenario Forecast'!K$23:K$1184,'Customer Scenario Forecast'!$D$20:$D$1181,'Incremental Network SummerFcast'!$A91)+
SUMIFS('Customer Scenario Forecast'!K$23:K$1184,'Customer Scenario Forecast'!$E$20:$E$1181,'Incremental Network SummerFcast'!$A91)+K93),
1*(
SUMIFS('Customer Scenario Forecast'!K$23:K$1184,'Customer Scenario Forecast'!$C$20:$C$1181,'Incremental Network SummerFcast'!$A91,'Customer Scenario Forecast'!$H$20:$H$1181,'Incremental Network SummerFcast'!$H$1)+
SUMIFS('Customer Scenario Forecast'!K$23:K$1184,'Customer Scenario Forecast'!$D$20:$D$1181,'Incremental Network SummerFcast'!$A91,'Customer Scenario Forecast'!$H$20:$H$1181,'Incremental Network SummerFcast'!$H$1)+
SUMIFS('Customer Scenario Forecast'!K$23:K$1184,'Customer Scenario Forecast'!$E$20:$E$1181,'Incremental Network SummerFcast'!$A91,'Customer Scenario Forecast'!$H$20:$H$1181,'Incremental Network SummerFcast'!$H$1)+K93))</f>
        <v>2.0999999999999996</v>
      </c>
      <c r="L95" s="196">
        <f ca="1">IF($H$1="",
1*(
SUMIFS('Customer Scenario Forecast'!L$23:L$1184,'Customer Scenario Forecast'!$C$20:$C$1181,'Incremental Network SummerFcast'!$A91)+
SUMIFS('Customer Scenario Forecast'!L$23:L$1184,'Customer Scenario Forecast'!$D$20:$D$1181,'Incremental Network SummerFcast'!$A91)+
SUMIFS('Customer Scenario Forecast'!L$23:L$1184,'Customer Scenario Forecast'!$E$20:$E$1181,'Incremental Network SummerFcast'!$A91)+L93),
1*(
SUMIFS('Customer Scenario Forecast'!L$23:L$1184,'Customer Scenario Forecast'!$C$20:$C$1181,'Incremental Network SummerFcast'!$A91,'Customer Scenario Forecast'!$H$20:$H$1181,'Incremental Network SummerFcast'!$H$1)+
SUMIFS('Customer Scenario Forecast'!L$23:L$1184,'Customer Scenario Forecast'!$D$20:$D$1181,'Incremental Network SummerFcast'!$A91,'Customer Scenario Forecast'!$H$20:$H$1181,'Incremental Network SummerFcast'!$H$1)+
SUMIFS('Customer Scenario Forecast'!L$23:L$1184,'Customer Scenario Forecast'!$E$20:$E$1181,'Incremental Network SummerFcast'!$A91,'Customer Scenario Forecast'!$H$20:$H$1181,'Incremental Network SummerFcast'!$H$1)+L93))</f>
        <v>2.0999999999999996</v>
      </c>
    </row>
    <row r="96" spans="1:13" ht="15" thickBot="1">
      <c r="A96" s="195" t="s">
        <v>108</v>
      </c>
      <c r="B96" s="196">
        <f ca="1">IF($H$1="",
1*(
SUMIFS('Customer Scenario Forecast'!B$24:B$1185,'Customer Scenario Forecast'!$C$20:$C$1181,'Incremental Network SummerFcast'!$A91)+
SUMIFS('Customer Scenario Forecast'!B$24:B$1185,'Customer Scenario Forecast'!$D$20:$D$1181,'Incremental Network SummerFcast'!$A91)+
SUMIFS('Customer Scenario Forecast'!B$24:B$1185,'Customer Scenario Forecast'!$E$20:$E$1181,'Incremental Network SummerFcast'!$A91)+B93),
1*(
SUMIFS('Customer Scenario Forecast'!B$24:B$1185,'Customer Scenario Forecast'!$C$20:$C$1181,'Incremental Network SummerFcast'!$A91,'Customer Scenario Forecast'!$H$20:$H$1181,'Incremental Network SummerFcast'!$H$1)+
SUMIFS('Customer Scenario Forecast'!B$24:B$1185,'Customer Scenario Forecast'!$D$20:$D$1181,'Incremental Network SummerFcast'!$A91,'Customer Scenario Forecast'!$H$20:$H$1181,'Incremental Network SummerFcast'!$H$1)+
SUMIFS('Customer Scenario Forecast'!B$24:B$1185,'Customer Scenario Forecast'!$E$20:$E$1181,'Incremental Network SummerFcast'!$A91,'Customer Scenario Forecast'!$H$20:$H$1181,'Incremental Network SummerFcast'!$H$1)+B93))</f>
        <v>0</v>
      </c>
      <c r="C96" s="196">
        <f ca="1">IF($H$1="",
1*(
SUMIFS('Customer Scenario Forecast'!C$24:C$1185,'Customer Scenario Forecast'!$C$20:$C$1181,'Incremental Network SummerFcast'!$A91)+
SUMIFS('Customer Scenario Forecast'!C$24:C$1185,'Customer Scenario Forecast'!$D$20:$D$1181,'Incremental Network SummerFcast'!$A91)+
SUMIFS('Customer Scenario Forecast'!C$24:C$1185,'Customer Scenario Forecast'!$E$20:$E$1181,'Incremental Network SummerFcast'!$A91)+C93),
1*(
SUMIFS('Customer Scenario Forecast'!C$24:C$1185,'Customer Scenario Forecast'!$C$20:$C$1181,'Incremental Network SummerFcast'!$A91,'Customer Scenario Forecast'!$H$20:$H$1181,'Incremental Network SummerFcast'!$H$1)+
SUMIFS('Customer Scenario Forecast'!C$24:C$1185,'Customer Scenario Forecast'!$D$20:$D$1181,'Incremental Network SummerFcast'!$A91,'Customer Scenario Forecast'!$H$20:$H$1181,'Incremental Network SummerFcast'!$H$1)+
SUMIFS('Customer Scenario Forecast'!C$24:C$1185,'Customer Scenario Forecast'!$E$20:$E$1181,'Incremental Network SummerFcast'!$A91,'Customer Scenario Forecast'!$H$20:$H$1181,'Incremental Network SummerFcast'!$H$1)+C93))</f>
        <v>0</v>
      </c>
      <c r="D96" s="196">
        <f ca="1">IF($H$1="",
1*(
SUMIFS('Customer Scenario Forecast'!D$24:D$1185,'Customer Scenario Forecast'!$C$20:$C$1181,'Incremental Network SummerFcast'!$A91)+
SUMIFS('Customer Scenario Forecast'!D$24:D$1185,'Customer Scenario Forecast'!$D$20:$D$1181,'Incremental Network SummerFcast'!$A91)+
SUMIFS('Customer Scenario Forecast'!D$24:D$1185,'Customer Scenario Forecast'!$E$20:$E$1181,'Incremental Network SummerFcast'!$A91)+D93),
1*(
SUMIFS('Customer Scenario Forecast'!D$24:D$1185,'Customer Scenario Forecast'!$C$20:$C$1181,'Incremental Network SummerFcast'!$A91,'Customer Scenario Forecast'!$H$20:$H$1181,'Incremental Network SummerFcast'!$H$1)+
SUMIFS('Customer Scenario Forecast'!D$24:D$1185,'Customer Scenario Forecast'!$D$20:$D$1181,'Incremental Network SummerFcast'!$A91,'Customer Scenario Forecast'!$H$20:$H$1181,'Incremental Network SummerFcast'!$H$1)+
SUMIFS('Customer Scenario Forecast'!D$24:D$1185,'Customer Scenario Forecast'!$E$20:$E$1181,'Incremental Network SummerFcast'!$A91,'Customer Scenario Forecast'!$H$20:$H$1181,'Incremental Network SummerFcast'!$H$1)+D93))</f>
        <v>0</v>
      </c>
      <c r="E96" s="196">
        <f ca="1">IF($H$1="",
1*(
SUMIFS('Customer Scenario Forecast'!E$24:E$1185,'Customer Scenario Forecast'!$C$20:$C$1181,'Incremental Network SummerFcast'!$A91)+
SUMIFS('Customer Scenario Forecast'!E$24:E$1185,'Customer Scenario Forecast'!$D$20:$D$1181,'Incremental Network SummerFcast'!$A91)+
SUMIFS('Customer Scenario Forecast'!E$24:E$1185,'Customer Scenario Forecast'!$E$20:$E$1181,'Incremental Network SummerFcast'!$A91)+E93),
1*(
SUMIFS('Customer Scenario Forecast'!E$24:E$1185,'Customer Scenario Forecast'!$C$20:$C$1181,'Incremental Network SummerFcast'!$A91,'Customer Scenario Forecast'!$H$20:$H$1181,'Incremental Network SummerFcast'!$H$1)+
SUMIFS('Customer Scenario Forecast'!E$24:E$1185,'Customer Scenario Forecast'!$D$20:$D$1181,'Incremental Network SummerFcast'!$A91,'Customer Scenario Forecast'!$H$20:$H$1181,'Incremental Network SummerFcast'!$H$1)+
SUMIFS('Customer Scenario Forecast'!E$24:E$1185,'Customer Scenario Forecast'!$E$20:$E$1181,'Incremental Network SummerFcast'!$A91,'Customer Scenario Forecast'!$H$20:$H$1181,'Incremental Network SummerFcast'!$H$1)+E93))</f>
        <v>0</v>
      </c>
      <c r="F96" s="196">
        <f ca="1">IF($H$1="",
1*(
SUMIFS('Customer Scenario Forecast'!F$24:F$1185,'Customer Scenario Forecast'!$C$20:$C$1181,'Incremental Network SummerFcast'!$A91)+
SUMIFS('Customer Scenario Forecast'!F$24:F$1185,'Customer Scenario Forecast'!$D$20:$D$1181,'Incremental Network SummerFcast'!$A91)+
SUMIFS('Customer Scenario Forecast'!F$24:F$1185,'Customer Scenario Forecast'!$E$20:$E$1181,'Incremental Network SummerFcast'!$A91)+F93),
1*(
SUMIFS('Customer Scenario Forecast'!F$24:F$1185,'Customer Scenario Forecast'!$C$20:$C$1181,'Incremental Network SummerFcast'!$A91,'Customer Scenario Forecast'!$H$20:$H$1181,'Incremental Network SummerFcast'!$H$1)+
SUMIFS('Customer Scenario Forecast'!F$24:F$1185,'Customer Scenario Forecast'!$D$20:$D$1181,'Incremental Network SummerFcast'!$A91,'Customer Scenario Forecast'!$H$20:$H$1181,'Incremental Network SummerFcast'!$H$1)+
SUMIFS('Customer Scenario Forecast'!F$24:F$1185,'Customer Scenario Forecast'!$E$20:$E$1181,'Incremental Network SummerFcast'!$A91,'Customer Scenario Forecast'!$H$20:$H$1181,'Incremental Network SummerFcast'!$H$1)+F93))</f>
        <v>0</v>
      </c>
      <c r="G96" s="196">
        <f ca="1">IF($H$1="",
1*(
SUMIFS('Customer Scenario Forecast'!G$24:G$1185,'Customer Scenario Forecast'!$C$20:$C$1181,'Incremental Network SummerFcast'!$A91)+
SUMIFS('Customer Scenario Forecast'!G$24:G$1185,'Customer Scenario Forecast'!$D$20:$D$1181,'Incremental Network SummerFcast'!$A91)+
SUMIFS('Customer Scenario Forecast'!G$24:G$1185,'Customer Scenario Forecast'!$E$20:$E$1181,'Incremental Network SummerFcast'!$A91)+G93),
1*(
SUMIFS('Customer Scenario Forecast'!G$24:G$1185,'Customer Scenario Forecast'!$C$20:$C$1181,'Incremental Network SummerFcast'!$A91,'Customer Scenario Forecast'!$H$20:$H$1181,'Incremental Network SummerFcast'!$H$1)+
SUMIFS('Customer Scenario Forecast'!G$24:G$1185,'Customer Scenario Forecast'!$D$20:$D$1181,'Incremental Network SummerFcast'!$A91,'Customer Scenario Forecast'!$H$20:$H$1181,'Incremental Network SummerFcast'!$H$1)+
SUMIFS('Customer Scenario Forecast'!G$24:G$1185,'Customer Scenario Forecast'!$E$20:$E$1181,'Incremental Network SummerFcast'!$A91,'Customer Scenario Forecast'!$H$20:$H$1181,'Incremental Network SummerFcast'!$H$1)+G93))</f>
        <v>0</v>
      </c>
      <c r="H96" s="196">
        <f ca="1">IF($H$1="",
1*(
SUMIFS('Customer Scenario Forecast'!H$24:H$1185,'Customer Scenario Forecast'!$C$20:$C$1181,'Incremental Network SummerFcast'!$A91)+
SUMIFS('Customer Scenario Forecast'!H$24:H$1185,'Customer Scenario Forecast'!$D$20:$D$1181,'Incremental Network SummerFcast'!$A91)+
SUMIFS('Customer Scenario Forecast'!H$24:H$1185,'Customer Scenario Forecast'!$E$20:$E$1181,'Incremental Network SummerFcast'!$A91)+H93),
1*(
SUMIFS('Customer Scenario Forecast'!H$24:H$1185,'Customer Scenario Forecast'!$C$20:$C$1181,'Incremental Network SummerFcast'!$A91,'Customer Scenario Forecast'!$H$20:$H$1181,'Incremental Network SummerFcast'!$H$1)+
SUMIFS('Customer Scenario Forecast'!H$24:H$1185,'Customer Scenario Forecast'!$D$20:$D$1181,'Incremental Network SummerFcast'!$A91,'Customer Scenario Forecast'!$H$20:$H$1181,'Incremental Network SummerFcast'!$H$1)+
SUMIFS('Customer Scenario Forecast'!H$24:H$1185,'Customer Scenario Forecast'!$E$20:$E$1181,'Incremental Network SummerFcast'!$A91,'Customer Scenario Forecast'!$H$20:$H$1181,'Incremental Network SummerFcast'!$H$1)+H93))</f>
        <v>0</v>
      </c>
      <c r="I96" s="196">
        <f ca="1">IF($H$1="",
1*(
SUMIFS('Customer Scenario Forecast'!I$24:I$1185,'Customer Scenario Forecast'!$C$20:$C$1181,'Incremental Network SummerFcast'!$A91)+
SUMIFS('Customer Scenario Forecast'!I$24:I$1185,'Customer Scenario Forecast'!$D$20:$D$1181,'Incremental Network SummerFcast'!$A91)+
SUMIFS('Customer Scenario Forecast'!I$24:I$1185,'Customer Scenario Forecast'!$E$20:$E$1181,'Incremental Network SummerFcast'!$A91)+I93),
1*(
SUMIFS('Customer Scenario Forecast'!I$24:I$1185,'Customer Scenario Forecast'!$C$20:$C$1181,'Incremental Network SummerFcast'!$A91,'Customer Scenario Forecast'!$H$20:$H$1181,'Incremental Network SummerFcast'!$H$1)+
SUMIFS('Customer Scenario Forecast'!I$24:I$1185,'Customer Scenario Forecast'!$D$20:$D$1181,'Incremental Network SummerFcast'!$A91,'Customer Scenario Forecast'!$H$20:$H$1181,'Incremental Network SummerFcast'!$H$1)+
SUMIFS('Customer Scenario Forecast'!I$24:I$1185,'Customer Scenario Forecast'!$E$20:$E$1181,'Incremental Network SummerFcast'!$A91,'Customer Scenario Forecast'!$H$20:$H$1181,'Incremental Network SummerFcast'!$H$1)+I93))</f>
        <v>0.60000000000000009</v>
      </c>
      <c r="J96" s="196">
        <f ca="1">IF($H$1="",
1*(
SUMIFS('Customer Scenario Forecast'!J$24:J$1185,'Customer Scenario Forecast'!$C$20:$C$1181,'Incremental Network SummerFcast'!$A91)+
SUMIFS('Customer Scenario Forecast'!J$24:J$1185,'Customer Scenario Forecast'!$D$20:$D$1181,'Incremental Network SummerFcast'!$A91)+
SUMIFS('Customer Scenario Forecast'!J$24:J$1185,'Customer Scenario Forecast'!$E$20:$E$1181,'Incremental Network SummerFcast'!$A91)+J93),
1*(
SUMIFS('Customer Scenario Forecast'!J$24:J$1185,'Customer Scenario Forecast'!$C$20:$C$1181,'Incremental Network SummerFcast'!$A91,'Customer Scenario Forecast'!$H$20:$H$1181,'Incremental Network SummerFcast'!$H$1)+
SUMIFS('Customer Scenario Forecast'!J$24:J$1185,'Customer Scenario Forecast'!$D$20:$D$1181,'Incremental Network SummerFcast'!$A91,'Customer Scenario Forecast'!$H$20:$H$1181,'Incremental Network SummerFcast'!$H$1)+
SUMIFS('Customer Scenario Forecast'!J$24:J$1185,'Customer Scenario Forecast'!$E$20:$E$1181,'Incremental Network SummerFcast'!$A91,'Customer Scenario Forecast'!$H$20:$H$1181,'Incremental Network SummerFcast'!$H$1)+J93))</f>
        <v>0.60000000000000009</v>
      </c>
      <c r="K96" s="196">
        <f ca="1">IF($H$1="",
1*(
SUMIFS('Customer Scenario Forecast'!K$24:K$1185,'Customer Scenario Forecast'!$C$20:$C$1181,'Incremental Network SummerFcast'!$A91)+
SUMIFS('Customer Scenario Forecast'!K$24:K$1185,'Customer Scenario Forecast'!$D$20:$D$1181,'Incremental Network SummerFcast'!$A91)+
SUMIFS('Customer Scenario Forecast'!K$24:K$1185,'Customer Scenario Forecast'!$E$20:$E$1181,'Incremental Network SummerFcast'!$A91)+K93),
1*(
SUMIFS('Customer Scenario Forecast'!K$24:K$1185,'Customer Scenario Forecast'!$C$20:$C$1181,'Incremental Network SummerFcast'!$A91,'Customer Scenario Forecast'!$H$20:$H$1181,'Incremental Network SummerFcast'!$H$1)+
SUMIFS('Customer Scenario Forecast'!K$24:K$1185,'Customer Scenario Forecast'!$D$20:$D$1181,'Incremental Network SummerFcast'!$A91,'Customer Scenario Forecast'!$H$20:$H$1181,'Incremental Network SummerFcast'!$H$1)+
SUMIFS('Customer Scenario Forecast'!K$24:K$1185,'Customer Scenario Forecast'!$E$20:$E$1181,'Incremental Network SummerFcast'!$A91,'Customer Scenario Forecast'!$H$20:$H$1181,'Incremental Network SummerFcast'!$H$1)+K93))</f>
        <v>0.60000000000000009</v>
      </c>
      <c r="L96" s="196">
        <f ca="1">IF($H$1="",
1*(
SUMIFS('Customer Scenario Forecast'!L$24:L$1185,'Customer Scenario Forecast'!$C$20:$C$1181,'Incremental Network SummerFcast'!$A91)+
SUMIFS('Customer Scenario Forecast'!L$24:L$1185,'Customer Scenario Forecast'!$D$20:$D$1181,'Incremental Network SummerFcast'!$A91)+
SUMIFS('Customer Scenario Forecast'!L$24:L$1185,'Customer Scenario Forecast'!$E$20:$E$1181,'Incremental Network SummerFcast'!$A91)+L93),
1*(
SUMIFS('Customer Scenario Forecast'!L$24:L$1185,'Customer Scenario Forecast'!$C$20:$C$1181,'Incremental Network SummerFcast'!$A91,'Customer Scenario Forecast'!$H$20:$H$1181,'Incremental Network SummerFcast'!$H$1)+
SUMIFS('Customer Scenario Forecast'!L$24:L$1185,'Customer Scenario Forecast'!$D$20:$D$1181,'Incremental Network SummerFcast'!$A91,'Customer Scenario Forecast'!$H$20:$H$1181,'Incremental Network SummerFcast'!$H$1)+
SUMIFS('Customer Scenario Forecast'!L$24:L$1185,'Customer Scenario Forecast'!$E$20:$E$1181,'Incremental Network SummerFcast'!$A91,'Customer Scenario Forecast'!$H$20:$H$1181,'Incremental Network SummerFcast'!$H$1)+L93))</f>
        <v>0.60000000000000009</v>
      </c>
    </row>
    <row r="97" spans="1:13" ht="15" thickBot="1">
      <c r="A97" s="197" t="s">
        <v>109</v>
      </c>
      <c r="B97" s="198">
        <f ca="1">IF($H$1="",
1*(
SUMIFS('Customer Scenario Forecast'!B$25:B$1186,'Customer Scenario Forecast'!$C$20:$C$1181,'Incremental Network SummerFcast'!$A91)+
SUMIFS('Customer Scenario Forecast'!B$25:B$1186,'Customer Scenario Forecast'!$D$20:$D$1181,'Incremental Network SummerFcast'!$A91)+
SUMIFS('Customer Scenario Forecast'!B$25:B$1186,'Customer Scenario Forecast'!$E$20:$E$1181,'Incremental Network SummerFcast'!$A91)+B93),
1*(
SUMIFS('Customer Scenario Forecast'!B$25:B$1186,'Customer Scenario Forecast'!$C$20:$C$1181,'Incremental Network SummerFcast'!$A91,'Customer Scenario Forecast'!$H$20:$H$1181,'Incremental Network SummerFcast'!$H$1)+
SUMIFS('Customer Scenario Forecast'!B$25:B$1186,'Customer Scenario Forecast'!$D$20:$D$1181,'Incremental Network SummerFcast'!$A91,'Customer Scenario Forecast'!$H$20:$H$1181,'Incremental Network SummerFcast'!$H$1)+
SUMIFS('Customer Scenario Forecast'!B$25:B$1186,'Customer Scenario Forecast'!$E$20:$E$1181,'Incremental Network SummerFcast'!$A91,'Customer Scenario Forecast'!$H$20:$H$1181,'Incremental Network SummerFcast'!$H$1)+B93))</f>
        <v>0</v>
      </c>
      <c r="C97" s="198">
        <f ca="1">IF($H$1="",
1*(
SUMIFS('Customer Scenario Forecast'!C$25:C$1186,'Customer Scenario Forecast'!$C$20:$C$1181,'Incremental Network SummerFcast'!$A91)+
SUMIFS('Customer Scenario Forecast'!C$25:C$1186,'Customer Scenario Forecast'!$D$20:$D$1181,'Incremental Network SummerFcast'!$A91)+
SUMIFS('Customer Scenario Forecast'!C$25:C$1186,'Customer Scenario Forecast'!$E$20:$E$1181,'Incremental Network SummerFcast'!$A91)+C93),
1*(
SUMIFS('Customer Scenario Forecast'!C$25:C$1186,'Customer Scenario Forecast'!$C$20:$C$1181,'Incremental Network SummerFcast'!$A91,'Customer Scenario Forecast'!$H$20:$H$1181,'Incremental Network SummerFcast'!$H$1)+
SUMIFS('Customer Scenario Forecast'!C$25:C$1186,'Customer Scenario Forecast'!$D$20:$D$1181,'Incremental Network SummerFcast'!$A91,'Customer Scenario Forecast'!$H$20:$H$1181,'Incremental Network SummerFcast'!$H$1)+
SUMIFS('Customer Scenario Forecast'!C$25:C$1186,'Customer Scenario Forecast'!$E$20:$E$1181,'Incremental Network SummerFcast'!$A91,'Customer Scenario Forecast'!$H$20:$H$1181,'Incremental Network SummerFcast'!$H$1)+C93))</f>
        <v>0</v>
      </c>
      <c r="D97" s="198">
        <f ca="1">IF($H$1="",
1*(
SUMIFS('Customer Scenario Forecast'!D$25:D$1186,'Customer Scenario Forecast'!$C$20:$C$1181,'Incremental Network SummerFcast'!$A91)+
SUMIFS('Customer Scenario Forecast'!D$25:D$1186,'Customer Scenario Forecast'!$D$20:$D$1181,'Incremental Network SummerFcast'!$A91)+
SUMIFS('Customer Scenario Forecast'!D$25:D$1186,'Customer Scenario Forecast'!$E$20:$E$1181,'Incremental Network SummerFcast'!$A91)+D93),
1*(
SUMIFS('Customer Scenario Forecast'!D$25:D$1186,'Customer Scenario Forecast'!$C$20:$C$1181,'Incremental Network SummerFcast'!$A91,'Customer Scenario Forecast'!$H$20:$H$1181,'Incremental Network SummerFcast'!$H$1)+
SUMIFS('Customer Scenario Forecast'!D$25:D$1186,'Customer Scenario Forecast'!$D$20:$D$1181,'Incremental Network SummerFcast'!$A91,'Customer Scenario Forecast'!$H$20:$H$1181,'Incremental Network SummerFcast'!$H$1)+
SUMIFS('Customer Scenario Forecast'!D$25:D$1186,'Customer Scenario Forecast'!$E$20:$E$1181,'Incremental Network SummerFcast'!$A91,'Customer Scenario Forecast'!$H$20:$H$1181,'Incremental Network SummerFcast'!$H$1)+D93))</f>
        <v>0</v>
      </c>
      <c r="E97" s="198">
        <f ca="1">IF($H$1="",
1*(
SUMIFS('Customer Scenario Forecast'!E$25:E$1186,'Customer Scenario Forecast'!$C$20:$C$1181,'Incremental Network SummerFcast'!$A91)+
SUMIFS('Customer Scenario Forecast'!E$25:E$1186,'Customer Scenario Forecast'!$D$20:$D$1181,'Incremental Network SummerFcast'!$A91)+
SUMIFS('Customer Scenario Forecast'!E$25:E$1186,'Customer Scenario Forecast'!$E$20:$E$1181,'Incremental Network SummerFcast'!$A91)+E93),
1*(
SUMIFS('Customer Scenario Forecast'!E$25:E$1186,'Customer Scenario Forecast'!$C$20:$C$1181,'Incremental Network SummerFcast'!$A91,'Customer Scenario Forecast'!$H$20:$H$1181,'Incremental Network SummerFcast'!$H$1)+
SUMIFS('Customer Scenario Forecast'!E$25:E$1186,'Customer Scenario Forecast'!$D$20:$D$1181,'Incremental Network SummerFcast'!$A91,'Customer Scenario Forecast'!$H$20:$H$1181,'Incremental Network SummerFcast'!$H$1)+
SUMIFS('Customer Scenario Forecast'!E$25:E$1186,'Customer Scenario Forecast'!$E$20:$E$1181,'Incremental Network SummerFcast'!$A91,'Customer Scenario Forecast'!$H$20:$H$1181,'Incremental Network SummerFcast'!$H$1)+E93))</f>
        <v>0</v>
      </c>
      <c r="F97" s="198">
        <f ca="1">IF($H$1="",
1*(
SUMIFS('Customer Scenario Forecast'!F$25:F$1186,'Customer Scenario Forecast'!$C$20:$C$1181,'Incremental Network SummerFcast'!$A91)+
SUMIFS('Customer Scenario Forecast'!F$25:F$1186,'Customer Scenario Forecast'!$D$20:$D$1181,'Incremental Network SummerFcast'!$A91)+
SUMIFS('Customer Scenario Forecast'!F$25:F$1186,'Customer Scenario Forecast'!$E$20:$E$1181,'Incremental Network SummerFcast'!$A91)+F93),
1*(
SUMIFS('Customer Scenario Forecast'!F$25:F$1186,'Customer Scenario Forecast'!$C$20:$C$1181,'Incremental Network SummerFcast'!$A91,'Customer Scenario Forecast'!$H$20:$H$1181,'Incremental Network SummerFcast'!$H$1)+
SUMIFS('Customer Scenario Forecast'!F$25:F$1186,'Customer Scenario Forecast'!$D$20:$D$1181,'Incremental Network SummerFcast'!$A91,'Customer Scenario Forecast'!$H$20:$H$1181,'Incremental Network SummerFcast'!$H$1)+
SUMIFS('Customer Scenario Forecast'!F$25:F$1186,'Customer Scenario Forecast'!$E$20:$E$1181,'Incremental Network SummerFcast'!$A91,'Customer Scenario Forecast'!$H$20:$H$1181,'Incremental Network SummerFcast'!$H$1)+F93))</f>
        <v>3.2399999999999998</v>
      </c>
      <c r="G97" s="198">
        <f ca="1">IF($H$1="",
1*(
SUMIFS('Customer Scenario Forecast'!G$25:G$1186,'Customer Scenario Forecast'!$C$20:$C$1181,'Incremental Network SummerFcast'!$A91)+
SUMIFS('Customer Scenario Forecast'!G$25:G$1186,'Customer Scenario Forecast'!$D$20:$D$1181,'Incremental Network SummerFcast'!$A91)+
SUMIFS('Customer Scenario Forecast'!G$25:G$1186,'Customer Scenario Forecast'!$E$20:$E$1181,'Incremental Network SummerFcast'!$A91)+G93),
1*(
SUMIFS('Customer Scenario Forecast'!G$25:G$1186,'Customer Scenario Forecast'!$C$20:$C$1181,'Incremental Network SummerFcast'!$A91,'Customer Scenario Forecast'!$H$20:$H$1181,'Incremental Network SummerFcast'!$H$1)+
SUMIFS('Customer Scenario Forecast'!G$25:G$1186,'Customer Scenario Forecast'!$D$20:$D$1181,'Incremental Network SummerFcast'!$A91,'Customer Scenario Forecast'!$H$20:$H$1181,'Incremental Network SummerFcast'!$H$1)+
SUMIFS('Customer Scenario Forecast'!G$25:G$1186,'Customer Scenario Forecast'!$E$20:$E$1181,'Incremental Network SummerFcast'!$A91,'Customer Scenario Forecast'!$H$20:$H$1181,'Incremental Network SummerFcast'!$H$1)+G93))</f>
        <v>3.2399999999999998</v>
      </c>
      <c r="H97" s="198">
        <f ca="1">IF($H$1="",
1*(
SUMIFS('Customer Scenario Forecast'!H$25:H$1186,'Customer Scenario Forecast'!$C$20:$C$1181,'Incremental Network SummerFcast'!$A91)+
SUMIFS('Customer Scenario Forecast'!H$25:H$1186,'Customer Scenario Forecast'!$D$20:$D$1181,'Incremental Network SummerFcast'!$A91)+
SUMIFS('Customer Scenario Forecast'!H$25:H$1186,'Customer Scenario Forecast'!$E$20:$E$1181,'Incremental Network SummerFcast'!$A91)+H93),
1*(
SUMIFS('Customer Scenario Forecast'!H$25:H$1186,'Customer Scenario Forecast'!$C$20:$C$1181,'Incremental Network SummerFcast'!$A91,'Customer Scenario Forecast'!$H$20:$H$1181,'Incremental Network SummerFcast'!$H$1)+
SUMIFS('Customer Scenario Forecast'!H$25:H$1186,'Customer Scenario Forecast'!$D$20:$D$1181,'Incremental Network SummerFcast'!$A91,'Customer Scenario Forecast'!$H$20:$H$1181,'Incremental Network SummerFcast'!$H$1)+
SUMIFS('Customer Scenario Forecast'!H$25:H$1186,'Customer Scenario Forecast'!$E$20:$E$1181,'Incremental Network SummerFcast'!$A91,'Customer Scenario Forecast'!$H$20:$H$1181,'Incremental Network SummerFcast'!$H$1)+H93))</f>
        <v>3.2399999999999998</v>
      </c>
      <c r="I97" s="198">
        <f ca="1">IF($H$1="",
1*(
SUMIFS('Customer Scenario Forecast'!I$25:I$1186,'Customer Scenario Forecast'!$C$20:$C$1181,'Incremental Network SummerFcast'!$A91)+
SUMIFS('Customer Scenario Forecast'!I$25:I$1186,'Customer Scenario Forecast'!$D$20:$D$1181,'Incremental Network SummerFcast'!$A91)+
SUMIFS('Customer Scenario Forecast'!I$25:I$1186,'Customer Scenario Forecast'!$E$20:$E$1181,'Incremental Network SummerFcast'!$A91)+I93),
1*(
SUMIFS('Customer Scenario Forecast'!I$25:I$1186,'Customer Scenario Forecast'!$C$20:$C$1181,'Incremental Network SummerFcast'!$A91,'Customer Scenario Forecast'!$H$20:$H$1181,'Incremental Network SummerFcast'!$H$1)+
SUMIFS('Customer Scenario Forecast'!I$25:I$1186,'Customer Scenario Forecast'!$D$20:$D$1181,'Incremental Network SummerFcast'!$A91,'Customer Scenario Forecast'!$H$20:$H$1181,'Incremental Network SummerFcast'!$H$1)+
SUMIFS('Customer Scenario Forecast'!I$25:I$1186,'Customer Scenario Forecast'!$E$20:$E$1181,'Incremental Network SummerFcast'!$A91,'Customer Scenario Forecast'!$H$20:$H$1181,'Incremental Network SummerFcast'!$H$1)+I93))</f>
        <v>3.2399999999999998</v>
      </c>
      <c r="J97" s="198">
        <f ca="1">IF($H$1="",
1*(
SUMIFS('Customer Scenario Forecast'!J$25:J$1186,'Customer Scenario Forecast'!$C$20:$C$1181,'Incremental Network SummerFcast'!$A91)+
SUMIFS('Customer Scenario Forecast'!J$25:J$1186,'Customer Scenario Forecast'!$D$20:$D$1181,'Incremental Network SummerFcast'!$A91)+
SUMIFS('Customer Scenario Forecast'!J$25:J$1186,'Customer Scenario Forecast'!$E$20:$E$1181,'Incremental Network SummerFcast'!$A91)+J93),
1*(
SUMIFS('Customer Scenario Forecast'!J$25:J$1186,'Customer Scenario Forecast'!$C$20:$C$1181,'Incremental Network SummerFcast'!$A91,'Customer Scenario Forecast'!$H$20:$H$1181,'Incremental Network SummerFcast'!$H$1)+
SUMIFS('Customer Scenario Forecast'!J$25:J$1186,'Customer Scenario Forecast'!$D$20:$D$1181,'Incremental Network SummerFcast'!$A91,'Customer Scenario Forecast'!$H$20:$H$1181,'Incremental Network SummerFcast'!$H$1)+
SUMIFS('Customer Scenario Forecast'!J$25:J$1186,'Customer Scenario Forecast'!$E$20:$E$1181,'Incremental Network SummerFcast'!$A91,'Customer Scenario Forecast'!$H$20:$H$1181,'Incremental Network SummerFcast'!$H$1)+J93))</f>
        <v>10.8</v>
      </c>
      <c r="K97" s="198">
        <f ca="1">IF($H$1="",
1*(
SUMIFS('Customer Scenario Forecast'!K$25:K$1186,'Customer Scenario Forecast'!$C$20:$C$1181,'Incremental Network SummerFcast'!$A91)+
SUMIFS('Customer Scenario Forecast'!K$25:K$1186,'Customer Scenario Forecast'!$D$20:$D$1181,'Incremental Network SummerFcast'!$A91)+
SUMIFS('Customer Scenario Forecast'!K$25:K$1186,'Customer Scenario Forecast'!$E$20:$E$1181,'Incremental Network SummerFcast'!$A91)+K93),
1*(
SUMIFS('Customer Scenario Forecast'!K$25:K$1186,'Customer Scenario Forecast'!$C$20:$C$1181,'Incremental Network SummerFcast'!$A91,'Customer Scenario Forecast'!$H$20:$H$1181,'Incremental Network SummerFcast'!$H$1)+
SUMIFS('Customer Scenario Forecast'!K$25:K$1186,'Customer Scenario Forecast'!$D$20:$D$1181,'Incremental Network SummerFcast'!$A91,'Customer Scenario Forecast'!$H$20:$H$1181,'Incremental Network SummerFcast'!$H$1)+
SUMIFS('Customer Scenario Forecast'!K$25:K$1186,'Customer Scenario Forecast'!$E$20:$E$1181,'Incremental Network SummerFcast'!$A91,'Customer Scenario Forecast'!$H$20:$H$1181,'Incremental Network SummerFcast'!$H$1)+K93))</f>
        <v>10.8</v>
      </c>
      <c r="L97" s="198">
        <f ca="1">IF($H$1="",
1*(
SUMIFS('Customer Scenario Forecast'!L$25:L$1186,'Customer Scenario Forecast'!$C$20:$C$1181,'Incremental Network SummerFcast'!$A91)+
SUMIFS('Customer Scenario Forecast'!L$25:L$1186,'Customer Scenario Forecast'!$D$20:$D$1181,'Incremental Network SummerFcast'!$A91)+
SUMIFS('Customer Scenario Forecast'!L$25:L$1186,'Customer Scenario Forecast'!$E$20:$E$1181,'Incremental Network SummerFcast'!$A91)+L93),
1*(
SUMIFS('Customer Scenario Forecast'!L$25:L$1186,'Customer Scenario Forecast'!$C$20:$C$1181,'Incremental Network SummerFcast'!$A91,'Customer Scenario Forecast'!$H$20:$H$1181,'Incremental Network SummerFcast'!$H$1)+
SUMIFS('Customer Scenario Forecast'!L$25:L$1186,'Customer Scenario Forecast'!$D$20:$D$1181,'Incremental Network SummerFcast'!$A91,'Customer Scenario Forecast'!$H$20:$H$1181,'Incremental Network SummerFcast'!$H$1)+
SUMIFS('Customer Scenario Forecast'!L$25:L$1186,'Customer Scenario Forecast'!$E$20:$E$1181,'Incremental Network SummerFcast'!$A91,'Customer Scenario Forecast'!$H$20:$H$1181,'Incremental Network SummerFcast'!$H$1)+L93))</f>
        <v>10.8</v>
      </c>
    </row>
    <row r="98" spans="1:13" ht="15.6" thickTop="1" thickBot="1">
      <c r="A98" s="197" t="s">
        <v>148</v>
      </c>
      <c r="B98" s="198">
        <f ca="1">'Incremental Network SummerFcast'!$B$245*B95+'Incremental Network SummerFcast'!$B$246*B96+'Incremental Network SummerFcast'!$B$247*B97</f>
        <v>0</v>
      </c>
      <c r="C98" s="198">
        <f ca="1">'Incremental Network SummerFcast'!$B$245*C95+'Incremental Network SummerFcast'!$B$246*C96+'Incremental Network SummerFcast'!$B$247*C97</f>
        <v>0</v>
      </c>
      <c r="D98" s="198">
        <f ca="1">'Incremental Network SummerFcast'!$B$245*D95+'Incremental Network SummerFcast'!$B$246*D96+'Incremental Network SummerFcast'!$B$247*D97</f>
        <v>0</v>
      </c>
      <c r="E98" s="198">
        <f ca="1">'Incremental Network SummerFcast'!$B$245*E95+'Incremental Network SummerFcast'!$B$246*E96+'Incremental Network SummerFcast'!$B$247*E97</f>
        <v>0</v>
      </c>
      <c r="F98" s="198">
        <f ca="1">'Incremental Network SummerFcast'!$B$245*F95+'Incremental Network SummerFcast'!$B$246*F96+'Incremental Network SummerFcast'!$B$247*F97</f>
        <v>0.80999999999999994</v>
      </c>
      <c r="G98" s="198">
        <f ca="1">'Incremental Network SummerFcast'!$B$245*G95+'Incremental Network SummerFcast'!$B$246*G96+'Incremental Network SummerFcast'!$B$247*G97</f>
        <v>1.8599999999999999</v>
      </c>
      <c r="H98" s="198">
        <f ca="1">'Incremental Network SummerFcast'!$B$245*H95+'Incremental Network SummerFcast'!$B$246*H96+'Incremental Network SummerFcast'!$B$247*H97</f>
        <v>1.8599999999999999</v>
      </c>
      <c r="I98" s="198">
        <f ca="1">'Incremental Network SummerFcast'!$B$245*I95+'Incremental Network SummerFcast'!$B$246*I96+'Incremental Network SummerFcast'!$B$247*I97</f>
        <v>2.0099999999999998</v>
      </c>
      <c r="J98" s="198">
        <f ca="1">'Incremental Network SummerFcast'!$B$245*J95+'Incremental Network SummerFcast'!$B$246*J96+'Incremental Network SummerFcast'!$B$247*J97</f>
        <v>3.9</v>
      </c>
      <c r="K98" s="198">
        <f ca="1">'Incremental Network SummerFcast'!$B$245*K95+'Incremental Network SummerFcast'!$B$246*K96+'Incremental Network SummerFcast'!$B$247*K97</f>
        <v>3.9</v>
      </c>
      <c r="L98" s="198">
        <f ca="1">'Incremental Network SummerFcast'!$B$245*L95+'Incremental Network SummerFcast'!$B$246*L96+'Incremental Network SummerFcast'!$B$247*L97</f>
        <v>3.9</v>
      </c>
    </row>
    <row r="99" spans="1:13" ht="15.6" thickTop="1" thickBot="1">
      <c r="A99" s="187" t="s">
        <v>150</v>
      </c>
      <c r="B99" s="216"/>
      <c r="C99" s="190"/>
      <c r="D99" s="190"/>
      <c r="E99" s="190"/>
      <c r="F99" s="190"/>
      <c r="G99" s="190"/>
      <c r="H99" s="190"/>
      <c r="I99" s="190"/>
      <c r="J99" s="190"/>
      <c r="K99" s="190"/>
      <c r="L99" s="190"/>
    </row>
    <row r="100" spans="1:13" ht="15" thickBot="1">
      <c r="A100" s="191" t="str">
        <f>A92</f>
        <v>Uptake Scenario</v>
      </c>
      <c r="B100" s="191">
        <f t="shared" ref="B100:L100" si="12">B92</f>
        <v>2023</v>
      </c>
      <c r="C100" s="191">
        <f t="shared" si="12"/>
        <v>2024</v>
      </c>
      <c r="D100" s="191">
        <f t="shared" si="12"/>
        <v>2025</v>
      </c>
      <c r="E100" s="191">
        <f t="shared" si="12"/>
        <v>2026</v>
      </c>
      <c r="F100" s="191">
        <f t="shared" si="12"/>
        <v>2027</v>
      </c>
      <c r="G100" s="191">
        <f t="shared" si="12"/>
        <v>2028</v>
      </c>
      <c r="H100" s="191">
        <f t="shared" si="12"/>
        <v>2029</v>
      </c>
      <c r="I100" s="191">
        <f t="shared" si="12"/>
        <v>2030</v>
      </c>
      <c r="J100" s="191">
        <f t="shared" si="12"/>
        <v>2031</v>
      </c>
      <c r="K100" s="191">
        <f t="shared" si="12"/>
        <v>2032</v>
      </c>
      <c r="L100" s="191">
        <f t="shared" si="12"/>
        <v>2033</v>
      </c>
    </row>
    <row r="101" spans="1:13" ht="15.6" thickTop="1" thickBot="1">
      <c r="A101" s="193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37"/>
    </row>
    <row r="102" spans="1:13" ht="15" thickBot="1">
      <c r="A102" s="193" t="s">
        <v>111</v>
      </c>
      <c r="B102" s="194">
        <f ca="1">IF($H$1="",
SUMIFS('Customer Scenario Forecast'!B$22:B$1183,'Customer Scenario Forecast'!$C$20:$C$1181,'Incremental Network SummerFcast'!$A99)+
SUMIFS('Customer Scenario Forecast'!B$22:B$1183,'Customer Scenario Forecast'!$D$20:$D$1181,'Incremental Network SummerFcast'!$A99)+
SUMIFS('Customer Scenario Forecast'!B$22:B$1183,'Customer Scenario Forecast'!$E$20:$E$1181,'Incremental Network SummerFcast'!$A99),
SUMIFS('Customer Scenario Forecast'!B$22:B$1183,'Customer Scenario Forecast'!$C$20:$C$1181,'Incremental Network SummerFcast'!$A99,'Customer Scenario Forecast'!$H$20:$H$1181,'Incremental Network SummerFcast'!$H$1)+
SUMIFS('Customer Scenario Forecast'!B$22:B$1183,'Customer Scenario Forecast'!$D$20:$D$1181,'Incremental Network SummerFcast'!$A99,'Customer Scenario Forecast'!$H$20:$H$1181,'Incremental Network SummerFcast'!$H$1)+
SUMIFS('Customer Scenario Forecast'!B$22:B$1183,'Customer Scenario Forecast'!$E$20:$E$1181,'Incremental Network SummerFcast'!$A99,'Customer Scenario Forecast'!$H$20:$H$1181,'Incremental Network SummerFcast'!$H$1))</f>
        <v>0</v>
      </c>
      <c r="C102" s="194">
        <f ca="1">IF($H$1="",
SUMIFS('Customer Scenario Forecast'!C$22:C$1183,'Customer Scenario Forecast'!$C$20:$C$1181,'Incremental Network SummerFcast'!$A99)+
SUMIFS('Customer Scenario Forecast'!C$22:C$1183,'Customer Scenario Forecast'!$D$20:$D$1181,'Incremental Network SummerFcast'!$A99)+
SUMIFS('Customer Scenario Forecast'!C$22:C$1183,'Customer Scenario Forecast'!$E$20:$E$1181,'Incremental Network SummerFcast'!$A99),
SUMIFS('Customer Scenario Forecast'!C$22:C$1183,'Customer Scenario Forecast'!$C$20:$C$1181,'Incremental Network SummerFcast'!$A99,'Customer Scenario Forecast'!$H$20:$H$1181,'Incremental Network SummerFcast'!$H$1)+
SUMIFS('Customer Scenario Forecast'!C$22:C$1183,'Customer Scenario Forecast'!$D$20:$D$1181,'Incremental Network SummerFcast'!$A99,'Customer Scenario Forecast'!$H$20:$H$1181,'Incremental Network SummerFcast'!$H$1)+
SUMIFS('Customer Scenario Forecast'!C$22:C$1183,'Customer Scenario Forecast'!$E$20:$E$1181,'Incremental Network SummerFcast'!$A99,'Customer Scenario Forecast'!$H$20:$H$1181,'Incremental Network SummerFcast'!$H$1))</f>
        <v>0</v>
      </c>
      <c r="D102" s="194">
        <f ca="1">IF($H$1="",
SUMIFS('Customer Scenario Forecast'!D$22:D$1183,'Customer Scenario Forecast'!$C$20:$C$1181,'Incremental Network SummerFcast'!$A99)+
SUMIFS('Customer Scenario Forecast'!D$22:D$1183,'Customer Scenario Forecast'!$D$20:$D$1181,'Incremental Network SummerFcast'!$A99)+
SUMIFS('Customer Scenario Forecast'!D$22:D$1183,'Customer Scenario Forecast'!$E$20:$E$1181,'Incremental Network SummerFcast'!$A99),
SUMIFS('Customer Scenario Forecast'!D$22:D$1183,'Customer Scenario Forecast'!$C$20:$C$1181,'Incremental Network SummerFcast'!$A99,'Customer Scenario Forecast'!$H$20:$H$1181,'Incremental Network SummerFcast'!$H$1)+
SUMIFS('Customer Scenario Forecast'!D$22:D$1183,'Customer Scenario Forecast'!$D$20:$D$1181,'Incremental Network SummerFcast'!$A99,'Customer Scenario Forecast'!$H$20:$H$1181,'Incremental Network SummerFcast'!$H$1)+
SUMIFS('Customer Scenario Forecast'!D$22:D$1183,'Customer Scenario Forecast'!$E$20:$E$1181,'Incremental Network SummerFcast'!$A99,'Customer Scenario Forecast'!$H$20:$H$1181,'Incremental Network SummerFcast'!$H$1))</f>
        <v>0</v>
      </c>
      <c r="E102" s="194">
        <f ca="1">IF($H$1="",
SUMIFS('Customer Scenario Forecast'!E$22:E$1183,'Customer Scenario Forecast'!$C$20:$C$1181,'Incremental Network SummerFcast'!$A99)+
SUMIFS('Customer Scenario Forecast'!E$22:E$1183,'Customer Scenario Forecast'!$D$20:$D$1181,'Incremental Network SummerFcast'!$A99)+
SUMIFS('Customer Scenario Forecast'!E$22:E$1183,'Customer Scenario Forecast'!$E$20:$E$1181,'Incremental Network SummerFcast'!$A99),
SUMIFS('Customer Scenario Forecast'!E$22:E$1183,'Customer Scenario Forecast'!$C$20:$C$1181,'Incremental Network SummerFcast'!$A99,'Customer Scenario Forecast'!$H$20:$H$1181,'Incremental Network SummerFcast'!$H$1)+
SUMIFS('Customer Scenario Forecast'!E$22:E$1183,'Customer Scenario Forecast'!$D$20:$D$1181,'Incremental Network SummerFcast'!$A99,'Customer Scenario Forecast'!$H$20:$H$1181,'Incremental Network SummerFcast'!$H$1)+
SUMIFS('Customer Scenario Forecast'!E$22:E$1183,'Customer Scenario Forecast'!$E$20:$E$1181,'Incremental Network SummerFcast'!$A99,'Customer Scenario Forecast'!$H$20:$H$1181,'Incremental Network SummerFcast'!$H$1))</f>
        <v>0</v>
      </c>
      <c r="F102" s="194">
        <f ca="1">IF($H$1="",
SUMIFS('Customer Scenario Forecast'!F$22:F$1183,'Customer Scenario Forecast'!$C$20:$C$1181,'Incremental Network SummerFcast'!$A99)+
SUMIFS('Customer Scenario Forecast'!F$22:F$1183,'Customer Scenario Forecast'!$D$20:$D$1181,'Incremental Network SummerFcast'!$A99)+
SUMIFS('Customer Scenario Forecast'!F$22:F$1183,'Customer Scenario Forecast'!$E$20:$E$1181,'Incremental Network SummerFcast'!$A99),
SUMIFS('Customer Scenario Forecast'!F$22:F$1183,'Customer Scenario Forecast'!$C$20:$C$1181,'Incremental Network SummerFcast'!$A99,'Customer Scenario Forecast'!$H$20:$H$1181,'Incremental Network SummerFcast'!$H$1)+
SUMIFS('Customer Scenario Forecast'!F$22:F$1183,'Customer Scenario Forecast'!$D$20:$D$1181,'Incremental Network SummerFcast'!$A99,'Customer Scenario Forecast'!$H$20:$H$1181,'Incremental Network SummerFcast'!$H$1)+
SUMIFS('Customer Scenario Forecast'!F$22:F$1183,'Customer Scenario Forecast'!$E$20:$E$1181,'Incremental Network SummerFcast'!$A99,'Customer Scenario Forecast'!$H$20:$H$1181,'Incremental Network SummerFcast'!$H$1))</f>
        <v>0</v>
      </c>
      <c r="G102" s="194">
        <f ca="1">IF($H$1="",
SUMIFS('Customer Scenario Forecast'!G$22:G$1183,'Customer Scenario Forecast'!$C$20:$C$1181,'Incremental Network SummerFcast'!$A99)+
SUMIFS('Customer Scenario Forecast'!G$22:G$1183,'Customer Scenario Forecast'!$D$20:$D$1181,'Incremental Network SummerFcast'!$A99)+
SUMIFS('Customer Scenario Forecast'!G$22:G$1183,'Customer Scenario Forecast'!$E$20:$E$1181,'Incremental Network SummerFcast'!$A99),
SUMIFS('Customer Scenario Forecast'!G$22:G$1183,'Customer Scenario Forecast'!$C$20:$C$1181,'Incremental Network SummerFcast'!$A99,'Customer Scenario Forecast'!$H$20:$H$1181,'Incremental Network SummerFcast'!$H$1)+
SUMIFS('Customer Scenario Forecast'!G$22:G$1183,'Customer Scenario Forecast'!$D$20:$D$1181,'Incremental Network SummerFcast'!$A99,'Customer Scenario Forecast'!$H$20:$H$1181,'Incremental Network SummerFcast'!$H$1)+
SUMIFS('Customer Scenario Forecast'!G$22:G$1183,'Customer Scenario Forecast'!$E$20:$E$1181,'Incremental Network SummerFcast'!$A99,'Customer Scenario Forecast'!$H$20:$H$1181,'Incremental Network SummerFcast'!$H$1))</f>
        <v>0</v>
      </c>
      <c r="H102" s="194">
        <f ca="1">IF($H$1="",
SUMIFS('Customer Scenario Forecast'!H$22:H$1183,'Customer Scenario Forecast'!$C$20:$C$1181,'Incremental Network SummerFcast'!$A99)+
SUMIFS('Customer Scenario Forecast'!H$22:H$1183,'Customer Scenario Forecast'!$D$20:$D$1181,'Incremental Network SummerFcast'!$A99)+
SUMIFS('Customer Scenario Forecast'!H$22:H$1183,'Customer Scenario Forecast'!$E$20:$E$1181,'Incremental Network SummerFcast'!$A99),
SUMIFS('Customer Scenario Forecast'!H$22:H$1183,'Customer Scenario Forecast'!$C$20:$C$1181,'Incremental Network SummerFcast'!$A99,'Customer Scenario Forecast'!$H$20:$H$1181,'Incremental Network SummerFcast'!$H$1)+
SUMIFS('Customer Scenario Forecast'!H$22:H$1183,'Customer Scenario Forecast'!$D$20:$D$1181,'Incremental Network SummerFcast'!$A99,'Customer Scenario Forecast'!$H$20:$H$1181,'Incremental Network SummerFcast'!$H$1)+
SUMIFS('Customer Scenario Forecast'!H$22:H$1183,'Customer Scenario Forecast'!$E$20:$E$1181,'Incremental Network SummerFcast'!$A99,'Customer Scenario Forecast'!$H$20:$H$1181,'Incremental Network SummerFcast'!$H$1))</f>
        <v>0</v>
      </c>
      <c r="I102" s="194">
        <f ca="1">IF($H$1="",
SUMIFS('Customer Scenario Forecast'!I$22:I$1183,'Customer Scenario Forecast'!$C$20:$C$1181,'Incremental Network SummerFcast'!$A99)+
SUMIFS('Customer Scenario Forecast'!I$22:I$1183,'Customer Scenario Forecast'!$D$20:$D$1181,'Incremental Network SummerFcast'!$A99)+
SUMIFS('Customer Scenario Forecast'!I$22:I$1183,'Customer Scenario Forecast'!$E$20:$E$1181,'Incremental Network SummerFcast'!$A99),
SUMIFS('Customer Scenario Forecast'!I$22:I$1183,'Customer Scenario Forecast'!$C$20:$C$1181,'Incremental Network SummerFcast'!$A99,'Customer Scenario Forecast'!$H$20:$H$1181,'Incremental Network SummerFcast'!$H$1)+
SUMIFS('Customer Scenario Forecast'!I$22:I$1183,'Customer Scenario Forecast'!$D$20:$D$1181,'Incremental Network SummerFcast'!$A99,'Customer Scenario Forecast'!$H$20:$H$1181,'Incremental Network SummerFcast'!$H$1)+
SUMIFS('Customer Scenario Forecast'!I$22:I$1183,'Customer Scenario Forecast'!$E$20:$E$1181,'Incremental Network SummerFcast'!$A99,'Customer Scenario Forecast'!$H$20:$H$1181,'Incremental Network SummerFcast'!$H$1))</f>
        <v>0</v>
      </c>
      <c r="J102" s="194">
        <f ca="1">IF($H$1="",
SUMIFS('Customer Scenario Forecast'!J$22:J$1183,'Customer Scenario Forecast'!$C$20:$C$1181,'Incremental Network SummerFcast'!$A99)+
SUMIFS('Customer Scenario Forecast'!J$22:J$1183,'Customer Scenario Forecast'!$D$20:$D$1181,'Incremental Network SummerFcast'!$A99)+
SUMIFS('Customer Scenario Forecast'!J$22:J$1183,'Customer Scenario Forecast'!$E$20:$E$1181,'Incremental Network SummerFcast'!$A99),
SUMIFS('Customer Scenario Forecast'!J$22:J$1183,'Customer Scenario Forecast'!$C$20:$C$1181,'Incremental Network SummerFcast'!$A99,'Customer Scenario Forecast'!$H$20:$H$1181,'Incremental Network SummerFcast'!$H$1)+
SUMIFS('Customer Scenario Forecast'!J$22:J$1183,'Customer Scenario Forecast'!$D$20:$D$1181,'Incremental Network SummerFcast'!$A99,'Customer Scenario Forecast'!$H$20:$H$1181,'Incremental Network SummerFcast'!$H$1)+
SUMIFS('Customer Scenario Forecast'!J$22:J$1183,'Customer Scenario Forecast'!$E$20:$E$1181,'Incremental Network SummerFcast'!$A99,'Customer Scenario Forecast'!$H$20:$H$1181,'Incremental Network SummerFcast'!$H$1))</f>
        <v>0</v>
      </c>
      <c r="K102" s="194">
        <f ca="1">IF($H$1="",
SUMIFS('Customer Scenario Forecast'!K$22:K$1183,'Customer Scenario Forecast'!$C$20:$C$1181,'Incremental Network SummerFcast'!$A99)+
SUMIFS('Customer Scenario Forecast'!K$22:K$1183,'Customer Scenario Forecast'!$D$20:$D$1181,'Incremental Network SummerFcast'!$A99)+
SUMIFS('Customer Scenario Forecast'!K$22:K$1183,'Customer Scenario Forecast'!$E$20:$E$1181,'Incremental Network SummerFcast'!$A99),
SUMIFS('Customer Scenario Forecast'!K$22:K$1183,'Customer Scenario Forecast'!$C$20:$C$1181,'Incremental Network SummerFcast'!$A99,'Customer Scenario Forecast'!$H$20:$H$1181,'Incremental Network SummerFcast'!$H$1)+
SUMIFS('Customer Scenario Forecast'!K$22:K$1183,'Customer Scenario Forecast'!$D$20:$D$1181,'Incremental Network SummerFcast'!$A99,'Customer Scenario Forecast'!$H$20:$H$1181,'Incremental Network SummerFcast'!$H$1)+
SUMIFS('Customer Scenario Forecast'!K$22:K$1183,'Customer Scenario Forecast'!$E$20:$E$1181,'Incremental Network SummerFcast'!$A99,'Customer Scenario Forecast'!$H$20:$H$1181,'Incremental Network SummerFcast'!$H$1))</f>
        <v>0</v>
      </c>
      <c r="L102" s="194">
        <f ca="1">IF($H$1="",
SUMIFS('Customer Scenario Forecast'!L$22:L$1183,'Customer Scenario Forecast'!$C$20:$C$1181,'Incremental Network SummerFcast'!$A99)+
SUMIFS('Customer Scenario Forecast'!L$22:L$1183,'Customer Scenario Forecast'!$D$20:$D$1181,'Incremental Network SummerFcast'!$A99)+
SUMIFS('Customer Scenario Forecast'!L$22:L$1183,'Customer Scenario Forecast'!$E$20:$E$1181,'Incremental Network SummerFcast'!$A99),
SUMIFS('Customer Scenario Forecast'!L$22:L$1183,'Customer Scenario Forecast'!$C$20:$C$1181,'Incremental Network SummerFcast'!$A99,'Customer Scenario Forecast'!$H$20:$H$1181,'Incremental Network SummerFcast'!$H$1)+
SUMIFS('Customer Scenario Forecast'!L$22:L$1183,'Customer Scenario Forecast'!$D$20:$D$1181,'Incremental Network SummerFcast'!$A99,'Customer Scenario Forecast'!$H$20:$H$1181,'Incremental Network SummerFcast'!$H$1)+
SUMIFS('Customer Scenario Forecast'!L$22:L$1183,'Customer Scenario Forecast'!$E$20:$E$1181,'Incremental Network SummerFcast'!$A99,'Customer Scenario Forecast'!$H$20:$H$1181,'Incremental Network SummerFcast'!$H$1))</f>
        <v>0</v>
      </c>
      <c r="M102" s="37"/>
    </row>
    <row r="103" spans="1:13" ht="15" thickBot="1">
      <c r="A103" s="195" t="s">
        <v>107</v>
      </c>
      <c r="B103" s="196">
        <f ca="1">IF($H$1="",
1*(
SUMIFS('Customer Scenario Forecast'!B$23:B$1184,'Customer Scenario Forecast'!$C$20:$C$1181,'Incremental Network SummerFcast'!$A99)+
SUMIFS('Customer Scenario Forecast'!B$23:B$1184,'Customer Scenario Forecast'!$D$20:$D$1181,'Incremental Network SummerFcast'!$A99)+
SUMIFS('Customer Scenario Forecast'!B$23:B$1184,'Customer Scenario Forecast'!$E$20:$E$1181,'Incremental Network SummerFcast'!$A99)+B101),
1*(
SUMIFS('Customer Scenario Forecast'!B$23:B$1184,'Customer Scenario Forecast'!$C$20:$C$1181,'Incremental Network SummerFcast'!$A99,'Customer Scenario Forecast'!$H$20:$H$1181,'Incremental Network SummerFcast'!$H$1)+
SUMIFS('Customer Scenario Forecast'!B$23:B$1184,'Customer Scenario Forecast'!$D$20:$D$1181,'Incremental Network SummerFcast'!$A99,'Customer Scenario Forecast'!$H$20:$H$1181,'Incremental Network SummerFcast'!$H$1)+
SUMIFS('Customer Scenario Forecast'!B$23:B$1184,'Customer Scenario Forecast'!$E$20:$E$1181,'Incremental Network SummerFcast'!$A99,'Customer Scenario Forecast'!$H$20:$H$1181,'Incremental Network SummerFcast'!$H$1)+B101))</f>
        <v>0</v>
      </c>
      <c r="C103" s="196">
        <f ca="1">IF($H$1="",
1*(
SUMIFS('Customer Scenario Forecast'!C$23:C$1184,'Customer Scenario Forecast'!$C$20:$C$1181,'Incremental Network SummerFcast'!$A99)+
SUMIFS('Customer Scenario Forecast'!C$23:C$1184,'Customer Scenario Forecast'!$D$20:$D$1181,'Incremental Network SummerFcast'!$A99)+
SUMIFS('Customer Scenario Forecast'!C$23:C$1184,'Customer Scenario Forecast'!$E$20:$E$1181,'Incremental Network SummerFcast'!$A99)+C101),
1*(
SUMIFS('Customer Scenario Forecast'!C$23:C$1184,'Customer Scenario Forecast'!$C$20:$C$1181,'Incremental Network SummerFcast'!$A99,'Customer Scenario Forecast'!$H$20:$H$1181,'Incremental Network SummerFcast'!$H$1)+
SUMIFS('Customer Scenario Forecast'!C$23:C$1184,'Customer Scenario Forecast'!$D$20:$D$1181,'Incremental Network SummerFcast'!$A99,'Customer Scenario Forecast'!$H$20:$H$1181,'Incremental Network SummerFcast'!$H$1)+
SUMIFS('Customer Scenario Forecast'!C$23:C$1184,'Customer Scenario Forecast'!$E$20:$E$1181,'Incremental Network SummerFcast'!$A99,'Customer Scenario Forecast'!$H$20:$H$1181,'Incremental Network SummerFcast'!$H$1)+C101))</f>
        <v>0</v>
      </c>
      <c r="D103" s="196">
        <f ca="1">IF($H$1="",
1*(
SUMIFS('Customer Scenario Forecast'!D$23:D$1184,'Customer Scenario Forecast'!$C$20:$C$1181,'Incremental Network SummerFcast'!$A99)+
SUMIFS('Customer Scenario Forecast'!D$23:D$1184,'Customer Scenario Forecast'!$D$20:$D$1181,'Incremental Network SummerFcast'!$A99)+
SUMIFS('Customer Scenario Forecast'!D$23:D$1184,'Customer Scenario Forecast'!$E$20:$E$1181,'Incremental Network SummerFcast'!$A99)+D101),
1*(
SUMIFS('Customer Scenario Forecast'!D$23:D$1184,'Customer Scenario Forecast'!$C$20:$C$1181,'Incremental Network SummerFcast'!$A99,'Customer Scenario Forecast'!$H$20:$H$1181,'Incremental Network SummerFcast'!$H$1)+
SUMIFS('Customer Scenario Forecast'!D$23:D$1184,'Customer Scenario Forecast'!$D$20:$D$1181,'Incremental Network SummerFcast'!$A99,'Customer Scenario Forecast'!$H$20:$H$1181,'Incremental Network SummerFcast'!$H$1)+
SUMIFS('Customer Scenario Forecast'!D$23:D$1184,'Customer Scenario Forecast'!$E$20:$E$1181,'Incremental Network SummerFcast'!$A99,'Customer Scenario Forecast'!$H$20:$H$1181,'Incremental Network SummerFcast'!$H$1)+D101))</f>
        <v>0</v>
      </c>
      <c r="E103" s="196">
        <f ca="1">IF($H$1="",
1*(
SUMIFS('Customer Scenario Forecast'!E$23:E$1184,'Customer Scenario Forecast'!$C$20:$C$1181,'Incremental Network SummerFcast'!$A99)+
SUMIFS('Customer Scenario Forecast'!E$23:E$1184,'Customer Scenario Forecast'!$D$20:$D$1181,'Incremental Network SummerFcast'!$A99)+
SUMIFS('Customer Scenario Forecast'!E$23:E$1184,'Customer Scenario Forecast'!$E$20:$E$1181,'Incremental Network SummerFcast'!$A99)+E101),
1*(
SUMIFS('Customer Scenario Forecast'!E$23:E$1184,'Customer Scenario Forecast'!$C$20:$C$1181,'Incremental Network SummerFcast'!$A99,'Customer Scenario Forecast'!$H$20:$H$1181,'Incremental Network SummerFcast'!$H$1)+
SUMIFS('Customer Scenario Forecast'!E$23:E$1184,'Customer Scenario Forecast'!$D$20:$D$1181,'Incremental Network SummerFcast'!$A99,'Customer Scenario Forecast'!$H$20:$H$1181,'Incremental Network SummerFcast'!$H$1)+
SUMIFS('Customer Scenario Forecast'!E$23:E$1184,'Customer Scenario Forecast'!$E$20:$E$1181,'Incremental Network SummerFcast'!$A99,'Customer Scenario Forecast'!$H$20:$H$1181,'Incremental Network SummerFcast'!$H$1)+E101))</f>
        <v>0</v>
      </c>
      <c r="F103" s="196">
        <f ca="1">IF($H$1="",
1*(
SUMIFS('Customer Scenario Forecast'!F$23:F$1184,'Customer Scenario Forecast'!$C$20:$C$1181,'Incremental Network SummerFcast'!$A99)+
SUMIFS('Customer Scenario Forecast'!F$23:F$1184,'Customer Scenario Forecast'!$D$20:$D$1181,'Incremental Network SummerFcast'!$A99)+
SUMIFS('Customer Scenario Forecast'!F$23:F$1184,'Customer Scenario Forecast'!$E$20:$E$1181,'Incremental Network SummerFcast'!$A99)+F101),
1*(
SUMIFS('Customer Scenario Forecast'!F$23:F$1184,'Customer Scenario Forecast'!$C$20:$C$1181,'Incremental Network SummerFcast'!$A99,'Customer Scenario Forecast'!$H$20:$H$1181,'Incremental Network SummerFcast'!$H$1)+
SUMIFS('Customer Scenario Forecast'!F$23:F$1184,'Customer Scenario Forecast'!$D$20:$D$1181,'Incremental Network SummerFcast'!$A99,'Customer Scenario Forecast'!$H$20:$H$1181,'Incremental Network SummerFcast'!$H$1)+
SUMIFS('Customer Scenario Forecast'!F$23:F$1184,'Customer Scenario Forecast'!$E$20:$E$1181,'Incremental Network SummerFcast'!$A99,'Customer Scenario Forecast'!$H$20:$H$1181,'Incremental Network SummerFcast'!$H$1)+F101))</f>
        <v>0</v>
      </c>
      <c r="G103" s="196">
        <f ca="1">IF($H$1="",
1*(
SUMIFS('Customer Scenario Forecast'!G$23:G$1184,'Customer Scenario Forecast'!$C$20:$C$1181,'Incremental Network SummerFcast'!$A99)+
SUMIFS('Customer Scenario Forecast'!G$23:G$1184,'Customer Scenario Forecast'!$D$20:$D$1181,'Incremental Network SummerFcast'!$A99)+
SUMIFS('Customer Scenario Forecast'!G$23:G$1184,'Customer Scenario Forecast'!$E$20:$E$1181,'Incremental Network SummerFcast'!$A99)+G101),
1*(
SUMIFS('Customer Scenario Forecast'!G$23:G$1184,'Customer Scenario Forecast'!$C$20:$C$1181,'Incremental Network SummerFcast'!$A99,'Customer Scenario Forecast'!$H$20:$H$1181,'Incremental Network SummerFcast'!$H$1)+
SUMIFS('Customer Scenario Forecast'!G$23:G$1184,'Customer Scenario Forecast'!$D$20:$D$1181,'Incremental Network SummerFcast'!$A99,'Customer Scenario Forecast'!$H$20:$H$1181,'Incremental Network SummerFcast'!$H$1)+
SUMIFS('Customer Scenario Forecast'!G$23:G$1184,'Customer Scenario Forecast'!$E$20:$E$1181,'Incremental Network SummerFcast'!$A99,'Customer Scenario Forecast'!$H$20:$H$1181,'Incremental Network SummerFcast'!$H$1)+G101))</f>
        <v>0</v>
      </c>
      <c r="H103" s="196">
        <f ca="1">IF($H$1="",
1*(
SUMIFS('Customer Scenario Forecast'!H$23:H$1184,'Customer Scenario Forecast'!$C$20:$C$1181,'Incremental Network SummerFcast'!$A99)+
SUMIFS('Customer Scenario Forecast'!H$23:H$1184,'Customer Scenario Forecast'!$D$20:$D$1181,'Incremental Network SummerFcast'!$A99)+
SUMIFS('Customer Scenario Forecast'!H$23:H$1184,'Customer Scenario Forecast'!$E$20:$E$1181,'Incremental Network SummerFcast'!$A99)+H101),
1*(
SUMIFS('Customer Scenario Forecast'!H$23:H$1184,'Customer Scenario Forecast'!$C$20:$C$1181,'Incremental Network SummerFcast'!$A99,'Customer Scenario Forecast'!$H$20:$H$1181,'Incremental Network SummerFcast'!$H$1)+
SUMIFS('Customer Scenario Forecast'!H$23:H$1184,'Customer Scenario Forecast'!$D$20:$D$1181,'Incremental Network SummerFcast'!$A99,'Customer Scenario Forecast'!$H$20:$H$1181,'Incremental Network SummerFcast'!$H$1)+
SUMIFS('Customer Scenario Forecast'!H$23:H$1184,'Customer Scenario Forecast'!$E$20:$E$1181,'Incremental Network SummerFcast'!$A99,'Customer Scenario Forecast'!$H$20:$H$1181,'Incremental Network SummerFcast'!$H$1)+H101))</f>
        <v>0</v>
      </c>
      <c r="I103" s="196">
        <f ca="1">IF($H$1="",
1*(
SUMIFS('Customer Scenario Forecast'!I$23:I$1184,'Customer Scenario Forecast'!$C$20:$C$1181,'Incremental Network SummerFcast'!$A99)+
SUMIFS('Customer Scenario Forecast'!I$23:I$1184,'Customer Scenario Forecast'!$D$20:$D$1181,'Incremental Network SummerFcast'!$A99)+
SUMIFS('Customer Scenario Forecast'!I$23:I$1184,'Customer Scenario Forecast'!$E$20:$E$1181,'Incremental Network SummerFcast'!$A99)+I101),
1*(
SUMIFS('Customer Scenario Forecast'!I$23:I$1184,'Customer Scenario Forecast'!$C$20:$C$1181,'Incremental Network SummerFcast'!$A99,'Customer Scenario Forecast'!$H$20:$H$1181,'Incremental Network SummerFcast'!$H$1)+
SUMIFS('Customer Scenario Forecast'!I$23:I$1184,'Customer Scenario Forecast'!$D$20:$D$1181,'Incremental Network SummerFcast'!$A99,'Customer Scenario Forecast'!$H$20:$H$1181,'Incremental Network SummerFcast'!$H$1)+
SUMIFS('Customer Scenario Forecast'!I$23:I$1184,'Customer Scenario Forecast'!$E$20:$E$1181,'Incremental Network SummerFcast'!$A99,'Customer Scenario Forecast'!$H$20:$H$1181,'Incremental Network SummerFcast'!$H$1)+I101))</f>
        <v>0</v>
      </c>
      <c r="J103" s="196">
        <f ca="1">IF($H$1="",
1*(
SUMIFS('Customer Scenario Forecast'!J$23:J$1184,'Customer Scenario Forecast'!$C$20:$C$1181,'Incremental Network SummerFcast'!$A99)+
SUMIFS('Customer Scenario Forecast'!J$23:J$1184,'Customer Scenario Forecast'!$D$20:$D$1181,'Incremental Network SummerFcast'!$A99)+
SUMIFS('Customer Scenario Forecast'!J$23:J$1184,'Customer Scenario Forecast'!$E$20:$E$1181,'Incremental Network SummerFcast'!$A99)+J101),
1*(
SUMIFS('Customer Scenario Forecast'!J$23:J$1184,'Customer Scenario Forecast'!$C$20:$C$1181,'Incremental Network SummerFcast'!$A99,'Customer Scenario Forecast'!$H$20:$H$1181,'Incremental Network SummerFcast'!$H$1)+
SUMIFS('Customer Scenario Forecast'!J$23:J$1184,'Customer Scenario Forecast'!$D$20:$D$1181,'Incremental Network SummerFcast'!$A99,'Customer Scenario Forecast'!$H$20:$H$1181,'Incremental Network SummerFcast'!$H$1)+
SUMIFS('Customer Scenario Forecast'!J$23:J$1184,'Customer Scenario Forecast'!$E$20:$E$1181,'Incremental Network SummerFcast'!$A99,'Customer Scenario Forecast'!$H$20:$H$1181,'Incremental Network SummerFcast'!$H$1)+J101))</f>
        <v>0</v>
      </c>
      <c r="K103" s="196">
        <f ca="1">IF($H$1="",
1*(
SUMIFS('Customer Scenario Forecast'!K$23:K$1184,'Customer Scenario Forecast'!$C$20:$C$1181,'Incremental Network SummerFcast'!$A99)+
SUMIFS('Customer Scenario Forecast'!K$23:K$1184,'Customer Scenario Forecast'!$D$20:$D$1181,'Incremental Network SummerFcast'!$A99)+
SUMIFS('Customer Scenario Forecast'!K$23:K$1184,'Customer Scenario Forecast'!$E$20:$E$1181,'Incremental Network SummerFcast'!$A99)+K101),
1*(
SUMIFS('Customer Scenario Forecast'!K$23:K$1184,'Customer Scenario Forecast'!$C$20:$C$1181,'Incremental Network SummerFcast'!$A99,'Customer Scenario Forecast'!$H$20:$H$1181,'Incremental Network SummerFcast'!$H$1)+
SUMIFS('Customer Scenario Forecast'!K$23:K$1184,'Customer Scenario Forecast'!$D$20:$D$1181,'Incremental Network SummerFcast'!$A99,'Customer Scenario Forecast'!$H$20:$H$1181,'Incremental Network SummerFcast'!$H$1)+
SUMIFS('Customer Scenario Forecast'!K$23:K$1184,'Customer Scenario Forecast'!$E$20:$E$1181,'Incremental Network SummerFcast'!$A99,'Customer Scenario Forecast'!$H$20:$H$1181,'Incremental Network SummerFcast'!$H$1)+K101))</f>
        <v>0</v>
      </c>
      <c r="L103" s="196">
        <f ca="1">IF($H$1="",
1*(
SUMIFS('Customer Scenario Forecast'!L$23:L$1184,'Customer Scenario Forecast'!$C$20:$C$1181,'Incremental Network SummerFcast'!$A99)+
SUMIFS('Customer Scenario Forecast'!L$23:L$1184,'Customer Scenario Forecast'!$D$20:$D$1181,'Incremental Network SummerFcast'!$A99)+
SUMIFS('Customer Scenario Forecast'!L$23:L$1184,'Customer Scenario Forecast'!$E$20:$E$1181,'Incremental Network SummerFcast'!$A99)+L101),
1*(
SUMIFS('Customer Scenario Forecast'!L$23:L$1184,'Customer Scenario Forecast'!$C$20:$C$1181,'Incremental Network SummerFcast'!$A99,'Customer Scenario Forecast'!$H$20:$H$1181,'Incremental Network SummerFcast'!$H$1)+
SUMIFS('Customer Scenario Forecast'!L$23:L$1184,'Customer Scenario Forecast'!$D$20:$D$1181,'Incremental Network SummerFcast'!$A99,'Customer Scenario Forecast'!$H$20:$H$1181,'Incremental Network SummerFcast'!$H$1)+
SUMIFS('Customer Scenario Forecast'!L$23:L$1184,'Customer Scenario Forecast'!$E$20:$E$1181,'Incremental Network SummerFcast'!$A99,'Customer Scenario Forecast'!$H$20:$H$1181,'Incremental Network SummerFcast'!$H$1)+L101))</f>
        <v>0</v>
      </c>
    </row>
    <row r="104" spans="1:13" ht="15" thickBot="1">
      <c r="A104" s="195" t="s">
        <v>108</v>
      </c>
      <c r="B104" s="196">
        <f ca="1">IF($H$1="",
1*(
SUMIFS('Customer Scenario Forecast'!B$24:B$1185,'Customer Scenario Forecast'!$C$20:$C$1181,'Incremental Network SummerFcast'!$A99)+
SUMIFS('Customer Scenario Forecast'!B$24:B$1185,'Customer Scenario Forecast'!$D$20:$D$1181,'Incremental Network SummerFcast'!$A99)+
SUMIFS('Customer Scenario Forecast'!B$24:B$1185,'Customer Scenario Forecast'!$E$20:$E$1181,'Incremental Network SummerFcast'!$A99)+B101),
1*(
SUMIFS('Customer Scenario Forecast'!B$24:B$1185,'Customer Scenario Forecast'!$C$20:$C$1181,'Incremental Network SummerFcast'!$A99,'Customer Scenario Forecast'!$H$20:$H$1181,'Incremental Network SummerFcast'!$H$1)+
SUMIFS('Customer Scenario Forecast'!B$24:B$1185,'Customer Scenario Forecast'!$D$20:$D$1181,'Incremental Network SummerFcast'!$A99,'Customer Scenario Forecast'!$H$20:$H$1181,'Incremental Network SummerFcast'!$H$1)+
SUMIFS('Customer Scenario Forecast'!B$24:B$1185,'Customer Scenario Forecast'!$E$20:$E$1181,'Incremental Network SummerFcast'!$A99,'Customer Scenario Forecast'!$H$20:$H$1181,'Incremental Network SummerFcast'!$H$1)+B101))</f>
        <v>0</v>
      </c>
      <c r="C104" s="196">
        <f ca="1">IF($H$1="",
1*(
SUMIFS('Customer Scenario Forecast'!C$24:C$1185,'Customer Scenario Forecast'!$C$20:$C$1181,'Incremental Network SummerFcast'!$A99)+
SUMIFS('Customer Scenario Forecast'!C$24:C$1185,'Customer Scenario Forecast'!$D$20:$D$1181,'Incremental Network SummerFcast'!$A99)+
SUMIFS('Customer Scenario Forecast'!C$24:C$1185,'Customer Scenario Forecast'!$E$20:$E$1181,'Incremental Network SummerFcast'!$A99)+C101),
1*(
SUMIFS('Customer Scenario Forecast'!C$24:C$1185,'Customer Scenario Forecast'!$C$20:$C$1181,'Incremental Network SummerFcast'!$A99,'Customer Scenario Forecast'!$H$20:$H$1181,'Incremental Network SummerFcast'!$H$1)+
SUMIFS('Customer Scenario Forecast'!C$24:C$1185,'Customer Scenario Forecast'!$D$20:$D$1181,'Incremental Network SummerFcast'!$A99,'Customer Scenario Forecast'!$H$20:$H$1181,'Incremental Network SummerFcast'!$H$1)+
SUMIFS('Customer Scenario Forecast'!C$24:C$1185,'Customer Scenario Forecast'!$E$20:$E$1181,'Incremental Network SummerFcast'!$A99,'Customer Scenario Forecast'!$H$20:$H$1181,'Incremental Network SummerFcast'!$H$1)+C101))</f>
        <v>0</v>
      </c>
      <c r="D104" s="196">
        <f ca="1">IF($H$1="",
1*(
SUMIFS('Customer Scenario Forecast'!D$24:D$1185,'Customer Scenario Forecast'!$C$20:$C$1181,'Incremental Network SummerFcast'!$A99)+
SUMIFS('Customer Scenario Forecast'!D$24:D$1185,'Customer Scenario Forecast'!$D$20:$D$1181,'Incremental Network SummerFcast'!$A99)+
SUMIFS('Customer Scenario Forecast'!D$24:D$1185,'Customer Scenario Forecast'!$E$20:$E$1181,'Incremental Network SummerFcast'!$A99)+D101),
1*(
SUMIFS('Customer Scenario Forecast'!D$24:D$1185,'Customer Scenario Forecast'!$C$20:$C$1181,'Incremental Network SummerFcast'!$A99,'Customer Scenario Forecast'!$H$20:$H$1181,'Incremental Network SummerFcast'!$H$1)+
SUMIFS('Customer Scenario Forecast'!D$24:D$1185,'Customer Scenario Forecast'!$D$20:$D$1181,'Incremental Network SummerFcast'!$A99,'Customer Scenario Forecast'!$H$20:$H$1181,'Incremental Network SummerFcast'!$H$1)+
SUMIFS('Customer Scenario Forecast'!D$24:D$1185,'Customer Scenario Forecast'!$E$20:$E$1181,'Incremental Network SummerFcast'!$A99,'Customer Scenario Forecast'!$H$20:$H$1181,'Incremental Network SummerFcast'!$H$1)+D101))</f>
        <v>0</v>
      </c>
      <c r="E104" s="196">
        <f ca="1">IF($H$1="",
1*(
SUMIFS('Customer Scenario Forecast'!E$24:E$1185,'Customer Scenario Forecast'!$C$20:$C$1181,'Incremental Network SummerFcast'!$A99)+
SUMIFS('Customer Scenario Forecast'!E$24:E$1185,'Customer Scenario Forecast'!$D$20:$D$1181,'Incremental Network SummerFcast'!$A99)+
SUMIFS('Customer Scenario Forecast'!E$24:E$1185,'Customer Scenario Forecast'!$E$20:$E$1181,'Incremental Network SummerFcast'!$A99)+E101),
1*(
SUMIFS('Customer Scenario Forecast'!E$24:E$1185,'Customer Scenario Forecast'!$C$20:$C$1181,'Incremental Network SummerFcast'!$A99,'Customer Scenario Forecast'!$H$20:$H$1181,'Incremental Network SummerFcast'!$H$1)+
SUMIFS('Customer Scenario Forecast'!E$24:E$1185,'Customer Scenario Forecast'!$D$20:$D$1181,'Incremental Network SummerFcast'!$A99,'Customer Scenario Forecast'!$H$20:$H$1181,'Incremental Network SummerFcast'!$H$1)+
SUMIFS('Customer Scenario Forecast'!E$24:E$1185,'Customer Scenario Forecast'!$E$20:$E$1181,'Incremental Network SummerFcast'!$A99,'Customer Scenario Forecast'!$H$20:$H$1181,'Incremental Network SummerFcast'!$H$1)+E101))</f>
        <v>0</v>
      </c>
      <c r="F104" s="196">
        <f ca="1">IF($H$1="",
1*(
SUMIFS('Customer Scenario Forecast'!F$24:F$1185,'Customer Scenario Forecast'!$C$20:$C$1181,'Incremental Network SummerFcast'!$A99)+
SUMIFS('Customer Scenario Forecast'!F$24:F$1185,'Customer Scenario Forecast'!$D$20:$D$1181,'Incremental Network SummerFcast'!$A99)+
SUMIFS('Customer Scenario Forecast'!F$24:F$1185,'Customer Scenario Forecast'!$E$20:$E$1181,'Incremental Network SummerFcast'!$A99)+F101),
1*(
SUMIFS('Customer Scenario Forecast'!F$24:F$1185,'Customer Scenario Forecast'!$C$20:$C$1181,'Incremental Network SummerFcast'!$A99,'Customer Scenario Forecast'!$H$20:$H$1181,'Incremental Network SummerFcast'!$H$1)+
SUMIFS('Customer Scenario Forecast'!F$24:F$1185,'Customer Scenario Forecast'!$D$20:$D$1181,'Incremental Network SummerFcast'!$A99,'Customer Scenario Forecast'!$H$20:$H$1181,'Incremental Network SummerFcast'!$H$1)+
SUMIFS('Customer Scenario Forecast'!F$24:F$1185,'Customer Scenario Forecast'!$E$20:$E$1181,'Incremental Network SummerFcast'!$A99,'Customer Scenario Forecast'!$H$20:$H$1181,'Incremental Network SummerFcast'!$H$1)+F101))</f>
        <v>0</v>
      </c>
      <c r="G104" s="196">
        <f ca="1">IF($H$1="",
1*(
SUMIFS('Customer Scenario Forecast'!G$24:G$1185,'Customer Scenario Forecast'!$C$20:$C$1181,'Incremental Network SummerFcast'!$A99)+
SUMIFS('Customer Scenario Forecast'!G$24:G$1185,'Customer Scenario Forecast'!$D$20:$D$1181,'Incremental Network SummerFcast'!$A99)+
SUMIFS('Customer Scenario Forecast'!G$24:G$1185,'Customer Scenario Forecast'!$E$20:$E$1181,'Incremental Network SummerFcast'!$A99)+G101),
1*(
SUMIFS('Customer Scenario Forecast'!G$24:G$1185,'Customer Scenario Forecast'!$C$20:$C$1181,'Incremental Network SummerFcast'!$A99,'Customer Scenario Forecast'!$H$20:$H$1181,'Incremental Network SummerFcast'!$H$1)+
SUMIFS('Customer Scenario Forecast'!G$24:G$1185,'Customer Scenario Forecast'!$D$20:$D$1181,'Incremental Network SummerFcast'!$A99,'Customer Scenario Forecast'!$H$20:$H$1181,'Incremental Network SummerFcast'!$H$1)+
SUMIFS('Customer Scenario Forecast'!G$24:G$1185,'Customer Scenario Forecast'!$E$20:$E$1181,'Incremental Network SummerFcast'!$A99,'Customer Scenario Forecast'!$H$20:$H$1181,'Incremental Network SummerFcast'!$H$1)+G101))</f>
        <v>0</v>
      </c>
      <c r="H104" s="196">
        <f ca="1">IF($H$1="",
1*(
SUMIFS('Customer Scenario Forecast'!H$24:H$1185,'Customer Scenario Forecast'!$C$20:$C$1181,'Incremental Network SummerFcast'!$A99)+
SUMIFS('Customer Scenario Forecast'!H$24:H$1185,'Customer Scenario Forecast'!$D$20:$D$1181,'Incremental Network SummerFcast'!$A99)+
SUMIFS('Customer Scenario Forecast'!H$24:H$1185,'Customer Scenario Forecast'!$E$20:$E$1181,'Incremental Network SummerFcast'!$A99)+H101),
1*(
SUMIFS('Customer Scenario Forecast'!H$24:H$1185,'Customer Scenario Forecast'!$C$20:$C$1181,'Incremental Network SummerFcast'!$A99,'Customer Scenario Forecast'!$H$20:$H$1181,'Incremental Network SummerFcast'!$H$1)+
SUMIFS('Customer Scenario Forecast'!H$24:H$1185,'Customer Scenario Forecast'!$D$20:$D$1181,'Incremental Network SummerFcast'!$A99,'Customer Scenario Forecast'!$H$20:$H$1181,'Incremental Network SummerFcast'!$H$1)+
SUMIFS('Customer Scenario Forecast'!H$24:H$1185,'Customer Scenario Forecast'!$E$20:$E$1181,'Incremental Network SummerFcast'!$A99,'Customer Scenario Forecast'!$H$20:$H$1181,'Incremental Network SummerFcast'!$H$1)+H101))</f>
        <v>0</v>
      </c>
      <c r="I104" s="196">
        <f ca="1">IF($H$1="",
1*(
SUMIFS('Customer Scenario Forecast'!I$24:I$1185,'Customer Scenario Forecast'!$C$20:$C$1181,'Incremental Network SummerFcast'!$A99)+
SUMIFS('Customer Scenario Forecast'!I$24:I$1185,'Customer Scenario Forecast'!$D$20:$D$1181,'Incremental Network SummerFcast'!$A99)+
SUMIFS('Customer Scenario Forecast'!I$24:I$1185,'Customer Scenario Forecast'!$E$20:$E$1181,'Incremental Network SummerFcast'!$A99)+I101),
1*(
SUMIFS('Customer Scenario Forecast'!I$24:I$1185,'Customer Scenario Forecast'!$C$20:$C$1181,'Incremental Network SummerFcast'!$A99,'Customer Scenario Forecast'!$H$20:$H$1181,'Incremental Network SummerFcast'!$H$1)+
SUMIFS('Customer Scenario Forecast'!I$24:I$1185,'Customer Scenario Forecast'!$D$20:$D$1181,'Incremental Network SummerFcast'!$A99,'Customer Scenario Forecast'!$H$20:$H$1181,'Incremental Network SummerFcast'!$H$1)+
SUMIFS('Customer Scenario Forecast'!I$24:I$1185,'Customer Scenario Forecast'!$E$20:$E$1181,'Incremental Network SummerFcast'!$A99,'Customer Scenario Forecast'!$H$20:$H$1181,'Incremental Network SummerFcast'!$H$1)+I101))</f>
        <v>0</v>
      </c>
      <c r="J104" s="196">
        <f ca="1">IF($H$1="",
1*(
SUMIFS('Customer Scenario Forecast'!J$24:J$1185,'Customer Scenario Forecast'!$C$20:$C$1181,'Incremental Network SummerFcast'!$A99)+
SUMIFS('Customer Scenario Forecast'!J$24:J$1185,'Customer Scenario Forecast'!$D$20:$D$1181,'Incremental Network SummerFcast'!$A99)+
SUMIFS('Customer Scenario Forecast'!J$24:J$1185,'Customer Scenario Forecast'!$E$20:$E$1181,'Incremental Network SummerFcast'!$A99)+J101),
1*(
SUMIFS('Customer Scenario Forecast'!J$24:J$1185,'Customer Scenario Forecast'!$C$20:$C$1181,'Incremental Network SummerFcast'!$A99,'Customer Scenario Forecast'!$H$20:$H$1181,'Incremental Network SummerFcast'!$H$1)+
SUMIFS('Customer Scenario Forecast'!J$24:J$1185,'Customer Scenario Forecast'!$D$20:$D$1181,'Incremental Network SummerFcast'!$A99,'Customer Scenario Forecast'!$H$20:$H$1181,'Incremental Network SummerFcast'!$H$1)+
SUMIFS('Customer Scenario Forecast'!J$24:J$1185,'Customer Scenario Forecast'!$E$20:$E$1181,'Incremental Network SummerFcast'!$A99,'Customer Scenario Forecast'!$H$20:$H$1181,'Incremental Network SummerFcast'!$H$1)+J101))</f>
        <v>0</v>
      </c>
      <c r="K104" s="196">
        <f ca="1">IF($H$1="",
1*(
SUMIFS('Customer Scenario Forecast'!K$24:K$1185,'Customer Scenario Forecast'!$C$20:$C$1181,'Incremental Network SummerFcast'!$A99)+
SUMIFS('Customer Scenario Forecast'!K$24:K$1185,'Customer Scenario Forecast'!$D$20:$D$1181,'Incremental Network SummerFcast'!$A99)+
SUMIFS('Customer Scenario Forecast'!K$24:K$1185,'Customer Scenario Forecast'!$E$20:$E$1181,'Incremental Network SummerFcast'!$A99)+K101),
1*(
SUMIFS('Customer Scenario Forecast'!K$24:K$1185,'Customer Scenario Forecast'!$C$20:$C$1181,'Incremental Network SummerFcast'!$A99,'Customer Scenario Forecast'!$H$20:$H$1181,'Incremental Network SummerFcast'!$H$1)+
SUMIFS('Customer Scenario Forecast'!K$24:K$1185,'Customer Scenario Forecast'!$D$20:$D$1181,'Incremental Network SummerFcast'!$A99,'Customer Scenario Forecast'!$H$20:$H$1181,'Incremental Network SummerFcast'!$H$1)+
SUMIFS('Customer Scenario Forecast'!K$24:K$1185,'Customer Scenario Forecast'!$E$20:$E$1181,'Incremental Network SummerFcast'!$A99,'Customer Scenario Forecast'!$H$20:$H$1181,'Incremental Network SummerFcast'!$H$1)+K101))</f>
        <v>0</v>
      </c>
      <c r="L104" s="196">
        <f ca="1">IF($H$1="",
1*(
SUMIFS('Customer Scenario Forecast'!L$24:L$1185,'Customer Scenario Forecast'!$C$20:$C$1181,'Incremental Network SummerFcast'!$A99)+
SUMIFS('Customer Scenario Forecast'!L$24:L$1185,'Customer Scenario Forecast'!$D$20:$D$1181,'Incremental Network SummerFcast'!$A99)+
SUMIFS('Customer Scenario Forecast'!L$24:L$1185,'Customer Scenario Forecast'!$E$20:$E$1181,'Incremental Network SummerFcast'!$A99)+L101),
1*(
SUMIFS('Customer Scenario Forecast'!L$24:L$1185,'Customer Scenario Forecast'!$C$20:$C$1181,'Incremental Network SummerFcast'!$A99,'Customer Scenario Forecast'!$H$20:$H$1181,'Incremental Network SummerFcast'!$H$1)+
SUMIFS('Customer Scenario Forecast'!L$24:L$1185,'Customer Scenario Forecast'!$D$20:$D$1181,'Incremental Network SummerFcast'!$A99,'Customer Scenario Forecast'!$H$20:$H$1181,'Incremental Network SummerFcast'!$H$1)+
SUMIFS('Customer Scenario Forecast'!L$24:L$1185,'Customer Scenario Forecast'!$E$20:$E$1181,'Incremental Network SummerFcast'!$A99,'Customer Scenario Forecast'!$H$20:$H$1181,'Incremental Network SummerFcast'!$H$1)+L101))</f>
        <v>0</v>
      </c>
    </row>
    <row r="105" spans="1:13" ht="15" thickBot="1">
      <c r="A105" s="197" t="s">
        <v>109</v>
      </c>
      <c r="B105" s="198">
        <f ca="1">IF($H$1="",
1*(
SUMIFS('Customer Scenario Forecast'!B$25:B$1186,'Customer Scenario Forecast'!$C$20:$C$1181,'Incremental Network SummerFcast'!$A99)+
SUMIFS('Customer Scenario Forecast'!B$25:B$1186,'Customer Scenario Forecast'!$D$20:$D$1181,'Incremental Network SummerFcast'!$A99)+
SUMIFS('Customer Scenario Forecast'!B$25:B$1186,'Customer Scenario Forecast'!$E$20:$E$1181,'Incremental Network SummerFcast'!$A99)+B101),
1*(
SUMIFS('Customer Scenario Forecast'!B$25:B$1186,'Customer Scenario Forecast'!$C$20:$C$1181,'Incremental Network SummerFcast'!$A99,'Customer Scenario Forecast'!$H$20:$H$1181,'Incremental Network SummerFcast'!$H$1)+
SUMIFS('Customer Scenario Forecast'!B$25:B$1186,'Customer Scenario Forecast'!$D$20:$D$1181,'Incremental Network SummerFcast'!$A99,'Customer Scenario Forecast'!$H$20:$H$1181,'Incremental Network SummerFcast'!$H$1)+
SUMIFS('Customer Scenario Forecast'!B$25:B$1186,'Customer Scenario Forecast'!$E$20:$E$1181,'Incremental Network SummerFcast'!$A99,'Customer Scenario Forecast'!$H$20:$H$1181,'Incremental Network SummerFcast'!$H$1)+B101))</f>
        <v>0</v>
      </c>
      <c r="C105" s="198">
        <f ca="1">IF($H$1="",
1*(
SUMIFS('Customer Scenario Forecast'!C$25:C$1186,'Customer Scenario Forecast'!$C$20:$C$1181,'Incremental Network SummerFcast'!$A99)+
SUMIFS('Customer Scenario Forecast'!C$25:C$1186,'Customer Scenario Forecast'!$D$20:$D$1181,'Incremental Network SummerFcast'!$A99)+
SUMIFS('Customer Scenario Forecast'!C$25:C$1186,'Customer Scenario Forecast'!$E$20:$E$1181,'Incremental Network SummerFcast'!$A99)+C101),
1*(
SUMIFS('Customer Scenario Forecast'!C$25:C$1186,'Customer Scenario Forecast'!$C$20:$C$1181,'Incremental Network SummerFcast'!$A99,'Customer Scenario Forecast'!$H$20:$H$1181,'Incremental Network SummerFcast'!$H$1)+
SUMIFS('Customer Scenario Forecast'!C$25:C$1186,'Customer Scenario Forecast'!$D$20:$D$1181,'Incremental Network SummerFcast'!$A99,'Customer Scenario Forecast'!$H$20:$H$1181,'Incremental Network SummerFcast'!$H$1)+
SUMIFS('Customer Scenario Forecast'!C$25:C$1186,'Customer Scenario Forecast'!$E$20:$E$1181,'Incremental Network SummerFcast'!$A99,'Customer Scenario Forecast'!$H$20:$H$1181,'Incremental Network SummerFcast'!$H$1)+C101))</f>
        <v>0</v>
      </c>
      <c r="D105" s="198">
        <f ca="1">IF($H$1="",
1*(
SUMIFS('Customer Scenario Forecast'!D$25:D$1186,'Customer Scenario Forecast'!$C$20:$C$1181,'Incremental Network SummerFcast'!$A99)+
SUMIFS('Customer Scenario Forecast'!D$25:D$1186,'Customer Scenario Forecast'!$D$20:$D$1181,'Incremental Network SummerFcast'!$A99)+
SUMIFS('Customer Scenario Forecast'!D$25:D$1186,'Customer Scenario Forecast'!$E$20:$E$1181,'Incremental Network SummerFcast'!$A99)+D101),
1*(
SUMIFS('Customer Scenario Forecast'!D$25:D$1186,'Customer Scenario Forecast'!$C$20:$C$1181,'Incremental Network SummerFcast'!$A99,'Customer Scenario Forecast'!$H$20:$H$1181,'Incremental Network SummerFcast'!$H$1)+
SUMIFS('Customer Scenario Forecast'!D$25:D$1186,'Customer Scenario Forecast'!$D$20:$D$1181,'Incremental Network SummerFcast'!$A99,'Customer Scenario Forecast'!$H$20:$H$1181,'Incremental Network SummerFcast'!$H$1)+
SUMIFS('Customer Scenario Forecast'!D$25:D$1186,'Customer Scenario Forecast'!$E$20:$E$1181,'Incremental Network SummerFcast'!$A99,'Customer Scenario Forecast'!$H$20:$H$1181,'Incremental Network SummerFcast'!$H$1)+D101))</f>
        <v>0</v>
      </c>
      <c r="E105" s="198">
        <f ca="1">IF($H$1="",
1*(
SUMIFS('Customer Scenario Forecast'!E$25:E$1186,'Customer Scenario Forecast'!$C$20:$C$1181,'Incremental Network SummerFcast'!$A99)+
SUMIFS('Customer Scenario Forecast'!E$25:E$1186,'Customer Scenario Forecast'!$D$20:$D$1181,'Incremental Network SummerFcast'!$A99)+
SUMIFS('Customer Scenario Forecast'!E$25:E$1186,'Customer Scenario Forecast'!$E$20:$E$1181,'Incremental Network SummerFcast'!$A99)+E101),
1*(
SUMIFS('Customer Scenario Forecast'!E$25:E$1186,'Customer Scenario Forecast'!$C$20:$C$1181,'Incremental Network SummerFcast'!$A99,'Customer Scenario Forecast'!$H$20:$H$1181,'Incremental Network SummerFcast'!$H$1)+
SUMIFS('Customer Scenario Forecast'!E$25:E$1186,'Customer Scenario Forecast'!$D$20:$D$1181,'Incremental Network SummerFcast'!$A99,'Customer Scenario Forecast'!$H$20:$H$1181,'Incremental Network SummerFcast'!$H$1)+
SUMIFS('Customer Scenario Forecast'!E$25:E$1186,'Customer Scenario Forecast'!$E$20:$E$1181,'Incremental Network SummerFcast'!$A99,'Customer Scenario Forecast'!$H$20:$H$1181,'Incremental Network SummerFcast'!$H$1)+E101))</f>
        <v>0</v>
      </c>
      <c r="F105" s="198">
        <f ca="1">IF($H$1="",
1*(
SUMIFS('Customer Scenario Forecast'!F$25:F$1186,'Customer Scenario Forecast'!$C$20:$C$1181,'Incremental Network SummerFcast'!$A99)+
SUMIFS('Customer Scenario Forecast'!F$25:F$1186,'Customer Scenario Forecast'!$D$20:$D$1181,'Incremental Network SummerFcast'!$A99)+
SUMIFS('Customer Scenario Forecast'!F$25:F$1186,'Customer Scenario Forecast'!$E$20:$E$1181,'Incremental Network SummerFcast'!$A99)+F101),
1*(
SUMIFS('Customer Scenario Forecast'!F$25:F$1186,'Customer Scenario Forecast'!$C$20:$C$1181,'Incremental Network SummerFcast'!$A99,'Customer Scenario Forecast'!$H$20:$H$1181,'Incremental Network SummerFcast'!$H$1)+
SUMIFS('Customer Scenario Forecast'!F$25:F$1186,'Customer Scenario Forecast'!$D$20:$D$1181,'Incremental Network SummerFcast'!$A99,'Customer Scenario Forecast'!$H$20:$H$1181,'Incremental Network SummerFcast'!$H$1)+
SUMIFS('Customer Scenario Forecast'!F$25:F$1186,'Customer Scenario Forecast'!$E$20:$E$1181,'Incremental Network SummerFcast'!$A99,'Customer Scenario Forecast'!$H$20:$H$1181,'Incremental Network SummerFcast'!$H$1)+F101))</f>
        <v>0</v>
      </c>
      <c r="G105" s="198">
        <f ca="1">IF($H$1="",
1*(
SUMIFS('Customer Scenario Forecast'!G$25:G$1186,'Customer Scenario Forecast'!$C$20:$C$1181,'Incremental Network SummerFcast'!$A99)+
SUMIFS('Customer Scenario Forecast'!G$25:G$1186,'Customer Scenario Forecast'!$D$20:$D$1181,'Incremental Network SummerFcast'!$A99)+
SUMIFS('Customer Scenario Forecast'!G$25:G$1186,'Customer Scenario Forecast'!$E$20:$E$1181,'Incremental Network SummerFcast'!$A99)+G101),
1*(
SUMIFS('Customer Scenario Forecast'!G$25:G$1186,'Customer Scenario Forecast'!$C$20:$C$1181,'Incremental Network SummerFcast'!$A99,'Customer Scenario Forecast'!$H$20:$H$1181,'Incremental Network SummerFcast'!$H$1)+
SUMIFS('Customer Scenario Forecast'!G$25:G$1186,'Customer Scenario Forecast'!$D$20:$D$1181,'Incremental Network SummerFcast'!$A99,'Customer Scenario Forecast'!$H$20:$H$1181,'Incremental Network SummerFcast'!$H$1)+
SUMIFS('Customer Scenario Forecast'!G$25:G$1186,'Customer Scenario Forecast'!$E$20:$E$1181,'Incremental Network SummerFcast'!$A99,'Customer Scenario Forecast'!$H$20:$H$1181,'Incremental Network SummerFcast'!$H$1)+G101))</f>
        <v>0</v>
      </c>
      <c r="H105" s="198">
        <f ca="1">IF($H$1="",
1*(
SUMIFS('Customer Scenario Forecast'!H$25:H$1186,'Customer Scenario Forecast'!$C$20:$C$1181,'Incremental Network SummerFcast'!$A99)+
SUMIFS('Customer Scenario Forecast'!H$25:H$1186,'Customer Scenario Forecast'!$D$20:$D$1181,'Incremental Network SummerFcast'!$A99)+
SUMIFS('Customer Scenario Forecast'!H$25:H$1186,'Customer Scenario Forecast'!$E$20:$E$1181,'Incremental Network SummerFcast'!$A99)+H101),
1*(
SUMIFS('Customer Scenario Forecast'!H$25:H$1186,'Customer Scenario Forecast'!$C$20:$C$1181,'Incremental Network SummerFcast'!$A99,'Customer Scenario Forecast'!$H$20:$H$1181,'Incremental Network SummerFcast'!$H$1)+
SUMIFS('Customer Scenario Forecast'!H$25:H$1186,'Customer Scenario Forecast'!$D$20:$D$1181,'Incremental Network SummerFcast'!$A99,'Customer Scenario Forecast'!$H$20:$H$1181,'Incremental Network SummerFcast'!$H$1)+
SUMIFS('Customer Scenario Forecast'!H$25:H$1186,'Customer Scenario Forecast'!$E$20:$E$1181,'Incremental Network SummerFcast'!$A99,'Customer Scenario Forecast'!$H$20:$H$1181,'Incremental Network SummerFcast'!$H$1)+H101))</f>
        <v>0</v>
      </c>
      <c r="I105" s="198">
        <f ca="1">IF($H$1="",
1*(
SUMIFS('Customer Scenario Forecast'!I$25:I$1186,'Customer Scenario Forecast'!$C$20:$C$1181,'Incremental Network SummerFcast'!$A99)+
SUMIFS('Customer Scenario Forecast'!I$25:I$1186,'Customer Scenario Forecast'!$D$20:$D$1181,'Incremental Network SummerFcast'!$A99)+
SUMIFS('Customer Scenario Forecast'!I$25:I$1186,'Customer Scenario Forecast'!$E$20:$E$1181,'Incremental Network SummerFcast'!$A99)+I101),
1*(
SUMIFS('Customer Scenario Forecast'!I$25:I$1186,'Customer Scenario Forecast'!$C$20:$C$1181,'Incremental Network SummerFcast'!$A99,'Customer Scenario Forecast'!$H$20:$H$1181,'Incremental Network SummerFcast'!$H$1)+
SUMIFS('Customer Scenario Forecast'!I$25:I$1186,'Customer Scenario Forecast'!$D$20:$D$1181,'Incremental Network SummerFcast'!$A99,'Customer Scenario Forecast'!$H$20:$H$1181,'Incremental Network SummerFcast'!$H$1)+
SUMIFS('Customer Scenario Forecast'!I$25:I$1186,'Customer Scenario Forecast'!$E$20:$E$1181,'Incremental Network SummerFcast'!$A99,'Customer Scenario Forecast'!$H$20:$H$1181,'Incremental Network SummerFcast'!$H$1)+I101))</f>
        <v>0</v>
      </c>
      <c r="J105" s="198">
        <f ca="1">IF($H$1="",
1*(
SUMIFS('Customer Scenario Forecast'!J$25:J$1186,'Customer Scenario Forecast'!$C$20:$C$1181,'Incremental Network SummerFcast'!$A99)+
SUMIFS('Customer Scenario Forecast'!J$25:J$1186,'Customer Scenario Forecast'!$D$20:$D$1181,'Incremental Network SummerFcast'!$A99)+
SUMIFS('Customer Scenario Forecast'!J$25:J$1186,'Customer Scenario Forecast'!$E$20:$E$1181,'Incremental Network SummerFcast'!$A99)+J101),
1*(
SUMIFS('Customer Scenario Forecast'!J$25:J$1186,'Customer Scenario Forecast'!$C$20:$C$1181,'Incremental Network SummerFcast'!$A99,'Customer Scenario Forecast'!$H$20:$H$1181,'Incremental Network SummerFcast'!$H$1)+
SUMIFS('Customer Scenario Forecast'!J$25:J$1186,'Customer Scenario Forecast'!$D$20:$D$1181,'Incremental Network SummerFcast'!$A99,'Customer Scenario Forecast'!$H$20:$H$1181,'Incremental Network SummerFcast'!$H$1)+
SUMIFS('Customer Scenario Forecast'!J$25:J$1186,'Customer Scenario Forecast'!$E$20:$E$1181,'Incremental Network SummerFcast'!$A99,'Customer Scenario Forecast'!$H$20:$H$1181,'Incremental Network SummerFcast'!$H$1)+J101))</f>
        <v>0</v>
      </c>
      <c r="K105" s="198">
        <f ca="1">IF($H$1="",
1*(
SUMIFS('Customer Scenario Forecast'!K$25:K$1186,'Customer Scenario Forecast'!$C$20:$C$1181,'Incremental Network SummerFcast'!$A99)+
SUMIFS('Customer Scenario Forecast'!K$25:K$1186,'Customer Scenario Forecast'!$D$20:$D$1181,'Incremental Network SummerFcast'!$A99)+
SUMIFS('Customer Scenario Forecast'!K$25:K$1186,'Customer Scenario Forecast'!$E$20:$E$1181,'Incremental Network SummerFcast'!$A99)+K101),
1*(
SUMIFS('Customer Scenario Forecast'!K$25:K$1186,'Customer Scenario Forecast'!$C$20:$C$1181,'Incremental Network SummerFcast'!$A99,'Customer Scenario Forecast'!$H$20:$H$1181,'Incremental Network SummerFcast'!$H$1)+
SUMIFS('Customer Scenario Forecast'!K$25:K$1186,'Customer Scenario Forecast'!$D$20:$D$1181,'Incremental Network SummerFcast'!$A99,'Customer Scenario Forecast'!$H$20:$H$1181,'Incremental Network SummerFcast'!$H$1)+
SUMIFS('Customer Scenario Forecast'!K$25:K$1186,'Customer Scenario Forecast'!$E$20:$E$1181,'Incremental Network SummerFcast'!$A99,'Customer Scenario Forecast'!$H$20:$H$1181,'Incremental Network SummerFcast'!$H$1)+K101))</f>
        <v>0</v>
      </c>
      <c r="L105" s="198">
        <f ca="1">IF($H$1="",
1*(
SUMIFS('Customer Scenario Forecast'!L$25:L$1186,'Customer Scenario Forecast'!$C$20:$C$1181,'Incremental Network SummerFcast'!$A99)+
SUMIFS('Customer Scenario Forecast'!L$25:L$1186,'Customer Scenario Forecast'!$D$20:$D$1181,'Incremental Network SummerFcast'!$A99)+
SUMIFS('Customer Scenario Forecast'!L$25:L$1186,'Customer Scenario Forecast'!$E$20:$E$1181,'Incremental Network SummerFcast'!$A99)+L101),
1*(
SUMIFS('Customer Scenario Forecast'!L$25:L$1186,'Customer Scenario Forecast'!$C$20:$C$1181,'Incremental Network SummerFcast'!$A99,'Customer Scenario Forecast'!$H$20:$H$1181,'Incremental Network SummerFcast'!$H$1)+
SUMIFS('Customer Scenario Forecast'!L$25:L$1186,'Customer Scenario Forecast'!$D$20:$D$1181,'Incremental Network SummerFcast'!$A99,'Customer Scenario Forecast'!$H$20:$H$1181,'Incremental Network SummerFcast'!$H$1)+
SUMIFS('Customer Scenario Forecast'!L$25:L$1186,'Customer Scenario Forecast'!$E$20:$E$1181,'Incremental Network SummerFcast'!$A99,'Customer Scenario Forecast'!$H$20:$H$1181,'Incremental Network SummerFcast'!$H$1)+L101))</f>
        <v>0</v>
      </c>
    </row>
    <row r="106" spans="1:13" ht="15.6" thickTop="1" thickBot="1">
      <c r="A106" s="197" t="s">
        <v>148</v>
      </c>
      <c r="B106" s="198">
        <f ca="1">'Incremental Network SummerFcast'!$B$245*B103+'Incremental Network SummerFcast'!$B$246*B104+'Incremental Network SummerFcast'!$B$247*B105</f>
        <v>0</v>
      </c>
      <c r="C106" s="198">
        <f ca="1">'Incremental Network SummerFcast'!$B$245*C103+'Incremental Network SummerFcast'!$B$246*C104+'Incremental Network SummerFcast'!$B$247*C105</f>
        <v>0</v>
      </c>
      <c r="D106" s="198">
        <f ca="1">'Incremental Network SummerFcast'!$B$245*D103+'Incremental Network SummerFcast'!$B$246*D104+'Incremental Network SummerFcast'!$B$247*D105</f>
        <v>0</v>
      </c>
      <c r="E106" s="198">
        <f ca="1">'Incremental Network SummerFcast'!$B$245*E103+'Incremental Network SummerFcast'!$B$246*E104+'Incremental Network SummerFcast'!$B$247*E105</f>
        <v>0</v>
      </c>
      <c r="F106" s="198">
        <f ca="1">'Incremental Network SummerFcast'!$B$245*F103+'Incremental Network SummerFcast'!$B$246*F104+'Incremental Network SummerFcast'!$B$247*F105</f>
        <v>0</v>
      </c>
      <c r="G106" s="198">
        <f ca="1">'Incremental Network SummerFcast'!$B$245*G103+'Incremental Network SummerFcast'!$B$246*G104+'Incremental Network SummerFcast'!$B$247*G105</f>
        <v>0</v>
      </c>
      <c r="H106" s="198">
        <f ca="1">'Incremental Network SummerFcast'!$B$245*H103+'Incremental Network SummerFcast'!$B$246*H104+'Incremental Network SummerFcast'!$B$247*H105</f>
        <v>0</v>
      </c>
      <c r="I106" s="198">
        <f ca="1">'Incremental Network SummerFcast'!$B$245*I103+'Incremental Network SummerFcast'!$B$246*I104+'Incremental Network SummerFcast'!$B$247*I105</f>
        <v>0</v>
      </c>
      <c r="J106" s="198">
        <f ca="1">'Incremental Network SummerFcast'!$B$245*J103+'Incremental Network SummerFcast'!$B$246*J104+'Incremental Network SummerFcast'!$B$247*J105</f>
        <v>0</v>
      </c>
      <c r="K106" s="198">
        <f ca="1">'Incremental Network SummerFcast'!$B$245*K103+'Incremental Network SummerFcast'!$B$246*K104+'Incremental Network SummerFcast'!$B$247*K105</f>
        <v>0</v>
      </c>
      <c r="L106" s="198">
        <f ca="1">'Incremental Network SummerFcast'!$B$245*L103+'Incremental Network SummerFcast'!$B$246*L104+'Incremental Network SummerFcast'!$B$247*L105</f>
        <v>0</v>
      </c>
    </row>
    <row r="107" spans="1:13" ht="15.6" thickTop="1" thickBot="1">
      <c r="A107" s="188" t="s">
        <v>151</v>
      </c>
      <c r="B107" s="216"/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</row>
    <row r="108" spans="1:13" ht="15" thickBot="1">
      <c r="A108" s="191" t="str">
        <f>A100</f>
        <v>Uptake Scenario</v>
      </c>
      <c r="B108" s="191">
        <f t="shared" ref="B108:L108" si="13">B100</f>
        <v>2023</v>
      </c>
      <c r="C108" s="191">
        <f t="shared" si="13"/>
        <v>2024</v>
      </c>
      <c r="D108" s="191">
        <f t="shared" si="13"/>
        <v>2025</v>
      </c>
      <c r="E108" s="191">
        <f t="shared" si="13"/>
        <v>2026</v>
      </c>
      <c r="F108" s="191">
        <f t="shared" si="13"/>
        <v>2027</v>
      </c>
      <c r="G108" s="191">
        <f t="shared" si="13"/>
        <v>2028</v>
      </c>
      <c r="H108" s="191">
        <f t="shared" si="13"/>
        <v>2029</v>
      </c>
      <c r="I108" s="191">
        <f t="shared" si="13"/>
        <v>2030</v>
      </c>
      <c r="J108" s="191">
        <f t="shared" si="13"/>
        <v>2031</v>
      </c>
      <c r="K108" s="191">
        <f t="shared" si="13"/>
        <v>2032</v>
      </c>
      <c r="L108" s="191">
        <f t="shared" si="13"/>
        <v>2033</v>
      </c>
    </row>
    <row r="109" spans="1:13" ht="15.6" thickTop="1" thickBot="1">
      <c r="A109" s="193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37"/>
    </row>
    <row r="110" spans="1:13" ht="15" thickBot="1">
      <c r="A110" s="193" t="s">
        <v>111</v>
      </c>
      <c r="B110" s="194">
        <f ca="1">IF($H$1="",
SUMIFS('Customer Scenario Forecast'!B$22:B$1183,'Customer Scenario Forecast'!$C$20:$C$1181,'Incremental Network SummerFcast'!$A107)+
SUMIFS('Customer Scenario Forecast'!B$22:B$1183,'Customer Scenario Forecast'!$D$20:$D$1181,'Incremental Network SummerFcast'!$A107)+
SUMIFS('Customer Scenario Forecast'!B$22:B$1183,'Customer Scenario Forecast'!$E$20:$E$1181,'Incremental Network SummerFcast'!$A107),
SUMIFS('Customer Scenario Forecast'!B$22:B$1183,'Customer Scenario Forecast'!$C$20:$C$1181,'Incremental Network SummerFcast'!$A107,'Customer Scenario Forecast'!$H$20:$H$1181,'Incremental Network SummerFcast'!$H$1)+
SUMIFS('Customer Scenario Forecast'!B$22:B$1183,'Customer Scenario Forecast'!$D$20:$D$1181,'Incremental Network SummerFcast'!$A107,'Customer Scenario Forecast'!$H$20:$H$1181,'Incremental Network SummerFcast'!$H$1)+
SUMIFS('Customer Scenario Forecast'!B$22:B$1183,'Customer Scenario Forecast'!$E$20:$E$1181,'Incremental Network SummerFcast'!$A107,'Customer Scenario Forecast'!$H$20:$H$1181,'Incremental Network SummerFcast'!$H$1))</f>
        <v>0</v>
      </c>
      <c r="C110" s="194">
        <f ca="1">IF($H$1="",
SUMIFS('Customer Scenario Forecast'!C$22:C$1183,'Customer Scenario Forecast'!$C$20:$C$1181,'Incremental Network SummerFcast'!$A107)+
SUMIFS('Customer Scenario Forecast'!C$22:C$1183,'Customer Scenario Forecast'!$D$20:$D$1181,'Incremental Network SummerFcast'!$A107)+
SUMIFS('Customer Scenario Forecast'!C$22:C$1183,'Customer Scenario Forecast'!$E$20:$E$1181,'Incremental Network SummerFcast'!$A107),
SUMIFS('Customer Scenario Forecast'!C$22:C$1183,'Customer Scenario Forecast'!$C$20:$C$1181,'Incremental Network SummerFcast'!$A107,'Customer Scenario Forecast'!$H$20:$H$1181,'Incremental Network SummerFcast'!$H$1)+
SUMIFS('Customer Scenario Forecast'!C$22:C$1183,'Customer Scenario Forecast'!$D$20:$D$1181,'Incremental Network SummerFcast'!$A107,'Customer Scenario Forecast'!$H$20:$H$1181,'Incremental Network SummerFcast'!$H$1)+
SUMIFS('Customer Scenario Forecast'!C$22:C$1183,'Customer Scenario Forecast'!$E$20:$E$1181,'Incremental Network SummerFcast'!$A107,'Customer Scenario Forecast'!$H$20:$H$1181,'Incremental Network SummerFcast'!$H$1))</f>
        <v>0</v>
      </c>
      <c r="D110" s="194">
        <f ca="1">IF($H$1="",
SUMIFS('Customer Scenario Forecast'!D$22:D$1183,'Customer Scenario Forecast'!$C$20:$C$1181,'Incremental Network SummerFcast'!$A107)+
SUMIFS('Customer Scenario Forecast'!D$22:D$1183,'Customer Scenario Forecast'!$D$20:$D$1181,'Incremental Network SummerFcast'!$A107)+
SUMIFS('Customer Scenario Forecast'!D$22:D$1183,'Customer Scenario Forecast'!$E$20:$E$1181,'Incremental Network SummerFcast'!$A107),
SUMIFS('Customer Scenario Forecast'!D$22:D$1183,'Customer Scenario Forecast'!$C$20:$C$1181,'Incremental Network SummerFcast'!$A107,'Customer Scenario Forecast'!$H$20:$H$1181,'Incremental Network SummerFcast'!$H$1)+
SUMIFS('Customer Scenario Forecast'!D$22:D$1183,'Customer Scenario Forecast'!$D$20:$D$1181,'Incremental Network SummerFcast'!$A107,'Customer Scenario Forecast'!$H$20:$H$1181,'Incremental Network SummerFcast'!$H$1)+
SUMIFS('Customer Scenario Forecast'!D$22:D$1183,'Customer Scenario Forecast'!$E$20:$E$1181,'Incremental Network SummerFcast'!$A107,'Customer Scenario Forecast'!$H$20:$H$1181,'Incremental Network SummerFcast'!$H$1))</f>
        <v>0</v>
      </c>
      <c r="E110" s="194">
        <f ca="1">IF($H$1="",
SUMIFS('Customer Scenario Forecast'!E$22:E$1183,'Customer Scenario Forecast'!$C$20:$C$1181,'Incremental Network SummerFcast'!$A107)+
SUMIFS('Customer Scenario Forecast'!E$22:E$1183,'Customer Scenario Forecast'!$D$20:$D$1181,'Incremental Network SummerFcast'!$A107)+
SUMIFS('Customer Scenario Forecast'!E$22:E$1183,'Customer Scenario Forecast'!$E$20:$E$1181,'Incremental Network SummerFcast'!$A107),
SUMIFS('Customer Scenario Forecast'!E$22:E$1183,'Customer Scenario Forecast'!$C$20:$C$1181,'Incremental Network SummerFcast'!$A107,'Customer Scenario Forecast'!$H$20:$H$1181,'Incremental Network SummerFcast'!$H$1)+
SUMIFS('Customer Scenario Forecast'!E$22:E$1183,'Customer Scenario Forecast'!$D$20:$D$1181,'Incremental Network SummerFcast'!$A107,'Customer Scenario Forecast'!$H$20:$H$1181,'Incremental Network SummerFcast'!$H$1)+
SUMIFS('Customer Scenario Forecast'!E$22:E$1183,'Customer Scenario Forecast'!$E$20:$E$1181,'Incremental Network SummerFcast'!$A107,'Customer Scenario Forecast'!$H$20:$H$1181,'Incremental Network SummerFcast'!$H$1))</f>
        <v>0</v>
      </c>
      <c r="F110" s="194">
        <f ca="1">IF($H$1="",
SUMIFS('Customer Scenario Forecast'!F$22:F$1183,'Customer Scenario Forecast'!$C$20:$C$1181,'Incremental Network SummerFcast'!$A107)+
SUMIFS('Customer Scenario Forecast'!F$22:F$1183,'Customer Scenario Forecast'!$D$20:$D$1181,'Incremental Network SummerFcast'!$A107)+
SUMIFS('Customer Scenario Forecast'!F$22:F$1183,'Customer Scenario Forecast'!$E$20:$E$1181,'Incremental Network SummerFcast'!$A107),
SUMIFS('Customer Scenario Forecast'!F$22:F$1183,'Customer Scenario Forecast'!$C$20:$C$1181,'Incremental Network SummerFcast'!$A107,'Customer Scenario Forecast'!$H$20:$H$1181,'Incremental Network SummerFcast'!$H$1)+
SUMIFS('Customer Scenario Forecast'!F$22:F$1183,'Customer Scenario Forecast'!$D$20:$D$1181,'Incremental Network SummerFcast'!$A107,'Customer Scenario Forecast'!$H$20:$H$1181,'Incremental Network SummerFcast'!$H$1)+
SUMIFS('Customer Scenario Forecast'!F$22:F$1183,'Customer Scenario Forecast'!$E$20:$E$1181,'Incremental Network SummerFcast'!$A107,'Customer Scenario Forecast'!$H$20:$H$1181,'Incremental Network SummerFcast'!$H$1))</f>
        <v>0</v>
      </c>
      <c r="G110" s="194">
        <f ca="1">IF($H$1="",
SUMIFS('Customer Scenario Forecast'!G$22:G$1183,'Customer Scenario Forecast'!$C$20:$C$1181,'Incremental Network SummerFcast'!$A107)+
SUMIFS('Customer Scenario Forecast'!G$22:G$1183,'Customer Scenario Forecast'!$D$20:$D$1181,'Incremental Network SummerFcast'!$A107)+
SUMIFS('Customer Scenario Forecast'!G$22:G$1183,'Customer Scenario Forecast'!$E$20:$E$1181,'Incremental Network SummerFcast'!$A107),
SUMIFS('Customer Scenario Forecast'!G$22:G$1183,'Customer Scenario Forecast'!$C$20:$C$1181,'Incremental Network SummerFcast'!$A107,'Customer Scenario Forecast'!$H$20:$H$1181,'Incremental Network SummerFcast'!$H$1)+
SUMIFS('Customer Scenario Forecast'!G$22:G$1183,'Customer Scenario Forecast'!$D$20:$D$1181,'Incremental Network SummerFcast'!$A107,'Customer Scenario Forecast'!$H$20:$H$1181,'Incremental Network SummerFcast'!$H$1)+
SUMIFS('Customer Scenario Forecast'!G$22:G$1183,'Customer Scenario Forecast'!$E$20:$E$1181,'Incremental Network SummerFcast'!$A107,'Customer Scenario Forecast'!$H$20:$H$1181,'Incremental Network SummerFcast'!$H$1))</f>
        <v>0</v>
      </c>
      <c r="H110" s="194">
        <f ca="1">IF($H$1="",
SUMIFS('Customer Scenario Forecast'!H$22:H$1183,'Customer Scenario Forecast'!$C$20:$C$1181,'Incremental Network SummerFcast'!$A107)+
SUMIFS('Customer Scenario Forecast'!H$22:H$1183,'Customer Scenario Forecast'!$D$20:$D$1181,'Incremental Network SummerFcast'!$A107)+
SUMIFS('Customer Scenario Forecast'!H$22:H$1183,'Customer Scenario Forecast'!$E$20:$E$1181,'Incremental Network SummerFcast'!$A107),
SUMIFS('Customer Scenario Forecast'!H$22:H$1183,'Customer Scenario Forecast'!$C$20:$C$1181,'Incremental Network SummerFcast'!$A107,'Customer Scenario Forecast'!$H$20:$H$1181,'Incremental Network SummerFcast'!$H$1)+
SUMIFS('Customer Scenario Forecast'!H$22:H$1183,'Customer Scenario Forecast'!$D$20:$D$1181,'Incremental Network SummerFcast'!$A107,'Customer Scenario Forecast'!$H$20:$H$1181,'Incremental Network SummerFcast'!$H$1)+
SUMIFS('Customer Scenario Forecast'!H$22:H$1183,'Customer Scenario Forecast'!$E$20:$E$1181,'Incremental Network SummerFcast'!$A107,'Customer Scenario Forecast'!$H$20:$H$1181,'Incremental Network SummerFcast'!$H$1))</f>
        <v>0</v>
      </c>
      <c r="I110" s="194">
        <f ca="1">IF($H$1="",
SUMIFS('Customer Scenario Forecast'!I$22:I$1183,'Customer Scenario Forecast'!$C$20:$C$1181,'Incremental Network SummerFcast'!$A107)+
SUMIFS('Customer Scenario Forecast'!I$22:I$1183,'Customer Scenario Forecast'!$D$20:$D$1181,'Incremental Network SummerFcast'!$A107)+
SUMIFS('Customer Scenario Forecast'!I$22:I$1183,'Customer Scenario Forecast'!$E$20:$E$1181,'Incremental Network SummerFcast'!$A107),
SUMIFS('Customer Scenario Forecast'!I$22:I$1183,'Customer Scenario Forecast'!$C$20:$C$1181,'Incremental Network SummerFcast'!$A107,'Customer Scenario Forecast'!$H$20:$H$1181,'Incremental Network SummerFcast'!$H$1)+
SUMIFS('Customer Scenario Forecast'!I$22:I$1183,'Customer Scenario Forecast'!$D$20:$D$1181,'Incremental Network SummerFcast'!$A107,'Customer Scenario Forecast'!$H$20:$H$1181,'Incremental Network SummerFcast'!$H$1)+
SUMIFS('Customer Scenario Forecast'!I$22:I$1183,'Customer Scenario Forecast'!$E$20:$E$1181,'Incremental Network SummerFcast'!$A107,'Customer Scenario Forecast'!$H$20:$H$1181,'Incremental Network SummerFcast'!$H$1))</f>
        <v>0</v>
      </c>
      <c r="J110" s="194">
        <f ca="1">IF($H$1="",
SUMIFS('Customer Scenario Forecast'!J$22:J$1183,'Customer Scenario Forecast'!$C$20:$C$1181,'Incremental Network SummerFcast'!$A107)+
SUMIFS('Customer Scenario Forecast'!J$22:J$1183,'Customer Scenario Forecast'!$D$20:$D$1181,'Incremental Network SummerFcast'!$A107)+
SUMIFS('Customer Scenario Forecast'!J$22:J$1183,'Customer Scenario Forecast'!$E$20:$E$1181,'Incremental Network SummerFcast'!$A107),
SUMIFS('Customer Scenario Forecast'!J$22:J$1183,'Customer Scenario Forecast'!$C$20:$C$1181,'Incremental Network SummerFcast'!$A107,'Customer Scenario Forecast'!$H$20:$H$1181,'Incremental Network SummerFcast'!$H$1)+
SUMIFS('Customer Scenario Forecast'!J$22:J$1183,'Customer Scenario Forecast'!$D$20:$D$1181,'Incremental Network SummerFcast'!$A107,'Customer Scenario Forecast'!$H$20:$H$1181,'Incremental Network SummerFcast'!$H$1)+
SUMIFS('Customer Scenario Forecast'!J$22:J$1183,'Customer Scenario Forecast'!$E$20:$E$1181,'Incremental Network SummerFcast'!$A107,'Customer Scenario Forecast'!$H$20:$H$1181,'Incremental Network SummerFcast'!$H$1))</f>
        <v>0</v>
      </c>
      <c r="K110" s="194">
        <f ca="1">IF($H$1="",
SUMIFS('Customer Scenario Forecast'!K$22:K$1183,'Customer Scenario Forecast'!$C$20:$C$1181,'Incremental Network SummerFcast'!$A107)+
SUMIFS('Customer Scenario Forecast'!K$22:K$1183,'Customer Scenario Forecast'!$D$20:$D$1181,'Incremental Network SummerFcast'!$A107)+
SUMIFS('Customer Scenario Forecast'!K$22:K$1183,'Customer Scenario Forecast'!$E$20:$E$1181,'Incremental Network SummerFcast'!$A107),
SUMIFS('Customer Scenario Forecast'!K$22:K$1183,'Customer Scenario Forecast'!$C$20:$C$1181,'Incremental Network SummerFcast'!$A107,'Customer Scenario Forecast'!$H$20:$H$1181,'Incremental Network SummerFcast'!$H$1)+
SUMIFS('Customer Scenario Forecast'!K$22:K$1183,'Customer Scenario Forecast'!$D$20:$D$1181,'Incremental Network SummerFcast'!$A107,'Customer Scenario Forecast'!$H$20:$H$1181,'Incremental Network SummerFcast'!$H$1)+
SUMIFS('Customer Scenario Forecast'!K$22:K$1183,'Customer Scenario Forecast'!$E$20:$E$1181,'Incremental Network SummerFcast'!$A107,'Customer Scenario Forecast'!$H$20:$H$1181,'Incremental Network SummerFcast'!$H$1))</f>
        <v>0</v>
      </c>
      <c r="L110" s="194">
        <f ca="1">IF($H$1="",
SUMIFS('Customer Scenario Forecast'!L$22:L$1183,'Customer Scenario Forecast'!$C$20:$C$1181,'Incremental Network SummerFcast'!$A107)+
SUMIFS('Customer Scenario Forecast'!L$22:L$1183,'Customer Scenario Forecast'!$D$20:$D$1181,'Incremental Network SummerFcast'!$A107)+
SUMIFS('Customer Scenario Forecast'!L$22:L$1183,'Customer Scenario Forecast'!$E$20:$E$1181,'Incremental Network SummerFcast'!$A107),
SUMIFS('Customer Scenario Forecast'!L$22:L$1183,'Customer Scenario Forecast'!$C$20:$C$1181,'Incremental Network SummerFcast'!$A107,'Customer Scenario Forecast'!$H$20:$H$1181,'Incremental Network SummerFcast'!$H$1)+
SUMIFS('Customer Scenario Forecast'!L$22:L$1183,'Customer Scenario Forecast'!$D$20:$D$1181,'Incremental Network SummerFcast'!$A107,'Customer Scenario Forecast'!$H$20:$H$1181,'Incremental Network SummerFcast'!$H$1)+
SUMIFS('Customer Scenario Forecast'!L$22:L$1183,'Customer Scenario Forecast'!$E$20:$E$1181,'Incremental Network SummerFcast'!$A107,'Customer Scenario Forecast'!$H$20:$H$1181,'Incremental Network SummerFcast'!$H$1))</f>
        <v>0</v>
      </c>
      <c r="M110" s="37"/>
    </row>
    <row r="111" spans="1:13" ht="15" thickBot="1">
      <c r="A111" s="195" t="s">
        <v>107</v>
      </c>
      <c r="B111" s="196">
        <f ca="1">IF($H$1="",
1*(
SUMIFS('Customer Scenario Forecast'!B$23:B$1184,'Customer Scenario Forecast'!$C$20:$C$1181,'Incremental Network SummerFcast'!$A107)+
SUMIFS('Customer Scenario Forecast'!B$23:B$1184,'Customer Scenario Forecast'!$D$20:$D$1181,'Incremental Network SummerFcast'!$A107)+
SUMIFS('Customer Scenario Forecast'!B$23:B$1184,'Customer Scenario Forecast'!$E$20:$E$1181,'Incremental Network SummerFcast'!$A107)+B109),
1*(
SUMIFS('Customer Scenario Forecast'!B$23:B$1184,'Customer Scenario Forecast'!$C$20:$C$1181,'Incremental Network SummerFcast'!$A107,'Customer Scenario Forecast'!$H$20:$H$1181,'Incremental Network SummerFcast'!$H$1)+
SUMIFS('Customer Scenario Forecast'!B$23:B$1184,'Customer Scenario Forecast'!$D$20:$D$1181,'Incremental Network SummerFcast'!$A107,'Customer Scenario Forecast'!$H$20:$H$1181,'Incremental Network SummerFcast'!$H$1)+
SUMIFS('Customer Scenario Forecast'!B$23:B$1184,'Customer Scenario Forecast'!$E$20:$E$1181,'Incremental Network SummerFcast'!$A107,'Customer Scenario Forecast'!$H$20:$H$1181,'Incremental Network SummerFcast'!$H$1)+B109))</f>
        <v>0</v>
      </c>
      <c r="C111" s="196">
        <f ca="1">IF($H$1="",
1*(
SUMIFS('Customer Scenario Forecast'!C$23:C$1184,'Customer Scenario Forecast'!$C$20:$C$1181,'Incremental Network SummerFcast'!$A107)+
SUMIFS('Customer Scenario Forecast'!C$23:C$1184,'Customer Scenario Forecast'!$D$20:$D$1181,'Incremental Network SummerFcast'!$A107)+
SUMIFS('Customer Scenario Forecast'!C$23:C$1184,'Customer Scenario Forecast'!$E$20:$E$1181,'Incremental Network SummerFcast'!$A107)+C109),
1*(
SUMIFS('Customer Scenario Forecast'!C$23:C$1184,'Customer Scenario Forecast'!$C$20:$C$1181,'Incremental Network SummerFcast'!$A107,'Customer Scenario Forecast'!$H$20:$H$1181,'Incremental Network SummerFcast'!$H$1)+
SUMIFS('Customer Scenario Forecast'!C$23:C$1184,'Customer Scenario Forecast'!$D$20:$D$1181,'Incremental Network SummerFcast'!$A107,'Customer Scenario Forecast'!$H$20:$H$1181,'Incremental Network SummerFcast'!$H$1)+
SUMIFS('Customer Scenario Forecast'!C$23:C$1184,'Customer Scenario Forecast'!$E$20:$E$1181,'Incremental Network SummerFcast'!$A107,'Customer Scenario Forecast'!$H$20:$H$1181,'Incremental Network SummerFcast'!$H$1)+C109))</f>
        <v>0</v>
      </c>
      <c r="D111" s="196">
        <f ca="1">IF($H$1="",
1*(
SUMIFS('Customer Scenario Forecast'!D$23:D$1184,'Customer Scenario Forecast'!$C$20:$C$1181,'Incremental Network SummerFcast'!$A107)+
SUMIFS('Customer Scenario Forecast'!D$23:D$1184,'Customer Scenario Forecast'!$D$20:$D$1181,'Incremental Network SummerFcast'!$A107)+
SUMIFS('Customer Scenario Forecast'!D$23:D$1184,'Customer Scenario Forecast'!$E$20:$E$1181,'Incremental Network SummerFcast'!$A107)+D109),
1*(
SUMIFS('Customer Scenario Forecast'!D$23:D$1184,'Customer Scenario Forecast'!$C$20:$C$1181,'Incremental Network SummerFcast'!$A107,'Customer Scenario Forecast'!$H$20:$H$1181,'Incremental Network SummerFcast'!$H$1)+
SUMIFS('Customer Scenario Forecast'!D$23:D$1184,'Customer Scenario Forecast'!$D$20:$D$1181,'Incremental Network SummerFcast'!$A107,'Customer Scenario Forecast'!$H$20:$H$1181,'Incremental Network SummerFcast'!$H$1)+
SUMIFS('Customer Scenario Forecast'!D$23:D$1184,'Customer Scenario Forecast'!$E$20:$E$1181,'Incremental Network SummerFcast'!$A107,'Customer Scenario Forecast'!$H$20:$H$1181,'Incremental Network SummerFcast'!$H$1)+D109))</f>
        <v>0</v>
      </c>
      <c r="E111" s="196">
        <f ca="1">IF($H$1="",
1*(
SUMIFS('Customer Scenario Forecast'!E$23:E$1184,'Customer Scenario Forecast'!$C$20:$C$1181,'Incremental Network SummerFcast'!$A107)+
SUMIFS('Customer Scenario Forecast'!E$23:E$1184,'Customer Scenario Forecast'!$D$20:$D$1181,'Incremental Network SummerFcast'!$A107)+
SUMIFS('Customer Scenario Forecast'!E$23:E$1184,'Customer Scenario Forecast'!$E$20:$E$1181,'Incremental Network SummerFcast'!$A107)+E109),
1*(
SUMIFS('Customer Scenario Forecast'!E$23:E$1184,'Customer Scenario Forecast'!$C$20:$C$1181,'Incremental Network SummerFcast'!$A107,'Customer Scenario Forecast'!$H$20:$H$1181,'Incremental Network SummerFcast'!$H$1)+
SUMIFS('Customer Scenario Forecast'!E$23:E$1184,'Customer Scenario Forecast'!$D$20:$D$1181,'Incremental Network SummerFcast'!$A107,'Customer Scenario Forecast'!$H$20:$H$1181,'Incremental Network SummerFcast'!$H$1)+
SUMIFS('Customer Scenario Forecast'!E$23:E$1184,'Customer Scenario Forecast'!$E$20:$E$1181,'Incremental Network SummerFcast'!$A107,'Customer Scenario Forecast'!$H$20:$H$1181,'Incremental Network SummerFcast'!$H$1)+E109))</f>
        <v>0</v>
      </c>
      <c r="F111" s="196">
        <f ca="1">IF($H$1="",
1*(
SUMIFS('Customer Scenario Forecast'!F$23:F$1184,'Customer Scenario Forecast'!$C$20:$C$1181,'Incremental Network SummerFcast'!$A107)+
SUMIFS('Customer Scenario Forecast'!F$23:F$1184,'Customer Scenario Forecast'!$D$20:$D$1181,'Incremental Network SummerFcast'!$A107)+
SUMIFS('Customer Scenario Forecast'!F$23:F$1184,'Customer Scenario Forecast'!$E$20:$E$1181,'Incremental Network SummerFcast'!$A107)+F109),
1*(
SUMIFS('Customer Scenario Forecast'!F$23:F$1184,'Customer Scenario Forecast'!$C$20:$C$1181,'Incremental Network SummerFcast'!$A107,'Customer Scenario Forecast'!$H$20:$H$1181,'Incremental Network SummerFcast'!$H$1)+
SUMIFS('Customer Scenario Forecast'!F$23:F$1184,'Customer Scenario Forecast'!$D$20:$D$1181,'Incremental Network SummerFcast'!$A107,'Customer Scenario Forecast'!$H$20:$H$1181,'Incremental Network SummerFcast'!$H$1)+
SUMIFS('Customer Scenario Forecast'!F$23:F$1184,'Customer Scenario Forecast'!$E$20:$E$1181,'Incremental Network SummerFcast'!$A107,'Customer Scenario Forecast'!$H$20:$H$1181,'Incremental Network SummerFcast'!$H$1)+F109))</f>
        <v>0</v>
      </c>
      <c r="G111" s="196">
        <f ca="1">IF($H$1="",
1*(
SUMIFS('Customer Scenario Forecast'!G$23:G$1184,'Customer Scenario Forecast'!$C$20:$C$1181,'Incremental Network SummerFcast'!$A107)+
SUMIFS('Customer Scenario Forecast'!G$23:G$1184,'Customer Scenario Forecast'!$D$20:$D$1181,'Incremental Network SummerFcast'!$A107)+
SUMIFS('Customer Scenario Forecast'!G$23:G$1184,'Customer Scenario Forecast'!$E$20:$E$1181,'Incremental Network SummerFcast'!$A107)+G109),
1*(
SUMIFS('Customer Scenario Forecast'!G$23:G$1184,'Customer Scenario Forecast'!$C$20:$C$1181,'Incremental Network SummerFcast'!$A107,'Customer Scenario Forecast'!$H$20:$H$1181,'Incremental Network SummerFcast'!$H$1)+
SUMIFS('Customer Scenario Forecast'!G$23:G$1184,'Customer Scenario Forecast'!$D$20:$D$1181,'Incremental Network SummerFcast'!$A107,'Customer Scenario Forecast'!$H$20:$H$1181,'Incremental Network SummerFcast'!$H$1)+
SUMIFS('Customer Scenario Forecast'!G$23:G$1184,'Customer Scenario Forecast'!$E$20:$E$1181,'Incremental Network SummerFcast'!$A107,'Customer Scenario Forecast'!$H$20:$H$1181,'Incremental Network SummerFcast'!$H$1)+G109))</f>
        <v>0</v>
      </c>
      <c r="H111" s="196">
        <f ca="1">IF($H$1="",
1*(
SUMIFS('Customer Scenario Forecast'!H$23:H$1184,'Customer Scenario Forecast'!$C$20:$C$1181,'Incremental Network SummerFcast'!$A107)+
SUMIFS('Customer Scenario Forecast'!H$23:H$1184,'Customer Scenario Forecast'!$D$20:$D$1181,'Incremental Network SummerFcast'!$A107)+
SUMIFS('Customer Scenario Forecast'!H$23:H$1184,'Customer Scenario Forecast'!$E$20:$E$1181,'Incremental Network SummerFcast'!$A107)+H109),
1*(
SUMIFS('Customer Scenario Forecast'!H$23:H$1184,'Customer Scenario Forecast'!$C$20:$C$1181,'Incremental Network SummerFcast'!$A107,'Customer Scenario Forecast'!$H$20:$H$1181,'Incremental Network SummerFcast'!$H$1)+
SUMIFS('Customer Scenario Forecast'!H$23:H$1184,'Customer Scenario Forecast'!$D$20:$D$1181,'Incremental Network SummerFcast'!$A107,'Customer Scenario Forecast'!$H$20:$H$1181,'Incremental Network SummerFcast'!$H$1)+
SUMIFS('Customer Scenario Forecast'!H$23:H$1184,'Customer Scenario Forecast'!$E$20:$E$1181,'Incremental Network SummerFcast'!$A107,'Customer Scenario Forecast'!$H$20:$H$1181,'Incremental Network SummerFcast'!$H$1)+H109))</f>
        <v>0</v>
      </c>
      <c r="I111" s="196">
        <f ca="1">IF($H$1="",
1*(
SUMIFS('Customer Scenario Forecast'!I$23:I$1184,'Customer Scenario Forecast'!$C$20:$C$1181,'Incremental Network SummerFcast'!$A107)+
SUMIFS('Customer Scenario Forecast'!I$23:I$1184,'Customer Scenario Forecast'!$D$20:$D$1181,'Incremental Network SummerFcast'!$A107)+
SUMIFS('Customer Scenario Forecast'!I$23:I$1184,'Customer Scenario Forecast'!$E$20:$E$1181,'Incremental Network SummerFcast'!$A107)+I109),
1*(
SUMIFS('Customer Scenario Forecast'!I$23:I$1184,'Customer Scenario Forecast'!$C$20:$C$1181,'Incremental Network SummerFcast'!$A107,'Customer Scenario Forecast'!$H$20:$H$1181,'Incremental Network SummerFcast'!$H$1)+
SUMIFS('Customer Scenario Forecast'!I$23:I$1184,'Customer Scenario Forecast'!$D$20:$D$1181,'Incremental Network SummerFcast'!$A107,'Customer Scenario Forecast'!$H$20:$H$1181,'Incremental Network SummerFcast'!$H$1)+
SUMIFS('Customer Scenario Forecast'!I$23:I$1184,'Customer Scenario Forecast'!$E$20:$E$1181,'Incremental Network SummerFcast'!$A107,'Customer Scenario Forecast'!$H$20:$H$1181,'Incremental Network SummerFcast'!$H$1)+I109))</f>
        <v>0</v>
      </c>
      <c r="J111" s="196">
        <f ca="1">IF($H$1="",
1*(
SUMIFS('Customer Scenario Forecast'!J$23:J$1184,'Customer Scenario Forecast'!$C$20:$C$1181,'Incremental Network SummerFcast'!$A107)+
SUMIFS('Customer Scenario Forecast'!J$23:J$1184,'Customer Scenario Forecast'!$D$20:$D$1181,'Incremental Network SummerFcast'!$A107)+
SUMIFS('Customer Scenario Forecast'!J$23:J$1184,'Customer Scenario Forecast'!$E$20:$E$1181,'Incremental Network SummerFcast'!$A107)+J109),
1*(
SUMIFS('Customer Scenario Forecast'!J$23:J$1184,'Customer Scenario Forecast'!$C$20:$C$1181,'Incremental Network SummerFcast'!$A107,'Customer Scenario Forecast'!$H$20:$H$1181,'Incremental Network SummerFcast'!$H$1)+
SUMIFS('Customer Scenario Forecast'!J$23:J$1184,'Customer Scenario Forecast'!$D$20:$D$1181,'Incremental Network SummerFcast'!$A107,'Customer Scenario Forecast'!$H$20:$H$1181,'Incremental Network SummerFcast'!$H$1)+
SUMIFS('Customer Scenario Forecast'!J$23:J$1184,'Customer Scenario Forecast'!$E$20:$E$1181,'Incremental Network SummerFcast'!$A107,'Customer Scenario Forecast'!$H$20:$H$1181,'Incremental Network SummerFcast'!$H$1)+J109))</f>
        <v>0</v>
      </c>
      <c r="K111" s="196">
        <f ca="1">IF($H$1="",
1*(
SUMIFS('Customer Scenario Forecast'!K$23:K$1184,'Customer Scenario Forecast'!$C$20:$C$1181,'Incremental Network SummerFcast'!$A107)+
SUMIFS('Customer Scenario Forecast'!K$23:K$1184,'Customer Scenario Forecast'!$D$20:$D$1181,'Incremental Network SummerFcast'!$A107)+
SUMIFS('Customer Scenario Forecast'!K$23:K$1184,'Customer Scenario Forecast'!$E$20:$E$1181,'Incremental Network SummerFcast'!$A107)+K109),
1*(
SUMIFS('Customer Scenario Forecast'!K$23:K$1184,'Customer Scenario Forecast'!$C$20:$C$1181,'Incremental Network SummerFcast'!$A107,'Customer Scenario Forecast'!$H$20:$H$1181,'Incremental Network SummerFcast'!$H$1)+
SUMIFS('Customer Scenario Forecast'!K$23:K$1184,'Customer Scenario Forecast'!$D$20:$D$1181,'Incremental Network SummerFcast'!$A107,'Customer Scenario Forecast'!$H$20:$H$1181,'Incremental Network SummerFcast'!$H$1)+
SUMIFS('Customer Scenario Forecast'!K$23:K$1184,'Customer Scenario Forecast'!$E$20:$E$1181,'Incremental Network SummerFcast'!$A107,'Customer Scenario Forecast'!$H$20:$H$1181,'Incremental Network SummerFcast'!$H$1)+K109))</f>
        <v>0</v>
      </c>
      <c r="L111" s="196">
        <f ca="1">IF($H$1="",
1*(
SUMIFS('Customer Scenario Forecast'!L$23:L$1184,'Customer Scenario Forecast'!$C$20:$C$1181,'Incremental Network SummerFcast'!$A107)+
SUMIFS('Customer Scenario Forecast'!L$23:L$1184,'Customer Scenario Forecast'!$D$20:$D$1181,'Incremental Network SummerFcast'!$A107)+
SUMIFS('Customer Scenario Forecast'!L$23:L$1184,'Customer Scenario Forecast'!$E$20:$E$1181,'Incremental Network SummerFcast'!$A107)+L109),
1*(
SUMIFS('Customer Scenario Forecast'!L$23:L$1184,'Customer Scenario Forecast'!$C$20:$C$1181,'Incremental Network SummerFcast'!$A107,'Customer Scenario Forecast'!$H$20:$H$1181,'Incremental Network SummerFcast'!$H$1)+
SUMIFS('Customer Scenario Forecast'!L$23:L$1184,'Customer Scenario Forecast'!$D$20:$D$1181,'Incremental Network SummerFcast'!$A107,'Customer Scenario Forecast'!$H$20:$H$1181,'Incremental Network SummerFcast'!$H$1)+
SUMIFS('Customer Scenario Forecast'!L$23:L$1184,'Customer Scenario Forecast'!$E$20:$E$1181,'Incremental Network SummerFcast'!$A107,'Customer Scenario Forecast'!$H$20:$H$1181,'Incremental Network SummerFcast'!$H$1)+L109))</f>
        <v>0</v>
      </c>
    </row>
    <row r="112" spans="1:13" ht="15" thickBot="1">
      <c r="A112" s="195" t="s">
        <v>108</v>
      </c>
      <c r="B112" s="196">
        <f ca="1">IF($H$1="",
1*(
SUMIFS('Customer Scenario Forecast'!B$24:B$1185,'Customer Scenario Forecast'!$C$20:$C$1181,'Incremental Network SummerFcast'!$A107)+
SUMIFS('Customer Scenario Forecast'!B$24:B$1185,'Customer Scenario Forecast'!$D$20:$D$1181,'Incremental Network SummerFcast'!$A107)+
SUMIFS('Customer Scenario Forecast'!B$24:B$1185,'Customer Scenario Forecast'!$E$20:$E$1181,'Incremental Network SummerFcast'!$A107)+B109),
1*(
SUMIFS('Customer Scenario Forecast'!B$24:B$1185,'Customer Scenario Forecast'!$C$20:$C$1181,'Incremental Network SummerFcast'!$A107,'Customer Scenario Forecast'!$H$20:$H$1181,'Incremental Network SummerFcast'!$H$1)+
SUMIFS('Customer Scenario Forecast'!B$24:B$1185,'Customer Scenario Forecast'!$D$20:$D$1181,'Incremental Network SummerFcast'!$A107,'Customer Scenario Forecast'!$H$20:$H$1181,'Incremental Network SummerFcast'!$H$1)+
SUMIFS('Customer Scenario Forecast'!B$24:B$1185,'Customer Scenario Forecast'!$E$20:$E$1181,'Incremental Network SummerFcast'!$A107,'Customer Scenario Forecast'!$H$20:$H$1181,'Incremental Network SummerFcast'!$H$1)+B109))</f>
        <v>0</v>
      </c>
      <c r="C112" s="196">
        <f ca="1">IF($H$1="",
1*(
SUMIFS('Customer Scenario Forecast'!C$24:C$1185,'Customer Scenario Forecast'!$C$20:$C$1181,'Incremental Network SummerFcast'!$A107)+
SUMIFS('Customer Scenario Forecast'!C$24:C$1185,'Customer Scenario Forecast'!$D$20:$D$1181,'Incremental Network SummerFcast'!$A107)+
SUMIFS('Customer Scenario Forecast'!C$24:C$1185,'Customer Scenario Forecast'!$E$20:$E$1181,'Incremental Network SummerFcast'!$A107)+C109),
1*(
SUMIFS('Customer Scenario Forecast'!C$24:C$1185,'Customer Scenario Forecast'!$C$20:$C$1181,'Incremental Network SummerFcast'!$A107,'Customer Scenario Forecast'!$H$20:$H$1181,'Incremental Network SummerFcast'!$H$1)+
SUMIFS('Customer Scenario Forecast'!C$24:C$1185,'Customer Scenario Forecast'!$D$20:$D$1181,'Incremental Network SummerFcast'!$A107,'Customer Scenario Forecast'!$H$20:$H$1181,'Incremental Network SummerFcast'!$H$1)+
SUMIFS('Customer Scenario Forecast'!C$24:C$1185,'Customer Scenario Forecast'!$E$20:$E$1181,'Incremental Network SummerFcast'!$A107,'Customer Scenario Forecast'!$H$20:$H$1181,'Incremental Network SummerFcast'!$H$1)+C109))</f>
        <v>0</v>
      </c>
      <c r="D112" s="196">
        <f ca="1">IF($H$1="",
1*(
SUMIFS('Customer Scenario Forecast'!D$24:D$1185,'Customer Scenario Forecast'!$C$20:$C$1181,'Incremental Network SummerFcast'!$A107)+
SUMIFS('Customer Scenario Forecast'!D$24:D$1185,'Customer Scenario Forecast'!$D$20:$D$1181,'Incremental Network SummerFcast'!$A107)+
SUMIFS('Customer Scenario Forecast'!D$24:D$1185,'Customer Scenario Forecast'!$E$20:$E$1181,'Incremental Network SummerFcast'!$A107)+D109),
1*(
SUMIFS('Customer Scenario Forecast'!D$24:D$1185,'Customer Scenario Forecast'!$C$20:$C$1181,'Incremental Network SummerFcast'!$A107,'Customer Scenario Forecast'!$H$20:$H$1181,'Incremental Network SummerFcast'!$H$1)+
SUMIFS('Customer Scenario Forecast'!D$24:D$1185,'Customer Scenario Forecast'!$D$20:$D$1181,'Incremental Network SummerFcast'!$A107,'Customer Scenario Forecast'!$H$20:$H$1181,'Incremental Network SummerFcast'!$H$1)+
SUMIFS('Customer Scenario Forecast'!D$24:D$1185,'Customer Scenario Forecast'!$E$20:$E$1181,'Incremental Network SummerFcast'!$A107,'Customer Scenario Forecast'!$H$20:$H$1181,'Incremental Network SummerFcast'!$H$1)+D109))</f>
        <v>0</v>
      </c>
      <c r="E112" s="196">
        <f ca="1">IF($H$1="",
1*(
SUMIFS('Customer Scenario Forecast'!E$24:E$1185,'Customer Scenario Forecast'!$C$20:$C$1181,'Incremental Network SummerFcast'!$A107)+
SUMIFS('Customer Scenario Forecast'!E$24:E$1185,'Customer Scenario Forecast'!$D$20:$D$1181,'Incremental Network SummerFcast'!$A107)+
SUMIFS('Customer Scenario Forecast'!E$24:E$1185,'Customer Scenario Forecast'!$E$20:$E$1181,'Incremental Network SummerFcast'!$A107)+E109),
1*(
SUMIFS('Customer Scenario Forecast'!E$24:E$1185,'Customer Scenario Forecast'!$C$20:$C$1181,'Incremental Network SummerFcast'!$A107,'Customer Scenario Forecast'!$H$20:$H$1181,'Incremental Network SummerFcast'!$H$1)+
SUMIFS('Customer Scenario Forecast'!E$24:E$1185,'Customer Scenario Forecast'!$D$20:$D$1181,'Incremental Network SummerFcast'!$A107,'Customer Scenario Forecast'!$H$20:$H$1181,'Incremental Network SummerFcast'!$H$1)+
SUMIFS('Customer Scenario Forecast'!E$24:E$1185,'Customer Scenario Forecast'!$E$20:$E$1181,'Incremental Network SummerFcast'!$A107,'Customer Scenario Forecast'!$H$20:$H$1181,'Incremental Network SummerFcast'!$H$1)+E109))</f>
        <v>0</v>
      </c>
      <c r="F112" s="196">
        <f ca="1">IF($H$1="",
1*(
SUMIFS('Customer Scenario Forecast'!F$24:F$1185,'Customer Scenario Forecast'!$C$20:$C$1181,'Incremental Network SummerFcast'!$A107)+
SUMIFS('Customer Scenario Forecast'!F$24:F$1185,'Customer Scenario Forecast'!$D$20:$D$1181,'Incremental Network SummerFcast'!$A107)+
SUMIFS('Customer Scenario Forecast'!F$24:F$1185,'Customer Scenario Forecast'!$E$20:$E$1181,'Incremental Network SummerFcast'!$A107)+F109),
1*(
SUMIFS('Customer Scenario Forecast'!F$24:F$1185,'Customer Scenario Forecast'!$C$20:$C$1181,'Incremental Network SummerFcast'!$A107,'Customer Scenario Forecast'!$H$20:$H$1181,'Incremental Network SummerFcast'!$H$1)+
SUMIFS('Customer Scenario Forecast'!F$24:F$1185,'Customer Scenario Forecast'!$D$20:$D$1181,'Incremental Network SummerFcast'!$A107,'Customer Scenario Forecast'!$H$20:$H$1181,'Incremental Network SummerFcast'!$H$1)+
SUMIFS('Customer Scenario Forecast'!F$24:F$1185,'Customer Scenario Forecast'!$E$20:$E$1181,'Incremental Network SummerFcast'!$A107,'Customer Scenario Forecast'!$H$20:$H$1181,'Incremental Network SummerFcast'!$H$1)+F109))</f>
        <v>0</v>
      </c>
      <c r="G112" s="196">
        <f ca="1">IF($H$1="",
1*(
SUMIFS('Customer Scenario Forecast'!G$24:G$1185,'Customer Scenario Forecast'!$C$20:$C$1181,'Incremental Network SummerFcast'!$A107)+
SUMIFS('Customer Scenario Forecast'!G$24:G$1185,'Customer Scenario Forecast'!$D$20:$D$1181,'Incremental Network SummerFcast'!$A107)+
SUMIFS('Customer Scenario Forecast'!G$24:G$1185,'Customer Scenario Forecast'!$E$20:$E$1181,'Incremental Network SummerFcast'!$A107)+G109),
1*(
SUMIFS('Customer Scenario Forecast'!G$24:G$1185,'Customer Scenario Forecast'!$C$20:$C$1181,'Incremental Network SummerFcast'!$A107,'Customer Scenario Forecast'!$H$20:$H$1181,'Incremental Network SummerFcast'!$H$1)+
SUMIFS('Customer Scenario Forecast'!G$24:G$1185,'Customer Scenario Forecast'!$D$20:$D$1181,'Incremental Network SummerFcast'!$A107,'Customer Scenario Forecast'!$H$20:$H$1181,'Incremental Network SummerFcast'!$H$1)+
SUMIFS('Customer Scenario Forecast'!G$24:G$1185,'Customer Scenario Forecast'!$E$20:$E$1181,'Incremental Network SummerFcast'!$A107,'Customer Scenario Forecast'!$H$20:$H$1181,'Incremental Network SummerFcast'!$H$1)+G109))</f>
        <v>0</v>
      </c>
      <c r="H112" s="196">
        <f ca="1">IF($H$1="",
1*(
SUMIFS('Customer Scenario Forecast'!H$24:H$1185,'Customer Scenario Forecast'!$C$20:$C$1181,'Incremental Network SummerFcast'!$A107)+
SUMIFS('Customer Scenario Forecast'!H$24:H$1185,'Customer Scenario Forecast'!$D$20:$D$1181,'Incremental Network SummerFcast'!$A107)+
SUMIFS('Customer Scenario Forecast'!H$24:H$1185,'Customer Scenario Forecast'!$E$20:$E$1181,'Incremental Network SummerFcast'!$A107)+H109),
1*(
SUMIFS('Customer Scenario Forecast'!H$24:H$1185,'Customer Scenario Forecast'!$C$20:$C$1181,'Incremental Network SummerFcast'!$A107,'Customer Scenario Forecast'!$H$20:$H$1181,'Incremental Network SummerFcast'!$H$1)+
SUMIFS('Customer Scenario Forecast'!H$24:H$1185,'Customer Scenario Forecast'!$D$20:$D$1181,'Incremental Network SummerFcast'!$A107,'Customer Scenario Forecast'!$H$20:$H$1181,'Incremental Network SummerFcast'!$H$1)+
SUMIFS('Customer Scenario Forecast'!H$24:H$1185,'Customer Scenario Forecast'!$E$20:$E$1181,'Incremental Network SummerFcast'!$A107,'Customer Scenario Forecast'!$H$20:$H$1181,'Incremental Network SummerFcast'!$H$1)+H109))</f>
        <v>0</v>
      </c>
      <c r="I112" s="196">
        <f ca="1">IF($H$1="",
1*(
SUMIFS('Customer Scenario Forecast'!I$24:I$1185,'Customer Scenario Forecast'!$C$20:$C$1181,'Incremental Network SummerFcast'!$A107)+
SUMIFS('Customer Scenario Forecast'!I$24:I$1185,'Customer Scenario Forecast'!$D$20:$D$1181,'Incremental Network SummerFcast'!$A107)+
SUMIFS('Customer Scenario Forecast'!I$24:I$1185,'Customer Scenario Forecast'!$E$20:$E$1181,'Incremental Network SummerFcast'!$A107)+I109),
1*(
SUMIFS('Customer Scenario Forecast'!I$24:I$1185,'Customer Scenario Forecast'!$C$20:$C$1181,'Incremental Network SummerFcast'!$A107,'Customer Scenario Forecast'!$H$20:$H$1181,'Incremental Network SummerFcast'!$H$1)+
SUMIFS('Customer Scenario Forecast'!I$24:I$1185,'Customer Scenario Forecast'!$D$20:$D$1181,'Incremental Network SummerFcast'!$A107,'Customer Scenario Forecast'!$H$20:$H$1181,'Incremental Network SummerFcast'!$H$1)+
SUMIFS('Customer Scenario Forecast'!I$24:I$1185,'Customer Scenario Forecast'!$E$20:$E$1181,'Incremental Network SummerFcast'!$A107,'Customer Scenario Forecast'!$H$20:$H$1181,'Incremental Network SummerFcast'!$H$1)+I109))</f>
        <v>0</v>
      </c>
      <c r="J112" s="196">
        <f ca="1">IF($H$1="",
1*(
SUMIFS('Customer Scenario Forecast'!J$24:J$1185,'Customer Scenario Forecast'!$C$20:$C$1181,'Incremental Network SummerFcast'!$A107)+
SUMIFS('Customer Scenario Forecast'!J$24:J$1185,'Customer Scenario Forecast'!$D$20:$D$1181,'Incremental Network SummerFcast'!$A107)+
SUMIFS('Customer Scenario Forecast'!J$24:J$1185,'Customer Scenario Forecast'!$E$20:$E$1181,'Incremental Network SummerFcast'!$A107)+J109),
1*(
SUMIFS('Customer Scenario Forecast'!J$24:J$1185,'Customer Scenario Forecast'!$C$20:$C$1181,'Incremental Network SummerFcast'!$A107,'Customer Scenario Forecast'!$H$20:$H$1181,'Incremental Network SummerFcast'!$H$1)+
SUMIFS('Customer Scenario Forecast'!J$24:J$1185,'Customer Scenario Forecast'!$D$20:$D$1181,'Incremental Network SummerFcast'!$A107,'Customer Scenario Forecast'!$H$20:$H$1181,'Incremental Network SummerFcast'!$H$1)+
SUMIFS('Customer Scenario Forecast'!J$24:J$1185,'Customer Scenario Forecast'!$E$20:$E$1181,'Incremental Network SummerFcast'!$A107,'Customer Scenario Forecast'!$H$20:$H$1181,'Incremental Network SummerFcast'!$H$1)+J109))</f>
        <v>0</v>
      </c>
      <c r="K112" s="196">
        <f ca="1">IF($H$1="",
1*(
SUMIFS('Customer Scenario Forecast'!K$24:K$1185,'Customer Scenario Forecast'!$C$20:$C$1181,'Incremental Network SummerFcast'!$A107)+
SUMIFS('Customer Scenario Forecast'!K$24:K$1185,'Customer Scenario Forecast'!$D$20:$D$1181,'Incremental Network SummerFcast'!$A107)+
SUMIFS('Customer Scenario Forecast'!K$24:K$1185,'Customer Scenario Forecast'!$E$20:$E$1181,'Incremental Network SummerFcast'!$A107)+K109),
1*(
SUMIFS('Customer Scenario Forecast'!K$24:K$1185,'Customer Scenario Forecast'!$C$20:$C$1181,'Incremental Network SummerFcast'!$A107,'Customer Scenario Forecast'!$H$20:$H$1181,'Incremental Network SummerFcast'!$H$1)+
SUMIFS('Customer Scenario Forecast'!K$24:K$1185,'Customer Scenario Forecast'!$D$20:$D$1181,'Incremental Network SummerFcast'!$A107,'Customer Scenario Forecast'!$H$20:$H$1181,'Incremental Network SummerFcast'!$H$1)+
SUMIFS('Customer Scenario Forecast'!K$24:K$1185,'Customer Scenario Forecast'!$E$20:$E$1181,'Incremental Network SummerFcast'!$A107,'Customer Scenario Forecast'!$H$20:$H$1181,'Incremental Network SummerFcast'!$H$1)+K109))</f>
        <v>0</v>
      </c>
      <c r="L112" s="196">
        <f ca="1">IF($H$1="",
1*(
SUMIFS('Customer Scenario Forecast'!L$24:L$1185,'Customer Scenario Forecast'!$C$20:$C$1181,'Incremental Network SummerFcast'!$A107)+
SUMIFS('Customer Scenario Forecast'!L$24:L$1185,'Customer Scenario Forecast'!$D$20:$D$1181,'Incremental Network SummerFcast'!$A107)+
SUMIFS('Customer Scenario Forecast'!L$24:L$1185,'Customer Scenario Forecast'!$E$20:$E$1181,'Incremental Network SummerFcast'!$A107)+L109),
1*(
SUMIFS('Customer Scenario Forecast'!L$24:L$1185,'Customer Scenario Forecast'!$C$20:$C$1181,'Incremental Network SummerFcast'!$A107,'Customer Scenario Forecast'!$H$20:$H$1181,'Incremental Network SummerFcast'!$H$1)+
SUMIFS('Customer Scenario Forecast'!L$24:L$1185,'Customer Scenario Forecast'!$D$20:$D$1181,'Incremental Network SummerFcast'!$A107,'Customer Scenario Forecast'!$H$20:$H$1181,'Incremental Network SummerFcast'!$H$1)+
SUMIFS('Customer Scenario Forecast'!L$24:L$1185,'Customer Scenario Forecast'!$E$20:$E$1181,'Incremental Network SummerFcast'!$A107,'Customer Scenario Forecast'!$H$20:$H$1181,'Incremental Network SummerFcast'!$H$1)+L109))</f>
        <v>0</v>
      </c>
    </row>
    <row r="113" spans="1:13" ht="15" thickBot="1">
      <c r="A113" s="197" t="s">
        <v>109</v>
      </c>
      <c r="B113" s="198">
        <f ca="1">IF($H$1="",
1*(
SUMIFS('Customer Scenario Forecast'!B$25:B$1186,'Customer Scenario Forecast'!$C$20:$C$1181,'Incremental Network SummerFcast'!$A107)+
SUMIFS('Customer Scenario Forecast'!B$25:B$1186,'Customer Scenario Forecast'!$D$20:$D$1181,'Incremental Network SummerFcast'!$A107)+
SUMIFS('Customer Scenario Forecast'!B$25:B$1186,'Customer Scenario Forecast'!$E$20:$E$1181,'Incremental Network SummerFcast'!$A107)+B109),
1*(
SUMIFS('Customer Scenario Forecast'!B$25:B$1186,'Customer Scenario Forecast'!$C$20:$C$1181,'Incremental Network SummerFcast'!$A107,'Customer Scenario Forecast'!$H$20:$H$1181,'Incremental Network SummerFcast'!$H$1)+
SUMIFS('Customer Scenario Forecast'!B$25:B$1186,'Customer Scenario Forecast'!$D$20:$D$1181,'Incremental Network SummerFcast'!$A107,'Customer Scenario Forecast'!$H$20:$H$1181,'Incremental Network SummerFcast'!$H$1)+
SUMIFS('Customer Scenario Forecast'!B$25:B$1186,'Customer Scenario Forecast'!$E$20:$E$1181,'Incremental Network SummerFcast'!$A107,'Customer Scenario Forecast'!$H$20:$H$1181,'Incremental Network SummerFcast'!$H$1)+B109))</f>
        <v>0</v>
      </c>
      <c r="C113" s="198">
        <f ca="1">IF($H$1="",
1*(
SUMIFS('Customer Scenario Forecast'!C$25:C$1186,'Customer Scenario Forecast'!$C$20:$C$1181,'Incremental Network SummerFcast'!$A107)+
SUMIFS('Customer Scenario Forecast'!C$25:C$1186,'Customer Scenario Forecast'!$D$20:$D$1181,'Incremental Network SummerFcast'!$A107)+
SUMIFS('Customer Scenario Forecast'!C$25:C$1186,'Customer Scenario Forecast'!$E$20:$E$1181,'Incremental Network SummerFcast'!$A107)+C109),
1*(
SUMIFS('Customer Scenario Forecast'!C$25:C$1186,'Customer Scenario Forecast'!$C$20:$C$1181,'Incremental Network SummerFcast'!$A107,'Customer Scenario Forecast'!$H$20:$H$1181,'Incremental Network SummerFcast'!$H$1)+
SUMIFS('Customer Scenario Forecast'!C$25:C$1186,'Customer Scenario Forecast'!$D$20:$D$1181,'Incremental Network SummerFcast'!$A107,'Customer Scenario Forecast'!$H$20:$H$1181,'Incremental Network SummerFcast'!$H$1)+
SUMIFS('Customer Scenario Forecast'!C$25:C$1186,'Customer Scenario Forecast'!$E$20:$E$1181,'Incremental Network SummerFcast'!$A107,'Customer Scenario Forecast'!$H$20:$H$1181,'Incremental Network SummerFcast'!$H$1)+C109))</f>
        <v>0</v>
      </c>
      <c r="D113" s="198">
        <f ca="1">IF($H$1="",
1*(
SUMIFS('Customer Scenario Forecast'!D$25:D$1186,'Customer Scenario Forecast'!$C$20:$C$1181,'Incremental Network SummerFcast'!$A107)+
SUMIFS('Customer Scenario Forecast'!D$25:D$1186,'Customer Scenario Forecast'!$D$20:$D$1181,'Incremental Network SummerFcast'!$A107)+
SUMIFS('Customer Scenario Forecast'!D$25:D$1186,'Customer Scenario Forecast'!$E$20:$E$1181,'Incremental Network SummerFcast'!$A107)+D109),
1*(
SUMIFS('Customer Scenario Forecast'!D$25:D$1186,'Customer Scenario Forecast'!$C$20:$C$1181,'Incremental Network SummerFcast'!$A107,'Customer Scenario Forecast'!$H$20:$H$1181,'Incremental Network SummerFcast'!$H$1)+
SUMIFS('Customer Scenario Forecast'!D$25:D$1186,'Customer Scenario Forecast'!$D$20:$D$1181,'Incremental Network SummerFcast'!$A107,'Customer Scenario Forecast'!$H$20:$H$1181,'Incremental Network SummerFcast'!$H$1)+
SUMIFS('Customer Scenario Forecast'!D$25:D$1186,'Customer Scenario Forecast'!$E$20:$E$1181,'Incremental Network SummerFcast'!$A107,'Customer Scenario Forecast'!$H$20:$H$1181,'Incremental Network SummerFcast'!$H$1)+D109))</f>
        <v>0</v>
      </c>
      <c r="E113" s="198">
        <f ca="1">IF($H$1="",
1*(
SUMIFS('Customer Scenario Forecast'!E$25:E$1186,'Customer Scenario Forecast'!$C$20:$C$1181,'Incremental Network SummerFcast'!$A107)+
SUMIFS('Customer Scenario Forecast'!E$25:E$1186,'Customer Scenario Forecast'!$D$20:$D$1181,'Incremental Network SummerFcast'!$A107)+
SUMIFS('Customer Scenario Forecast'!E$25:E$1186,'Customer Scenario Forecast'!$E$20:$E$1181,'Incremental Network SummerFcast'!$A107)+E109),
1*(
SUMIFS('Customer Scenario Forecast'!E$25:E$1186,'Customer Scenario Forecast'!$C$20:$C$1181,'Incremental Network SummerFcast'!$A107,'Customer Scenario Forecast'!$H$20:$H$1181,'Incremental Network SummerFcast'!$H$1)+
SUMIFS('Customer Scenario Forecast'!E$25:E$1186,'Customer Scenario Forecast'!$D$20:$D$1181,'Incremental Network SummerFcast'!$A107,'Customer Scenario Forecast'!$H$20:$H$1181,'Incremental Network SummerFcast'!$H$1)+
SUMIFS('Customer Scenario Forecast'!E$25:E$1186,'Customer Scenario Forecast'!$E$20:$E$1181,'Incremental Network SummerFcast'!$A107,'Customer Scenario Forecast'!$H$20:$H$1181,'Incremental Network SummerFcast'!$H$1)+E109))</f>
        <v>0</v>
      </c>
      <c r="F113" s="198">
        <f ca="1">IF($H$1="",
1*(
SUMIFS('Customer Scenario Forecast'!F$25:F$1186,'Customer Scenario Forecast'!$C$20:$C$1181,'Incremental Network SummerFcast'!$A107)+
SUMIFS('Customer Scenario Forecast'!F$25:F$1186,'Customer Scenario Forecast'!$D$20:$D$1181,'Incremental Network SummerFcast'!$A107)+
SUMIFS('Customer Scenario Forecast'!F$25:F$1186,'Customer Scenario Forecast'!$E$20:$E$1181,'Incremental Network SummerFcast'!$A107)+F109),
1*(
SUMIFS('Customer Scenario Forecast'!F$25:F$1186,'Customer Scenario Forecast'!$C$20:$C$1181,'Incremental Network SummerFcast'!$A107,'Customer Scenario Forecast'!$H$20:$H$1181,'Incremental Network SummerFcast'!$H$1)+
SUMIFS('Customer Scenario Forecast'!F$25:F$1186,'Customer Scenario Forecast'!$D$20:$D$1181,'Incremental Network SummerFcast'!$A107,'Customer Scenario Forecast'!$H$20:$H$1181,'Incremental Network SummerFcast'!$H$1)+
SUMIFS('Customer Scenario Forecast'!F$25:F$1186,'Customer Scenario Forecast'!$E$20:$E$1181,'Incremental Network SummerFcast'!$A107,'Customer Scenario Forecast'!$H$20:$H$1181,'Incremental Network SummerFcast'!$H$1)+F109))</f>
        <v>0</v>
      </c>
      <c r="G113" s="198">
        <f ca="1">IF($H$1="",
1*(
SUMIFS('Customer Scenario Forecast'!G$25:G$1186,'Customer Scenario Forecast'!$C$20:$C$1181,'Incremental Network SummerFcast'!$A107)+
SUMIFS('Customer Scenario Forecast'!G$25:G$1186,'Customer Scenario Forecast'!$D$20:$D$1181,'Incremental Network SummerFcast'!$A107)+
SUMIFS('Customer Scenario Forecast'!G$25:G$1186,'Customer Scenario Forecast'!$E$20:$E$1181,'Incremental Network SummerFcast'!$A107)+G109),
1*(
SUMIFS('Customer Scenario Forecast'!G$25:G$1186,'Customer Scenario Forecast'!$C$20:$C$1181,'Incremental Network SummerFcast'!$A107,'Customer Scenario Forecast'!$H$20:$H$1181,'Incremental Network SummerFcast'!$H$1)+
SUMIFS('Customer Scenario Forecast'!G$25:G$1186,'Customer Scenario Forecast'!$D$20:$D$1181,'Incremental Network SummerFcast'!$A107,'Customer Scenario Forecast'!$H$20:$H$1181,'Incremental Network SummerFcast'!$H$1)+
SUMIFS('Customer Scenario Forecast'!G$25:G$1186,'Customer Scenario Forecast'!$E$20:$E$1181,'Incremental Network SummerFcast'!$A107,'Customer Scenario Forecast'!$H$20:$H$1181,'Incremental Network SummerFcast'!$H$1)+G109))</f>
        <v>0</v>
      </c>
      <c r="H113" s="198">
        <f ca="1">IF($H$1="",
1*(
SUMIFS('Customer Scenario Forecast'!H$25:H$1186,'Customer Scenario Forecast'!$C$20:$C$1181,'Incremental Network SummerFcast'!$A107)+
SUMIFS('Customer Scenario Forecast'!H$25:H$1186,'Customer Scenario Forecast'!$D$20:$D$1181,'Incremental Network SummerFcast'!$A107)+
SUMIFS('Customer Scenario Forecast'!H$25:H$1186,'Customer Scenario Forecast'!$E$20:$E$1181,'Incremental Network SummerFcast'!$A107)+H109),
1*(
SUMIFS('Customer Scenario Forecast'!H$25:H$1186,'Customer Scenario Forecast'!$C$20:$C$1181,'Incremental Network SummerFcast'!$A107,'Customer Scenario Forecast'!$H$20:$H$1181,'Incremental Network SummerFcast'!$H$1)+
SUMIFS('Customer Scenario Forecast'!H$25:H$1186,'Customer Scenario Forecast'!$D$20:$D$1181,'Incremental Network SummerFcast'!$A107,'Customer Scenario Forecast'!$H$20:$H$1181,'Incremental Network SummerFcast'!$H$1)+
SUMIFS('Customer Scenario Forecast'!H$25:H$1186,'Customer Scenario Forecast'!$E$20:$E$1181,'Incremental Network SummerFcast'!$A107,'Customer Scenario Forecast'!$H$20:$H$1181,'Incremental Network SummerFcast'!$H$1)+H109))</f>
        <v>0</v>
      </c>
      <c r="I113" s="198">
        <f ca="1">IF($H$1="",
1*(
SUMIFS('Customer Scenario Forecast'!I$25:I$1186,'Customer Scenario Forecast'!$C$20:$C$1181,'Incremental Network SummerFcast'!$A107)+
SUMIFS('Customer Scenario Forecast'!I$25:I$1186,'Customer Scenario Forecast'!$D$20:$D$1181,'Incremental Network SummerFcast'!$A107)+
SUMIFS('Customer Scenario Forecast'!I$25:I$1186,'Customer Scenario Forecast'!$E$20:$E$1181,'Incremental Network SummerFcast'!$A107)+I109),
1*(
SUMIFS('Customer Scenario Forecast'!I$25:I$1186,'Customer Scenario Forecast'!$C$20:$C$1181,'Incremental Network SummerFcast'!$A107,'Customer Scenario Forecast'!$H$20:$H$1181,'Incremental Network SummerFcast'!$H$1)+
SUMIFS('Customer Scenario Forecast'!I$25:I$1186,'Customer Scenario Forecast'!$D$20:$D$1181,'Incremental Network SummerFcast'!$A107,'Customer Scenario Forecast'!$H$20:$H$1181,'Incremental Network SummerFcast'!$H$1)+
SUMIFS('Customer Scenario Forecast'!I$25:I$1186,'Customer Scenario Forecast'!$E$20:$E$1181,'Incremental Network SummerFcast'!$A107,'Customer Scenario Forecast'!$H$20:$H$1181,'Incremental Network SummerFcast'!$H$1)+I109))</f>
        <v>0</v>
      </c>
      <c r="J113" s="198">
        <f ca="1">IF($H$1="",
1*(
SUMIFS('Customer Scenario Forecast'!J$25:J$1186,'Customer Scenario Forecast'!$C$20:$C$1181,'Incremental Network SummerFcast'!$A107)+
SUMIFS('Customer Scenario Forecast'!J$25:J$1186,'Customer Scenario Forecast'!$D$20:$D$1181,'Incremental Network SummerFcast'!$A107)+
SUMIFS('Customer Scenario Forecast'!J$25:J$1186,'Customer Scenario Forecast'!$E$20:$E$1181,'Incremental Network SummerFcast'!$A107)+J109),
1*(
SUMIFS('Customer Scenario Forecast'!J$25:J$1186,'Customer Scenario Forecast'!$C$20:$C$1181,'Incremental Network SummerFcast'!$A107,'Customer Scenario Forecast'!$H$20:$H$1181,'Incremental Network SummerFcast'!$H$1)+
SUMIFS('Customer Scenario Forecast'!J$25:J$1186,'Customer Scenario Forecast'!$D$20:$D$1181,'Incremental Network SummerFcast'!$A107,'Customer Scenario Forecast'!$H$20:$H$1181,'Incremental Network SummerFcast'!$H$1)+
SUMIFS('Customer Scenario Forecast'!J$25:J$1186,'Customer Scenario Forecast'!$E$20:$E$1181,'Incremental Network SummerFcast'!$A107,'Customer Scenario Forecast'!$H$20:$H$1181,'Incremental Network SummerFcast'!$H$1)+J109))</f>
        <v>0</v>
      </c>
      <c r="K113" s="198">
        <f ca="1">IF($H$1="",
1*(
SUMIFS('Customer Scenario Forecast'!K$25:K$1186,'Customer Scenario Forecast'!$C$20:$C$1181,'Incremental Network SummerFcast'!$A107)+
SUMIFS('Customer Scenario Forecast'!K$25:K$1186,'Customer Scenario Forecast'!$D$20:$D$1181,'Incremental Network SummerFcast'!$A107)+
SUMIFS('Customer Scenario Forecast'!K$25:K$1186,'Customer Scenario Forecast'!$E$20:$E$1181,'Incremental Network SummerFcast'!$A107)+K109),
1*(
SUMIFS('Customer Scenario Forecast'!K$25:K$1186,'Customer Scenario Forecast'!$C$20:$C$1181,'Incremental Network SummerFcast'!$A107,'Customer Scenario Forecast'!$H$20:$H$1181,'Incremental Network SummerFcast'!$H$1)+
SUMIFS('Customer Scenario Forecast'!K$25:K$1186,'Customer Scenario Forecast'!$D$20:$D$1181,'Incremental Network SummerFcast'!$A107,'Customer Scenario Forecast'!$H$20:$H$1181,'Incremental Network SummerFcast'!$H$1)+
SUMIFS('Customer Scenario Forecast'!K$25:K$1186,'Customer Scenario Forecast'!$E$20:$E$1181,'Incremental Network SummerFcast'!$A107,'Customer Scenario Forecast'!$H$20:$H$1181,'Incremental Network SummerFcast'!$H$1)+K109))</f>
        <v>0</v>
      </c>
      <c r="L113" s="198">
        <f ca="1">IF($H$1="",
1*(
SUMIFS('Customer Scenario Forecast'!L$25:L$1186,'Customer Scenario Forecast'!$C$20:$C$1181,'Incremental Network SummerFcast'!$A107)+
SUMIFS('Customer Scenario Forecast'!L$25:L$1186,'Customer Scenario Forecast'!$D$20:$D$1181,'Incremental Network SummerFcast'!$A107)+
SUMIFS('Customer Scenario Forecast'!L$25:L$1186,'Customer Scenario Forecast'!$E$20:$E$1181,'Incremental Network SummerFcast'!$A107)+L109),
1*(
SUMIFS('Customer Scenario Forecast'!L$25:L$1186,'Customer Scenario Forecast'!$C$20:$C$1181,'Incremental Network SummerFcast'!$A107,'Customer Scenario Forecast'!$H$20:$H$1181,'Incremental Network SummerFcast'!$H$1)+
SUMIFS('Customer Scenario Forecast'!L$25:L$1186,'Customer Scenario Forecast'!$D$20:$D$1181,'Incremental Network SummerFcast'!$A107,'Customer Scenario Forecast'!$H$20:$H$1181,'Incremental Network SummerFcast'!$H$1)+
SUMIFS('Customer Scenario Forecast'!L$25:L$1186,'Customer Scenario Forecast'!$E$20:$E$1181,'Incremental Network SummerFcast'!$A107,'Customer Scenario Forecast'!$H$20:$H$1181,'Incremental Network SummerFcast'!$H$1)+L109))</f>
        <v>0</v>
      </c>
    </row>
    <row r="114" spans="1:13" ht="15.6" thickTop="1" thickBot="1">
      <c r="A114" s="197" t="s">
        <v>148</v>
      </c>
      <c r="B114" s="198">
        <f ca="1">'Incremental Network SummerFcast'!$B$245*B111+'Incremental Network SummerFcast'!$B$246*B112+'Incremental Network SummerFcast'!$B$247*B113</f>
        <v>0</v>
      </c>
      <c r="C114" s="198">
        <f ca="1">'Incremental Network SummerFcast'!$B$245*C111+'Incremental Network SummerFcast'!$B$246*C112+'Incremental Network SummerFcast'!$B$247*C113</f>
        <v>0</v>
      </c>
      <c r="D114" s="198">
        <f ca="1">'Incremental Network SummerFcast'!$B$245*D111+'Incremental Network SummerFcast'!$B$246*D112+'Incremental Network SummerFcast'!$B$247*D113</f>
        <v>0</v>
      </c>
      <c r="E114" s="198">
        <f ca="1">'Incremental Network SummerFcast'!$B$245*E111+'Incremental Network SummerFcast'!$B$246*E112+'Incremental Network SummerFcast'!$B$247*E113</f>
        <v>0</v>
      </c>
      <c r="F114" s="198">
        <f ca="1">'Incremental Network SummerFcast'!$B$245*F111+'Incremental Network SummerFcast'!$B$246*F112+'Incremental Network SummerFcast'!$B$247*F113</f>
        <v>0</v>
      </c>
      <c r="G114" s="198">
        <f ca="1">'Incremental Network SummerFcast'!$B$245*G111+'Incremental Network SummerFcast'!$B$246*G112+'Incremental Network SummerFcast'!$B$247*G113</f>
        <v>0</v>
      </c>
      <c r="H114" s="198">
        <f ca="1">'Incremental Network SummerFcast'!$B$245*H111+'Incremental Network SummerFcast'!$B$246*H112+'Incremental Network SummerFcast'!$B$247*H113</f>
        <v>0</v>
      </c>
      <c r="I114" s="198">
        <f ca="1">'Incremental Network SummerFcast'!$B$245*I111+'Incremental Network SummerFcast'!$B$246*I112+'Incremental Network SummerFcast'!$B$247*I113</f>
        <v>0</v>
      </c>
      <c r="J114" s="198">
        <f ca="1">'Incremental Network SummerFcast'!$B$245*J111+'Incremental Network SummerFcast'!$B$246*J112+'Incremental Network SummerFcast'!$B$247*J113</f>
        <v>0</v>
      </c>
      <c r="K114" s="198">
        <f ca="1">'Incremental Network SummerFcast'!$B$245*K111+'Incremental Network SummerFcast'!$B$246*K112+'Incremental Network SummerFcast'!$B$247*K113</f>
        <v>0</v>
      </c>
      <c r="L114" s="198">
        <f ca="1">'Incremental Network SummerFcast'!$B$245*L111+'Incremental Network SummerFcast'!$B$246*L112+'Incremental Network SummerFcast'!$B$247*L113</f>
        <v>0</v>
      </c>
    </row>
    <row r="115" spans="1:13" ht="15.6" thickTop="1" thickBot="1">
      <c r="A115" s="188" t="s">
        <v>152</v>
      </c>
      <c r="B115" s="216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</row>
    <row r="116" spans="1:13" ht="15" thickBot="1">
      <c r="A116" s="191" t="str">
        <f>A108</f>
        <v>Uptake Scenario</v>
      </c>
      <c r="B116" s="191">
        <f t="shared" ref="B116:L116" si="14">B108</f>
        <v>2023</v>
      </c>
      <c r="C116" s="191">
        <f t="shared" si="14"/>
        <v>2024</v>
      </c>
      <c r="D116" s="191">
        <f t="shared" si="14"/>
        <v>2025</v>
      </c>
      <c r="E116" s="191">
        <f t="shared" si="14"/>
        <v>2026</v>
      </c>
      <c r="F116" s="191">
        <f t="shared" si="14"/>
        <v>2027</v>
      </c>
      <c r="G116" s="191">
        <f t="shared" si="14"/>
        <v>2028</v>
      </c>
      <c r="H116" s="191">
        <f t="shared" si="14"/>
        <v>2029</v>
      </c>
      <c r="I116" s="191">
        <f t="shared" si="14"/>
        <v>2030</v>
      </c>
      <c r="J116" s="191">
        <f t="shared" si="14"/>
        <v>2031</v>
      </c>
      <c r="K116" s="191">
        <f t="shared" si="14"/>
        <v>2032</v>
      </c>
      <c r="L116" s="191">
        <f t="shared" si="14"/>
        <v>2033</v>
      </c>
    </row>
    <row r="117" spans="1:13" ht="15.6" thickTop="1" thickBot="1">
      <c r="A117" s="193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37"/>
    </row>
    <row r="118" spans="1:13" ht="15" thickBot="1">
      <c r="A118" s="193" t="s">
        <v>111</v>
      </c>
      <c r="B118" s="194">
        <f ca="1">IF($H$1="",
SUMIFS('Customer Scenario Forecast'!B$22:B$1183,'Customer Scenario Forecast'!$C$20:$C$1181,'Incremental Network SummerFcast'!$A115)+
SUMIFS('Customer Scenario Forecast'!B$22:B$1183,'Customer Scenario Forecast'!$D$20:$D$1181,'Incremental Network SummerFcast'!$A115)+
SUMIFS('Customer Scenario Forecast'!B$22:B$1183,'Customer Scenario Forecast'!$E$20:$E$1181,'Incremental Network SummerFcast'!$A115),
SUMIFS('Customer Scenario Forecast'!B$22:B$1183,'Customer Scenario Forecast'!$C$20:$C$1181,'Incremental Network SummerFcast'!$A115,'Customer Scenario Forecast'!$H$20:$H$1181,'Incremental Network SummerFcast'!$H$1)+
SUMIFS('Customer Scenario Forecast'!B$22:B$1183,'Customer Scenario Forecast'!$D$20:$D$1181,'Incremental Network SummerFcast'!$A115,'Customer Scenario Forecast'!$H$20:$H$1181,'Incremental Network SummerFcast'!$H$1)+
SUMIFS('Customer Scenario Forecast'!B$22:B$1183,'Customer Scenario Forecast'!$E$20:$E$1181,'Incremental Network SummerFcast'!$A115,'Customer Scenario Forecast'!$H$20:$H$1181,'Incremental Network SummerFcast'!$H$1))</f>
        <v>0</v>
      </c>
      <c r="C118" s="194">
        <f ca="1">IF($H$1="",
SUMIFS('Customer Scenario Forecast'!C$22:C$1183,'Customer Scenario Forecast'!$C$20:$C$1181,'Incremental Network SummerFcast'!$A115)+
SUMIFS('Customer Scenario Forecast'!C$22:C$1183,'Customer Scenario Forecast'!$D$20:$D$1181,'Incremental Network SummerFcast'!$A115)+
SUMIFS('Customer Scenario Forecast'!C$22:C$1183,'Customer Scenario Forecast'!$E$20:$E$1181,'Incremental Network SummerFcast'!$A115),
SUMIFS('Customer Scenario Forecast'!C$22:C$1183,'Customer Scenario Forecast'!$C$20:$C$1181,'Incremental Network SummerFcast'!$A115,'Customer Scenario Forecast'!$H$20:$H$1181,'Incremental Network SummerFcast'!$H$1)+
SUMIFS('Customer Scenario Forecast'!C$22:C$1183,'Customer Scenario Forecast'!$D$20:$D$1181,'Incremental Network SummerFcast'!$A115,'Customer Scenario Forecast'!$H$20:$H$1181,'Incremental Network SummerFcast'!$H$1)+
SUMIFS('Customer Scenario Forecast'!C$22:C$1183,'Customer Scenario Forecast'!$E$20:$E$1181,'Incremental Network SummerFcast'!$A115,'Customer Scenario Forecast'!$H$20:$H$1181,'Incremental Network SummerFcast'!$H$1))</f>
        <v>0</v>
      </c>
      <c r="D118" s="194">
        <f ca="1">IF($H$1="",
SUMIFS('Customer Scenario Forecast'!D$22:D$1183,'Customer Scenario Forecast'!$C$20:$C$1181,'Incremental Network SummerFcast'!$A115)+
SUMIFS('Customer Scenario Forecast'!D$22:D$1183,'Customer Scenario Forecast'!$D$20:$D$1181,'Incremental Network SummerFcast'!$A115)+
SUMIFS('Customer Scenario Forecast'!D$22:D$1183,'Customer Scenario Forecast'!$E$20:$E$1181,'Incremental Network SummerFcast'!$A115),
SUMIFS('Customer Scenario Forecast'!D$22:D$1183,'Customer Scenario Forecast'!$C$20:$C$1181,'Incremental Network SummerFcast'!$A115,'Customer Scenario Forecast'!$H$20:$H$1181,'Incremental Network SummerFcast'!$H$1)+
SUMIFS('Customer Scenario Forecast'!D$22:D$1183,'Customer Scenario Forecast'!$D$20:$D$1181,'Incremental Network SummerFcast'!$A115,'Customer Scenario Forecast'!$H$20:$H$1181,'Incremental Network SummerFcast'!$H$1)+
SUMIFS('Customer Scenario Forecast'!D$22:D$1183,'Customer Scenario Forecast'!$E$20:$E$1181,'Incremental Network SummerFcast'!$A115,'Customer Scenario Forecast'!$H$20:$H$1181,'Incremental Network SummerFcast'!$H$1))</f>
        <v>0</v>
      </c>
      <c r="E118" s="194">
        <f ca="1">IF($H$1="",
SUMIFS('Customer Scenario Forecast'!E$22:E$1183,'Customer Scenario Forecast'!$C$20:$C$1181,'Incremental Network SummerFcast'!$A115)+
SUMIFS('Customer Scenario Forecast'!E$22:E$1183,'Customer Scenario Forecast'!$D$20:$D$1181,'Incremental Network SummerFcast'!$A115)+
SUMIFS('Customer Scenario Forecast'!E$22:E$1183,'Customer Scenario Forecast'!$E$20:$E$1181,'Incremental Network SummerFcast'!$A115),
SUMIFS('Customer Scenario Forecast'!E$22:E$1183,'Customer Scenario Forecast'!$C$20:$C$1181,'Incremental Network SummerFcast'!$A115,'Customer Scenario Forecast'!$H$20:$H$1181,'Incremental Network SummerFcast'!$H$1)+
SUMIFS('Customer Scenario Forecast'!E$22:E$1183,'Customer Scenario Forecast'!$D$20:$D$1181,'Incremental Network SummerFcast'!$A115,'Customer Scenario Forecast'!$H$20:$H$1181,'Incremental Network SummerFcast'!$H$1)+
SUMIFS('Customer Scenario Forecast'!E$22:E$1183,'Customer Scenario Forecast'!$E$20:$E$1181,'Incremental Network SummerFcast'!$A115,'Customer Scenario Forecast'!$H$20:$H$1181,'Incremental Network SummerFcast'!$H$1))</f>
        <v>0</v>
      </c>
      <c r="F118" s="194">
        <f ca="1">IF($H$1="",
SUMIFS('Customer Scenario Forecast'!F$22:F$1183,'Customer Scenario Forecast'!$C$20:$C$1181,'Incremental Network SummerFcast'!$A115)+
SUMIFS('Customer Scenario Forecast'!F$22:F$1183,'Customer Scenario Forecast'!$D$20:$D$1181,'Incremental Network SummerFcast'!$A115)+
SUMIFS('Customer Scenario Forecast'!F$22:F$1183,'Customer Scenario Forecast'!$E$20:$E$1181,'Incremental Network SummerFcast'!$A115),
SUMIFS('Customer Scenario Forecast'!F$22:F$1183,'Customer Scenario Forecast'!$C$20:$C$1181,'Incremental Network SummerFcast'!$A115,'Customer Scenario Forecast'!$H$20:$H$1181,'Incremental Network SummerFcast'!$H$1)+
SUMIFS('Customer Scenario Forecast'!F$22:F$1183,'Customer Scenario Forecast'!$D$20:$D$1181,'Incremental Network SummerFcast'!$A115,'Customer Scenario Forecast'!$H$20:$H$1181,'Incremental Network SummerFcast'!$H$1)+
SUMIFS('Customer Scenario Forecast'!F$22:F$1183,'Customer Scenario Forecast'!$E$20:$E$1181,'Incremental Network SummerFcast'!$A115,'Customer Scenario Forecast'!$H$20:$H$1181,'Incremental Network SummerFcast'!$H$1))</f>
        <v>0</v>
      </c>
      <c r="G118" s="194">
        <f ca="1">IF($H$1="",
SUMIFS('Customer Scenario Forecast'!G$22:G$1183,'Customer Scenario Forecast'!$C$20:$C$1181,'Incremental Network SummerFcast'!$A115)+
SUMIFS('Customer Scenario Forecast'!G$22:G$1183,'Customer Scenario Forecast'!$D$20:$D$1181,'Incremental Network SummerFcast'!$A115)+
SUMIFS('Customer Scenario Forecast'!G$22:G$1183,'Customer Scenario Forecast'!$E$20:$E$1181,'Incremental Network SummerFcast'!$A115),
SUMIFS('Customer Scenario Forecast'!G$22:G$1183,'Customer Scenario Forecast'!$C$20:$C$1181,'Incremental Network SummerFcast'!$A115,'Customer Scenario Forecast'!$H$20:$H$1181,'Incremental Network SummerFcast'!$H$1)+
SUMIFS('Customer Scenario Forecast'!G$22:G$1183,'Customer Scenario Forecast'!$D$20:$D$1181,'Incremental Network SummerFcast'!$A115,'Customer Scenario Forecast'!$H$20:$H$1181,'Incremental Network SummerFcast'!$H$1)+
SUMIFS('Customer Scenario Forecast'!G$22:G$1183,'Customer Scenario Forecast'!$E$20:$E$1181,'Incremental Network SummerFcast'!$A115,'Customer Scenario Forecast'!$H$20:$H$1181,'Incremental Network SummerFcast'!$H$1))</f>
        <v>0</v>
      </c>
      <c r="H118" s="194">
        <f ca="1">IF($H$1="",
SUMIFS('Customer Scenario Forecast'!H$22:H$1183,'Customer Scenario Forecast'!$C$20:$C$1181,'Incremental Network SummerFcast'!$A115)+
SUMIFS('Customer Scenario Forecast'!H$22:H$1183,'Customer Scenario Forecast'!$D$20:$D$1181,'Incremental Network SummerFcast'!$A115)+
SUMIFS('Customer Scenario Forecast'!H$22:H$1183,'Customer Scenario Forecast'!$E$20:$E$1181,'Incremental Network SummerFcast'!$A115),
SUMIFS('Customer Scenario Forecast'!H$22:H$1183,'Customer Scenario Forecast'!$C$20:$C$1181,'Incremental Network SummerFcast'!$A115,'Customer Scenario Forecast'!$H$20:$H$1181,'Incremental Network SummerFcast'!$H$1)+
SUMIFS('Customer Scenario Forecast'!H$22:H$1183,'Customer Scenario Forecast'!$D$20:$D$1181,'Incremental Network SummerFcast'!$A115,'Customer Scenario Forecast'!$H$20:$H$1181,'Incremental Network SummerFcast'!$H$1)+
SUMIFS('Customer Scenario Forecast'!H$22:H$1183,'Customer Scenario Forecast'!$E$20:$E$1181,'Incremental Network SummerFcast'!$A115,'Customer Scenario Forecast'!$H$20:$H$1181,'Incremental Network SummerFcast'!$H$1))</f>
        <v>0</v>
      </c>
      <c r="I118" s="194">
        <f ca="1">IF($H$1="",
SUMIFS('Customer Scenario Forecast'!I$22:I$1183,'Customer Scenario Forecast'!$C$20:$C$1181,'Incremental Network SummerFcast'!$A115)+
SUMIFS('Customer Scenario Forecast'!I$22:I$1183,'Customer Scenario Forecast'!$D$20:$D$1181,'Incremental Network SummerFcast'!$A115)+
SUMIFS('Customer Scenario Forecast'!I$22:I$1183,'Customer Scenario Forecast'!$E$20:$E$1181,'Incremental Network SummerFcast'!$A115),
SUMIFS('Customer Scenario Forecast'!I$22:I$1183,'Customer Scenario Forecast'!$C$20:$C$1181,'Incremental Network SummerFcast'!$A115,'Customer Scenario Forecast'!$H$20:$H$1181,'Incremental Network SummerFcast'!$H$1)+
SUMIFS('Customer Scenario Forecast'!I$22:I$1183,'Customer Scenario Forecast'!$D$20:$D$1181,'Incremental Network SummerFcast'!$A115,'Customer Scenario Forecast'!$H$20:$H$1181,'Incremental Network SummerFcast'!$H$1)+
SUMIFS('Customer Scenario Forecast'!I$22:I$1183,'Customer Scenario Forecast'!$E$20:$E$1181,'Incremental Network SummerFcast'!$A115,'Customer Scenario Forecast'!$H$20:$H$1181,'Incremental Network SummerFcast'!$H$1))</f>
        <v>0</v>
      </c>
      <c r="J118" s="194">
        <f ca="1">IF($H$1="",
SUMIFS('Customer Scenario Forecast'!J$22:J$1183,'Customer Scenario Forecast'!$C$20:$C$1181,'Incremental Network SummerFcast'!$A115)+
SUMIFS('Customer Scenario Forecast'!J$22:J$1183,'Customer Scenario Forecast'!$D$20:$D$1181,'Incremental Network SummerFcast'!$A115)+
SUMIFS('Customer Scenario Forecast'!J$22:J$1183,'Customer Scenario Forecast'!$E$20:$E$1181,'Incremental Network SummerFcast'!$A115),
SUMIFS('Customer Scenario Forecast'!J$22:J$1183,'Customer Scenario Forecast'!$C$20:$C$1181,'Incremental Network SummerFcast'!$A115,'Customer Scenario Forecast'!$H$20:$H$1181,'Incremental Network SummerFcast'!$H$1)+
SUMIFS('Customer Scenario Forecast'!J$22:J$1183,'Customer Scenario Forecast'!$D$20:$D$1181,'Incremental Network SummerFcast'!$A115,'Customer Scenario Forecast'!$H$20:$H$1181,'Incremental Network SummerFcast'!$H$1)+
SUMIFS('Customer Scenario Forecast'!J$22:J$1183,'Customer Scenario Forecast'!$E$20:$E$1181,'Incremental Network SummerFcast'!$A115,'Customer Scenario Forecast'!$H$20:$H$1181,'Incremental Network SummerFcast'!$H$1))</f>
        <v>0</v>
      </c>
      <c r="K118" s="194">
        <f ca="1">IF($H$1="",
SUMIFS('Customer Scenario Forecast'!K$22:K$1183,'Customer Scenario Forecast'!$C$20:$C$1181,'Incremental Network SummerFcast'!$A115)+
SUMIFS('Customer Scenario Forecast'!K$22:K$1183,'Customer Scenario Forecast'!$D$20:$D$1181,'Incremental Network SummerFcast'!$A115)+
SUMIFS('Customer Scenario Forecast'!K$22:K$1183,'Customer Scenario Forecast'!$E$20:$E$1181,'Incremental Network SummerFcast'!$A115),
SUMIFS('Customer Scenario Forecast'!K$22:K$1183,'Customer Scenario Forecast'!$C$20:$C$1181,'Incremental Network SummerFcast'!$A115,'Customer Scenario Forecast'!$H$20:$H$1181,'Incremental Network SummerFcast'!$H$1)+
SUMIFS('Customer Scenario Forecast'!K$22:K$1183,'Customer Scenario Forecast'!$D$20:$D$1181,'Incremental Network SummerFcast'!$A115,'Customer Scenario Forecast'!$H$20:$H$1181,'Incremental Network SummerFcast'!$H$1)+
SUMIFS('Customer Scenario Forecast'!K$22:K$1183,'Customer Scenario Forecast'!$E$20:$E$1181,'Incremental Network SummerFcast'!$A115,'Customer Scenario Forecast'!$H$20:$H$1181,'Incremental Network SummerFcast'!$H$1))</f>
        <v>0</v>
      </c>
      <c r="L118" s="194">
        <f ca="1">IF($H$1="",
SUMIFS('Customer Scenario Forecast'!L$22:L$1183,'Customer Scenario Forecast'!$C$20:$C$1181,'Incremental Network SummerFcast'!$A115)+
SUMIFS('Customer Scenario Forecast'!L$22:L$1183,'Customer Scenario Forecast'!$D$20:$D$1181,'Incremental Network SummerFcast'!$A115)+
SUMIFS('Customer Scenario Forecast'!L$22:L$1183,'Customer Scenario Forecast'!$E$20:$E$1181,'Incremental Network SummerFcast'!$A115),
SUMIFS('Customer Scenario Forecast'!L$22:L$1183,'Customer Scenario Forecast'!$C$20:$C$1181,'Incremental Network SummerFcast'!$A115,'Customer Scenario Forecast'!$H$20:$H$1181,'Incremental Network SummerFcast'!$H$1)+
SUMIFS('Customer Scenario Forecast'!L$22:L$1183,'Customer Scenario Forecast'!$D$20:$D$1181,'Incremental Network SummerFcast'!$A115,'Customer Scenario Forecast'!$H$20:$H$1181,'Incremental Network SummerFcast'!$H$1)+
SUMIFS('Customer Scenario Forecast'!L$22:L$1183,'Customer Scenario Forecast'!$E$20:$E$1181,'Incremental Network SummerFcast'!$A115,'Customer Scenario Forecast'!$H$20:$H$1181,'Incremental Network SummerFcast'!$H$1))</f>
        <v>0</v>
      </c>
      <c r="M118" s="37"/>
    </row>
    <row r="119" spans="1:13" ht="15" thickBot="1">
      <c r="A119" s="195" t="s">
        <v>107</v>
      </c>
      <c r="B119" s="196">
        <f ca="1">IF($H$1="",
1*(
SUMIFS('Customer Scenario Forecast'!B$23:B$1184,'Customer Scenario Forecast'!$C$20:$C$1181,'Incremental Network SummerFcast'!$A115)+
SUMIFS('Customer Scenario Forecast'!B$23:B$1184,'Customer Scenario Forecast'!$D$20:$D$1181,'Incremental Network SummerFcast'!$A115)+
SUMIFS('Customer Scenario Forecast'!B$23:B$1184,'Customer Scenario Forecast'!$E$20:$E$1181,'Incremental Network SummerFcast'!$A115)+B117),
1*(
SUMIFS('Customer Scenario Forecast'!B$23:B$1184,'Customer Scenario Forecast'!$C$20:$C$1181,'Incremental Network SummerFcast'!$A115,'Customer Scenario Forecast'!$H$20:$H$1181,'Incremental Network SummerFcast'!$H$1)+
SUMIFS('Customer Scenario Forecast'!B$23:B$1184,'Customer Scenario Forecast'!$D$20:$D$1181,'Incremental Network SummerFcast'!$A115,'Customer Scenario Forecast'!$H$20:$H$1181,'Incremental Network SummerFcast'!$H$1)+
SUMIFS('Customer Scenario Forecast'!B$23:B$1184,'Customer Scenario Forecast'!$E$20:$E$1181,'Incremental Network SummerFcast'!$A115,'Customer Scenario Forecast'!$H$20:$H$1181,'Incremental Network SummerFcast'!$H$1)+B117))</f>
        <v>0</v>
      </c>
      <c r="C119" s="196">
        <f ca="1">IF($H$1="",
1*(
SUMIFS('Customer Scenario Forecast'!C$23:C$1184,'Customer Scenario Forecast'!$C$20:$C$1181,'Incremental Network SummerFcast'!$A115)+
SUMIFS('Customer Scenario Forecast'!C$23:C$1184,'Customer Scenario Forecast'!$D$20:$D$1181,'Incremental Network SummerFcast'!$A115)+
SUMIFS('Customer Scenario Forecast'!C$23:C$1184,'Customer Scenario Forecast'!$E$20:$E$1181,'Incremental Network SummerFcast'!$A115)+C117),
1*(
SUMIFS('Customer Scenario Forecast'!C$23:C$1184,'Customer Scenario Forecast'!$C$20:$C$1181,'Incremental Network SummerFcast'!$A115,'Customer Scenario Forecast'!$H$20:$H$1181,'Incremental Network SummerFcast'!$H$1)+
SUMIFS('Customer Scenario Forecast'!C$23:C$1184,'Customer Scenario Forecast'!$D$20:$D$1181,'Incremental Network SummerFcast'!$A115,'Customer Scenario Forecast'!$H$20:$H$1181,'Incremental Network SummerFcast'!$H$1)+
SUMIFS('Customer Scenario Forecast'!C$23:C$1184,'Customer Scenario Forecast'!$E$20:$E$1181,'Incremental Network SummerFcast'!$A115,'Customer Scenario Forecast'!$H$20:$H$1181,'Incremental Network SummerFcast'!$H$1)+C117))</f>
        <v>0</v>
      </c>
      <c r="D119" s="196">
        <f ca="1">IF($H$1="",
1*(
SUMIFS('Customer Scenario Forecast'!D$23:D$1184,'Customer Scenario Forecast'!$C$20:$C$1181,'Incremental Network SummerFcast'!$A115)+
SUMIFS('Customer Scenario Forecast'!D$23:D$1184,'Customer Scenario Forecast'!$D$20:$D$1181,'Incremental Network SummerFcast'!$A115)+
SUMIFS('Customer Scenario Forecast'!D$23:D$1184,'Customer Scenario Forecast'!$E$20:$E$1181,'Incremental Network SummerFcast'!$A115)+D117),
1*(
SUMIFS('Customer Scenario Forecast'!D$23:D$1184,'Customer Scenario Forecast'!$C$20:$C$1181,'Incremental Network SummerFcast'!$A115,'Customer Scenario Forecast'!$H$20:$H$1181,'Incremental Network SummerFcast'!$H$1)+
SUMIFS('Customer Scenario Forecast'!D$23:D$1184,'Customer Scenario Forecast'!$D$20:$D$1181,'Incremental Network SummerFcast'!$A115,'Customer Scenario Forecast'!$H$20:$H$1181,'Incremental Network SummerFcast'!$H$1)+
SUMIFS('Customer Scenario Forecast'!D$23:D$1184,'Customer Scenario Forecast'!$E$20:$E$1181,'Incremental Network SummerFcast'!$A115,'Customer Scenario Forecast'!$H$20:$H$1181,'Incremental Network SummerFcast'!$H$1)+D117))</f>
        <v>0</v>
      </c>
      <c r="E119" s="196">
        <f ca="1">IF($H$1="",
1*(
SUMIFS('Customer Scenario Forecast'!E$23:E$1184,'Customer Scenario Forecast'!$C$20:$C$1181,'Incremental Network SummerFcast'!$A115)+
SUMIFS('Customer Scenario Forecast'!E$23:E$1184,'Customer Scenario Forecast'!$D$20:$D$1181,'Incremental Network SummerFcast'!$A115)+
SUMIFS('Customer Scenario Forecast'!E$23:E$1184,'Customer Scenario Forecast'!$E$20:$E$1181,'Incremental Network SummerFcast'!$A115)+E117),
1*(
SUMIFS('Customer Scenario Forecast'!E$23:E$1184,'Customer Scenario Forecast'!$C$20:$C$1181,'Incremental Network SummerFcast'!$A115,'Customer Scenario Forecast'!$H$20:$H$1181,'Incremental Network SummerFcast'!$H$1)+
SUMIFS('Customer Scenario Forecast'!E$23:E$1184,'Customer Scenario Forecast'!$D$20:$D$1181,'Incremental Network SummerFcast'!$A115,'Customer Scenario Forecast'!$H$20:$H$1181,'Incremental Network SummerFcast'!$H$1)+
SUMIFS('Customer Scenario Forecast'!E$23:E$1184,'Customer Scenario Forecast'!$E$20:$E$1181,'Incremental Network SummerFcast'!$A115,'Customer Scenario Forecast'!$H$20:$H$1181,'Incremental Network SummerFcast'!$H$1)+E117))</f>
        <v>0</v>
      </c>
      <c r="F119" s="196">
        <f ca="1">IF($H$1="",
1*(
SUMIFS('Customer Scenario Forecast'!F$23:F$1184,'Customer Scenario Forecast'!$C$20:$C$1181,'Incremental Network SummerFcast'!$A115)+
SUMIFS('Customer Scenario Forecast'!F$23:F$1184,'Customer Scenario Forecast'!$D$20:$D$1181,'Incremental Network SummerFcast'!$A115)+
SUMIFS('Customer Scenario Forecast'!F$23:F$1184,'Customer Scenario Forecast'!$E$20:$E$1181,'Incremental Network SummerFcast'!$A115)+F117),
1*(
SUMIFS('Customer Scenario Forecast'!F$23:F$1184,'Customer Scenario Forecast'!$C$20:$C$1181,'Incremental Network SummerFcast'!$A115,'Customer Scenario Forecast'!$H$20:$H$1181,'Incremental Network SummerFcast'!$H$1)+
SUMIFS('Customer Scenario Forecast'!F$23:F$1184,'Customer Scenario Forecast'!$D$20:$D$1181,'Incremental Network SummerFcast'!$A115,'Customer Scenario Forecast'!$H$20:$H$1181,'Incremental Network SummerFcast'!$H$1)+
SUMIFS('Customer Scenario Forecast'!F$23:F$1184,'Customer Scenario Forecast'!$E$20:$E$1181,'Incremental Network SummerFcast'!$A115,'Customer Scenario Forecast'!$H$20:$H$1181,'Incremental Network SummerFcast'!$H$1)+F117))</f>
        <v>0</v>
      </c>
      <c r="G119" s="196">
        <f ca="1">IF($H$1="",
1*(
SUMIFS('Customer Scenario Forecast'!G$23:G$1184,'Customer Scenario Forecast'!$C$20:$C$1181,'Incremental Network SummerFcast'!$A115)+
SUMIFS('Customer Scenario Forecast'!G$23:G$1184,'Customer Scenario Forecast'!$D$20:$D$1181,'Incremental Network SummerFcast'!$A115)+
SUMIFS('Customer Scenario Forecast'!G$23:G$1184,'Customer Scenario Forecast'!$E$20:$E$1181,'Incremental Network SummerFcast'!$A115)+G117),
1*(
SUMIFS('Customer Scenario Forecast'!G$23:G$1184,'Customer Scenario Forecast'!$C$20:$C$1181,'Incremental Network SummerFcast'!$A115,'Customer Scenario Forecast'!$H$20:$H$1181,'Incremental Network SummerFcast'!$H$1)+
SUMIFS('Customer Scenario Forecast'!G$23:G$1184,'Customer Scenario Forecast'!$D$20:$D$1181,'Incremental Network SummerFcast'!$A115,'Customer Scenario Forecast'!$H$20:$H$1181,'Incremental Network SummerFcast'!$H$1)+
SUMIFS('Customer Scenario Forecast'!G$23:G$1184,'Customer Scenario Forecast'!$E$20:$E$1181,'Incremental Network SummerFcast'!$A115,'Customer Scenario Forecast'!$H$20:$H$1181,'Incremental Network SummerFcast'!$H$1)+G117))</f>
        <v>0</v>
      </c>
      <c r="H119" s="196">
        <f ca="1">IF($H$1="",
1*(
SUMIFS('Customer Scenario Forecast'!H$23:H$1184,'Customer Scenario Forecast'!$C$20:$C$1181,'Incremental Network SummerFcast'!$A115)+
SUMIFS('Customer Scenario Forecast'!H$23:H$1184,'Customer Scenario Forecast'!$D$20:$D$1181,'Incremental Network SummerFcast'!$A115)+
SUMIFS('Customer Scenario Forecast'!H$23:H$1184,'Customer Scenario Forecast'!$E$20:$E$1181,'Incremental Network SummerFcast'!$A115)+H117),
1*(
SUMIFS('Customer Scenario Forecast'!H$23:H$1184,'Customer Scenario Forecast'!$C$20:$C$1181,'Incremental Network SummerFcast'!$A115,'Customer Scenario Forecast'!$H$20:$H$1181,'Incremental Network SummerFcast'!$H$1)+
SUMIFS('Customer Scenario Forecast'!H$23:H$1184,'Customer Scenario Forecast'!$D$20:$D$1181,'Incremental Network SummerFcast'!$A115,'Customer Scenario Forecast'!$H$20:$H$1181,'Incremental Network SummerFcast'!$H$1)+
SUMIFS('Customer Scenario Forecast'!H$23:H$1184,'Customer Scenario Forecast'!$E$20:$E$1181,'Incremental Network SummerFcast'!$A115,'Customer Scenario Forecast'!$H$20:$H$1181,'Incremental Network SummerFcast'!$H$1)+H117))</f>
        <v>0</v>
      </c>
      <c r="I119" s="196">
        <f ca="1">IF($H$1="",
1*(
SUMIFS('Customer Scenario Forecast'!I$23:I$1184,'Customer Scenario Forecast'!$C$20:$C$1181,'Incremental Network SummerFcast'!$A115)+
SUMIFS('Customer Scenario Forecast'!I$23:I$1184,'Customer Scenario Forecast'!$D$20:$D$1181,'Incremental Network SummerFcast'!$A115)+
SUMIFS('Customer Scenario Forecast'!I$23:I$1184,'Customer Scenario Forecast'!$E$20:$E$1181,'Incremental Network SummerFcast'!$A115)+I117),
1*(
SUMIFS('Customer Scenario Forecast'!I$23:I$1184,'Customer Scenario Forecast'!$C$20:$C$1181,'Incremental Network SummerFcast'!$A115,'Customer Scenario Forecast'!$H$20:$H$1181,'Incremental Network SummerFcast'!$H$1)+
SUMIFS('Customer Scenario Forecast'!I$23:I$1184,'Customer Scenario Forecast'!$D$20:$D$1181,'Incremental Network SummerFcast'!$A115,'Customer Scenario Forecast'!$H$20:$H$1181,'Incremental Network SummerFcast'!$H$1)+
SUMIFS('Customer Scenario Forecast'!I$23:I$1184,'Customer Scenario Forecast'!$E$20:$E$1181,'Incremental Network SummerFcast'!$A115,'Customer Scenario Forecast'!$H$20:$H$1181,'Incremental Network SummerFcast'!$H$1)+I117))</f>
        <v>0</v>
      </c>
      <c r="J119" s="196">
        <f ca="1">IF($H$1="",
1*(
SUMIFS('Customer Scenario Forecast'!J$23:J$1184,'Customer Scenario Forecast'!$C$20:$C$1181,'Incremental Network SummerFcast'!$A115)+
SUMIFS('Customer Scenario Forecast'!J$23:J$1184,'Customer Scenario Forecast'!$D$20:$D$1181,'Incremental Network SummerFcast'!$A115)+
SUMIFS('Customer Scenario Forecast'!J$23:J$1184,'Customer Scenario Forecast'!$E$20:$E$1181,'Incremental Network SummerFcast'!$A115)+J117),
1*(
SUMIFS('Customer Scenario Forecast'!J$23:J$1184,'Customer Scenario Forecast'!$C$20:$C$1181,'Incremental Network SummerFcast'!$A115,'Customer Scenario Forecast'!$H$20:$H$1181,'Incremental Network SummerFcast'!$H$1)+
SUMIFS('Customer Scenario Forecast'!J$23:J$1184,'Customer Scenario Forecast'!$D$20:$D$1181,'Incremental Network SummerFcast'!$A115,'Customer Scenario Forecast'!$H$20:$H$1181,'Incremental Network SummerFcast'!$H$1)+
SUMIFS('Customer Scenario Forecast'!J$23:J$1184,'Customer Scenario Forecast'!$E$20:$E$1181,'Incremental Network SummerFcast'!$A115,'Customer Scenario Forecast'!$H$20:$H$1181,'Incremental Network SummerFcast'!$H$1)+J117))</f>
        <v>0</v>
      </c>
      <c r="K119" s="196">
        <f ca="1">IF($H$1="",
1*(
SUMIFS('Customer Scenario Forecast'!K$23:K$1184,'Customer Scenario Forecast'!$C$20:$C$1181,'Incremental Network SummerFcast'!$A115)+
SUMIFS('Customer Scenario Forecast'!K$23:K$1184,'Customer Scenario Forecast'!$D$20:$D$1181,'Incremental Network SummerFcast'!$A115)+
SUMIFS('Customer Scenario Forecast'!K$23:K$1184,'Customer Scenario Forecast'!$E$20:$E$1181,'Incremental Network SummerFcast'!$A115)+K117),
1*(
SUMIFS('Customer Scenario Forecast'!K$23:K$1184,'Customer Scenario Forecast'!$C$20:$C$1181,'Incremental Network SummerFcast'!$A115,'Customer Scenario Forecast'!$H$20:$H$1181,'Incremental Network SummerFcast'!$H$1)+
SUMIFS('Customer Scenario Forecast'!K$23:K$1184,'Customer Scenario Forecast'!$D$20:$D$1181,'Incremental Network SummerFcast'!$A115,'Customer Scenario Forecast'!$H$20:$H$1181,'Incremental Network SummerFcast'!$H$1)+
SUMIFS('Customer Scenario Forecast'!K$23:K$1184,'Customer Scenario Forecast'!$E$20:$E$1181,'Incremental Network SummerFcast'!$A115,'Customer Scenario Forecast'!$H$20:$H$1181,'Incremental Network SummerFcast'!$H$1)+K117))</f>
        <v>0</v>
      </c>
      <c r="L119" s="196">
        <f ca="1">IF($H$1="",
1*(
SUMIFS('Customer Scenario Forecast'!L$23:L$1184,'Customer Scenario Forecast'!$C$20:$C$1181,'Incremental Network SummerFcast'!$A115)+
SUMIFS('Customer Scenario Forecast'!L$23:L$1184,'Customer Scenario Forecast'!$D$20:$D$1181,'Incremental Network SummerFcast'!$A115)+
SUMIFS('Customer Scenario Forecast'!L$23:L$1184,'Customer Scenario Forecast'!$E$20:$E$1181,'Incremental Network SummerFcast'!$A115)+L117),
1*(
SUMIFS('Customer Scenario Forecast'!L$23:L$1184,'Customer Scenario Forecast'!$C$20:$C$1181,'Incremental Network SummerFcast'!$A115,'Customer Scenario Forecast'!$H$20:$H$1181,'Incremental Network SummerFcast'!$H$1)+
SUMIFS('Customer Scenario Forecast'!L$23:L$1184,'Customer Scenario Forecast'!$D$20:$D$1181,'Incremental Network SummerFcast'!$A115,'Customer Scenario Forecast'!$H$20:$H$1181,'Incremental Network SummerFcast'!$H$1)+
SUMIFS('Customer Scenario Forecast'!L$23:L$1184,'Customer Scenario Forecast'!$E$20:$E$1181,'Incremental Network SummerFcast'!$A115,'Customer Scenario Forecast'!$H$20:$H$1181,'Incremental Network SummerFcast'!$H$1)+L117))</f>
        <v>0</v>
      </c>
    </row>
    <row r="120" spans="1:13" ht="15" thickBot="1">
      <c r="A120" s="195" t="s">
        <v>108</v>
      </c>
      <c r="B120" s="196">
        <f ca="1">IF($H$1="",
1*(
SUMIFS('Customer Scenario Forecast'!B$24:B$1185,'Customer Scenario Forecast'!$C$20:$C$1181,'Incremental Network SummerFcast'!$A115)+
SUMIFS('Customer Scenario Forecast'!B$24:B$1185,'Customer Scenario Forecast'!$D$20:$D$1181,'Incremental Network SummerFcast'!$A115)+
SUMIFS('Customer Scenario Forecast'!B$24:B$1185,'Customer Scenario Forecast'!$E$20:$E$1181,'Incremental Network SummerFcast'!$A115)+B117),
1*(
SUMIFS('Customer Scenario Forecast'!B$24:B$1185,'Customer Scenario Forecast'!$C$20:$C$1181,'Incremental Network SummerFcast'!$A115,'Customer Scenario Forecast'!$H$20:$H$1181,'Incremental Network SummerFcast'!$H$1)+
SUMIFS('Customer Scenario Forecast'!B$24:B$1185,'Customer Scenario Forecast'!$D$20:$D$1181,'Incremental Network SummerFcast'!$A115,'Customer Scenario Forecast'!$H$20:$H$1181,'Incremental Network SummerFcast'!$H$1)+
SUMIFS('Customer Scenario Forecast'!B$24:B$1185,'Customer Scenario Forecast'!$E$20:$E$1181,'Incremental Network SummerFcast'!$A115,'Customer Scenario Forecast'!$H$20:$H$1181,'Incremental Network SummerFcast'!$H$1)+B117))</f>
        <v>0</v>
      </c>
      <c r="C120" s="196">
        <f ca="1">IF($H$1="",
1*(
SUMIFS('Customer Scenario Forecast'!C$24:C$1185,'Customer Scenario Forecast'!$C$20:$C$1181,'Incremental Network SummerFcast'!$A115)+
SUMIFS('Customer Scenario Forecast'!C$24:C$1185,'Customer Scenario Forecast'!$D$20:$D$1181,'Incremental Network SummerFcast'!$A115)+
SUMIFS('Customer Scenario Forecast'!C$24:C$1185,'Customer Scenario Forecast'!$E$20:$E$1181,'Incremental Network SummerFcast'!$A115)+C117),
1*(
SUMIFS('Customer Scenario Forecast'!C$24:C$1185,'Customer Scenario Forecast'!$C$20:$C$1181,'Incremental Network SummerFcast'!$A115,'Customer Scenario Forecast'!$H$20:$H$1181,'Incremental Network SummerFcast'!$H$1)+
SUMIFS('Customer Scenario Forecast'!C$24:C$1185,'Customer Scenario Forecast'!$D$20:$D$1181,'Incremental Network SummerFcast'!$A115,'Customer Scenario Forecast'!$H$20:$H$1181,'Incremental Network SummerFcast'!$H$1)+
SUMIFS('Customer Scenario Forecast'!C$24:C$1185,'Customer Scenario Forecast'!$E$20:$E$1181,'Incremental Network SummerFcast'!$A115,'Customer Scenario Forecast'!$H$20:$H$1181,'Incremental Network SummerFcast'!$H$1)+C117))</f>
        <v>0</v>
      </c>
      <c r="D120" s="196">
        <f ca="1">IF($H$1="",
1*(
SUMIFS('Customer Scenario Forecast'!D$24:D$1185,'Customer Scenario Forecast'!$C$20:$C$1181,'Incremental Network SummerFcast'!$A115)+
SUMIFS('Customer Scenario Forecast'!D$24:D$1185,'Customer Scenario Forecast'!$D$20:$D$1181,'Incremental Network SummerFcast'!$A115)+
SUMIFS('Customer Scenario Forecast'!D$24:D$1185,'Customer Scenario Forecast'!$E$20:$E$1181,'Incremental Network SummerFcast'!$A115)+D117),
1*(
SUMIFS('Customer Scenario Forecast'!D$24:D$1185,'Customer Scenario Forecast'!$C$20:$C$1181,'Incremental Network SummerFcast'!$A115,'Customer Scenario Forecast'!$H$20:$H$1181,'Incremental Network SummerFcast'!$H$1)+
SUMIFS('Customer Scenario Forecast'!D$24:D$1185,'Customer Scenario Forecast'!$D$20:$D$1181,'Incremental Network SummerFcast'!$A115,'Customer Scenario Forecast'!$H$20:$H$1181,'Incremental Network SummerFcast'!$H$1)+
SUMIFS('Customer Scenario Forecast'!D$24:D$1185,'Customer Scenario Forecast'!$E$20:$E$1181,'Incremental Network SummerFcast'!$A115,'Customer Scenario Forecast'!$H$20:$H$1181,'Incremental Network SummerFcast'!$H$1)+D117))</f>
        <v>0</v>
      </c>
      <c r="E120" s="196">
        <f ca="1">IF($H$1="",
1*(
SUMIFS('Customer Scenario Forecast'!E$24:E$1185,'Customer Scenario Forecast'!$C$20:$C$1181,'Incremental Network SummerFcast'!$A115)+
SUMIFS('Customer Scenario Forecast'!E$24:E$1185,'Customer Scenario Forecast'!$D$20:$D$1181,'Incremental Network SummerFcast'!$A115)+
SUMIFS('Customer Scenario Forecast'!E$24:E$1185,'Customer Scenario Forecast'!$E$20:$E$1181,'Incremental Network SummerFcast'!$A115)+E117),
1*(
SUMIFS('Customer Scenario Forecast'!E$24:E$1185,'Customer Scenario Forecast'!$C$20:$C$1181,'Incremental Network SummerFcast'!$A115,'Customer Scenario Forecast'!$H$20:$H$1181,'Incremental Network SummerFcast'!$H$1)+
SUMIFS('Customer Scenario Forecast'!E$24:E$1185,'Customer Scenario Forecast'!$D$20:$D$1181,'Incremental Network SummerFcast'!$A115,'Customer Scenario Forecast'!$H$20:$H$1181,'Incremental Network SummerFcast'!$H$1)+
SUMIFS('Customer Scenario Forecast'!E$24:E$1185,'Customer Scenario Forecast'!$E$20:$E$1181,'Incremental Network SummerFcast'!$A115,'Customer Scenario Forecast'!$H$20:$H$1181,'Incremental Network SummerFcast'!$H$1)+E117))</f>
        <v>0</v>
      </c>
      <c r="F120" s="196">
        <f ca="1">IF($H$1="",
1*(
SUMIFS('Customer Scenario Forecast'!F$24:F$1185,'Customer Scenario Forecast'!$C$20:$C$1181,'Incremental Network SummerFcast'!$A115)+
SUMIFS('Customer Scenario Forecast'!F$24:F$1185,'Customer Scenario Forecast'!$D$20:$D$1181,'Incremental Network SummerFcast'!$A115)+
SUMIFS('Customer Scenario Forecast'!F$24:F$1185,'Customer Scenario Forecast'!$E$20:$E$1181,'Incremental Network SummerFcast'!$A115)+F117),
1*(
SUMIFS('Customer Scenario Forecast'!F$24:F$1185,'Customer Scenario Forecast'!$C$20:$C$1181,'Incremental Network SummerFcast'!$A115,'Customer Scenario Forecast'!$H$20:$H$1181,'Incremental Network SummerFcast'!$H$1)+
SUMIFS('Customer Scenario Forecast'!F$24:F$1185,'Customer Scenario Forecast'!$D$20:$D$1181,'Incremental Network SummerFcast'!$A115,'Customer Scenario Forecast'!$H$20:$H$1181,'Incremental Network SummerFcast'!$H$1)+
SUMIFS('Customer Scenario Forecast'!F$24:F$1185,'Customer Scenario Forecast'!$E$20:$E$1181,'Incremental Network SummerFcast'!$A115,'Customer Scenario Forecast'!$H$20:$H$1181,'Incremental Network SummerFcast'!$H$1)+F117))</f>
        <v>0</v>
      </c>
      <c r="G120" s="196">
        <f ca="1">IF($H$1="",
1*(
SUMIFS('Customer Scenario Forecast'!G$24:G$1185,'Customer Scenario Forecast'!$C$20:$C$1181,'Incremental Network SummerFcast'!$A115)+
SUMIFS('Customer Scenario Forecast'!G$24:G$1185,'Customer Scenario Forecast'!$D$20:$D$1181,'Incremental Network SummerFcast'!$A115)+
SUMIFS('Customer Scenario Forecast'!G$24:G$1185,'Customer Scenario Forecast'!$E$20:$E$1181,'Incremental Network SummerFcast'!$A115)+G117),
1*(
SUMIFS('Customer Scenario Forecast'!G$24:G$1185,'Customer Scenario Forecast'!$C$20:$C$1181,'Incremental Network SummerFcast'!$A115,'Customer Scenario Forecast'!$H$20:$H$1181,'Incremental Network SummerFcast'!$H$1)+
SUMIFS('Customer Scenario Forecast'!G$24:G$1185,'Customer Scenario Forecast'!$D$20:$D$1181,'Incremental Network SummerFcast'!$A115,'Customer Scenario Forecast'!$H$20:$H$1181,'Incremental Network SummerFcast'!$H$1)+
SUMIFS('Customer Scenario Forecast'!G$24:G$1185,'Customer Scenario Forecast'!$E$20:$E$1181,'Incremental Network SummerFcast'!$A115,'Customer Scenario Forecast'!$H$20:$H$1181,'Incremental Network SummerFcast'!$H$1)+G117))</f>
        <v>0</v>
      </c>
      <c r="H120" s="196">
        <f ca="1">IF($H$1="",
1*(
SUMIFS('Customer Scenario Forecast'!H$24:H$1185,'Customer Scenario Forecast'!$C$20:$C$1181,'Incremental Network SummerFcast'!$A115)+
SUMIFS('Customer Scenario Forecast'!H$24:H$1185,'Customer Scenario Forecast'!$D$20:$D$1181,'Incremental Network SummerFcast'!$A115)+
SUMIFS('Customer Scenario Forecast'!H$24:H$1185,'Customer Scenario Forecast'!$E$20:$E$1181,'Incremental Network SummerFcast'!$A115)+H117),
1*(
SUMIFS('Customer Scenario Forecast'!H$24:H$1185,'Customer Scenario Forecast'!$C$20:$C$1181,'Incremental Network SummerFcast'!$A115,'Customer Scenario Forecast'!$H$20:$H$1181,'Incremental Network SummerFcast'!$H$1)+
SUMIFS('Customer Scenario Forecast'!H$24:H$1185,'Customer Scenario Forecast'!$D$20:$D$1181,'Incremental Network SummerFcast'!$A115,'Customer Scenario Forecast'!$H$20:$H$1181,'Incremental Network SummerFcast'!$H$1)+
SUMIFS('Customer Scenario Forecast'!H$24:H$1185,'Customer Scenario Forecast'!$E$20:$E$1181,'Incremental Network SummerFcast'!$A115,'Customer Scenario Forecast'!$H$20:$H$1181,'Incremental Network SummerFcast'!$H$1)+H117))</f>
        <v>0</v>
      </c>
      <c r="I120" s="196">
        <f ca="1">IF($H$1="",
1*(
SUMIFS('Customer Scenario Forecast'!I$24:I$1185,'Customer Scenario Forecast'!$C$20:$C$1181,'Incremental Network SummerFcast'!$A115)+
SUMIFS('Customer Scenario Forecast'!I$24:I$1185,'Customer Scenario Forecast'!$D$20:$D$1181,'Incremental Network SummerFcast'!$A115)+
SUMIFS('Customer Scenario Forecast'!I$24:I$1185,'Customer Scenario Forecast'!$E$20:$E$1181,'Incremental Network SummerFcast'!$A115)+I117),
1*(
SUMIFS('Customer Scenario Forecast'!I$24:I$1185,'Customer Scenario Forecast'!$C$20:$C$1181,'Incremental Network SummerFcast'!$A115,'Customer Scenario Forecast'!$H$20:$H$1181,'Incremental Network SummerFcast'!$H$1)+
SUMIFS('Customer Scenario Forecast'!I$24:I$1185,'Customer Scenario Forecast'!$D$20:$D$1181,'Incremental Network SummerFcast'!$A115,'Customer Scenario Forecast'!$H$20:$H$1181,'Incremental Network SummerFcast'!$H$1)+
SUMIFS('Customer Scenario Forecast'!I$24:I$1185,'Customer Scenario Forecast'!$E$20:$E$1181,'Incremental Network SummerFcast'!$A115,'Customer Scenario Forecast'!$H$20:$H$1181,'Incremental Network SummerFcast'!$H$1)+I117))</f>
        <v>0</v>
      </c>
      <c r="J120" s="196">
        <f ca="1">IF($H$1="",
1*(
SUMIFS('Customer Scenario Forecast'!J$24:J$1185,'Customer Scenario Forecast'!$C$20:$C$1181,'Incremental Network SummerFcast'!$A115)+
SUMIFS('Customer Scenario Forecast'!J$24:J$1185,'Customer Scenario Forecast'!$D$20:$D$1181,'Incremental Network SummerFcast'!$A115)+
SUMIFS('Customer Scenario Forecast'!J$24:J$1185,'Customer Scenario Forecast'!$E$20:$E$1181,'Incremental Network SummerFcast'!$A115)+J117),
1*(
SUMIFS('Customer Scenario Forecast'!J$24:J$1185,'Customer Scenario Forecast'!$C$20:$C$1181,'Incremental Network SummerFcast'!$A115,'Customer Scenario Forecast'!$H$20:$H$1181,'Incremental Network SummerFcast'!$H$1)+
SUMIFS('Customer Scenario Forecast'!J$24:J$1185,'Customer Scenario Forecast'!$D$20:$D$1181,'Incremental Network SummerFcast'!$A115,'Customer Scenario Forecast'!$H$20:$H$1181,'Incremental Network SummerFcast'!$H$1)+
SUMIFS('Customer Scenario Forecast'!J$24:J$1185,'Customer Scenario Forecast'!$E$20:$E$1181,'Incremental Network SummerFcast'!$A115,'Customer Scenario Forecast'!$H$20:$H$1181,'Incremental Network SummerFcast'!$H$1)+J117))</f>
        <v>0</v>
      </c>
      <c r="K120" s="196">
        <f ca="1">IF($H$1="",
1*(
SUMIFS('Customer Scenario Forecast'!K$24:K$1185,'Customer Scenario Forecast'!$C$20:$C$1181,'Incremental Network SummerFcast'!$A115)+
SUMIFS('Customer Scenario Forecast'!K$24:K$1185,'Customer Scenario Forecast'!$D$20:$D$1181,'Incremental Network SummerFcast'!$A115)+
SUMIFS('Customer Scenario Forecast'!K$24:K$1185,'Customer Scenario Forecast'!$E$20:$E$1181,'Incremental Network SummerFcast'!$A115)+K117),
1*(
SUMIFS('Customer Scenario Forecast'!K$24:K$1185,'Customer Scenario Forecast'!$C$20:$C$1181,'Incremental Network SummerFcast'!$A115,'Customer Scenario Forecast'!$H$20:$H$1181,'Incremental Network SummerFcast'!$H$1)+
SUMIFS('Customer Scenario Forecast'!K$24:K$1185,'Customer Scenario Forecast'!$D$20:$D$1181,'Incremental Network SummerFcast'!$A115,'Customer Scenario Forecast'!$H$20:$H$1181,'Incremental Network SummerFcast'!$H$1)+
SUMIFS('Customer Scenario Forecast'!K$24:K$1185,'Customer Scenario Forecast'!$E$20:$E$1181,'Incremental Network SummerFcast'!$A115,'Customer Scenario Forecast'!$H$20:$H$1181,'Incremental Network SummerFcast'!$H$1)+K117))</f>
        <v>0</v>
      </c>
      <c r="L120" s="196">
        <f ca="1">IF($H$1="",
1*(
SUMIFS('Customer Scenario Forecast'!L$24:L$1185,'Customer Scenario Forecast'!$C$20:$C$1181,'Incremental Network SummerFcast'!$A115)+
SUMIFS('Customer Scenario Forecast'!L$24:L$1185,'Customer Scenario Forecast'!$D$20:$D$1181,'Incremental Network SummerFcast'!$A115)+
SUMIFS('Customer Scenario Forecast'!L$24:L$1185,'Customer Scenario Forecast'!$E$20:$E$1181,'Incremental Network SummerFcast'!$A115)+L117),
1*(
SUMIFS('Customer Scenario Forecast'!L$24:L$1185,'Customer Scenario Forecast'!$C$20:$C$1181,'Incremental Network SummerFcast'!$A115,'Customer Scenario Forecast'!$H$20:$H$1181,'Incremental Network SummerFcast'!$H$1)+
SUMIFS('Customer Scenario Forecast'!L$24:L$1185,'Customer Scenario Forecast'!$D$20:$D$1181,'Incremental Network SummerFcast'!$A115,'Customer Scenario Forecast'!$H$20:$H$1181,'Incremental Network SummerFcast'!$H$1)+
SUMIFS('Customer Scenario Forecast'!L$24:L$1185,'Customer Scenario Forecast'!$E$20:$E$1181,'Incremental Network SummerFcast'!$A115,'Customer Scenario Forecast'!$H$20:$H$1181,'Incremental Network SummerFcast'!$H$1)+L117))</f>
        <v>0</v>
      </c>
    </row>
    <row r="121" spans="1:13" ht="15" thickBot="1">
      <c r="A121" s="197" t="s">
        <v>109</v>
      </c>
      <c r="B121" s="198">
        <f ca="1">IF($H$1="",
1*(
SUMIFS('Customer Scenario Forecast'!B$25:B$1186,'Customer Scenario Forecast'!$C$20:$C$1181,'Incremental Network SummerFcast'!$A115)+
SUMIFS('Customer Scenario Forecast'!B$25:B$1186,'Customer Scenario Forecast'!$D$20:$D$1181,'Incremental Network SummerFcast'!$A115)+
SUMIFS('Customer Scenario Forecast'!B$25:B$1186,'Customer Scenario Forecast'!$E$20:$E$1181,'Incremental Network SummerFcast'!$A115)+B117),
1*(
SUMIFS('Customer Scenario Forecast'!B$25:B$1186,'Customer Scenario Forecast'!$C$20:$C$1181,'Incremental Network SummerFcast'!$A115,'Customer Scenario Forecast'!$H$20:$H$1181,'Incremental Network SummerFcast'!$H$1)+
SUMIFS('Customer Scenario Forecast'!B$25:B$1186,'Customer Scenario Forecast'!$D$20:$D$1181,'Incremental Network SummerFcast'!$A115,'Customer Scenario Forecast'!$H$20:$H$1181,'Incremental Network SummerFcast'!$H$1)+
SUMIFS('Customer Scenario Forecast'!B$25:B$1186,'Customer Scenario Forecast'!$E$20:$E$1181,'Incremental Network SummerFcast'!$A115,'Customer Scenario Forecast'!$H$20:$H$1181,'Incremental Network SummerFcast'!$H$1)+B117))</f>
        <v>0</v>
      </c>
      <c r="C121" s="198">
        <f ca="1">IF($H$1="",
1*(
SUMIFS('Customer Scenario Forecast'!C$25:C$1186,'Customer Scenario Forecast'!$C$20:$C$1181,'Incremental Network SummerFcast'!$A115)+
SUMIFS('Customer Scenario Forecast'!C$25:C$1186,'Customer Scenario Forecast'!$D$20:$D$1181,'Incremental Network SummerFcast'!$A115)+
SUMIFS('Customer Scenario Forecast'!C$25:C$1186,'Customer Scenario Forecast'!$E$20:$E$1181,'Incremental Network SummerFcast'!$A115)+C117),
1*(
SUMIFS('Customer Scenario Forecast'!C$25:C$1186,'Customer Scenario Forecast'!$C$20:$C$1181,'Incremental Network SummerFcast'!$A115,'Customer Scenario Forecast'!$H$20:$H$1181,'Incremental Network SummerFcast'!$H$1)+
SUMIFS('Customer Scenario Forecast'!C$25:C$1186,'Customer Scenario Forecast'!$D$20:$D$1181,'Incremental Network SummerFcast'!$A115,'Customer Scenario Forecast'!$H$20:$H$1181,'Incremental Network SummerFcast'!$H$1)+
SUMIFS('Customer Scenario Forecast'!C$25:C$1186,'Customer Scenario Forecast'!$E$20:$E$1181,'Incremental Network SummerFcast'!$A115,'Customer Scenario Forecast'!$H$20:$H$1181,'Incremental Network SummerFcast'!$H$1)+C117))</f>
        <v>0</v>
      </c>
      <c r="D121" s="198">
        <f ca="1">IF($H$1="",
1*(
SUMIFS('Customer Scenario Forecast'!D$25:D$1186,'Customer Scenario Forecast'!$C$20:$C$1181,'Incremental Network SummerFcast'!$A115)+
SUMIFS('Customer Scenario Forecast'!D$25:D$1186,'Customer Scenario Forecast'!$D$20:$D$1181,'Incremental Network SummerFcast'!$A115)+
SUMIFS('Customer Scenario Forecast'!D$25:D$1186,'Customer Scenario Forecast'!$E$20:$E$1181,'Incremental Network SummerFcast'!$A115)+D117),
1*(
SUMIFS('Customer Scenario Forecast'!D$25:D$1186,'Customer Scenario Forecast'!$C$20:$C$1181,'Incremental Network SummerFcast'!$A115,'Customer Scenario Forecast'!$H$20:$H$1181,'Incremental Network SummerFcast'!$H$1)+
SUMIFS('Customer Scenario Forecast'!D$25:D$1186,'Customer Scenario Forecast'!$D$20:$D$1181,'Incremental Network SummerFcast'!$A115,'Customer Scenario Forecast'!$H$20:$H$1181,'Incremental Network SummerFcast'!$H$1)+
SUMIFS('Customer Scenario Forecast'!D$25:D$1186,'Customer Scenario Forecast'!$E$20:$E$1181,'Incremental Network SummerFcast'!$A115,'Customer Scenario Forecast'!$H$20:$H$1181,'Incremental Network SummerFcast'!$H$1)+D117))</f>
        <v>0</v>
      </c>
      <c r="E121" s="198">
        <f ca="1">IF($H$1="",
1*(
SUMIFS('Customer Scenario Forecast'!E$25:E$1186,'Customer Scenario Forecast'!$C$20:$C$1181,'Incremental Network SummerFcast'!$A115)+
SUMIFS('Customer Scenario Forecast'!E$25:E$1186,'Customer Scenario Forecast'!$D$20:$D$1181,'Incremental Network SummerFcast'!$A115)+
SUMIFS('Customer Scenario Forecast'!E$25:E$1186,'Customer Scenario Forecast'!$E$20:$E$1181,'Incremental Network SummerFcast'!$A115)+E117),
1*(
SUMIFS('Customer Scenario Forecast'!E$25:E$1186,'Customer Scenario Forecast'!$C$20:$C$1181,'Incremental Network SummerFcast'!$A115,'Customer Scenario Forecast'!$H$20:$H$1181,'Incremental Network SummerFcast'!$H$1)+
SUMIFS('Customer Scenario Forecast'!E$25:E$1186,'Customer Scenario Forecast'!$D$20:$D$1181,'Incremental Network SummerFcast'!$A115,'Customer Scenario Forecast'!$H$20:$H$1181,'Incremental Network SummerFcast'!$H$1)+
SUMIFS('Customer Scenario Forecast'!E$25:E$1186,'Customer Scenario Forecast'!$E$20:$E$1181,'Incremental Network SummerFcast'!$A115,'Customer Scenario Forecast'!$H$20:$H$1181,'Incremental Network SummerFcast'!$H$1)+E117))</f>
        <v>0</v>
      </c>
      <c r="F121" s="198">
        <f ca="1">IF($H$1="",
1*(
SUMIFS('Customer Scenario Forecast'!F$25:F$1186,'Customer Scenario Forecast'!$C$20:$C$1181,'Incremental Network SummerFcast'!$A115)+
SUMIFS('Customer Scenario Forecast'!F$25:F$1186,'Customer Scenario Forecast'!$D$20:$D$1181,'Incremental Network SummerFcast'!$A115)+
SUMIFS('Customer Scenario Forecast'!F$25:F$1186,'Customer Scenario Forecast'!$E$20:$E$1181,'Incremental Network SummerFcast'!$A115)+F117),
1*(
SUMIFS('Customer Scenario Forecast'!F$25:F$1186,'Customer Scenario Forecast'!$C$20:$C$1181,'Incremental Network SummerFcast'!$A115,'Customer Scenario Forecast'!$H$20:$H$1181,'Incremental Network SummerFcast'!$H$1)+
SUMIFS('Customer Scenario Forecast'!F$25:F$1186,'Customer Scenario Forecast'!$D$20:$D$1181,'Incremental Network SummerFcast'!$A115,'Customer Scenario Forecast'!$H$20:$H$1181,'Incremental Network SummerFcast'!$H$1)+
SUMIFS('Customer Scenario Forecast'!F$25:F$1186,'Customer Scenario Forecast'!$E$20:$E$1181,'Incremental Network SummerFcast'!$A115,'Customer Scenario Forecast'!$H$20:$H$1181,'Incremental Network SummerFcast'!$H$1)+F117))</f>
        <v>0</v>
      </c>
      <c r="G121" s="198">
        <f ca="1">IF($H$1="",
1*(
SUMIFS('Customer Scenario Forecast'!G$25:G$1186,'Customer Scenario Forecast'!$C$20:$C$1181,'Incremental Network SummerFcast'!$A115)+
SUMIFS('Customer Scenario Forecast'!G$25:G$1186,'Customer Scenario Forecast'!$D$20:$D$1181,'Incremental Network SummerFcast'!$A115)+
SUMIFS('Customer Scenario Forecast'!G$25:G$1186,'Customer Scenario Forecast'!$E$20:$E$1181,'Incremental Network SummerFcast'!$A115)+G117),
1*(
SUMIFS('Customer Scenario Forecast'!G$25:G$1186,'Customer Scenario Forecast'!$C$20:$C$1181,'Incremental Network SummerFcast'!$A115,'Customer Scenario Forecast'!$H$20:$H$1181,'Incremental Network SummerFcast'!$H$1)+
SUMIFS('Customer Scenario Forecast'!G$25:G$1186,'Customer Scenario Forecast'!$D$20:$D$1181,'Incremental Network SummerFcast'!$A115,'Customer Scenario Forecast'!$H$20:$H$1181,'Incremental Network SummerFcast'!$H$1)+
SUMIFS('Customer Scenario Forecast'!G$25:G$1186,'Customer Scenario Forecast'!$E$20:$E$1181,'Incremental Network SummerFcast'!$A115,'Customer Scenario Forecast'!$H$20:$H$1181,'Incremental Network SummerFcast'!$H$1)+G117))</f>
        <v>0</v>
      </c>
      <c r="H121" s="198">
        <f ca="1">IF($H$1="",
1*(
SUMIFS('Customer Scenario Forecast'!H$25:H$1186,'Customer Scenario Forecast'!$C$20:$C$1181,'Incremental Network SummerFcast'!$A115)+
SUMIFS('Customer Scenario Forecast'!H$25:H$1186,'Customer Scenario Forecast'!$D$20:$D$1181,'Incremental Network SummerFcast'!$A115)+
SUMIFS('Customer Scenario Forecast'!H$25:H$1186,'Customer Scenario Forecast'!$E$20:$E$1181,'Incremental Network SummerFcast'!$A115)+H117),
1*(
SUMIFS('Customer Scenario Forecast'!H$25:H$1186,'Customer Scenario Forecast'!$C$20:$C$1181,'Incremental Network SummerFcast'!$A115,'Customer Scenario Forecast'!$H$20:$H$1181,'Incremental Network SummerFcast'!$H$1)+
SUMIFS('Customer Scenario Forecast'!H$25:H$1186,'Customer Scenario Forecast'!$D$20:$D$1181,'Incremental Network SummerFcast'!$A115,'Customer Scenario Forecast'!$H$20:$H$1181,'Incremental Network SummerFcast'!$H$1)+
SUMIFS('Customer Scenario Forecast'!H$25:H$1186,'Customer Scenario Forecast'!$E$20:$E$1181,'Incremental Network SummerFcast'!$A115,'Customer Scenario Forecast'!$H$20:$H$1181,'Incremental Network SummerFcast'!$H$1)+H117))</f>
        <v>0</v>
      </c>
      <c r="I121" s="198">
        <f ca="1">IF($H$1="",
1*(
SUMIFS('Customer Scenario Forecast'!I$25:I$1186,'Customer Scenario Forecast'!$C$20:$C$1181,'Incremental Network SummerFcast'!$A115)+
SUMIFS('Customer Scenario Forecast'!I$25:I$1186,'Customer Scenario Forecast'!$D$20:$D$1181,'Incremental Network SummerFcast'!$A115)+
SUMIFS('Customer Scenario Forecast'!I$25:I$1186,'Customer Scenario Forecast'!$E$20:$E$1181,'Incremental Network SummerFcast'!$A115)+I117),
1*(
SUMIFS('Customer Scenario Forecast'!I$25:I$1186,'Customer Scenario Forecast'!$C$20:$C$1181,'Incremental Network SummerFcast'!$A115,'Customer Scenario Forecast'!$H$20:$H$1181,'Incremental Network SummerFcast'!$H$1)+
SUMIFS('Customer Scenario Forecast'!I$25:I$1186,'Customer Scenario Forecast'!$D$20:$D$1181,'Incremental Network SummerFcast'!$A115,'Customer Scenario Forecast'!$H$20:$H$1181,'Incremental Network SummerFcast'!$H$1)+
SUMIFS('Customer Scenario Forecast'!I$25:I$1186,'Customer Scenario Forecast'!$E$20:$E$1181,'Incremental Network SummerFcast'!$A115,'Customer Scenario Forecast'!$H$20:$H$1181,'Incremental Network SummerFcast'!$H$1)+I117))</f>
        <v>0</v>
      </c>
      <c r="J121" s="198">
        <f ca="1">IF($H$1="",
1*(
SUMIFS('Customer Scenario Forecast'!J$25:J$1186,'Customer Scenario Forecast'!$C$20:$C$1181,'Incremental Network SummerFcast'!$A115)+
SUMIFS('Customer Scenario Forecast'!J$25:J$1186,'Customer Scenario Forecast'!$D$20:$D$1181,'Incremental Network SummerFcast'!$A115)+
SUMIFS('Customer Scenario Forecast'!J$25:J$1186,'Customer Scenario Forecast'!$E$20:$E$1181,'Incremental Network SummerFcast'!$A115)+J117),
1*(
SUMIFS('Customer Scenario Forecast'!J$25:J$1186,'Customer Scenario Forecast'!$C$20:$C$1181,'Incremental Network SummerFcast'!$A115,'Customer Scenario Forecast'!$H$20:$H$1181,'Incremental Network SummerFcast'!$H$1)+
SUMIFS('Customer Scenario Forecast'!J$25:J$1186,'Customer Scenario Forecast'!$D$20:$D$1181,'Incremental Network SummerFcast'!$A115,'Customer Scenario Forecast'!$H$20:$H$1181,'Incremental Network SummerFcast'!$H$1)+
SUMIFS('Customer Scenario Forecast'!J$25:J$1186,'Customer Scenario Forecast'!$E$20:$E$1181,'Incremental Network SummerFcast'!$A115,'Customer Scenario Forecast'!$H$20:$H$1181,'Incremental Network SummerFcast'!$H$1)+J117))</f>
        <v>0</v>
      </c>
      <c r="K121" s="198">
        <f ca="1">IF($H$1="",
1*(
SUMIFS('Customer Scenario Forecast'!K$25:K$1186,'Customer Scenario Forecast'!$C$20:$C$1181,'Incremental Network SummerFcast'!$A115)+
SUMIFS('Customer Scenario Forecast'!K$25:K$1186,'Customer Scenario Forecast'!$D$20:$D$1181,'Incremental Network SummerFcast'!$A115)+
SUMIFS('Customer Scenario Forecast'!K$25:K$1186,'Customer Scenario Forecast'!$E$20:$E$1181,'Incremental Network SummerFcast'!$A115)+K117),
1*(
SUMIFS('Customer Scenario Forecast'!K$25:K$1186,'Customer Scenario Forecast'!$C$20:$C$1181,'Incremental Network SummerFcast'!$A115,'Customer Scenario Forecast'!$H$20:$H$1181,'Incremental Network SummerFcast'!$H$1)+
SUMIFS('Customer Scenario Forecast'!K$25:K$1186,'Customer Scenario Forecast'!$D$20:$D$1181,'Incremental Network SummerFcast'!$A115,'Customer Scenario Forecast'!$H$20:$H$1181,'Incremental Network SummerFcast'!$H$1)+
SUMIFS('Customer Scenario Forecast'!K$25:K$1186,'Customer Scenario Forecast'!$E$20:$E$1181,'Incremental Network SummerFcast'!$A115,'Customer Scenario Forecast'!$H$20:$H$1181,'Incremental Network SummerFcast'!$H$1)+K117))</f>
        <v>0</v>
      </c>
      <c r="L121" s="198">
        <f ca="1">IF($H$1="",
1*(
SUMIFS('Customer Scenario Forecast'!L$25:L$1186,'Customer Scenario Forecast'!$C$20:$C$1181,'Incremental Network SummerFcast'!$A115)+
SUMIFS('Customer Scenario Forecast'!L$25:L$1186,'Customer Scenario Forecast'!$D$20:$D$1181,'Incremental Network SummerFcast'!$A115)+
SUMIFS('Customer Scenario Forecast'!L$25:L$1186,'Customer Scenario Forecast'!$E$20:$E$1181,'Incremental Network SummerFcast'!$A115)+L117),
1*(
SUMIFS('Customer Scenario Forecast'!L$25:L$1186,'Customer Scenario Forecast'!$C$20:$C$1181,'Incremental Network SummerFcast'!$A115,'Customer Scenario Forecast'!$H$20:$H$1181,'Incremental Network SummerFcast'!$H$1)+
SUMIFS('Customer Scenario Forecast'!L$25:L$1186,'Customer Scenario Forecast'!$D$20:$D$1181,'Incremental Network SummerFcast'!$A115,'Customer Scenario Forecast'!$H$20:$H$1181,'Incremental Network SummerFcast'!$H$1)+
SUMIFS('Customer Scenario Forecast'!L$25:L$1186,'Customer Scenario Forecast'!$E$20:$E$1181,'Incremental Network SummerFcast'!$A115,'Customer Scenario Forecast'!$H$20:$H$1181,'Incremental Network SummerFcast'!$H$1)+L117))</f>
        <v>0</v>
      </c>
    </row>
    <row r="122" spans="1:13" ht="15.6" thickTop="1" thickBot="1">
      <c r="A122" s="197" t="s">
        <v>148</v>
      </c>
      <c r="B122" s="198">
        <f ca="1">'Incremental Network SummerFcast'!$B$245*B119+'Incremental Network SummerFcast'!$B$246*B120+'Incremental Network SummerFcast'!$B$247*B121</f>
        <v>0</v>
      </c>
      <c r="C122" s="198">
        <f ca="1">'Incremental Network SummerFcast'!$B$245*C119+'Incremental Network SummerFcast'!$B$246*C120+'Incremental Network SummerFcast'!$B$247*C121</f>
        <v>0</v>
      </c>
      <c r="D122" s="198">
        <f ca="1">'Incremental Network SummerFcast'!$B$245*D119+'Incremental Network SummerFcast'!$B$246*D120+'Incremental Network SummerFcast'!$B$247*D121</f>
        <v>0</v>
      </c>
      <c r="E122" s="198">
        <f ca="1">'Incremental Network SummerFcast'!$B$245*E119+'Incremental Network SummerFcast'!$B$246*E120+'Incremental Network SummerFcast'!$B$247*E121</f>
        <v>0</v>
      </c>
      <c r="F122" s="198">
        <f ca="1">'Incremental Network SummerFcast'!$B$245*F119+'Incremental Network SummerFcast'!$B$246*F120+'Incremental Network SummerFcast'!$B$247*F121</f>
        <v>0</v>
      </c>
      <c r="G122" s="198">
        <f ca="1">'Incremental Network SummerFcast'!$B$245*G119+'Incremental Network SummerFcast'!$B$246*G120+'Incremental Network SummerFcast'!$B$247*G121</f>
        <v>0</v>
      </c>
      <c r="H122" s="198">
        <f ca="1">'Incremental Network SummerFcast'!$B$245*H119+'Incremental Network SummerFcast'!$B$246*H120+'Incremental Network SummerFcast'!$B$247*H121</f>
        <v>0</v>
      </c>
      <c r="I122" s="198">
        <f ca="1">'Incremental Network SummerFcast'!$B$245*I119+'Incremental Network SummerFcast'!$B$246*I120+'Incremental Network SummerFcast'!$B$247*I121</f>
        <v>0</v>
      </c>
      <c r="J122" s="198">
        <f ca="1">'Incremental Network SummerFcast'!$B$245*J119+'Incremental Network SummerFcast'!$B$246*J120+'Incremental Network SummerFcast'!$B$247*J121</f>
        <v>0</v>
      </c>
      <c r="K122" s="198">
        <f ca="1">'Incremental Network SummerFcast'!$B$245*K119+'Incremental Network SummerFcast'!$B$246*K120+'Incremental Network SummerFcast'!$B$247*K121</f>
        <v>0</v>
      </c>
      <c r="L122" s="198">
        <f ca="1">'Incremental Network SummerFcast'!$B$245*L119+'Incremental Network SummerFcast'!$B$246*L120+'Incremental Network SummerFcast'!$B$247*L121</f>
        <v>0</v>
      </c>
    </row>
    <row r="123" spans="1:13" ht="15.6" thickTop="1" thickBot="1">
      <c r="A123" s="187" t="s">
        <v>118</v>
      </c>
      <c r="B123" s="216"/>
      <c r="C123" s="190"/>
      <c r="D123" s="190"/>
      <c r="E123" s="190"/>
      <c r="F123" s="190"/>
      <c r="G123" s="190"/>
      <c r="H123" s="190"/>
      <c r="I123" s="190"/>
      <c r="J123" s="190"/>
      <c r="K123" s="190"/>
      <c r="L123" s="190"/>
    </row>
    <row r="124" spans="1:13" ht="15" thickBot="1">
      <c r="A124" s="191" t="str">
        <f>A116</f>
        <v>Uptake Scenario</v>
      </c>
      <c r="B124" s="191">
        <f t="shared" ref="B124:L124" si="15">B116</f>
        <v>2023</v>
      </c>
      <c r="C124" s="191">
        <f t="shared" si="15"/>
        <v>2024</v>
      </c>
      <c r="D124" s="191">
        <f t="shared" si="15"/>
        <v>2025</v>
      </c>
      <c r="E124" s="191">
        <f t="shared" si="15"/>
        <v>2026</v>
      </c>
      <c r="F124" s="191">
        <f t="shared" si="15"/>
        <v>2027</v>
      </c>
      <c r="G124" s="191">
        <f t="shared" si="15"/>
        <v>2028</v>
      </c>
      <c r="H124" s="191">
        <f t="shared" si="15"/>
        <v>2029</v>
      </c>
      <c r="I124" s="191">
        <f t="shared" si="15"/>
        <v>2030</v>
      </c>
      <c r="J124" s="191">
        <f t="shared" si="15"/>
        <v>2031</v>
      </c>
      <c r="K124" s="191">
        <f t="shared" si="15"/>
        <v>2032</v>
      </c>
      <c r="L124" s="191">
        <f t="shared" si="15"/>
        <v>2033</v>
      </c>
    </row>
    <row r="125" spans="1:13" ht="15.6" thickTop="1" thickBot="1">
      <c r="A125" s="193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37"/>
    </row>
    <row r="126" spans="1:13" ht="15" thickBot="1">
      <c r="A126" s="193" t="s">
        <v>111</v>
      </c>
      <c r="B126" s="194">
        <f ca="1">IF($H$1="",
SUMIFS('Customer Scenario Forecast'!B$22:B$1183,'Customer Scenario Forecast'!$C$20:$C$1181,'Incremental Network SummerFcast'!$A123)+
SUMIFS('Customer Scenario Forecast'!B$22:B$1183,'Customer Scenario Forecast'!$D$20:$D$1181,'Incremental Network SummerFcast'!$A123)+
SUMIFS('Customer Scenario Forecast'!B$22:B$1183,'Customer Scenario Forecast'!$E$20:$E$1181,'Incremental Network SummerFcast'!$A123),
SUMIFS('Customer Scenario Forecast'!B$22:B$1183,'Customer Scenario Forecast'!$C$20:$C$1181,'Incremental Network SummerFcast'!$A123,'Customer Scenario Forecast'!$H$20:$H$1181,'Incremental Network SummerFcast'!$H$1)+
SUMIFS('Customer Scenario Forecast'!B$22:B$1183,'Customer Scenario Forecast'!$D$20:$D$1181,'Incremental Network SummerFcast'!$A123,'Customer Scenario Forecast'!$H$20:$H$1181,'Incremental Network SummerFcast'!$H$1)+
SUMIFS('Customer Scenario Forecast'!B$22:B$1183,'Customer Scenario Forecast'!$E$20:$E$1181,'Incremental Network SummerFcast'!$A123,'Customer Scenario Forecast'!$H$20:$H$1181,'Incremental Network SummerFcast'!$H$1))</f>
        <v>0</v>
      </c>
      <c r="C126" s="194">
        <f ca="1">IF($H$1="",
SUMIFS('Customer Scenario Forecast'!C$22:C$1183,'Customer Scenario Forecast'!$C$20:$C$1181,'Incremental Network SummerFcast'!$A123)+
SUMIFS('Customer Scenario Forecast'!C$22:C$1183,'Customer Scenario Forecast'!$D$20:$D$1181,'Incremental Network SummerFcast'!$A123)+
SUMIFS('Customer Scenario Forecast'!C$22:C$1183,'Customer Scenario Forecast'!$E$20:$E$1181,'Incremental Network SummerFcast'!$A123),
SUMIFS('Customer Scenario Forecast'!C$22:C$1183,'Customer Scenario Forecast'!$C$20:$C$1181,'Incremental Network SummerFcast'!$A123,'Customer Scenario Forecast'!$H$20:$H$1181,'Incremental Network SummerFcast'!$H$1)+
SUMIFS('Customer Scenario Forecast'!C$22:C$1183,'Customer Scenario Forecast'!$D$20:$D$1181,'Incremental Network SummerFcast'!$A123,'Customer Scenario Forecast'!$H$20:$H$1181,'Incremental Network SummerFcast'!$H$1)+
SUMIFS('Customer Scenario Forecast'!C$22:C$1183,'Customer Scenario Forecast'!$E$20:$E$1181,'Incremental Network SummerFcast'!$A123,'Customer Scenario Forecast'!$H$20:$H$1181,'Incremental Network SummerFcast'!$H$1))</f>
        <v>0</v>
      </c>
      <c r="D126" s="194">
        <f ca="1">IF($H$1="",
SUMIFS('Customer Scenario Forecast'!D$22:D$1183,'Customer Scenario Forecast'!$C$20:$C$1181,'Incremental Network SummerFcast'!$A123)+
SUMIFS('Customer Scenario Forecast'!D$22:D$1183,'Customer Scenario Forecast'!$D$20:$D$1181,'Incremental Network SummerFcast'!$A123)+
SUMIFS('Customer Scenario Forecast'!D$22:D$1183,'Customer Scenario Forecast'!$E$20:$E$1181,'Incremental Network SummerFcast'!$A123),
SUMIFS('Customer Scenario Forecast'!D$22:D$1183,'Customer Scenario Forecast'!$C$20:$C$1181,'Incremental Network SummerFcast'!$A123,'Customer Scenario Forecast'!$H$20:$H$1181,'Incremental Network SummerFcast'!$H$1)+
SUMIFS('Customer Scenario Forecast'!D$22:D$1183,'Customer Scenario Forecast'!$D$20:$D$1181,'Incremental Network SummerFcast'!$A123,'Customer Scenario Forecast'!$H$20:$H$1181,'Incremental Network SummerFcast'!$H$1)+
SUMIFS('Customer Scenario Forecast'!D$22:D$1183,'Customer Scenario Forecast'!$E$20:$E$1181,'Incremental Network SummerFcast'!$A123,'Customer Scenario Forecast'!$H$20:$H$1181,'Incremental Network SummerFcast'!$H$1))</f>
        <v>5</v>
      </c>
      <c r="E126" s="194">
        <f ca="1">IF($H$1="",
SUMIFS('Customer Scenario Forecast'!E$22:E$1183,'Customer Scenario Forecast'!$C$20:$C$1181,'Incremental Network SummerFcast'!$A123)+
SUMIFS('Customer Scenario Forecast'!E$22:E$1183,'Customer Scenario Forecast'!$D$20:$D$1181,'Incremental Network SummerFcast'!$A123)+
SUMIFS('Customer Scenario Forecast'!E$22:E$1183,'Customer Scenario Forecast'!$E$20:$E$1181,'Incremental Network SummerFcast'!$A123),
SUMIFS('Customer Scenario Forecast'!E$22:E$1183,'Customer Scenario Forecast'!$C$20:$C$1181,'Incremental Network SummerFcast'!$A123,'Customer Scenario Forecast'!$H$20:$H$1181,'Incremental Network SummerFcast'!$H$1)+
SUMIFS('Customer Scenario Forecast'!E$22:E$1183,'Customer Scenario Forecast'!$D$20:$D$1181,'Incremental Network SummerFcast'!$A123,'Customer Scenario Forecast'!$H$20:$H$1181,'Incremental Network SummerFcast'!$H$1)+
SUMIFS('Customer Scenario Forecast'!E$22:E$1183,'Customer Scenario Forecast'!$E$20:$E$1181,'Incremental Network SummerFcast'!$A123,'Customer Scenario Forecast'!$H$20:$H$1181,'Incremental Network SummerFcast'!$H$1))</f>
        <v>5</v>
      </c>
      <c r="F126" s="194">
        <f ca="1">IF($H$1="",
SUMIFS('Customer Scenario Forecast'!F$22:F$1183,'Customer Scenario Forecast'!$C$20:$C$1181,'Incremental Network SummerFcast'!$A123)+
SUMIFS('Customer Scenario Forecast'!F$22:F$1183,'Customer Scenario Forecast'!$D$20:$D$1181,'Incremental Network SummerFcast'!$A123)+
SUMIFS('Customer Scenario Forecast'!F$22:F$1183,'Customer Scenario Forecast'!$E$20:$E$1181,'Incremental Network SummerFcast'!$A123),
SUMIFS('Customer Scenario Forecast'!F$22:F$1183,'Customer Scenario Forecast'!$C$20:$C$1181,'Incremental Network SummerFcast'!$A123,'Customer Scenario Forecast'!$H$20:$H$1181,'Incremental Network SummerFcast'!$H$1)+
SUMIFS('Customer Scenario Forecast'!F$22:F$1183,'Customer Scenario Forecast'!$D$20:$D$1181,'Incremental Network SummerFcast'!$A123,'Customer Scenario Forecast'!$H$20:$H$1181,'Incremental Network SummerFcast'!$H$1)+
SUMIFS('Customer Scenario Forecast'!F$22:F$1183,'Customer Scenario Forecast'!$E$20:$E$1181,'Incremental Network SummerFcast'!$A123,'Customer Scenario Forecast'!$H$20:$H$1181,'Incremental Network SummerFcast'!$H$1))</f>
        <v>5</v>
      </c>
      <c r="G126" s="194">
        <f ca="1">IF($H$1="",
SUMIFS('Customer Scenario Forecast'!G$22:G$1183,'Customer Scenario Forecast'!$C$20:$C$1181,'Incremental Network SummerFcast'!$A123)+
SUMIFS('Customer Scenario Forecast'!G$22:G$1183,'Customer Scenario Forecast'!$D$20:$D$1181,'Incremental Network SummerFcast'!$A123)+
SUMIFS('Customer Scenario Forecast'!G$22:G$1183,'Customer Scenario Forecast'!$E$20:$E$1181,'Incremental Network SummerFcast'!$A123),
SUMIFS('Customer Scenario Forecast'!G$22:G$1183,'Customer Scenario Forecast'!$C$20:$C$1181,'Incremental Network SummerFcast'!$A123,'Customer Scenario Forecast'!$H$20:$H$1181,'Incremental Network SummerFcast'!$H$1)+
SUMIFS('Customer Scenario Forecast'!G$22:G$1183,'Customer Scenario Forecast'!$D$20:$D$1181,'Incremental Network SummerFcast'!$A123,'Customer Scenario Forecast'!$H$20:$H$1181,'Incremental Network SummerFcast'!$H$1)+
SUMIFS('Customer Scenario Forecast'!G$22:G$1183,'Customer Scenario Forecast'!$E$20:$E$1181,'Incremental Network SummerFcast'!$A123,'Customer Scenario Forecast'!$H$20:$H$1181,'Incremental Network SummerFcast'!$H$1))</f>
        <v>10</v>
      </c>
      <c r="H126" s="194">
        <f ca="1">IF($H$1="",
SUMIFS('Customer Scenario Forecast'!H$22:H$1183,'Customer Scenario Forecast'!$C$20:$C$1181,'Incremental Network SummerFcast'!$A123)+
SUMIFS('Customer Scenario Forecast'!H$22:H$1183,'Customer Scenario Forecast'!$D$20:$D$1181,'Incremental Network SummerFcast'!$A123)+
SUMIFS('Customer Scenario Forecast'!H$22:H$1183,'Customer Scenario Forecast'!$E$20:$E$1181,'Incremental Network SummerFcast'!$A123),
SUMIFS('Customer Scenario Forecast'!H$22:H$1183,'Customer Scenario Forecast'!$C$20:$C$1181,'Incremental Network SummerFcast'!$A123,'Customer Scenario Forecast'!$H$20:$H$1181,'Incremental Network SummerFcast'!$H$1)+
SUMIFS('Customer Scenario Forecast'!H$22:H$1183,'Customer Scenario Forecast'!$D$20:$D$1181,'Incremental Network SummerFcast'!$A123,'Customer Scenario Forecast'!$H$20:$H$1181,'Incremental Network SummerFcast'!$H$1)+
SUMIFS('Customer Scenario Forecast'!H$22:H$1183,'Customer Scenario Forecast'!$E$20:$E$1181,'Incremental Network SummerFcast'!$A123,'Customer Scenario Forecast'!$H$20:$H$1181,'Incremental Network SummerFcast'!$H$1))</f>
        <v>15</v>
      </c>
      <c r="I126" s="194">
        <f ca="1">IF($H$1="",
SUMIFS('Customer Scenario Forecast'!I$22:I$1183,'Customer Scenario Forecast'!$C$20:$C$1181,'Incremental Network SummerFcast'!$A123)+
SUMIFS('Customer Scenario Forecast'!I$22:I$1183,'Customer Scenario Forecast'!$D$20:$D$1181,'Incremental Network SummerFcast'!$A123)+
SUMIFS('Customer Scenario Forecast'!I$22:I$1183,'Customer Scenario Forecast'!$E$20:$E$1181,'Incremental Network SummerFcast'!$A123),
SUMIFS('Customer Scenario Forecast'!I$22:I$1183,'Customer Scenario Forecast'!$C$20:$C$1181,'Incremental Network SummerFcast'!$A123,'Customer Scenario Forecast'!$H$20:$H$1181,'Incremental Network SummerFcast'!$H$1)+
SUMIFS('Customer Scenario Forecast'!I$22:I$1183,'Customer Scenario Forecast'!$D$20:$D$1181,'Incremental Network SummerFcast'!$A123,'Customer Scenario Forecast'!$H$20:$H$1181,'Incremental Network SummerFcast'!$H$1)+
SUMIFS('Customer Scenario Forecast'!I$22:I$1183,'Customer Scenario Forecast'!$E$20:$E$1181,'Incremental Network SummerFcast'!$A123,'Customer Scenario Forecast'!$H$20:$H$1181,'Incremental Network SummerFcast'!$H$1))</f>
        <v>20</v>
      </c>
      <c r="J126" s="194">
        <f ca="1">IF($H$1="",
SUMIFS('Customer Scenario Forecast'!J$22:J$1183,'Customer Scenario Forecast'!$C$20:$C$1181,'Incremental Network SummerFcast'!$A123)+
SUMIFS('Customer Scenario Forecast'!J$22:J$1183,'Customer Scenario Forecast'!$D$20:$D$1181,'Incremental Network SummerFcast'!$A123)+
SUMIFS('Customer Scenario Forecast'!J$22:J$1183,'Customer Scenario Forecast'!$E$20:$E$1181,'Incremental Network SummerFcast'!$A123),
SUMIFS('Customer Scenario Forecast'!J$22:J$1183,'Customer Scenario Forecast'!$C$20:$C$1181,'Incremental Network SummerFcast'!$A123,'Customer Scenario Forecast'!$H$20:$H$1181,'Incremental Network SummerFcast'!$H$1)+
SUMIFS('Customer Scenario Forecast'!J$22:J$1183,'Customer Scenario Forecast'!$D$20:$D$1181,'Incremental Network SummerFcast'!$A123,'Customer Scenario Forecast'!$H$20:$H$1181,'Incremental Network SummerFcast'!$H$1)+
SUMIFS('Customer Scenario Forecast'!J$22:J$1183,'Customer Scenario Forecast'!$E$20:$E$1181,'Incremental Network SummerFcast'!$A123,'Customer Scenario Forecast'!$H$20:$H$1181,'Incremental Network SummerFcast'!$H$1))</f>
        <v>20</v>
      </c>
      <c r="K126" s="194">
        <f ca="1">IF($H$1="",
SUMIFS('Customer Scenario Forecast'!K$22:K$1183,'Customer Scenario Forecast'!$C$20:$C$1181,'Incremental Network SummerFcast'!$A123)+
SUMIFS('Customer Scenario Forecast'!K$22:K$1183,'Customer Scenario Forecast'!$D$20:$D$1181,'Incremental Network SummerFcast'!$A123)+
SUMIFS('Customer Scenario Forecast'!K$22:K$1183,'Customer Scenario Forecast'!$E$20:$E$1181,'Incremental Network SummerFcast'!$A123),
SUMIFS('Customer Scenario Forecast'!K$22:K$1183,'Customer Scenario Forecast'!$C$20:$C$1181,'Incremental Network SummerFcast'!$A123,'Customer Scenario Forecast'!$H$20:$H$1181,'Incremental Network SummerFcast'!$H$1)+
SUMIFS('Customer Scenario Forecast'!K$22:K$1183,'Customer Scenario Forecast'!$D$20:$D$1181,'Incremental Network SummerFcast'!$A123,'Customer Scenario Forecast'!$H$20:$H$1181,'Incremental Network SummerFcast'!$H$1)+
SUMIFS('Customer Scenario Forecast'!K$22:K$1183,'Customer Scenario Forecast'!$E$20:$E$1181,'Incremental Network SummerFcast'!$A123,'Customer Scenario Forecast'!$H$20:$H$1181,'Incremental Network SummerFcast'!$H$1))</f>
        <v>20</v>
      </c>
      <c r="L126" s="194">
        <f ca="1">IF($H$1="",
SUMIFS('Customer Scenario Forecast'!L$22:L$1183,'Customer Scenario Forecast'!$C$20:$C$1181,'Incremental Network SummerFcast'!$A123)+
SUMIFS('Customer Scenario Forecast'!L$22:L$1183,'Customer Scenario Forecast'!$D$20:$D$1181,'Incremental Network SummerFcast'!$A123)+
SUMIFS('Customer Scenario Forecast'!L$22:L$1183,'Customer Scenario Forecast'!$E$20:$E$1181,'Incremental Network SummerFcast'!$A123),
SUMIFS('Customer Scenario Forecast'!L$22:L$1183,'Customer Scenario Forecast'!$C$20:$C$1181,'Incremental Network SummerFcast'!$A123,'Customer Scenario Forecast'!$H$20:$H$1181,'Incremental Network SummerFcast'!$H$1)+
SUMIFS('Customer Scenario Forecast'!L$22:L$1183,'Customer Scenario Forecast'!$D$20:$D$1181,'Incremental Network SummerFcast'!$A123,'Customer Scenario Forecast'!$H$20:$H$1181,'Incremental Network SummerFcast'!$H$1)+
SUMIFS('Customer Scenario Forecast'!L$22:L$1183,'Customer Scenario Forecast'!$E$20:$E$1181,'Incremental Network SummerFcast'!$A123,'Customer Scenario Forecast'!$H$20:$H$1181,'Incremental Network SummerFcast'!$H$1))</f>
        <v>20</v>
      </c>
      <c r="M126" s="37"/>
    </row>
    <row r="127" spans="1:13" ht="15" thickBot="1">
      <c r="A127" s="195" t="s">
        <v>107</v>
      </c>
      <c r="B127" s="196">
        <f ca="1">IF($H$1="",
1*(
SUMIFS('Customer Scenario Forecast'!B$23:B$1184,'Customer Scenario Forecast'!$C$20:$C$1181,'Incremental Network SummerFcast'!$A123)+
SUMIFS('Customer Scenario Forecast'!B$23:B$1184,'Customer Scenario Forecast'!$D$20:$D$1181,'Incremental Network SummerFcast'!$A123)+
SUMIFS('Customer Scenario Forecast'!B$23:B$1184,'Customer Scenario Forecast'!$E$20:$E$1181,'Incremental Network SummerFcast'!$A123)+B125),
1*(
SUMIFS('Customer Scenario Forecast'!B$23:B$1184,'Customer Scenario Forecast'!$C$20:$C$1181,'Incremental Network SummerFcast'!$A123,'Customer Scenario Forecast'!$H$20:$H$1181,'Incremental Network SummerFcast'!$H$1)+
SUMIFS('Customer Scenario Forecast'!B$23:B$1184,'Customer Scenario Forecast'!$D$20:$D$1181,'Incremental Network SummerFcast'!$A123,'Customer Scenario Forecast'!$H$20:$H$1181,'Incremental Network SummerFcast'!$H$1)+
SUMIFS('Customer Scenario Forecast'!B$23:B$1184,'Customer Scenario Forecast'!$E$20:$E$1181,'Incremental Network SummerFcast'!$A123,'Customer Scenario Forecast'!$H$20:$H$1181,'Incremental Network SummerFcast'!$H$1)+B125))</f>
        <v>0</v>
      </c>
      <c r="C127" s="196">
        <f ca="1">IF($H$1="",
1*(
SUMIFS('Customer Scenario Forecast'!C$23:C$1184,'Customer Scenario Forecast'!$C$20:$C$1181,'Incremental Network SummerFcast'!$A123)+
SUMIFS('Customer Scenario Forecast'!C$23:C$1184,'Customer Scenario Forecast'!$D$20:$D$1181,'Incremental Network SummerFcast'!$A123)+
SUMIFS('Customer Scenario Forecast'!C$23:C$1184,'Customer Scenario Forecast'!$E$20:$E$1181,'Incremental Network SummerFcast'!$A123)+C125),
1*(
SUMIFS('Customer Scenario Forecast'!C$23:C$1184,'Customer Scenario Forecast'!$C$20:$C$1181,'Incremental Network SummerFcast'!$A123,'Customer Scenario Forecast'!$H$20:$H$1181,'Incremental Network SummerFcast'!$H$1)+
SUMIFS('Customer Scenario Forecast'!C$23:C$1184,'Customer Scenario Forecast'!$D$20:$D$1181,'Incremental Network SummerFcast'!$A123,'Customer Scenario Forecast'!$H$20:$H$1181,'Incremental Network SummerFcast'!$H$1)+
SUMIFS('Customer Scenario Forecast'!C$23:C$1184,'Customer Scenario Forecast'!$E$20:$E$1181,'Incremental Network SummerFcast'!$A123,'Customer Scenario Forecast'!$H$20:$H$1181,'Incremental Network SummerFcast'!$H$1)+C125))</f>
        <v>0</v>
      </c>
      <c r="D127" s="196">
        <f ca="1">IF($H$1="",
1*(
SUMIFS('Customer Scenario Forecast'!D$23:D$1184,'Customer Scenario Forecast'!$C$20:$C$1181,'Incremental Network SummerFcast'!$A123)+
SUMIFS('Customer Scenario Forecast'!D$23:D$1184,'Customer Scenario Forecast'!$D$20:$D$1181,'Incremental Network SummerFcast'!$A123)+
SUMIFS('Customer Scenario Forecast'!D$23:D$1184,'Customer Scenario Forecast'!$E$20:$E$1181,'Incremental Network SummerFcast'!$A123)+D125),
1*(
SUMIFS('Customer Scenario Forecast'!D$23:D$1184,'Customer Scenario Forecast'!$C$20:$C$1181,'Incremental Network SummerFcast'!$A123,'Customer Scenario Forecast'!$H$20:$H$1181,'Incremental Network SummerFcast'!$H$1)+
SUMIFS('Customer Scenario Forecast'!D$23:D$1184,'Customer Scenario Forecast'!$D$20:$D$1181,'Incremental Network SummerFcast'!$A123,'Customer Scenario Forecast'!$H$20:$H$1181,'Incremental Network SummerFcast'!$H$1)+
SUMIFS('Customer Scenario Forecast'!D$23:D$1184,'Customer Scenario Forecast'!$E$20:$E$1181,'Incremental Network SummerFcast'!$A123,'Customer Scenario Forecast'!$H$20:$H$1181,'Incremental Network SummerFcast'!$H$1)+D125))</f>
        <v>0</v>
      </c>
      <c r="E127" s="196">
        <f ca="1">IF($H$1="",
1*(
SUMIFS('Customer Scenario Forecast'!E$23:E$1184,'Customer Scenario Forecast'!$C$20:$C$1181,'Incremental Network SummerFcast'!$A123)+
SUMIFS('Customer Scenario Forecast'!E$23:E$1184,'Customer Scenario Forecast'!$D$20:$D$1181,'Incremental Network SummerFcast'!$A123)+
SUMIFS('Customer Scenario Forecast'!E$23:E$1184,'Customer Scenario Forecast'!$E$20:$E$1181,'Incremental Network SummerFcast'!$A123)+E125),
1*(
SUMIFS('Customer Scenario Forecast'!E$23:E$1184,'Customer Scenario Forecast'!$C$20:$C$1181,'Incremental Network SummerFcast'!$A123,'Customer Scenario Forecast'!$H$20:$H$1181,'Incremental Network SummerFcast'!$H$1)+
SUMIFS('Customer Scenario Forecast'!E$23:E$1184,'Customer Scenario Forecast'!$D$20:$D$1181,'Incremental Network SummerFcast'!$A123,'Customer Scenario Forecast'!$H$20:$H$1181,'Incremental Network SummerFcast'!$H$1)+
SUMIFS('Customer Scenario Forecast'!E$23:E$1184,'Customer Scenario Forecast'!$E$20:$E$1181,'Incremental Network SummerFcast'!$A123,'Customer Scenario Forecast'!$H$20:$H$1181,'Incremental Network SummerFcast'!$H$1)+E125))</f>
        <v>0</v>
      </c>
      <c r="F127" s="196">
        <f ca="1">IF($H$1="",
1*(
SUMIFS('Customer Scenario Forecast'!F$23:F$1184,'Customer Scenario Forecast'!$C$20:$C$1181,'Incremental Network SummerFcast'!$A123)+
SUMIFS('Customer Scenario Forecast'!F$23:F$1184,'Customer Scenario Forecast'!$D$20:$D$1181,'Incremental Network SummerFcast'!$A123)+
SUMIFS('Customer Scenario Forecast'!F$23:F$1184,'Customer Scenario Forecast'!$E$20:$E$1181,'Incremental Network SummerFcast'!$A123)+F125),
1*(
SUMIFS('Customer Scenario Forecast'!F$23:F$1184,'Customer Scenario Forecast'!$C$20:$C$1181,'Incremental Network SummerFcast'!$A123,'Customer Scenario Forecast'!$H$20:$H$1181,'Incremental Network SummerFcast'!$H$1)+
SUMIFS('Customer Scenario Forecast'!F$23:F$1184,'Customer Scenario Forecast'!$D$20:$D$1181,'Incremental Network SummerFcast'!$A123,'Customer Scenario Forecast'!$H$20:$H$1181,'Incremental Network SummerFcast'!$H$1)+
SUMIFS('Customer Scenario Forecast'!F$23:F$1184,'Customer Scenario Forecast'!$E$20:$E$1181,'Incremental Network SummerFcast'!$A123,'Customer Scenario Forecast'!$H$20:$H$1181,'Incremental Network SummerFcast'!$H$1)+F125))</f>
        <v>0</v>
      </c>
      <c r="G127" s="196">
        <f ca="1">IF($H$1="",
1*(
SUMIFS('Customer Scenario Forecast'!G$23:G$1184,'Customer Scenario Forecast'!$C$20:$C$1181,'Incremental Network SummerFcast'!$A123)+
SUMIFS('Customer Scenario Forecast'!G$23:G$1184,'Customer Scenario Forecast'!$D$20:$D$1181,'Incremental Network SummerFcast'!$A123)+
SUMIFS('Customer Scenario Forecast'!G$23:G$1184,'Customer Scenario Forecast'!$E$20:$E$1181,'Incremental Network SummerFcast'!$A123)+G125),
1*(
SUMIFS('Customer Scenario Forecast'!G$23:G$1184,'Customer Scenario Forecast'!$C$20:$C$1181,'Incremental Network SummerFcast'!$A123,'Customer Scenario Forecast'!$H$20:$H$1181,'Incremental Network SummerFcast'!$H$1)+
SUMIFS('Customer Scenario Forecast'!G$23:G$1184,'Customer Scenario Forecast'!$D$20:$D$1181,'Incremental Network SummerFcast'!$A123,'Customer Scenario Forecast'!$H$20:$H$1181,'Incremental Network SummerFcast'!$H$1)+
SUMIFS('Customer Scenario Forecast'!G$23:G$1184,'Customer Scenario Forecast'!$E$20:$E$1181,'Incremental Network SummerFcast'!$A123,'Customer Scenario Forecast'!$H$20:$H$1181,'Incremental Network SummerFcast'!$H$1)+G125))</f>
        <v>1.75</v>
      </c>
      <c r="H127" s="196">
        <f ca="1">IF($H$1="",
1*(
SUMIFS('Customer Scenario Forecast'!H$23:H$1184,'Customer Scenario Forecast'!$C$20:$C$1181,'Incremental Network SummerFcast'!$A123)+
SUMIFS('Customer Scenario Forecast'!H$23:H$1184,'Customer Scenario Forecast'!$D$20:$D$1181,'Incremental Network SummerFcast'!$A123)+
SUMIFS('Customer Scenario Forecast'!H$23:H$1184,'Customer Scenario Forecast'!$E$20:$E$1181,'Incremental Network SummerFcast'!$A123)+H125),
1*(
SUMIFS('Customer Scenario Forecast'!H$23:H$1184,'Customer Scenario Forecast'!$C$20:$C$1181,'Incremental Network SummerFcast'!$A123,'Customer Scenario Forecast'!$H$20:$H$1181,'Incremental Network SummerFcast'!$H$1)+
SUMIFS('Customer Scenario Forecast'!H$23:H$1184,'Customer Scenario Forecast'!$D$20:$D$1181,'Incremental Network SummerFcast'!$A123,'Customer Scenario Forecast'!$H$20:$H$1181,'Incremental Network SummerFcast'!$H$1)+
SUMIFS('Customer Scenario Forecast'!H$23:H$1184,'Customer Scenario Forecast'!$E$20:$E$1181,'Incremental Network SummerFcast'!$A123,'Customer Scenario Forecast'!$H$20:$H$1181,'Incremental Network SummerFcast'!$H$1)+H125))</f>
        <v>1.75</v>
      </c>
      <c r="I127" s="196">
        <f ca="1">IF($H$1="",
1*(
SUMIFS('Customer Scenario Forecast'!I$23:I$1184,'Customer Scenario Forecast'!$C$20:$C$1181,'Incremental Network SummerFcast'!$A123)+
SUMIFS('Customer Scenario Forecast'!I$23:I$1184,'Customer Scenario Forecast'!$D$20:$D$1181,'Incremental Network SummerFcast'!$A123)+
SUMIFS('Customer Scenario Forecast'!I$23:I$1184,'Customer Scenario Forecast'!$E$20:$E$1181,'Incremental Network SummerFcast'!$A123)+I125),
1*(
SUMIFS('Customer Scenario Forecast'!I$23:I$1184,'Customer Scenario Forecast'!$C$20:$C$1181,'Incremental Network SummerFcast'!$A123,'Customer Scenario Forecast'!$H$20:$H$1181,'Incremental Network SummerFcast'!$H$1)+
SUMIFS('Customer Scenario Forecast'!I$23:I$1184,'Customer Scenario Forecast'!$D$20:$D$1181,'Incremental Network SummerFcast'!$A123,'Customer Scenario Forecast'!$H$20:$H$1181,'Incremental Network SummerFcast'!$H$1)+
SUMIFS('Customer Scenario Forecast'!I$23:I$1184,'Customer Scenario Forecast'!$E$20:$E$1181,'Incremental Network SummerFcast'!$A123,'Customer Scenario Forecast'!$H$20:$H$1181,'Incremental Network SummerFcast'!$H$1)+I125))</f>
        <v>1.75</v>
      </c>
      <c r="J127" s="196">
        <f ca="1">IF($H$1="",
1*(
SUMIFS('Customer Scenario Forecast'!J$23:J$1184,'Customer Scenario Forecast'!$C$20:$C$1181,'Incremental Network SummerFcast'!$A123)+
SUMIFS('Customer Scenario Forecast'!J$23:J$1184,'Customer Scenario Forecast'!$D$20:$D$1181,'Incremental Network SummerFcast'!$A123)+
SUMIFS('Customer Scenario Forecast'!J$23:J$1184,'Customer Scenario Forecast'!$E$20:$E$1181,'Incremental Network SummerFcast'!$A123)+J125),
1*(
SUMIFS('Customer Scenario Forecast'!J$23:J$1184,'Customer Scenario Forecast'!$C$20:$C$1181,'Incremental Network SummerFcast'!$A123,'Customer Scenario Forecast'!$H$20:$H$1181,'Incremental Network SummerFcast'!$H$1)+
SUMIFS('Customer Scenario Forecast'!J$23:J$1184,'Customer Scenario Forecast'!$D$20:$D$1181,'Incremental Network SummerFcast'!$A123,'Customer Scenario Forecast'!$H$20:$H$1181,'Incremental Network SummerFcast'!$H$1)+
SUMIFS('Customer Scenario Forecast'!J$23:J$1184,'Customer Scenario Forecast'!$E$20:$E$1181,'Incremental Network SummerFcast'!$A123,'Customer Scenario Forecast'!$H$20:$H$1181,'Incremental Network SummerFcast'!$H$1)+J125))</f>
        <v>3.5</v>
      </c>
      <c r="K127" s="196">
        <f ca="1">IF($H$1="",
1*(
SUMIFS('Customer Scenario Forecast'!K$23:K$1184,'Customer Scenario Forecast'!$C$20:$C$1181,'Incremental Network SummerFcast'!$A123)+
SUMIFS('Customer Scenario Forecast'!K$23:K$1184,'Customer Scenario Forecast'!$D$20:$D$1181,'Incremental Network SummerFcast'!$A123)+
SUMIFS('Customer Scenario Forecast'!K$23:K$1184,'Customer Scenario Forecast'!$E$20:$E$1181,'Incremental Network SummerFcast'!$A123)+K125),
1*(
SUMIFS('Customer Scenario Forecast'!K$23:K$1184,'Customer Scenario Forecast'!$C$20:$C$1181,'Incremental Network SummerFcast'!$A123,'Customer Scenario Forecast'!$H$20:$H$1181,'Incremental Network SummerFcast'!$H$1)+
SUMIFS('Customer Scenario Forecast'!K$23:K$1184,'Customer Scenario Forecast'!$D$20:$D$1181,'Incremental Network SummerFcast'!$A123,'Customer Scenario Forecast'!$H$20:$H$1181,'Incremental Network SummerFcast'!$H$1)+
SUMIFS('Customer Scenario Forecast'!K$23:K$1184,'Customer Scenario Forecast'!$E$20:$E$1181,'Incremental Network SummerFcast'!$A123,'Customer Scenario Forecast'!$H$20:$H$1181,'Incremental Network SummerFcast'!$H$1)+K125))</f>
        <v>4.1999999999999993</v>
      </c>
      <c r="L127" s="196">
        <f ca="1">IF($H$1="",
1*(
SUMIFS('Customer Scenario Forecast'!L$23:L$1184,'Customer Scenario Forecast'!$C$20:$C$1181,'Incremental Network SummerFcast'!$A123)+
SUMIFS('Customer Scenario Forecast'!L$23:L$1184,'Customer Scenario Forecast'!$D$20:$D$1181,'Incremental Network SummerFcast'!$A123)+
SUMIFS('Customer Scenario Forecast'!L$23:L$1184,'Customer Scenario Forecast'!$E$20:$E$1181,'Incremental Network SummerFcast'!$A123)+L125),
1*(
SUMIFS('Customer Scenario Forecast'!L$23:L$1184,'Customer Scenario Forecast'!$C$20:$C$1181,'Incremental Network SummerFcast'!$A123,'Customer Scenario Forecast'!$H$20:$H$1181,'Incremental Network SummerFcast'!$H$1)+
SUMIFS('Customer Scenario Forecast'!L$23:L$1184,'Customer Scenario Forecast'!$D$20:$D$1181,'Incremental Network SummerFcast'!$A123,'Customer Scenario Forecast'!$H$20:$H$1181,'Incremental Network SummerFcast'!$H$1)+
SUMIFS('Customer Scenario Forecast'!L$23:L$1184,'Customer Scenario Forecast'!$E$20:$E$1181,'Incremental Network SummerFcast'!$A123,'Customer Scenario Forecast'!$H$20:$H$1181,'Incremental Network SummerFcast'!$H$1)+L125))</f>
        <v>2.4499999999999997</v>
      </c>
    </row>
    <row r="128" spans="1:13" ht="15" thickBot="1">
      <c r="A128" s="195" t="s">
        <v>108</v>
      </c>
      <c r="B128" s="196">
        <f ca="1">IF($H$1="",
1*(
SUMIFS('Customer Scenario Forecast'!B$24:B$1185,'Customer Scenario Forecast'!$C$20:$C$1181,'Incremental Network SummerFcast'!$A123)+
SUMIFS('Customer Scenario Forecast'!B$24:B$1185,'Customer Scenario Forecast'!$D$20:$D$1181,'Incremental Network SummerFcast'!$A123)+
SUMIFS('Customer Scenario Forecast'!B$24:B$1185,'Customer Scenario Forecast'!$E$20:$E$1181,'Incremental Network SummerFcast'!$A123)+B125),
1*(
SUMIFS('Customer Scenario Forecast'!B$24:B$1185,'Customer Scenario Forecast'!$C$20:$C$1181,'Incremental Network SummerFcast'!$A123,'Customer Scenario Forecast'!$H$20:$H$1181,'Incremental Network SummerFcast'!$H$1)+
SUMIFS('Customer Scenario Forecast'!B$24:B$1185,'Customer Scenario Forecast'!$D$20:$D$1181,'Incremental Network SummerFcast'!$A123,'Customer Scenario Forecast'!$H$20:$H$1181,'Incremental Network SummerFcast'!$H$1)+
SUMIFS('Customer Scenario Forecast'!B$24:B$1185,'Customer Scenario Forecast'!$E$20:$E$1181,'Incremental Network SummerFcast'!$A123,'Customer Scenario Forecast'!$H$20:$H$1181,'Incremental Network SummerFcast'!$H$1)+B125))</f>
        <v>0</v>
      </c>
      <c r="C128" s="196">
        <f ca="1">IF($H$1="",
1*(
SUMIFS('Customer Scenario Forecast'!C$24:C$1185,'Customer Scenario Forecast'!$C$20:$C$1181,'Incremental Network SummerFcast'!$A123)+
SUMIFS('Customer Scenario Forecast'!C$24:C$1185,'Customer Scenario Forecast'!$D$20:$D$1181,'Incremental Network SummerFcast'!$A123)+
SUMIFS('Customer Scenario Forecast'!C$24:C$1185,'Customer Scenario Forecast'!$E$20:$E$1181,'Incremental Network SummerFcast'!$A123)+C125),
1*(
SUMIFS('Customer Scenario Forecast'!C$24:C$1185,'Customer Scenario Forecast'!$C$20:$C$1181,'Incremental Network SummerFcast'!$A123,'Customer Scenario Forecast'!$H$20:$H$1181,'Incremental Network SummerFcast'!$H$1)+
SUMIFS('Customer Scenario Forecast'!C$24:C$1185,'Customer Scenario Forecast'!$D$20:$D$1181,'Incremental Network SummerFcast'!$A123,'Customer Scenario Forecast'!$H$20:$H$1181,'Incremental Network SummerFcast'!$H$1)+
SUMIFS('Customer Scenario Forecast'!C$24:C$1185,'Customer Scenario Forecast'!$E$20:$E$1181,'Incremental Network SummerFcast'!$A123,'Customer Scenario Forecast'!$H$20:$H$1181,'Incremental Network SummerFcast'!$H$1)+C125))</f>
        <v>0</v>
      </c>
      <c r="D128" s="196">
        <f ca="1">IF($H$1="",
1*(
SUMIFS('Customer Scenario Forecast'!D$24:D$1185,'Customer Scenario Forecast'!$C$20:$C$1181,'Incremental Network SummerFcast'!$A123)+
SUMIFS('Customer Scenario Forecast'!D$24:D$1185,'Customer Scenario Forecast'!$D$20:$D$1181,'Incremental Network SummerFcast'!$A123)+
SUMIFS('Customer Scenario Forecast'!D$24:D$1185,'Customer Scenario Forecast'!$E$20:$E$1181,'Incremental Network SummerFcast'!$A123)+D125),
1*(
SUMIFS('Customer Scenario Forecast'!D$24:D$1185,'Customer Scenario Forecast'!$C$20:$C$1181,'Incremental Network SummerFcast'!$A123,'Customer Scenario Forecast'!$H$20:$H$1181,'Incremental Network SummerFcast'!$H$1)+
SUMIFS('Customer Scenario Forecast'!D$24:D$1185,'Customer Scenario Forecast'!$D$20:$D$1181,'Incremental Network SummerFcast'!$A123,'Customer Scenario Forecast'!$H$20:$H$1181,'Incremental Network SummerFcast'!$H$1)+
SUMIFS('Customer Scenario Forecast'!D$24:D$1185,'Customer Scenario Forecast'!$E$20:$E$1181,'Incremental Network SummerFcast'!$A123,'Customer Scenario Forecast'!$H$20:$H$1181,'Incremental Network SummerFcast'!$H$1)+D125))</f>
        <v>0</v>
      </c>
      <c r="E128" s="196">
        <f ca="1">IF($H$1="",
1*(
SUMIFS('Customer Scenario Forecast'!E$24:E$1185,'Customer Scenario Forecast'!$C$20:$C$1181,'Incremental Network SummerFcast'!$A123)+
SUMIFS('Customer Scenario Forecast'!E$24:E$1185,'Customer Scenario Forecast'!$D$20:$D$1181,'Incremental Network SummerFcast'!$A123)+
SUMIFS('Customer Scenario Forecast'!E$24:E$1185,'Customer Scenario Forecast'!$E$20:$E$1181,'Incremental Network SummerFcast'!$A123)+E125),
1*(
SUMIFS('Customer Scenario Forecast'!E$24:E$1185,'Customer Scenario Forecast'!$C$20:$C$1181,'Incremental Network SummerFcast'!$A123,'Customer Scenario Forecast'!$H$20:$H$1181,'Incremental Network SummerFcast'!$H$1)+
SUMIFS('Customer Scenario Forecast'!E$24:E$1185,'Customer Scenario Forecast'!$D$20:$D$1181,'Incremental Network SummerFcast'!$A123,'Customer Scenario Forecast'!$H$20:$H$1181,'Incremental Network SummerFcast'!$H$1)+
SUMIFS('Customer Scenario Forecast'!E$24:E$1185,'Customer Scenario Forecast'!$E$20:$E$1181,'Incremental Network SummerFcast'!$A123,'Customer Scenario Forecast'!$H$20:$H$1181,'Incremental Network SummerFcast'!$H$1)+E125))</f>
        <v>0</v>
      </c>
      <c r="F128" s="196">
        <f ca="1">IF($H$1="",
1*(
SUMIFS('Customer Scenario Forecast'!F$24:F$1185,'Customer Scenario Forecast'!$C$20:$C$1181,'Incremental Network SummerFcast'!$A123)+
SUMIFS('Customer Scenario Forecast'!F$24:F$1185,'Customer Scenario Forecast'!$D$20:$D$1181,'Incremental Network SummerFcast'!$A123)+
SUMIFS('Customer Scenario Forecast'!F$24:F$1185,'Customer Scenario Forecast'!$E$20:$E$1181,'Incremental Network SummerFcast'!$A123)+F125),
1*(
SUMIFS('Customer Scenario Forecast'!F$24:F$1185,'Customer Scenario Forecast'!$C$20:$C$1181,'Incremental Network SummerFcast'!$A123,'Customer Scenario Forecast'!$H$20:$H$1181,'Incremental Network SummerFcast'!$H$1)+
SUMIFS('Customer Scenario Forecast'!F$24:F$1185,'Customer Scenario Forecast'!$D$20:$D$1181,'Incremental Network SummerFcast'!$A123,'Customer Scenario Forecast'!$H$20:$H$1181,'Incremental Network SummerFcast'!$H$1)+
SUMIFS('Customer Scenario Forecast'!F$24:F$1185,'Customer Scenario Forecast'!$E$20:$E$1181,'Incremental Network SummerFcast'!$A123,'Customer Scenario Forecast'!$H$20:$H$1181,'Incremental Network SummerFcast'!$H$1)+F125))</f>
        <v>0</v>
      </c>
      <c r="G128" s="196">
        <f ca="1">IF($H$1="",
1*(
SUMIFS('Customer Scenario Forecast'!G$24:G$1185,'Customer Scenario Forecast'!$C$20:$C$1181,'Incremental Network SummerFcast'!$A123)+
SUMIFS('Customer Scenario Forecast'!G$24:G$1185,'Customer Scenario Forecast'!$D$20:$D$1181,'Incremental Network SummerFcast'!$A123)+
SUMIFS('Customer Scenario Forecast'!G$24:G$1185,'Customer Scenario Forecast'!$E$20:$E$1181,'Incremental Network SummerFcast'!$A123)+G125),
1*(
SUMIFS('Customer Scenario Forecast'!G$24:G$1185,'Customer Scenario Forecast'!$C$20:$C$1181,'Incremental Network SummerFcast'!$A123,'Customer Scenario Forecast'!$H$20:$H$1181,'Incremental Network SummerFcast'!$H$1)+
SUMIFS('Customer Scenario Forecast'!G$24:G$1185,'Customer Scenario Forecast'!$D$20:$D$1181,'Incremental Network SummerFcast'!$A123,'Customer Scenario Forecast'!$H$20:$H$1181,'Incremental Network SummerFcast'!$H$1)+
SUMIFS('Customer Scenario Forecast'!G$24:G$1185,'Customer Scenario Forecast'!$E$20:$E$1181,'Incremental Network SummerFcast'!$A123,'Customer Scenario Forecast'!$H$20:$H$1181,'Incremental Network SummerFcast'!$H$1)+G125))</f>
        <v>0</v>
      </c>
      <c r="H128" s="196">
        <f ca="1">IF($H$1="",
1*(
SUMIFS('Customer Scenario Forecast'!H$24:H$1185,'Customer Scenario Forecast'!$C$20:$C$1181,'Incremental Network SummerFcast'!$A123)+
SUMIFS('Customer Scenario Forecast'!H$24:H$1185,'Customer Scenario Forecast'!$D$20:$D$1181,'Incremental Network SummerFcast'!$A123)+
SUMIFS('Customer Scenario Forecast'!H$24:H$1185,'Customer Scenario Forecast'!$E$20:$E$1181,'Incremental Network SummerFcast'!$A123)+H125),
1*(
SUMIFS('Customer Scenario Forecast'!H$24:H$1185,'Customer Scenario Forecast'!$C$20:$C$1181,'Incremental Network SummerFcast'!$A123,'Customer Scenario Forecast'!$H$20:$H$1181,'Incremental Network SummerFcast'!$H$1)+
SUMIFS('Customer Scenario Forecast'!H$24:H$1185,'Customer Scenario Forecast'!$D$20:$D$1181,'Incremental Network SummerFcast'!$A123,'Customer Scenario Forecast'!$H$20:$H$1181,'Incremental Network SummerFcast'!$H$1)+
SUMIFS('Customer Scenario Forecast'!H$24:H$1185,'Customer Scenario Forecast'!$E$20:$E$1181,'Incremental Network SummerFcast'!$A123,'Customer Scenario Forecast'!$H$20:$H$1181,'Incremental Network SummerFcast'!$H$1)+H125))</f>
        <v>0</v>
      </c>
      <c r="I128" s="196">
        <f ca="1">IF($H$1="",
1*(
SUMIFS('Customer Scenario Forecast'!I$24:I$1185,'Customer Scenario Forecast'!$C$20:$C$1181,'Incremental Network SummerFcast'!$A123)+
SUMIFS('Customer Scenario Forecast'!I$24:I$1185,'Customer Scenario Forecast'!$D$20:$D$1181,'Incremental Network SummerFcast'!$A123)+
SUMIFS('Customer Scenario Forecast'!I$24:I$1185,'Customer Scenario Forecast'!$E$20:$E$1181,'Incremental Network SummerFcast'!$A123)+I125),
1*(
SUMIFS('Customer Scenario Forecast'!I$24:I$1185,'Customer Scenario Forecast'!$C$20:$C$1181,'Incremental Network SummerFcast'!$A123,'Customer Scenario Forecast'!$H$20:$H$1181,'Incremental Network SummerFcast'!$H$1)+
SUMIFS('Customer Scenario Forecast'!I$24:I$1185,'Customer Scenario Forecast'!$D$20:$D$1181,'Incremental Network SummerFcast'!$A123,'Customer Scenario Forecast'!$H$20:$H$1181,'Incremental Network SummerFcast'!$H$1)+
SUMIFS('Customer Scenario Forecast'!I$24:I$1185,'Customer Scenario Forecast'!$E$20:$E$1181,'Incremental Network SummerFcast'!$A123,'Customer Scenario Forecast'!$H$20:$H$1181,'Incremental Network SummerFcast'!$H$1)+I125))</f>
        <v>0.5</v>
      </c>
      <c r="J128" s="196">
        <f ca="1">IF($H$1="",
1*(
SUMIFS('Customer Scenario Forecast'!J$24:J$1185,'Customer Scenario Forecast'!$C$20:$C$1181,'Incremental Network SummerFcast'!$A123)+
SUMIFS('Customer Scenario Forecast'!J$24:J$1185,'Customer Scenario Forecast'!$D$20:$D$1181,'Incremental Network SummerFcast'!$A123)+
SUMIFS('Customer Scenario Forecast'!J$24:J$1185,'Customer Scenario Forecast'!$E$20:$E$1181,'Incremental Network SummerFcast'!$A123)+J125),
1*(
SUMIFS('Customer Scenario Forecast'!J$24:J$1185,'Customer Scenario Forecast'!$C$20:$C$1181,'Incremental Network SummerFcast'!$A123,'Customer Scenario Forecast'!$H$20:$H$1181,'Incremental Network SummerFcast'!$H$1)+
SUMIFS('Customer Scenario Forecast'!J$24:J$1185,'Customer Scenario Forecast'!$D$20:$D$1181,'Incremental Network SummerFcast'!$A123,'Customer Scenario Forecast'!$H$20:$H$1181,'Incremental Network SummerFcast'!$H$1)+
SUMIFS('Customer Scenario Forecast'!J$24:J$1185,'Customer Scenario Forecast'!$E$20:$E$1181,'Incremental Network SummerFcast'!$A123,'Customer Scenario Forecast'!$H$20:$H$1181,'Incremental Network SummerFcast'!$H$1)+J125))</f>
        <v>0.5</v>
      </c>
      <c r="K128" s="196">
        <f ca="1">IF($H$1="",
1*(
SUMIFS('Customer Scenario Forecast'!K$24:K$1185,'Customer Scenario Forecast'!$C$20:$C$1181,'Incremental Network SummerFcast'!$A123)+
SUMIFS('Customer Scenario Forecast'!K$24:K$1185,'Customer Scenario Forecast'!$D$20:$D$1181,'Incremental Network SummerFcast'!$A123)+
SUMIFS('Customer Scenario Forecast'!K$24:K$1185,'Customer Scenario Forecast'!$E$20:$E$1181,'Incremental Network SummerFcast'!$A123)+K125),
1*(
SUMIFS('Customer Scenario Forecast'!K$24:K$1185,'Customer Scenario Forecast'!$C$20:$C$1181,'Incremental Network SummerFcast'!$A123,'Customer Scenario Forecast'!$H$20:$H$1181,'Incremental Network SummerFcast'!$H$1)+
SUMIFS('Customer Scenario Forecast'!K$24:K$1185,'Customer Scenario Forecast'!$D$20:$D$1181,'Incremental Network SummerFcast'!$A123,'Customer Scenario Forecast'!$H$20:$H$1181,'Incremental Network SummerFcast'!$H$1)+
SUMIFS('Customer Scenario Forecast'!K$24:K$1185,'Customer Scenario Forecast'!$E$20:$E$1181,'Incremental Network SummerFcast'!$A123,'Customer Scenario Forecast'!$H$20:$H$1181,'Incremental Network SummerFcast'!$H$1)+K125))</f>
        <v>0.5</v>
      </c>
      <c r="L128" s="196">
        <f ca="1">IF($H$1="",
1*(
SUMIFS('Customer Scenario Forecast'!L$24:L$1185,'Customer Scenario Forecast'!$C$20:$C$1181,'Incremental Network SummerFcast'!$A123)+
SUMIFS('Customer Scenario Forecast'!L$24:L$1185,'Customer Scenario Forecast'!$D$20:$D$1181,'Incremental Network SummerFcast'!$A123)+
SUMIFS('Customer Scenario Forecast'!L$24:L$1185,'Customer Scenario Forecast'!$E$20:$E$1181,'Incremental Network SummerFcast'!$A123)+L125),
1*(
SUMIFS('Customer Scenario Forecast'!L$24:L$1185,'Customer Scenario Forecast'!$C$20:$C$1181,'Incremental Network SummerFcast'!$A123,'Customer Scenario Forecast'!$H$20:$H$1181,'Incremental Network SummerFcast'!$H$1)+
SUMIFS('Customer Scenario Forecast'!L$24:L$1185,'Customer Scenario Forecast'!$D$20:$D$1181,'Incremental Network SummerFcast'!$A123,'Customer Scenario Forecast'!$H$20:$H$1181,'Incremental Network SummerFcast'!$H$1)+
SUMIFS('Customer Scenario Forecast'!L$24:L$1185,'Customer Scenario Forecast'!$E$20:$E$1181,'Incremental Network SummerFcast'!$A123,'Customer Scenario Forecast'!$H$20:$H$1181,'Incremental Network SummerFcast'!$H$1)+L125))</f>
        <v>1</v>
      </c>
    </row>
    <row r="129" spans="1:13" ht="15" thickBot="1">
      <c r="A129" s="197" t="s">
        <v>109</v>
      </c>
      <c r="B129" s="198">
        <f ca="1">IF($H$1="",
1*(
SUMIFS('Customer Scenario Forecast'!B$25:B$1186,'Customer Scenario Forecast'!$C$20:$C$1181,'Incremental Network SummerFcast'!$A123)+
SUMIFS('Customer Scenario Forecast'!B$25:B$1186,'Customer Scenario Forecast'!$D$20:$D$1181,'Incremental Network SummerFcast'!$A123)+
SUMIFS('Customer Scenario Forecast'!B$25:B$1186,'Customer Scenario Forecast'!$E$20:$E$1181,'Incremental Network SummerFcast'!$A123)+B125),
1*(
SUMIFS('Customer Scenario Forecast'!B$25:B$1186,'Customer Scenario Forecast'!$C$20:$C$1181,'Incremental Network SummerFcast'!$A123,'Customer Scenario Forecast'!$H$20:$H$1181,'Incremental Network SummerFcast'!$H$1)+
SUMIFS('Customer Scenario Forecast'!B$25:B$1186,'Customer Scenario Forecast'!$D$20:$D$1181,'Incremental Network SummerFcast'!$A123,'Customer Scenario Forecast'!$H$20:$H$1181,'Incremental Network SummerFcast'!$H$1)+
SUMIFS('Customer Scenario Forecast'!B$25:B$1186,'Customer Scenario Forecast'!$E$20:$E$1181,'Incremental Network SummerFcast'!$A123,'Customer Scenario Forecast'!$H$20:$H$1181,'Incremental Network SummerFcast'!$H$1)+B125))</f>
        <v>0</v>
      </c>
      <c r="C129" s="198">
        <f ca="1">IF($H$1="",
1*(
SUMIFS('Customer Scenario Forecast'!C$25:C$1186,'Customer Scenario Forecast'!$C$20:$C$1181,'Incremental Network SummerFcast'!$A123)+
SUMIFS('Customer Scenario Forecast'!C$25:C$1186,'Customer Scenario Forecast'!$D$20:$D$1181,'Incremental Network SummerFcast'!$A123)+
SUMIFS('Customer Scenario Forecast'!C$25:C$1186,'Customer Scenario Forecast'!$E$20:$E$1181,'Incremental Network SummerFcast'!$A123)+C125),
1*(
SUMIFS('Customer Scenario Forecast'!C$25:C$1186,'Customer Scenario Forecast'!$C$20:$C$1181,'Incremental Network SummerFcast'!$A123,'Customer Scenario Forecast'!$H$20:$H$1181,'Incremental Network SummerFcast'!$H$1)+
SUMIFS('Customer Scenario Forecast'!C$25:C$1186,'Customer Scenario Forecast'!$D$20:$D$1181,'Incremental Network SummerFcast'!$A123,'Customer Scenario Forecast'!$H$20:$H$1181,'Incremental Network SummerFcast'!$H$1)+
SUMIFS('Customer Scenario Forecast'!C$25:C$1186,'Customer Scenario Forecast'!$E$20:$E$1181,'Incremental Network SummerFcast'!$A123,'Customer Scenario Forecast'!$H$20:$H$1181,'Incremental Network SummerFcast'!$H$1)+C125))</f>
        <v>0</v>
      </c>
      <c r="D129" s="198">
        <f ca="1">IF($H$1="",
1*(
SUMIFS('Customer Scenario Forecast'!D$25:D$1186,'Customer Scenario Forecast'!$C$20:$C$1181,'Incremental Network SummerFcast'!$A123)+
SUMIFS('Customer Scenario Forecast'!D$25:D$1186,'Customer Scenario Forecast'!$D$20:$D$1181,'Incremental Network SummerFcast'!$A123)+
SUMIFS('Customer Scenario Forecast'!D$25:D$1186,'Customer Scenario Forecast'!$E$20:$E$1181,'Incremental Network SummerFcast'!$A123)+D125),
1*(
SUMIFS('Customer Scenario Forecast'!D$25:D$1186,'Customer Scenario Forecast'!$C$20:$C$1181,'Incremental Network SummerFcast'!$A123,'Customer Scenario Forecast'!$H$20:$H$1181,'Incremental Network SummerFcast'!$H$1)+
SUMIFS('Customer Scenario Forecast'!D$25:D$1186,'Customer Scenario Forecast'!$D$20:$D$1181,'Incremental Network SummerFcast'!$A123,'Customer Scenario Forecast'!$H$20:$H$1181,'Incremental Network SummerFcast'!$H$1)+
SUMIFS('Customer Scenario Forecast'!D$25:D$1186,'Customer Scenario Forecast'!$E$20:$E$1181,'Incremental Network SummerFcast'!$A123,'Customer Scenario Forecast'!$H$20:$H$1181,'Incremental Network SummerFcast'!$H$1)+D125))</f>
        <v>0</v>
      </c>
      <c r="E129" s="198">
        <f ca="1">IF($H$1="",
1*(
SUMIFS('Customer Scenario Forecast'!E$25:E$1186,'Customer Scenario Forecast'!$C$20:$C$1181,'Incremental Network SummerFcast'!$A123)+
SUMIFS('Customer Scenario Forecast'!E$25:E$1186,'Customer Scenario Forecast'!$D$20:$D$1181,'Incremental Network SummerFcast'!$A123)+
SUMIFS('Customer Scenario Forecast'!E$25:E$1186,'Customer Scenario Forecast'!$E$20:$E$1181,'Incremental Network SummerFcast'!$A123)+E125),
1*(
SUMIFS('Customer Scenario Forecast'!E$25:E$1186,'Customer Scenario Forecast'!$C$20:$C$1181,'Incremental Network SummerFcast'!$A123,'Customer Scenario Forecast'!$H$20:$H$1181,'Incremental Network SummerFcast'!$H$1)+
SUMIFS('Customer Scenario Forecast'!E$25:E$1186,'Customer Scenario Forecast'!$D$20:$D$1181,'Incremental Network SummerFcast'!$A123,'Customer Scenario Forecast'!$H$20:$H$1181,'Incremental Network SummerFcast'!$H$1)+
SUMIFS('Customer Scenario Forecast'!E$25:E$1186,'Customer Scenario Forecast'!$E$20:$E$1181,'Incremental Network SummerFcast'!$A123,'Customer Scenario Forecast'!$H$20:$H$1181,'Incremental Network SummerFcast'!$H$1)+E125))</f>
        <v>0</v>
      </c>
      <c r="F129" s="198">
        <f ca="1">IF($H$1="",
1*(
SUMIFS('Customer Scenario Forecast'!F$25:F$1186,'Customer Scenario Forecast'!$C$20:$C$1181,'Incremental Network SummerFcast'!$A123)+
SUMIFS('Customer Scenario Forecast'!F$25:F$1186,'Customer Scenario Forecast'!$D$20:$D$1181,'Incremental Network SummerFcast'!$A123)+
SUMIFS('Customer Scenario Forecast'!F$25:F$1186,'Customer Scenario Forecast'!$E$20:$E$1181,'Incremental Network SummerFcast'!$A123)+F125),
1*(
SUMIFS('Customer Scenario Forecast'!F$25:F$1186,'Customer Scenario Forecast'!$C$20:$C$1181,'Incremental Network SummerFcast'!$A123,'Customer Scenario Forecast'!$H$20:$H$1181,'Incremental Network SummerFcast'!$H$1)+
SUMIFS('Customer Scenario Forecast'!F$25:F$1186,'Customer Scenario Forecast'!$D$20:$D$1181,'Incremental Network SummerFcast'!$A123,'Customer Scenario Forecast'!$H$20:$H$1181,'Incremental Network SummerFcast'!$H$1)+
SUMIFS('Customer Scenario Forecast'!F$25:F$1186,'Customer Scenario Forecast'!$E$20:$E$1181,'Incremental Network SummerFcast'!$A123,'Customer Scenario Forecast'!$H$20:$H$1181,'Incremental Network SummerFcast'!$H$1)+F125))</f>
        <v>2.7</v>
      </c>
      <c r="G129" s="198">
        <f ca="1">IF($H$1="",
1*(
SUMIFS('Customer Scenario Forecast'!G$25:G$1186,'Customer Scenario Forecast'!$C$20:$C$1181,'Incremental Network SummerFcast'!$A123)+
SUMIFS('Customer Scenario Forecast'!G$25:G$1186,'Customer Scenario Forecast'!$D$20:$D$1181,'Incremental Network SummerFcast'!$A123)+
SUMIFS('Customer Scenario Forecast'!G$25:G$1186,'Customer Scenario Forecast'!$E$20:$E$1181,'Incremental Network SummerFcast'!$A123)+G125),
1*(
SUMIFS('Customer Scenario Forecast'!G$25:G$1186,'Customer Scenario Forecast'!$C$20:$C$1181,'Incremental Network SummerFcast'!$A123,'Customer Scenario Forecast'!$H$20:$H$1181,'Incremental Network SummerFcast'!$H$1)+
SUMIFS('Customer Scenario Forecast'!G$25:G$1186,'Customer Scenario Forecast'!$D$20:$D$1181,'Incremental Network SummerFcast'!$A123,'Customer Scenario Forecast'!$H$20:$H$1181,'Incremental Network SummerFcast'!$H$1)+
SUMIFS('Customer Scenario Forecast'!G$25:G$1186,'Customer Scenario Forecast'!$E$20:$E$1181,'Incremental Network SummerFcast'!$A123,'Customer Scenario Forecast'!$H$20:$H$1181,'Incremental Network SummerFcast'!$H$1)+G125))</f>
        <v>2.7</v>
      </c>
      <c r="H129" s="198">
        <f ca="1">IF($H$1="",
1*(
SUMIFS('Customer Scenario Forecast'!H$25:H$1186,'Customer Scenario Forecast'!$C$20:$C$1181,'Incremental Network SummerFcast'!$A123)+
SUMIFS('Customer Scenario Forecast'!H$25:H$1186,'Customer Scenario Forecast'!$D$20:$D$1181,'Incremental Network SummerFcast'!$A123)+
SUMIFS('Customer Scenario Forecast'!H$25:H$1186,'Customer Scenario Forecast'!$E$20:$E$1181,'Incremental Network SummerFcast'!$A123)+H125),
1*(
SUMIFS('Customer Scenario Forecast'!H$25:H$1186,'Customer Scenario Forecast'!$C$20:$C$1181,'Incremental Network SummerFcast'!$A123,'Customer Scenario Forecast'!$H$20:$H$1181,'Incremental Network SummerFcast'!$H$1)+
SUMIFS('Customer Scenario Forecast'!H$25:H$1186,'Customer Scenario Forecast'!$D$20:$D$1181,'Incremental Network SummerFcast'!$A123,'Customer Scenario Forecast'!$H$20:$H$1181,'Incremental Network SummerFcast'!$H$1)+
SUMIFS('Customer Scenario Forecast'!H$25:H$1186,'Customer Scenario Forecast'!$E$20:$E$1181,'Incremental Network SummerFcast'!$A123,'Customer Scenario Forecast'!$H$20:$H$1181,'Incremental Network SummerFcast'!$H$1)+H125))</f>
        <v>2.7</v>
      </c>
      <c r="I129" s="198">
        <f ca="1">IF($H$1="",
1*(
SUMIFS('Customer Scenario Forecast'!I$25:I$1186,'Customer Scenario Forecast'!$C$20:$C$1181,'Incremental Network SummerFcast'!$A123)+
SUMIFS('Customer Scenario Forecast'!I$25:I$1186,'Customer Scenario Forecast'!$D$20:$D$1181,'Incremental Network SummerFcast'!$A123)+
SUMIFS('Customer Scenario Forecast'!I$25:I$1186,'Customer Scenario Forecast'!$E$20:$E$1181,'Incremental Network SummerFcast'!$A123)+I125),
1*(
SUMIFS('Customer Scenario Forecast'!I$25:I$1186,'Customer Scenario Forecast'!$C$20:$C$1181,'Incremental Network SummerFcast'!$A123,'Customer Scenario Forecast'!$H$20:$H$1181,'Incremental Network SummerFcast'!$H$1)+
SUMIFS('Customer Scenario Forecast'!I$25:I$1186,'Customer Scenario Forecast'!$D$20:$D$1181,'Incremental Network SummerFcast'!$A123,'Customer Scenario Forecast'!$H$20:$H$1181,'Incremental Network SummerFcast'!$H$1)+
SUMIFS('Customer Scenario Forecast'!I$25:I$1186,'Customer Scenario Forecast'!$E$20:$E$1181,'Incremental Network SummerFcast'!$A123,'Customer Scenario Forecast'!$H$20:$H$1181,'Incremental Network SummerFcast'!$H$1)+I125))</f>
        <v>5.4</v>
      </c>
      <c r="J129" s="198">
        <f ca="1">IF($H$1="",
1*(
SUMIFS('Customer Scenario Forecast'!J$25:J$1186,'Customer Scenario Forecast'!$C$20:$C$1181,'Incremental Network SummerFcast'!$A123)+
SUMIFS('Customer Scenario Forecast'!J$25:J$1186,'Customer Scenario Forecast'!$D$20:$D$1181,'Incremental Network SummerFcast'!$A123)+
SUMIFS('Customer Scenario Forecast'!J$25:J$1186,'Customer Scenario Forecast'!$E$20:$E$1181,'Incremental Network SummerFcast'!$A123)+J125),
1*(
SUMIFS('Customer Scenario Forecast'!J$25:J$1186,'Customer Scenario Forecast'!$C$20:$C$1181,'Incremental Network SummerFcast'!$A123,'Customer Scenario Forecast'!$H$20:$H$1181,'Incremental Network SummerFcast'!$H$1)+
SUMIFS('Customer Scenario Forecast'!J$25:J$1186,'Customer Scenario Forecast'!$D$20:$D$1181,'Incremental Network SummerFcast'!$A123,'Customer Scenario Forecast'!$H$20:$H$1181,'Incremental Network SummerFcast'!$H$1)+
SUMIFS('Customer Scenario Forecast'!J$25:J$1186,'Customer Scenario Forecast'!$E$20:$E$1181,'Incremental Network SummerFcast'!$A123,'Customer Scenario Forecast'!$H$20:$H$1181,'Incremental Network SummerFcast'!$H$1)+J125))</f>
        <v>8.1</v>
      </c>
      <c r="K129" s="198">
        <f ca="1">IF($H$1="",
1*(
SUMIFS('Customer Scenario Forecast'!K$25:K$1186,'Customer Scenario Forecast'!$C$20:$C$1181,'Incremental Network SummerFcast'!$A123)+
SUMIFS('Customer Scenario Forecast'!K$25:K$1186,'Customer Scenario Forecast'!$D$20:$D$1181,'Incremental Network SummerFcast'!$A123)+
SUMIFS('Customer Scenario Forecast'!K$25:K$1186,'Customer Scenario Forecast'!$E$20:$E$1181,'Incremental Network SummerFcast'!$A123)+K125),
1*(
SUMIFS('Customer Scenario Forecast'!K$25:K$1186,'Customer Scenario Forecast'!$C$20:$C$1181,'Incremental Network SummerFcast'!$A123,'Customer Scenario Forecast'!$H$20:$H$1181,'Incremental Network SummerFcast'!$H$1)+
SUMIFS('Customer Scenario Forecast'!K$25:K$1186,'Customer Scenario Forecast'!$D$20:$D$1181,'Incremental Network SummerFcast'!$A123,'Customer Scenario Forecast'!$H$20:$H$1181,'Incremental Network SummerFcast'!$H$1)+
SUMIFS('Customer Scenario Forecast'!K$25:K$1186,'Customer Scenario Forecast'!$E$20:$E$1181,'Incremental Network SummerFcast'!$A123,'Customer Scenario Forecast'!$H$20:$H$1181,'Incremental Network SummerFcast'!$H$1)+K125))</f>
        <v>4.8600000000000003</v>
      </c>
      <c r="L129" s="198">
        <f ca="1">IF($H$1="",
1*(
SUMIFS('Customer Scenario Forecast'!L$25:L$1186,'Customer Scenario Forecast'!$C$20:$C$1181,'Incremental Network SummerFcast'!$A123)+
SUMIFS('Customer Scenario Forecast'!L$25:L$1186,'Customer Scenario Forecast'!$D$20:$D$1181,'Incremental Network SummerFcast'!$A123)+
SUMIFS('Customer Scenario Forecast'!L$25:L$1186,'Customer Scenario Forecast'!$E$20:$E$1181,'Incremental Network SummerFcast'!$A123)+L125),
1*(
SUMIFS('Customer Scenario Forecast'!L$25:L$1186,'Customer Scenario Forecast'!$C$20:$C$1181,'Incremental Network SummerFcast'!$A123,'Customer Scenario Forecast'!$H$20:$H$1181,'Incremental Network SummerFcast'!$H$1)+
SUMIFS('Customer Scenario Forecast'!L$25:L$1186,'Customer Scenario Forecast'!$D$20:$D$1181,'Incremental Network SummerFcast'!$A123,'Customer Scenario Forecast'!$H$20:$H$1181,'Incremental Network SummerFcast'!$H$1)+
SUMIFS('Customer Scenario Forecast'!L$25:L$1186,'Customer Scenario Forecast'!$E$20:$E$1181,'Incremental Network SummerFcast'!$A123,'Customer Scenario Forecast'!$H$20:$H$1181,'Incremental Network SummerFcast'!$H$1)+L125))</f>
        <v>7.29</v>
      </c>
    </row>
    <row r="130" spans="1:13" ht="15.6" thickTop="1" thickBot="1">
      <c r="A130" s="197" t="s">
        <v>148</v>
      </c>
      <c r="B130" s="198">
        <f ca="1">'Incremental Network SummerFcast'!$B$245*B127+'Incremental Network SummerFcast'!$B$246*B128+'Incremental Network SummerFcast'!$B$247*B129</f>
        <v>0</v>
      </c>
      <c r="C130" s="198">
        <f ca="1">'Incremental Network SummerFcast'!$B$245*C127+'Incremental Network SummerFcast'!$B$246*C128+'Incremental Network SummerFcast'!$B$247*C129</f>
        <v>0</v>
      </c>
      <c r="D130" s="198">
        <f ca="1">'Incremental Network SummerFcast'!$B$245*D127+'Incremental Network SummerFcast'!$B$246*D128+'Incremental Network SummerFcast'!$B$247*D129</f>
        <v>0</v>
      </c>
      <c r="E130" s="198">
        <f ca="1">'Incremental Network SummerFcast'!$B$245*E127+'Incremental Network SummerFcast'!$B$246*E128+'Incremental Network SummerFcast'!$B$247*E129</f>
        <v>0</v>
      </c>
      <c r="F130" s="198">
        <f ca="1">'Incremental Network SummerFcast'!$B$245*F127+'Incremental Network SummerFcast'!$B$246*F128+'Incremental Network SummerFcast'!$B$247*F129</f>
        <v>0.67500000000000004</v>
      </c>
      <c r="G130" s="198">
        <f ca="1">'Incremental Network SummerFcast'!$B$245*G127+'Incremental Network SummerFcast'!$B$246*G128+'Incremental Network SummerFcast'!$B$247*G129</f>
        <v>1.55</v>
      </c>
      <c r="H130" s="198">
        <f ca="1">'Incremental Network SummerFcast'!$B$245*H127+'Incremental Network SummerFcast'!$B$246*H128+'Incremental Network SummerFcast'!$B$247*H129</f>
        <v>1.55</v>
      </c>
      <c r="I130" s="198">
        <f ca="1">'Incremental Network SummerFcast'!$B$245*I127+'Incremental Network SummerFcast'!$B$246*I128+'Incremental Network SummerFcast'!$B$247*I129</f>
        <v>2.35</v>
      </c>
      <c r="J130" s="198">
        <f ca="1">'Incremental Network SummerFcast'!$B$245*J127+'Incremental Network SummerFcast'!$B$246*J128+'Incremental Network SummerFcast'!$B$247*J129</f>
        <v>3.9</v>
      </c>
      <c r="K130" s="198">
        <f ca="1">'Incremental Network SummerFcast'!$B$245*K127+'Incremental Network SummerFcast'!$B$246*K128+'Incremental Network SummerFcast'!$B$247*K129</f>
        <v>3.4399999999999995</v>
      </c>
      <c r="L130" s="198">
        <f ca="1">'Incremental Network SummerFcast'!$B$245*L127+'Incremental Network SummerFcast'!$B$246*L128+'Incremental Network SummerFcast'!$B$247*L129</f>
        <v>3.2974999999999999</v>
      </c>
    </row>
    <row r="131" spans="1:13" ht="15.6" thickTop="1" thickBot="1">
      <c r="A131" s="188" t="s">
        <v>153</v>
      </c>
      <c r="B131" s="216"/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</row>
    <row r="132" spans="1:13" ht="15" thickBot="1">
      <c r="A132" s="191" t="str">
        <f>A124</f>
        <v>Uptake Scenario</v>
      </c>
      <c r="B132" s="191">
        <f t="shared" ref="B132:L132" si="16">B124</f>
        <v>2023</v>
      </c>
      <c r="C132" s="191">
        <f t="shared" si="16"/>
        <v>2024</v>
      </c>
      <c r="D132" s="191">
        <f t="shared" si="16"/>
        <v>2025</v>
      </c>
      <c r="E132" s="191">
        <f t="shared" si="16"/>
        <v>2026</v>
      </c>
      <c r="F132" s="191">
        <f t="shared" si="16"/>
        <v>2027</v>
      </c>
      <c r="G132" s="191">
        <f t="shared" si="16"/>
        <v>2028</v>
      </c>
      <c r="H132" s="191">
        <f t="shared" si="16"/>
        <v>2029</v>
      </c>
      <c r="I132" s="191">
        <f t="shared" si="16"/>
        <v>2030</v>
      </c>
      <c r="J132" s="191">
        <f t="shared" si="16"/>
        <v>2031</v>
      </c>
      <c r="K132" s="191">
        <f t="shared" si="16"/>
        <v>2032</v>
      </c>
      <c r="L132" s="191">
        <f t="shared" si="16"/>
        <v>2033</v>
      </c>
    </row>
    <row r="133" spans="1:13" ht="15.6" thickTop="1" thickBot="1">
      <c r="A133" s="193"/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37"/>
    </row>
    <row r="134" spans="1:13" ht="15" thickBot="1">
      <c r="A134" s="193" t="s">
        <v>111</v>
      </c>
      <c r="B134" s="194">
        <f ca="1">IF($H$1="",
SUMIFS('Customer Scenario Forecast'!B$22:B$1183,'Customer Scenario Forecast'!$C$20:$C$1181,'Incremental Network SummerFcast'!$A131)+
SUMIFS('Customer Scenario Forecast'!B$22:B$1183,'Customer Scenario Forecast'!$D$20:$D$1181,'Incremental Network SummerFcast'!$A131)+
SUMIFS('Customer Scenario Forecast'!B$22:B$1183,'Customer Scenario Forecast'!$E$20:$E$1181,'Incremental Network SummerFcast'!$A131),
SUMIFS('Customer Scenario Forecast'!B$22:B$1183,'Customer Scenario Forecast'!$C$20:$C$1181,'Incremental Network SummerFcast'!$A131,'Customer Scenario Forecast'!$H$20:$H$1181,'Incremental Network SummerFcast'!$H$1)+
SUMIFS('Customer Scenario Forecast'!B$22:B$1183,'Customer Scenario Forecast'!$D$20:$D$1181,'Incremental Network SummerFcast'!$A131,'Customer Scenario Forecast'!$H$20:$H$1181,'Incremental Network SummerFcast'!$H$1)+
SUMIFS('Customer Scenario Forecast'!B$22:B$1183,'Customer Scenario Forecast'!$E$20:$E$1181,'Incremental Network SummerFcast'!$A131,'Customer Scenario Forecast'!$H$20:$H$1181,'Incremental Network SummerFcast'!$H$1))</f>
        <v>0</v>
      </c>
      <c r="C134" s="194">
        <f ca="1">IF($H$1="",
SUMIFS('Customer Scenario Forecast'!C$22:C$1183,'Customer Scenario Forecast'!$C$20:$C$1181,'Incremental Network SummerFcast'!$A131)+
SUMIFS('Customer Scenario Forecast'!C$22:C$1183,'Customer Scenario Forecast'!$D$20:$D$1181,'Incremental Network SummerFcast'!$A131)+
SUMIFS('Customer Scenario Forecast'!C$22:C$1183,'Customer Scenario Forecast'!$E$20:$E$1181,'Incremental Network SummerFcast'!$A131),
SUMIFS('Customer Scenario Forecast'!C$22:C$1183,'Customer Scenario Forecast'!$C$20:$C$1181,'Incremental Network SummerFcast'!$A131,'Customer Scenario Forecast'!$H$20:$H$1181,'Incremental Network SummerFcast'!$H$1)+
SUMIFS('Customer Scenario Forecast'!C$22:C$1183,'Customer Scenario Forecast'!$D$20:$D$1181,'Incremental Network SummerFcast'!$A131,'Customer Scenario Forecast'!$H$20:$H$1181,'Incremental Network SummerFcast'!$H$1)+
SUMIFS('Customer Scenario Forecast'!C$22:C$1183,'Customer Scenario Forecast'!$E$20:$E$1181,'Incremental Network SummerFcast'!$A131,'Customer Scenario Forecast'!$H$20:$H$1181,'Incremental Network SummerFcast'!$H$1))</f>
        <v>0</v>
      </c>
      <c r="D134" s="194">
        <f ca="1">IF($H$1="",
SUMIFS('Customer Scenario Forecast'!D$22:D$1183,'Customer Scenario Forecast'!$C$20:$C$1181,'Incremental Network SummerFcast'!$A131)+
SUMIFS('Customer Scenario Forecast'!D$22:D$1183,'Customer Scenario Forecast'!$D$20:$D$1181,'Incremental Network SummerFcast'!$A131)+
SUMIFS('Customer Scenario Forecast'!D$22:D$1183,'Customer Scenario Forecast'!$E$20:$E$1181,'Incremental Network SummerFcast'!$A131),
SUMIFS('Customer Scenario Forecast'!D$22:D$1183,'Customer Scenario Forecast'!$C$20:$C$1181,'Incremental Network SummerFcast'!$A131,'Customer Scenario Forecast'!$H$20:$H$1181,'Incremental Network SummerFcast'!$H$1)+
SUMIFS('Customer Scenario Forecast'!D$22:D$1183,'Customer Scenario Forecast'!$D$20:$D$1181,'Incremental Network SummerFcast'!$A131,'Customer Scenario Forecast'!$H$20:$H$1181,'Incremental Network SummerFcast'!$H$1)+
SUMIFS('Customer Scenario Forecast'!D$22:D$1183,'Customer Scenario Forecast'!$E$20:$E$1181,'Incremental Network SummerFcast'!$A131,'Customer Scenario Forecast'!$H$20:$H$1181,'Incremental Network SummerFcast'!$H$1))</f>
        <v>0</v>
      </c>
      <c r="E134" s="194">
        <f ca="1">IF($H$1="",
SUMIFS('Customer Scenario Forecast'!E$22:E$1183,'Customer Scenario Forecast'!$C$20:$C$1181,'Incremental Network SummerFcast'!$A131)+
SUMIFS('Customer Scenario Forecast'!E$22:E$1183,'Customer Scenario Forecast'!$D$20:$D$1181,'Incremental Network SummerFcast'!$A131)+
SUMIFS('Customer Scenario Forecast'!E$22:E$1183,'Customer Scenario Forecast'!$E$20:$E$1181,'Incremental Network SummerFcast'!$A131),
SUMIFS('Customer Scenario Forecast'!E$22:E$1183,'Customer Scenario Forecast'!$C$20:$C$1181,'Incremental Network SummerFcast'!$A131,'Customer Scenario Forecast'!$H$20:$H$1181,'Incremental Network SummerFcast'!$H$1)+
SUMIFS('Customer Scenario Forecast'!E$22:E$1183,'Customer Scenario Forecast'!$D$20:$D$1181,'Incremental Network SummerFcast'!$A131,'Customer Scenario Forecast'!$H$20:$H$1181,'Incremental Network SummerFcast'!$H$1)+
SUMIFS('Customer Scenario Forecast'!E$22:E$1183,'Customer Scenario Forecast'!$E$20:$E$1181,'Incremental Network SummerFcast'!$A131,'Customer Scenario Forecast'!$H$20:$H$1181,'Incremental Network SummerFcast'!$H$1))</f>
        <v>0</v>
      </c>
      <c r="F134" s="194">
        <f ca="1">IF($H$1="",
SUMIFS('Customer Scenario Forecast'!F$22:F$1183,'Customer Scenario Forecast'!$C$20:$C$1181,'Incremental Network SummerFcast'!$A131)+
SUMIFS('Customer Scenario Forecast'!F$22:F$1183,'Customer Scenario Forecast'!$D$20:$D$1181,'Incremental Network SummerFcast'!$A131)+
SUMIFS('Customer Scenario Forecast'!F$22:F$1183,'Customer Scenario Forecast'!$E$20:$E$1181,'Incremental Network SummerFcast'!$A131),
SUMIFS('Customer Scenario Forecast'!F$22:F$1183,'Customer Scenario Forecast'!$C$20:$C$1181,'Incremental Network SummerFcast'!$A131,'Customer Scenario Forecast'!$H$20:$H$1181,'Incremental Network SummerFcast'!$H$1)+
SUMIFS('Customer Scenario Forecast'!F$22:F$1183,'Customer Scenario Forecast'!$D$20:$D$1181,'Incremental Network SummerFcast'!$A131,'Customer Scenario Forecast'!$H$20:$H$1181,'Incremental Network SummerFcast'!$H$1)+
SUMIFS('Customer Scenario Forecast'!F$22:F$1183,'Customer Scenario Forecast'!$E$20:$E$1181,'Incremental Network SummerFcast'!$A131,'Customer Scenario Forecast'!$H$20:$H$1181,'Incremental Network SummerFcast'!$H$1))</f>
        <v>0</v>
      </c>
      <c r="G134" s="194">
        <f ca="1">IF($H$1="",
SUMIFS('Customer Scenario Forecast'!G$22:G$1183,'Customer Scenario Forecast'!$C$20:$C$1181,'Incremental Network SummerFcast'!$A131)+
SUMIFS('Customer Scenario Forecast'!G$22:G$1183,'Customer Scenario Forecast'!$D$20:$D$1181,'Incremental Network SummerFcast'!$A131)+
SUMIFS('Customer Scenario Forecast'!G$22:G$1183,'Customer Scenario Forecast'!$E$20:$E$1181,'Incremental Network SummerFcast'!$A131),
SUMIFS('Customer Scenario Forecast'!G$22:G$1183,'Customer Scenario Forecast'!$C$20:$C$1181,'Incremental Network SummerFcast'!$A131,'Customer Scenario Forecast'!$H$20:$H$1181,'Incremental Network SummerFcast'!$H$1)+
SUMIFS('Customer Scenario Forecast'!G$22:G$1183,'Customer Scenario Forecast'!$D$20:$D$1181,'Incremental Network SummerFcast'!$A131,'Customer Scenario Forecast'!$H$20:$H$1181,'Incremental Network SummerFcast'!$H$1)+
SUMIFS('Customer Scenario Forecast'!G$22:G$1183,'Customer Scenario Forecast'!$E$20:$E$1181,'Incremental Network SummerFcast'!$A131,'Customer Scenario Forecast'!$H$20:$H$1181,'Incremental Network SummerFcast'!$H$1))</f>
        <v>0</v>
      </c>
      <c r="H134" s="194">
        <f ca="1">IF($H$1="",
SUMIFS('Customer Scenario Forecast'!H$22:H$1183,'Customer Scenario Forecast'!$C$20:$C$1181,'Incremental Network SummerFcast'!$A131)+
SUMIFS('Customer Scenario Forecast'!H$22:H$1183,'Customer Scenario Forecast'!$D$20:$D$1181,'Incremental Network SummerFcast'!$A131)+
SUMIFS('Customer Scenario Forecast'!H$22:H$1183,'Customer Scenario Forecast'!$E$20:$E$1181,'Incremental Network SummerFcast'!$A131),
SUMIFS('Customer Scenario Forecast'!H$22:H$1183,'Customer Scenario Forecast'!$C$20:$C$1181,'Incremental Network SummerFcast'!$A131,'Customer Scenario Forecast'!$H$20:$H$1181,'Incremental Network SummerFcast'!$H$1)+
SUMIFS('Customer Scenario Forecast'!H$22:H$1183,'Customer Scenario Forecast'!$D$20:$D$1181,'Incremental Network SummerFcast'!$A131,'Customer Scenario Forecast'!$H$20:$H$1181,'Incremental Network SummerFcast'!$H$1)+
SUMIFS('Customer Scenario Forecast'!H$22:H$1183,'Customer Scenario Forecast'!$E$20:$E$1181,'Incremental Network SummerFcast'!$A131,'Customer Scenario Forecast'!$H$20:$H$1181,'Incremental Network SummerFcast'!$H$1))</f>
        <v>0</v>
      </c>
      <c r="I134" s="194">
        <f ca="1">IF($H$1="",
SUMIFS('Customer Scenario Forecast'!I$22:I$1183,'Customer Scenario Forecast'!$C$20:$C$1181,'Incremental Network SummerFcast'!$A131)+
SUMIFS('Customer Scenario Forecast'!I$22:I$1183,'Customer Scenario Forecast'!$D$20:$D$1181,'Incremental Network SummerFcast'!$A131)+
SUMIFS('Customer Scenario Forecast'!I$22:I$1183,'Customer Scenario Forecast'!$E$20:$E$1181,'Incremental Network SummerFcast'!$A131),
SUMIFS('Customer Scenario Forecast'!I$22:I$1183,'Customer Scenario Forecast'!$C$20:$C$1181,'Incremental Network SummerFcast'!$A131,'Customer Scenario Forecast'!$H$20:$H$1181,'Incremental Network SummerFcast'!$H$1)+
SUMIFS('Customer Scenario Forecast'!I$22:I$1183,'Customer Scenario Forecast'!$D$20:$D$1181,'Incremental Network SummerFcast'!$A131,'Customer Scenario Forecast'!$H$20:$H$1181,'Incremental Network SummerFcast'!$H$1)+
SUMIFS('Customer Scenario Forecast'!I$22:I$1183,'Customer Scenario Forecast'!$E$20:$E$1181,'Incremental Network SummerFcast'!$A131,'Customer Scenario Forecast'!$H$20:$H$1181,'Incremental Network SummerFcast'!$H$1))</f>
        <v>0</v>
      </c>
      <c r="J134" s="194">
        <f ca="1">IF($H$1="",
SUMIFS('Customer Scenario Forecast'!J$22:J$1183,'Customer Scenario Forecast'!$C$20:$C$1181,'Incremental Network SummerFcast'!$A131)+
SUMIFS('Customer Scenario Forecast'!J$22:J$1183,'Customer Scenario Forecast'!$D$20:$D$1181,'Incremental Network SummerFcast'!$A131)+
SUMIFS('Customer Scenario Forecast'!J$22:J$1183,'Customer Scenario Forecast'!$E$20:$E$1181,'Incremental Network SummerFcast'!$A131),
SUMIFS('Customer Scenario Forecast'!J$22:J$1183,'Customer Scenario Forecast'!$C$20:$C$1181,'Incremental Network SummerFcast'!$A131,'Customer Scenario Forecast'!$H$20:$H$1181,'Incremental Network SummerFcast'!$H$1)+
SUMIFS('Customer Scenario Forecast'!J$22:J$1183,'Customer Scenario Forecast'!$D$20:$D$1181,'Incremental Network SummerFcast'!$A131,'Customer Scenario Forecast'!$H$20:$H$1181,'Incremental Network SummerFcast'!$H$1)+
SUMIFS('Customer Scenario Forecast'!J$22:J$1183,'Customer Scenario Forecast'!$E$20:$E$1181,'Incremental Network SummerFcast'!$A131,'Customer Scenario Forecast'!$H$20:$H$1181,'Incremental Network SummerFcast'!$H$1))</f>
        <v>0</v>
      </c>
      <c r="K134" s="194">
        <f ca="1">IF($H$1="",
SUMIFS('Customer Scenario Forecast'!K$22:K$1183,'Customer Scenario Forecast'!$C$20:$C$1181,'Incremental Network SummerFcast'!$A131)+
SUMIFS('Customer Scenario Forecast'!K$22:K$1183,'Customer Scenario Forecast'!$D$20:$D$1181,'Incremental Network SummerFcast'!$A131)+
SUMIFS('Customer Scenario Forecast'!K$22:K$1183,'Customer Scenario Forecast'!$E$20:$E$1181,'Incremental Network SummerFcast'!$A131),
SUMIFS('Customer Scenario Forecast'!K$22:K$1183,'Customer Scenario Forecast'!$C$20:$C$1181,'Incremental Network SummerFcast'!$A131,'Customer Scenario Forecast'!$H$20:$H$1181,'Incremental Network SummerFcast'!$H$1)+
SUMIFS('Customer Scenario Forecast'!K$22:K$1183,'Customer Scenario Forecast'!$D$20:$D$1181,'Incremental Network SummerFcast'!$A131,'Customer Scenario Forecast'!$H$20:$H$1181,'Incremental Network SummerFcast'!$H$1)+
SUMIFS('Customer Scenario Forecast'!K$22:K$1183,'Customer Scenario Forecast'!$E$20:$E$1181,'Incremental Network SummerFcast'!$A131,'Customer Scenario Forecast'!$H$20:$H$1181,'Incremental Network SummerFcast'!$H$1))</f>
        <v>0</v>
      </c>
      <c r="L134" s="194">
        <f ca="1">IF($H$1="",
SUMIFS('Customer Scenario Forecast'!L$22:L$1183,'Customer Scenario Forecast'!$C$20:$C$1181,'Incremental Network SummerFcast'!$A131)+
SUMIFS('Customer Scenario Forecast'!L$22:L$1183,'Customer Scenario Forecast'!$D$20:$D$1181,'Incremental Network SummerFcast'!$A131)+
SUMIFS('Customer Scenario Forecast'!L$22:L$1183,'Customer Scenario Forecast'!$E$20:$E$1181,'Incremental Network SummerFcast'!$A131),
SUMIFS('Customer Scenario Forecast'!L$22:L$1183,'Customer Scenario Forecast'!$C$20:$C$1181,'Incremental Network SummerFcast'!$A131,'Customer Scenario Forecast'!$H$20:$H$1181,'Incremental Network SummerFcast'!$H$1)+
SUMIFS('Customer Scenario Forecast'!L$22:L$1183,'Customer Scenario Forecast'!$D$20:$D$1181,'Incremental Network SummerFcast'!$A131,'Customer Scenario Forecast'!$H$20:$H$1181,'Incremental Network SummerFcast'!$H$1)+
SUMIFS('Customer Scenario Forecast'!L$22:L$1183,'Customer Scenario Forecast'!$E$20:$E$1181,'Incremental Network SummerFcast'!$A131,'Customer Scenario Forecast'!$H$20:$H$1181,'Incremental Network SummerFcast'!$H$1))</f>
        <v>0</v>
      </c>
      <c r="M134" s="37"/>
    </row>
    <row r="135" spans="1:13" ht="15" thickBot="1">
      <c r="A135" s="195" t="s">
        <v>107</v>
      </c>
      <c r="B135" s="196">
        <f ca="1">IF($H$1="",
1*(
SUMIFS('Customer Scenario Forecast'!B$23:B$1184,'Customer Scenario Forecast'!$C$20:$C$1181,'Incremental Network SummerFcast'!$A131)+
SUMIFS('Customer Scenario Forecast'!B$23:B$1184,'Customer Scenario Forecast'!$D$20:$D$1181,'Incremental Network SummerFcast'!$A131)+
SUMIFS('Customer Scenario Forecast'!B$23:B$1184,'Customer Scenario Forecast'!$E$20:$E$1181,'Incremental Network SummerFcast'!$A131)+B133),
1*(
SUMIFS('Customer Scenario Forecast'!B$23:B$1184,'Customer Scenario Forecast'!$C$20:$C$1181,'Incremental Network SummerFcast'!$A131,'Customer Scenario Forecast'!$H$20:$H$1181,'Incremental Network SummerFcast'!$H$1)+
SUMIFS('Customer Scenario Forecast'!B$23:B$1184,'Customer Scenario Forecast'!$D$20:$D$1181,'Incremental Network SummerFcast'!$A131,'Customer Scenario Forecast'!$H$20:$H$1181,'Incremental Network SummerFcast'!$H$1)+
SUMIFS('Customer Scenario Forecast'!B$23:B$1184,'Customer Scenario Forecast'!$E$20:$E$1181,'Incremental Network SummerFcast'!$A131,'Customer Scenario Forecast'!$H$20:$H$1181,'Incremental Network SummerFcast'!$H$1)+B133))</f>
        <v>0</v>
      </c>
      <c r="C135" s="196">
        <f ca="1">IF($H$1="",
1*(
SUMIFS('Customer Scenario Forecast'!C$23:C$1184,'Customer Scenario Forecast'!$C$20:$C$1181,'Incremental Network SummerFcast'!$A131)+
SUMIFS('Customer Scenario Forecast'!C$23:C$1184,'Customer Scenario Forecast'!$D$20:$D$1181,'Incremental Network SummerFcast'!$A131)+
SUMIFS('Customer Scenario Forecast'!C$23:C$1184,'Customer Scenario Forecast'!$E$20:$E$1181,'Incremental Network SummerFcast'!$A131)+C133),
1*(
SUMIFS('Customer Scenario Forecast'!C$23:C$1184,'Customer Scenario Forecast'!$C$20:$C$1181,'Incremental Network SummerFcast'!$A131,'Customer Scenario Forecast'!$H$20:$H$1181,'Incremental Network SummerFcast'!$H$1)+
SUMIFS('Customer Scenario Forecast'!C$23:C$1184,'Customer Scenario Forecast'!$D$20:$D$1181,'Incremental Network SummerFcast'!$A131,'Customer Scenario Forecast'!$H$20:$H$1181,'Incremental Network SummerFcast'!$H$1)+
SUMIFS('Customer Scenario Forecast'!C$23:C$1184,'Customer Scenario Forecast'!$E$20:$E$1181,'Incremental Network SummerFcast'!$A131,'Customer Scenario Forecast'!$H$20:$H$1181,'Incremental Network SummerFcast'!$H$1)+C133))</f>
        <v>0</v>
      </c>
      <c r="D135" s="196">
        <f ca="1">IF($H$1="",
1*(
SUMIFS('Customer Scenario Forecast'!D$23:D$1184,'Customer Scenario Forecast'!$C$20:$C$1181,'Incremental Network SummerFcast'!$A131)+
SUMIFS('Customer Scenario Forecast'!D$23:D$1184,'Customer Scenario Forecast'!$D$20:$D$1181,'Incremental Network SummerFcast'!$A131)+
SUMIFS('Customer Scenario Forecast'!D$23:D$1184,'Customer Scenario Forecast'!$E$20:$E$1181,'Incremental Network SummerFcast'!$A131)+D133),
1*(
SUMIFS('Customer Scenario Forecast'!D$23:D$1184,'Customer Scenario Forecast'!$C$20:$C$1181,'Incremental Network SummerFcast'!$A131,'Customer Scenario Forecast'!$H$20:$H$1181,'Incremental Network SummerFcast'!$H$1)+
SUMIFS('Customer Scenario Forecast'!D$23:D$1184,'Customer Scenario Forecast'!$D$20:$D$1181,'Incremental Network SummerFcast'!$A131,'Customer Scenario Forecast'!$H$20:$H$1181,'Incremental Network SummerFcast'!$H$1)+
SUMIFS('Customer Scenario Forecast'!D$23:D$1184,'Customer Scenario Forecast'!$E$20:$E$1181,'Incremental Network SummerFcast'!$A131,'Customer Scenario Forecast'!$H$20:$H$1181,'Incremental Network SummerFcast'!$H$1)+D133))</f>
        <v>0</v>
      </c>
      <c r="E135" s="196">
        <f ca="1">IF($H$1="",
1*(
SUMIFS('Customer Scenario Forecast'!E$23:E$1184,'Customer Scenario Forecast'!$C$20:$C$1181,'Incremental Network SummerFcast'!$A131)+
SUMIFS('Customer Scenario Forecast'!E$23:E$1184,'Customer Scenario Forecast'!$D$20:$D$1181,'Incremental Network SummerFcast'!$A131)+
SUMIFS('Customer Scenario Forecast'!E$23:E$1184,'Customer Scenario Forecast'!$E$20:$E$1181,'Incremental Network SummerFcast'!$A131)+E133),
1*(
SUMIFS('Customer Scenario Forecast'!E$23:E$1184,'Customer Scenario Forecast'!$C$20:$C$1181,'Incremental Network SummerFcast'!$A131,'Customer Scenario Forecast'!$H$20:$H$1181,'Incremental Network SummerFcast'!$H$1)+
SUMIFS('Customer Scenario Forecast'!E$23:E$1184,'Customer Scenario Forecast'!$D$20:$D$1181,'Incremental Network SummerFcast'!$A131,'Customer Scenario Forecast'!$H$20:$H$1181,'Incremental Network SummerFcast'!$H$1)+
SUMIFS('Customer Scenario Forecast'!E$23:E$1184,'Customer Scenario Forecast'!$E$20:$E$1181,'Incremental Network SummerFcast'!$A131,'Customer Scenario Forecast'!$H$20:$H$1181,'Incremental Network SummerFcast'!$H$1)+E133))</f>
        <v>0</v>
      </c>
      <c r="F135" s="196">
        <f ca="1">IF($H$1="",
1*(
SUMIFS('Customer Scenario Forecast'!F$23:F$1184,'Customer Scenario Forecast'!$C$20:$C$1181,'Incremental Network SummerFcast'!$A131)+
SUMIFS('Customer Scenario Forecast'!F$23:F$1184,'Customer Scenario Forecast'!$D$20:$D$1181,'Incremental Network SummerFcast'!$A131)+
SUMIFS('Customer Scenario Forecast'!F$23:F$1184,'Customer Scenario Forecast'!$E$20:$E$1181,'Incremental Network SummerFcast'!$A131)+F133),
1*(
SUMIFS('Customer Scenario Forecast'!F$23:F$1184,'Customer Scenario Forecast'!$C$20:$C$1181,'Incremental Network SummerFcast'!$A131,'Customer Scenario Forecast'!$H$20:$H$1181,'Incremental Network SummerFcast'!$H$1)+
SUMIFS('Customer Scenario Forecast'!F$23:F$1184,'Customer Scenario Forecast'!$D$20:$D$1181,'Incremental Network SummerFcast'!$A131,'Customer Scenario Forecast'!$H$20:$H$1181,'Incremental Network SummerFcast'!$H$1)+
SUMIFS('Customer Scenario Forecast'!F$23:F$1184,'Customer Scenario Forecast'!$E$20:$E$1181,'Incremental Network SummerFcast'!$A131,'Customer Scenario Forecast'!$H$20:$H$1181,'Incremental Network SummerFcast'!$H$1)+F133))</f>
        <v>0</v>
      </c>
      <c r="G135" s="196">
        <f ca="1">IF($H$1="",
1*(
SUMIFS('Customer Scenario Forecast'!G$23:G$1184,'Customer Scenario Forecast'!$C$20:$C$1181,'Incremental Network SummerFcast'!$A131)+
SUMIFS('Customer Scenario Forecast'!G$23:G$1184,'Customer Scenario Forecast'!$D$20:$D$1181,'Incremental Network SummerFcast'!$A131)+
SUMIFS('Customer Scenario Forecast'!G$23:G$1184,'Customer Scenario Forecast'!$E$20:$E$1181,'Incremental Network SummerFcast'!$A131)+G133),
1*(
SUMIFS('Customer Scenario Forecast'!G$23:G$1184,'Customer Scenario Forecast'!$C$20:$C$1181,'Incremental Network SummerFcast'!$A131,'Customer Scenario Forecast'!$H$20:$H$1181,'Incremental Network SummerFcast'!$H$1)+
SUMIFS('Customer Scenario Forecast'!G$23:G$1184,'Customer Scenario Forecast'!$D$20:$D$1181,'Incremental Network SummerFcast'!$A131,'Customer Scenario Forecast'!$H$20:$H$1181,'Incremental Network SummerFcast'!$H$1)+
SUMIFS('Customer Scenario Forecast'!G$23:G$1184,'Customer Scenario Forecast'!$E$20:$E$1181,'Incremental Network SummerFcast'!$A131,'Customer Scenario Forecast'!$H$20:$H$1181,'Incremental Network SummerFcast'!$H$1)+G133))</f>
        <v>0</v>
      </c>
      <c r="H135" s="196">
        <f ca="1">IF($H$1="",
1*(
SUMIFS('Customer Scenario Forecast'!H$23:H$1184,'Customer Scenario Forecast'!$C$20:$C$1181,'Incremental Network SummerFcast'!$A131)+
SUMIFS('Customer Scenario Forecast'!H$23:H$1184,'Customer Scenario Forecast'!$D$20:$D$1181,'Incremental Network SummerFcast'!$A131)+
SUMIFS('Customer Scenario Forecast'!H$23:H$1184,'Customer Scenario Forecast'!$E$20:$E$1181,'Incremental Network SummerFcast'!$A131)+H133),
1*(
SUMIFS('Customer Scenario Forecast'!H$23:H$1184,'Customer Scenario Forecast'!$C$20:$C$1181,'Incremental Network SummerFcast'!$A131,'Customer Scenario Forecast'!$H$20:$H$1181,'Incremental Network SummerFcast'!$H$1)+
SUMIFS('Customer Scenario Forecast'!H$23:H$1184,'Customer Scenario Forecast'!$D$20:$D$1181,'Incremental Network SummerFcast'!$A131,'Customer Scenario Forecast'!$H$20:$H$1181,'Incremental Network SummerFcast'!$H$1)+
SUMIFS('Customer Scenario Forecast'!H$23:H$1184,'Customer Scenario Forecast'!$E$20:$E$1181,'Incremental Network SummerFcast'!$A131,'Customer Scenario Forecast'!$H$20:$H$1181,'Incremental Network SummerFcast'!$H$1)+H133))</f>
        <v>0</v>
      </c>
      <c r="I135" s="196">
        <f ca="1">IF($H$1="",
1*(
SUMIFS('Customer Scenario Forecast'!I$23:I$1184,'Customer Scenario Forecast'!$C$20:$C$1181,'Incremental Network SummerFcast'!$A131)+
SUMIFS('Customer Scenario Forecast'!I$23:I$1184,'Customer Scenario Forecast'!$D$20:$D$1181,'Incremental Network SummerFcast'!$A131)+
SUMIFS('Customer Scenario Forecast'!I$23:I$1184,'Customer Scenario Forecast'!$E$20:$E$1181,'Incremental Network SummerFcast'!$A131)+I133),
1*(
SUMIFS('Customer Scenario Forecast'!I$23:I$1184,'Customer Scenario Forecast'!$C$20:$C$1181,'Incremental Network SummerFcast'!$A131,'Customer Scenario Forecast'!$H$20:$H$1181,'Incremental Network SummerFcast'!$H$1)+
SUMIFS('Customer Scenario Forecast'!I$23:I$1184,'Customer Scenario Forecast'!$D$20:$D$1181,'Incremental Network SummerFcast'!$A131,'Customer Scenario Forecast'!$H$20:$H$1181,'Incremental Network SummerFcast'!$H$1)+
SUMIFS('Customer Scenario Forecast'!I$23:I$1184,'Customer Scenario Forecast'!$E$20:$E$1181,'Incremental Network SummerFcast'!$A131,'Customer Scenario Forecast'!$H$20:$H$1181,'Incremental Network SummerFcast'!$H$1)+I133))</f>
        <v>0</v>
      </c>
      <c r="J135" s="196">
        <f ca="1">IF($H$1="",
1*(
SUMIFS('Customer Scenario Forecast'!J$23:J$1184,'Customer Scenario Forecast'!$C$20:$C$1181,'Incremental Network SummerFcast'!$A131)+
SUMIFS('Customer Scenario Forecast'!J$23:J$1184,'Customer Scenario Forecast'!$D$20:$D$1181,'Incremental Network SummerFcast'!$A131)+
SUMIFS('Customer Scenario Forecast'!J$23:J$1184,'Customer Scenario Forecast'!$E$20:$E$1181,'Incremental Network SummerFcast'!$A131)+J133),
1*(
SUMIFS('Customer Scenario Forecast'!J$23:J$1184,'Customer Scenario Forecast'!$C$20:$C$1181,'Incremental Network SummerFcast'!$A131,'Customer Scenario Forecast'!$H$20:$H$1181,'Incremental Network SummerFcast'!$H$1)+
SUMIFS('Customer Scenario Forecast'!J$23:J$1184,'Customer Scenario Forecast'!$D$20:$D$1181,'Incremental Network SummerFcast'!$A131,'Customer Scenario Forecast'!$H$20:$H$1181,'Incremental Network SummerFcast'!$H$1)+
SUMIFS('Customer Scenario Forecast'!J$23:J$1184,'Customer Scenario Forecast'!$E$20:$E$1181,'Incremental Network SummerFcast'!$A131,'Customer Scenario Forecast'!$H$20:$H$1181,'Incremental Network SummerFcast'!$H$1)+J133))</f>
        <v>0</v>
      </c>
      <c r="K135" s="196">
        <f ca="1">IF($H$1="",
1*(
SUMIFS('Customer Scenario Forecast'!K$23:K$1184,'Customer Scenario Forecast'!$C$20:$C$1181,'Incremental Network SummerFcast'!$A131)+
SUMIFS('Customer Scenario Forecast'!K$23:K$1184,'Customer Scenario Forecast'!$D$20:$D$1181,'Incremental Network SummerFcast'!$A131)+
SUMIFS('Customer Scenario Forecast'!K$23:K$1184,'Customer Scenario Forecast'!$E$20:$E$1181,'Incremental Network SummerFcast'!$A131)+K133),
1*(
SUMIFS('Customer Scenario Forecast'!K$23:K$1184,'Customer Scenario Forecast'!$C$20:$C$1181,'Incremental Network SummerFcast'!$A131,'Customer Scenario Forecast'!$H$20:$H$1181,'Incremental Network SummerFcast'!$H$1)+
SUMIFS('Customer Scenario Forecast'!K$23:K$1184,'Customer Scenario Forecast'!$D$20:$D$1181,'Incremental Network SummerFcast'!$A131,'Customer Scenario Forecast'!$H$20:$H$1181,'Incremental Network SummerFcast'!$H$1)+
SUMIFS('Customer Scenario Forecast'!K$23:K$1184,'Customer Scenario Forecast'!$E$20:$E$1181,'Incremental Network SummerFcast'!$A131,'Customer Scenario Forecast'!$H$20:$H$1181,'Incremental Network SummerFcast'!$H$1)+K133))</f>
        <v>0</v>
      </c>
      <c r="L135" s="196">
        <f ca="1">IF($H$1="",
1*(
SUMIFS('Customer Scenario Forecast'!L$23:L$1184,'Customer Scenario Forecast'!$C$20:$C$1181,'Incremental Network SummerFcast'!$A131)+
SUMIFS('Customer Scenario Forecast'!L$23:L$1184,'Customer Scenario Forecast'!$D$20:$D$1181,'Incremental Network SummerFcast'!$A131)+
SUMIFS('Customer Scenario Forecast'!L$23:L$1184,'Customer Scenario Forecast'!$E$20:$E$1181,'Incremental Network SummerFcast'!$A131)+L133),
1*(
SUMIFS('Customer Scenario Forecast'!L$23:L$1184,'Customer Scenario Forecast'!$C$20:$C$1181,'Incremental Network SummerFcast'!$A131,'Customer Scenario Forecast'!$H$20:$H$1181,'Incremental Network SummerFcast'!$H$1)+
SUMIFS('Customer Scenario Forecast'!L$23:L$1184,'Customer Scenario Forecast'!$D$20:$D$1181,'Incremental Network SummerFcast'!$A131,'Customer Scenario Forecast'!$H$20:$H$1181,'Incremental Network SummerFcast'!$H$1)+
SUMIFS('Customer Scenario Forecast'!L$23:L$1184,'Customer Scenario Forecast'!$E$20:$E$1181,'Incremental Network SummerFcast'!$A131,'Customer Scenario Forecast'!$H$20:$H$1181,'Incremental Network SummerFcast'!$H$1)+L133))</f>
        <v>0</v>
      </c>
    </row>
    <row r="136" spans="1:13" ht="15" thickBot="1">
      <c r="A136" s="195" t="s">
        <v>108</v>
      </c>
      <c r="B136" s="196">
        <f ca="1">IF($H$1="",
1*(
SUMIFS('Customer Scenario Forecast'!B$24:B$1185,'Customer Scenario Forecast'!$C$20:$C$1181,'Incremental Network SummerFcast'!$A131)+
SUMIFS('Customer Scenario Forecast'!B$24:B$1185,'Customer Scenario Forecast'!$D$20:$D$1181,'Incremental Network SummerFcast'!$A131)+
SUMIFS('Customer Scenario Forecast'!B$24:B$1185,'Customer Scenario Forecast'!$E$20:$E$1181,'Incremental Network SummerFcast'!$A131)+B133),
1*(
SUMIFS('Customer Scenario Forecast'!B$24:B$1185,'Customer Scenario Forecast'!$C$20:$C$1181,'Incremental Network SummerFcast'!$A131,'Customer Scenario Forecast'!$H$20:$H$1181,'Incremental Network SummerFcast'!$H$1)+
SUMIFS('Customer Scenario Forecast'!B$24:B$1185,'Customer Scenario Forecast'!$D$20:$D$1181,'Incremental Network SummerFcast'!$A131,'Customer Scenario Forecast'!$H$20:$H$1181,'Incremental Network SummerFcast'!$H$1)+
SUMIFS('Customer Scenario Forecast'!B$24:B$1185,'Customer Scenario Forecast'!$E$20:$E$1181,'Incremental Network SummerFcast'!$A131,'Customer Scenario Forecast'!$H$20:$H$1181,'Incremental Network SummerFcast'!$H$1)+B133))</f>
        <v>0</v>
      </c>
      <c r="C136" s="196">
        <f ca="1">IF($H$1="",
1*(
SUMIFS('Customer Scenario Forecast'!C$24:C$1185,'Customer Scenario Forecast'!$C$20:$C$1181,'Incremental Network SummerFcast'!$A131)+
SUMIFS('Customer Scenario Forecast'!C$24:C$1185,'Customer Scenario Forecast'!$D$20:$D$1181,'Incremental Network SummerFcast'!$A131)+
SUMIFS('Customer Scenario Forecast'!C$24:C$1185,'Customer Scenario Forecast'!$E$20:$E$1181,'Incremental Network SummerFcast'!$A131)+C133),
1*(
SUMIFS('Customer Scenario Forecast'!C$24:C$1185,'Customer Scenario Forecast'!$C$20:$C$1181,'Incremental Network SummerFcast'!$A131,'Customer Scenario Forecast'!$H$20:$H$1181,'Incremental Network SummerFcast'!$H$1)+
SUMIFS('Customer Scenario Forecast'!C$24:C$1185,'Customer Scenario Forecast'!$D$20:$D$1181,'Incremental Network SummerFcast'!$A131,'Customer Scenario Forecast'!$H$20:$H$1181,'Incremental Network SummerFcast'!$H$1)+
SUMIFS('Customer Scenario Forecast'!C$24:C$1185,'Customer Scenario Forecast'!$E$20:$E$1181,'Incremental Network SummerFcast'!$A131,'Customer Scenario Forecast'!$H$20:$H$1181,'Incremental Network SummerFcast'!$H$1)+C133))</f>
        <v>0</v>
      </c>
      <c r="D136" s="196">
        <f ca="1">IF($H$1="",
1*(
SUMIFS('Customer Scenario Forecast'!D$24:D$1185,'Customer Scenario Forecast'!$C$20:$C$1181,'Incremental Network SummerFcast'!$A131)+
SUMIFS('Customer Scenario Forecast'!D$24:D$1185,'Customer Scenario Forecast'!$D$20:$D$1181,'Incremental Network SummerFcast'!$A131)+
SUMIFS('Customer Scenario Forecast'!D$24:D$1185,'Customer Scenario Forecast'!$E$20:$E$1181,'Incremental Network SummerFcast'!$A131)+D133),
1*(
SUMIFS('Customer Scenario Forecast'!D$24:D$1185,'Customer Scenario Forecast'!$C$20:$C$1181,'Incremental Network SummerFcast'!$A131,'Customer Scenario Forecast'!$H$20:$H$1181,'Incremental Network SummerFcast'!$H$1)+
SUMIFS('Customer Scenario Forecast'!D$24:D$1185,'Customer Scenario Forecast'!$D$20:$D$1181,'Incremental Network SummerFcast'!$A131,'Customer Scenario Forecast'!$H$20:$H$1181,'Incremental Network SummerFcast'!$H$1)+
SUMIFS('Customer Scenario Forecast'!D$24:D$1185,'Customer Scenario Forecast'!$E$20:$E$1181,'Incremental Network SummerFcast'!$A131,'Customer Scenario Forecast'!$H$20:$H$1181,'Incremental Network SummerFcast'!$H$1)+D133))</f>
        <v>0</v>
      </c>
      <c r="E136" s="196">
        <f ca="1">IF($H$1="",
1*(
SUMIFS('Customer Scenario Forecast'!E$24:E$1185,'Customer Scenario Forecast'!$C$20:$C$1181,'Incremental Network SummerFcast'!$A131)+
SUMIFS('Customer Scenario Forecast'!E$24:E$1185,'Customer Scenario Forecast'!$D$20:$D$1181,'Incremental Network SummerFcast'!$A131)+
SUMIFS('Customer Scenario Forecast'!E$24:E$1185,'Customer Scenario Forecast'!$E$20:$E$1181,'Incremental Network SummerFcast'!$A131)+E133),
1*(
SUMIFS('Customer Scenario Forecast'!E$24:E$1185,'Customer Scenario Forecast'!$C$20:$C$1181,'Incremental Network SummerFcast'!$A131,'Customer Scenario Forecast'!$H$20:$H$1181,'Incremental Network SummerFcast'!$H$1)+
SUMIFS('Customer Scenario Forecast'!E$24:E$1185,'Customer Scenario Forecast'!$D$20:$D$1181,'Incremental Network SummerFcast'!$A131,'Customer Scenario Forecast'!$H$20:$H$1181,'Incremental Network SummerFcast'!$H$1)+
SUMIFS('Customer Scenario Forecast'!E$24:E$1185,'Customer Scenario Forecast'!$E$20:$E$1181,'Incremental Network SummerFcast'!$A131,'Customer Scenario Forecast'!$H$20:$H$1181,'Incremental Network SummerFcast'!$H$1)+E133))</f>
        <v>0</v>
      </c>
      <c r="F136" s="196">
        <f ca="1">IF($H$1="",
1*(
SUMIFS('Customer Scenario Forecast'!F$24:F$1185,'Customer Scenario Forecast'!$C$20:$C$1181,'Incremental Network SummerFcast'!$A131)+
SUMIFS('Customer Scenario Forecast'!F$24:F$1185,'Customer Scenario Forecast'!$D$20:$D$1181,'Incremental Network SummerFcast'!$A131)+
SUMIFS('Customer Scenario Forecast'!F$24:F$1185,'Customer Scenario Forecast'!$E$20:$E$1181,'Incremental Network SummerFcast'!$A131)+F133),
1*(
SUMIFS('Customer Scenario Forecast'!F$24:F$1185,'Customer Scenario Forecast'!$C$20:$C$1181,'Incremental Network SummerFcast'!$A131,'Customer Scenario Forecast'!$H$20:$H$1181,'Incremental Network SummerFcast'!$H$1)+
SUMIFS('Customer Scenario Forecast'!F$24:F$1185,'Customer Scenario Forecast'!$D$20:$D$1181,'Incremental Network SummerFcast'!$A131,'Customer Scenario Forecast'!$H$20:$H$1181,'Incremental Network SummerFcast'!$H$1)+
SUMIFS('Customer Scenario Forecast'!F$24:F$1185,'Customer Scenario Forecast'!$E$20:$E$1181,'Incremental Network SummerFcast'!$A131,'Customer Scenario Forecast'!$H$20:$H$1181,'Incremental Network SummerFcast'!$H$1)+F133))</f>
        <v>0</v>
      </c>
      <c r="G136" s="196">
        <f ca="1">IF($H$1="",
1*(
SUMIFS('Customer Scenario Forecast'!G$24:G$1185,'Customer Scenario Forecast'!$C$20:$C$1181,'Incremental Network SummerFcast'!$A131)+
SUMIFS('Customer Scenario Forecast'!G$24:G$1185,'Customer Scenario Forecast'!$D$20:$D$1181,'Incremental Network SummerFcast'!$A131)+
SUMIFS('Customer Scenario Forecast'!G$24:G$1185,'Customer Scenario Forecast'!$E$20:$E$1181,'Incremental Network SummerFcast'!$A131)+G133),
1*(
SUMIFS('Customer Scenario Forecast'!G$24:G$1185,'Customer Scenario Forecast'!$C$20:$C$1181,'Incremental Network SummerFcast'!$A131,'Customer Scenario Forecast'!$H$20:$H$1181,'Incremental Network SummerFcast'!$H$1)+
SUMIFS('Customer Scenario Forecast'!G$24:G$1185,'Customer Scenario Forecast'!$D$20:$D$1181,'Incremental Network SummerFcast'!$A131,'Customer Scenario Forecast'!$H$20:$H$1181,'Incremental Network SummerFcast'!$H$1)+
SUMIFS('Customer Scenario Forecast'!G$24:G$1185,'Customer Scenario Forecast'!$E$20:$E$1181,'Incremental Network SummerFcast'!$A131,'Customer Scenario Forecast'!$H$20:$H$1181,'Incremental Network SummerFcast'!$H$1)+G133))</f>
        <v>0</v>
      </c>
      <c r="H136" s="196">
        <f ca="1">IF($H$1="",
1*(
SUMIFS('Customer Scenario Forecast'!H$24:H$1185,'Customer Scenario Forecast'!$C$20:$C$1181,'Incremental Network SummerFcast'!$A131)+
SUMIFS('Customer Scenario Forecast'!H$24:H$1185,'Customer Scenario Forecast'!$D$20:$D$1181,'Incremental Network SummerFcast'!$A131)+
SUMIFS('Customer Scenario Forecast'!H$24:H$1185,'Customer Scenario Forecast'!$E$20:$E$1181,'Incremental Network SummerFcast'!$A131)+H133),
1*(
SUMIFS('Customer Scenario Forecast'!H$24:H$1185,'Customer Scenario Forecast'!$C$20:$C$1181,'Incremental Network SummerFcast'!$A131,'Customer Scenario Forecast'!$H$20:$H$1181,'Incremental Network SummerFcast'!$H$1)+
SUMIFS('Customer Scenario Forecast'!H$24:H$1185,'Customer Scenario Forecast'!$D$20:$D$1181,'Incremental Network SummerFcast'!$A131,'Customer Scenario Forecast'!$H$20:$H$1181,'Incremental Network SummerFcast'!$H$1)+
SUMIFS('Customer Scenario Forecast'!H$24:H$1185,'Customer Scenario Forecast'!$E$20:$E$1181,'Incremental Network SummerFcast'!$A131,'Customer Scenario Forecast'!$H$20:$H$1181,'Incremental Network SummerFcast'!$H$1)+H133))</f>
        <v>0</v>
      </c>
      <c r="I136" s="196">
        <f ca="1">IF($H$1="",
1*(
SUMIFS('Customer Scenario Forecast'!I$24:I$1185,'Customer Scenario Forecast'!$C$20:$C$1181,'Incremental Network SummerFcast'!$A131)+
SUMIFS('Customer Scenario Forecast'!I$24:I$1185,'Customer Scenario Forecast'!$D$20:$D$1181,'Incremental Network SummerFcast'!$A131)+
SUMIFS('Customer Scenario Forecast'!I$24:I$1185,'Customer Scenario Forecast'!$E$20:$E$1181,'Incremental Network SummerFcast'!$A131)+I133),
1*(
SUMIFS('Customer Scenario Forecast'!I$24:I$1185,'Customer Scenario Forecast'!$C$20:$C$1181,'Incremental Network SummerFcast'!$A131,'Customer Scenario Forecast'!$H$20:$H$1181,'Incremental Network SummerFcast'!$H$1)+
SUMIFS('Customer Scenario Forecast'!I$24:I$1185,'Customer Scenario Forecast'!$D$20:$D$1181,'Incremental Network SummerFcast'!$A131,'Customer Scenario Forecast'!$H$20:$H$1181,'Incremental Network SummerFcast'!$H$1)+
SUMIFS('Customer Scenario Forecast'!I$24:I$1185,'Customer Scenario Forecast'!$E$20:$E$1181,'Incremental Network SummerFcast'!$A131,'Customer Scenario Forecast'!$H$20:$H$1181,'Incremental Network SummerFcast'!$H$1)+I133))</f>
        <v>0</v>
      </c>
      <c r="J136" s="196">
        <f ca="1">IF($H$1="",
1*(
SUMIFS('Customer Scenario Forecast'!J$24:J$1185,'Customer Scenario Forecast'!$C$20:$C$1181,'Incremental Network SummerFcast'!$A131)+
SUMIFS('Customer Scenario Forecast'!J$24:J$1185,'Customer Scenario Forecast'!$D$20:$D$1181,'Incremental Network SummerFcast'!$A131)+
SUMIFS('Customer Scenario Forecast'!J$24:J$1185,'Customer Scenario Forecast'!$E$20:$E$1181,'Incremental Network SummerFcast'!$A131)+J133),
1*(
SUMIFS('Customer Scenario Forecast'!J$24:J$1185,'Customer Scenario Forecast'!$C$20:$C$1181,'Incremental Network SummerFcast'!$A131,'Customer Scenario Forecast'!$H$20:$H$1181,'Incremental Network SummerFcast'!$H$1)+
SUMIFS('Customer Scenario Forecast'!J$24:J$1185,'Customer Scenario Forecast'!$D$20:$D$1181,'Incremental Network SummerFcast'!$A131,'Customer Scenario Forecast'!$H$20:$H$1181,'Incremental Network SummerFcast'!$H$1)+
SUMIFS('Customer Scenario Forecast'!J$24:J$1185,'Customer Scenario Forecast'!$E$20:$E$1181,'Incremental Network SummerFcast'!$A131,'Customer Scenario Forecast'!$H$20:$H$1181,'Incremental Network SummerFcast'!$H$1)+J133))</f>
        <v>0</v>
      </c>
      <c r="K136" s="196">
        <f ca="1">IF($H$1="",
1*(
SUMIFS('Customer Scenario Forecast'!K$24:K$1185,'Customer Scenario Forecast'!$C$20:$C$1181,'Incremental Network SummerFcast'!$A131)+
SUMIFS('Customer Scenario Forecast'!K$24:K$1185,'Customer Scenario Forecast'!$D$20:$D$1181,'Incremental Network SummerFcast'!$A131)+
SUMIFS('Customer Scenario Forecast'!K$24:K$1185,'Customer Scenario Forecast'!$E$20:$E$1181,'Incremental Network SummerFcast'!$A131)+K133),
1*(
SUMIFS('Customer Scenario Forecast'!K$24:K$1185,'Customer Scenario Forecast'!$C$20:$C$1181,'Incremental Network SummerFcast'!$A131,'Customer Scenario Forecast'!$H$20:$H$1181,'Incremental Network SummerFcast'!$H$1)+
SUMIFS('Customer Scenario Forecast'!K$24:K$1185,'Customer Scenario Forecast'!$D$20:$D$1181,'Incremental Network SummerFcast'!$A131,'Customer Scenario Forecast'!$H$20:$H$1181,'Incremental Network SummerFcast'!$H$1)+
SUMIFS('Customer Scenario Forecast'!K$24:K$1185,'Customer Scenario Forecast'!$E$20:$E$1181,'Incremental Network SummerFcast'!$A131,'Customer Scenario Forecast'!$H$20:$H$1181,'Incremental Network SummerFcast'!$H$1)+K133))</f>
        <v>0</v>
      </c>
      <c r="L136" s="196">
        <f ca="1">IF($H$1="",
1*(
SUMIFS('Customer Scenario Forecast'!L$24:L$1185,'Customer Scenario Forecast'!$C$20:$C$1181,'Incremental Network SummerFcast'!$A131)+
SUMIFS('Customer Scenario Forecast'!L$24:L$1185,'Customer Scenario Forecast'!$D$20:$D$1181,'Incremental Network SummerFcast'!$A131)+
SUMIFS('Customer Scenario Forecast'!L$24:L$1185,'Customer Scenario Forecast'!$E$20:$E$1181,'Incremental Network SummerFcast'!$A131)+L133),
1*(
SUMIFS('Customer Scenario Forecast'!L$24:L$1185,'Customer Scenario Forecast'!$C$20:$C$1181,'Incremental Network SummerFcast'!$A131,'Customer Scenario Forecast'!$H$20:$H$1181,'Incremental Network SummerFcast'!$H$1)+
SUMIFS('Customer Scenario Forecast'!L$24:L$1185,'Customer Scenario Forecast'!$D$20:$D$1181,'Incremental Network SummerFcast'!$A131,'Customer Scenario Forecast'!$H$20:$H$1181,'Incremental Network SummerFcast'!$H$1)+
SUMIFS('Customer Scenario Forecast'!L$24:L$1185,'Customer Scenario Forecast'!$E$20:$E$1181,'Incremental Network SummerFcast'!$A131,'Customer Scenario Forecast'!$H$20:$H$1181,'Incremental Network SummerFcast'!$H$1)+L133))</f>
        <v>0</v>
      </c>
    </row>
    <row r="137" spans="1:13" ht="15" thickBot="1">
      <c r="A137" s="197" t="s">
        <v>109</v>
      </c>
      <c r="B137" s="198">
        <f ca="1">IF($H$1="",
1*(
SUMIFS('Customer Scenario Forecast'!B$25:B$1186,'Customer Scenario Forecast'!$C$20:$C$1181,'Incremental Network SummerFcast'!$A131)+
SUMIFS('Customer Scenario Forecast'!B$25:B$1186,'Customer Scenario Forecast'!$D$20:$D$1181,'Incremental Network SummerFcast'!$A131)+
SUMIFS('Customer Scenario Forecast'!B$25:B$1186,'Customer Scenario Forecast'!$E$20:$E$1181,'Incremental Network SummerFcast'!$A131)+B133),
1*(
SUMIFS('Customer Scenario Forecast'!B$25:B$1186,'Customer Scenario Forecast'!$C$20:$C$1181,'Incremental Network SummerFcast'!$A131,'Customer Scenario Forecast'!$H$20:$H$1181,'Incremental Network SummerFcast'!$H$1)+
SUMIFS('Customer Scenario Forecast'!B$25:B$1186,'Customer Scenario Forecast'!$D$20:$D$1181,'Incremental Network SummerFcast'!$A131,'Customer Scenario Forecast'!$H$20:$H$1181,'Incremental Network SummerFcast'!$H$1)+
SUMIFS('Customer Scenario Forecast'!B$25:B$1186,'Customer Scenario Forecast'!$E$20:$E$1181,'Incremental Network SummerFcast'!$A131,'Customer Scenario Forecast'!$H$20:$H$1181,'Incremental Network SummerFcast'!$H$1)+B133))</f>
        <v>0</v>
      </c>
      <c r="C137" s="198">
        <f ca="1">IF($H$1="",
1*(
SUMIFS('Customer Scenario Forecast'!C$25:C$1186,'Customer Scenario Forecast'!$C$20:$C$1181,'Incremental Network SummerFcast'!$A131)+
SUMIFS('Customer Scenario Forecast'!C$25:C$1186,'Customer Scenario Forecast'!$D$20:$D$1181,'Incremental Network SummerFcast'!$A131)+
SUMIFS('Customer Scenario Forecast'!C$25:C$1186,'Customer Scenario Forecast'!$E$20:$E$1181,'Incremental Network SummerFcast'!$A131)+C133),
1*(
SUMIFS('Customer Scenario Forecast'!C$25:C$1186,'Customer Scenario Forecast'!$C$20:$C$1181,'Incremental Network SummerFcast'!$A131,'Customer Scenario Forecast'!$H$20:$H$1181,'Incremental Network SummerFcast'!$H$1)+
SUMIFS('Customer Scenario Forecast'!C$25:C$1186,'Customer Scenario Forecast'!$D$20:$D$1181,'Incremental Network SummerFcast'!$A131,'Customer Scenario Forecast'!$H$20:$H$1181,'Incremental Network SummerFcast'!$H$1)+
SUMIFS('Customer Scenario Forecast'!C$25:C$1186,'Customer Scenario Forecast'!$E$20:$E$1181,'Incremental Network SummerFcast'!$A131,'Customer Scenario Forecast'!$H$20:$H$1181,'Incremental Network SummerFcast'!$H$1)+C133))</f>
        <v>0</v>
      </c>
      <c r="D137" s="198">
        <f ca="1">IF($H$1="",
1*(
SUMIFS('Customer Scenario Forecast'!D$25:D$1186,'Customer Scenario Forecast'!$C$20:$C$1181,'Incremental Network SummerFcast'!$A131)+
SUMIFS('Customer Scenario Forecast'!D$25:D$1186,'Customer Scenario Forecast'!$D$20:$D$1181,'Incremental Network SummerFcast'!$A131)+
SUMIFS('Customer Scenario Forecast'!D$25:D$1186,'Customer Scenario Forecast'!$E$20:$E$1181,'Incremental Network SummerFcast'!$A131)+D133),
1*(
SUMIFS('Customer Scenario Forecast'!D$25:D$1186,'Customer Scenario Forecast'!$C$20:$C$1181,'Incremental Network SummerFcast'!$A131,'Customer Scenario Forecast'!$H$20:$H$1181,'Incremental Network SummerFcast'!$H$1)+
SUMIFS('Customer Scenario Forecast'!D$25:D$1186,'Customer Scenario Forecast'!$D$20:$D$1181,'Incremental Network SummerFcast'!$A131,'Customer Scenario Forecast'!$H$20:$H$1181,'Incremental Network SummerFcast'!$H$1)+
SUMIFS('Customer Scenario Forecast'!D$25:D$1186,'Customer Scenario Forecast'!$E$20:$E$1181,'Incremental Network SummerFcast'!$A131,'Customer Scenario Forecast'!$H$20:$H$1181,'Incremental Network SummerFcast'!$H$1)+D133))</f>
        <v>0</v>
      </c>
      <c r="E137" s="198">
        <f ca="1">IF($H$1="",
1*(
SUMIFS('Customer Scenario Forecast'!E$25:E$1186,'Customer Scenario Forecast'!$C$20:$C$1181,'Incremental Network SummerFcast'!$A131)+
SUMIFS('Customer Scenario Forecast'!E$25:E$1186,'Customer Scenario Forecast'!$D$20:$D$1181,'Incremental Network SummerFcast'!$A131)+
SUMIFS('Customer Scenario Forecast'!E$25:E$1186,'Customer Scenario Forecast'!$E$20:$E$1181,'Incremental Network SummerFcast'!$A131)+E133),
1*(
SUMIFS('Customer Scenario Forecast'!E$25:E$1186,'Customer Scenario Forecast'!$C$20:$C$1181,'Incremental Network SummerFcast'!$A131,'Customer Scenario Forecast'!$H$20:$H$1181,'Incremental Network SummerFcast'!$H$1)+
SUMIFS('Customer Scenario Forecast'!E$25:E$1186,'Customer Scenario Forecast'!$D$20:$D$1181,'Incremental Network SummerFcast'!$A131,'Customer Scenario Forecast'!$H$20:$H$1181,'Incremental Network SummerFcast'!$H$1)+
SUMIFS('Customer Scenario Forecast'!E$25:E$1186,'Customer Scenario Forecast'!$E$20:$E$1181,'Incremental Network SummerFcast'!$A131,'Customer Scenario Forecast'!$H$20:$H$1181,'Incremental Network SummerFcast'!$H$1)+E133))</f>
        <v>0</v>
      </c>
      <c r="F137" s="198">
        <f ca="1">IF($H$1="",
1*(
SUMIFS('Customer Scenario Forecast'!F$25:F$1186,'Customer Scenario Forecast'!$C$20:$C$1181,'Incremental Network SummerFcast'!$A131)+
SUMIFS('Customer Scenario Forecast'!F$25:F$1186,'Customer Scenario Forecast'!$D$20:$D$1181,'Incremental Network SummerFcast'!$A131)+
SUMIFS('Customer Scenario Forecast'!F$25:F$1186,'Customer Scenario Forecast'!$E$20:$E$1181,'Incremental Network SummerFcast'!$A131)+F133),
1*(
SUMIFS('Customer Scenario Forecast'!F$25:F$1186,'Customer Scenario Forecast'!$C$20:$C$1181,'Incremental Network SummerFcast'!$A131,'Customer Scenario Forecast'!$H$20:$H$1181,'Incremental Network SummerFcast'!$H$1)+
SUMIFS('Customer Scenario Forecast'!F$25:F$1186,'Customer Scenario Forecast'!$D$20:$D$1181,'Incremental Network SummerFcast'!$A131,'Customer Scenario Forecast'!$H$20:$H$1181,'Incremental Network SummerFcast'!$H$1)+
SUMIFS('Customer Scenario Forecast'!F$25:F$1186,'Customer Scenario Forecast'!$E$20:$E$1181,'Incremental Network SummerFcast'!$A131,'Customer Scenario Forecast'!$H$20:$H$1181,'Incremental Network SummerFcast'!$H$1)+F133))</f>
        <v>0</v>
      </c>
      <c r="G137" s="198">
        <f ca="1">IF($H$1="",
1*(
SUMIFS('Customer Scenario Forecast'!G$25:G$1186,'Customer Scenario Forecast'!$C$20:$C$1181,'Incremental Network SummerFcast'!$A131)+
SUMIFS('Customer Scenario Forecast'!G$25:G$1186,'Customer Scenario Forecast'!$D$20:$D$1181,'Incremental Network SummerFcast'!$A131)+
SUMIFS('Customer Scenario Forecast'!G$25:G$1186,'Customer Scenario Forecast'!$E$20:$E$1181,'Incremental Network SummerFcast'!$A131)+G133),
1*(
SUMIFS('Customer Scenario Forecast'!G$25:G$1186,'Customer Scenario Forecast'!$C$20:$C$1181,'Incremental Network SummerFcast'!$A131,'Customer Scenario Forecast'!$H$20:$H$1181,'Incremental Network SummerFcast'!$H$1)+
SUMIFS('Customer Scenario Forecast'!G$25:G$1186,'Customer Scenario Forecast'!$D$20:$D$1181,'Incremental Network SummerFcast'!$A131,'Customer Scenario Forecast'!$H$20:$H$1181,'Incremental Network SummerFcast'!$H$1)+
SUMIFS('Customer Scenario Forecast'!G$25:G$1186,'Customer Scenario Forecast'!$E$20:$E$1181,'Incremental Network SummerFcast'!$A131,'Customer Scenario Forecast'!$H$20:$H$1181,'Incremental Network SummerFcast'!$H$1)+G133))</f>
        <v>0</v>
      </c>
      <c r="H137" s="198">
        <f ca="1">IF($H$1="",
1*(
SUMIFS('Customer Scenario Forecast'!H$25:H$1186,'Customer Scenario Forecast'!$C$20:$C$1181,'Incremental Network SummerFcast'!$A131)+
SUMIFS('Customer Scenario Forecast'!H$25:H$1186,'Customer Scenario Forecast'!$D$20:$D$1181,'Incremental Network SummerFcast'!$A131)+
SUMIFS('Customer Scenario Forecast'!H$25:H$1186,'Customer Scenario Forecast'!$E$20:$E$1181,'Incremental Network SummerFcast'!$A131)+H133),
1*(
SUMIFS('Customer Scenario Forecast'!H$25:H$1186,'Customer Scenario Forecast'!$C$20:$C$1181,'Incremental Network SummerFcast'!$A131,'Customer Scenario Forecast'!$H$20:$H$1181,'Incremental Network SummerFcast'!$H$1)+
SUMIFS('Customer Scenario Forecast'!H$25:H$1186,'Customer Scenario Forecast'!$D$20:$D$1181,'Incremental Network SummerFcast'!$A131,'Customer Scenario Forecast'!$H$20:$H$1181,'Incremental Network SummerFcast'!$H$1)+
SUMIFS('Customer Scenario Forecast'!H$25:H$1186,'Customer Scenario Forecast'!$E$20:$E$1181,'Incremental Network SummerFcast'!$A131,'Customer Scenario Forecast'!$H$20:$H$1181,'Incremental Network SummerFcast'!$H$1)+H133))</f>
        <v>0</v>
      </c>
      <c r="I137" s="198">
        <f ca="1">IF($H$1="",
1*(
SUMIFS('Customer Scenario Forecast'!I$25:I$1186,'Customer Scenario Forecast'!$C$20:$C$1181,'Incremental Network SummerFcast'!$A131)+
SUMIFS('Customer Scenario Forecast'!I$25:I$1186,'Customer Scenario Forecast'!$D$20:$D$1181,'Incremental Network SummerFcast'!$A131)+
SUMIFS('Customer Scenario Forecast'!I$25:I$1186,'Customer Scenario Forecast'!$E$20:$E$1181,'Incremental Network SummerFcast'!$A131)+I133),
1*(
SUMIFS('Customer Scenario Forecast'!I$25:I$1186,'Customer Scenario Forecast'!$C$20:$C$1181,'Incremental Network SummerFcast'!$A131,'Customer Scenario Forecast'!$H$20:$H$1181,'Incremental Network SummerFcast'!$H$1)+
SUMIFS('Customer Scenario Forecast'!I$25:I$1186,'Customer Scenario Forecast'!$D$20:$D$1181,'Incremental Network SummerFcast'!$A131,'Customer Scenario Forecast'!$H$20:$H$1181,'Incremental Network SummerFcast'!$H$1)+
SUMIFS('Customer Scenario Forecast'!I$25:I$1186,'Customer Scenario Forecast'!$E$20:$E$1181,'Incremental Network SummerFcast'!$A131,'Customer Scenario Forecast'!$H$20:$H$1181,'Incremental Network SummerFcast'!$H$1)+I133))</f>
        <v>0</v>
      </c>
      <c r="J137" s="198">
        <f ca="1">IF($H$1="",
1*(
SUMIFS('Customer Scenario Forecast'!J$25:J$1186,'Customer Scenario Forecast'!$C$20:$C$1181,'Incremental Network SummerFcast'!$A131)+
SUMIFS('Customer Scenario Forecast'!J$25:J$1186,'Customer Scenario Forecast'!$D$20:$D$1181,'Incremental Network SummerFcast'!$A131)+
SUMIFS('Customer Scenario Forecast'!J$25:J$1186,'Customer Scenario Forecast'!$E$20:$E$1181,'Incremental Network SummerFcast'!$A131)+J133),
1*(
SUMIFS('Customer Scenario Forecast'!J$25:J$1186,'Customer Scenario Forecast'!$C$20:$C$1181,'Incremental Network SummerFcast'!$A131,'Customer Scenario Forecast'!$H$20:$H$1181,'Incremental Network SummerFcast'!$H$1)+
SUMIFS('Customer Scenario Forecast'!J$25:J$1186,'Customer Scenario Forecast'!$D$20:$D$1181,'Incremental Network SummerFcast'!$A131,'Customer Scenario Forecast'!$H$20:$H$1181,'Incremental Network SummerFcast'!$H$1)+
SUMIFS('Customer Scenario Forecast'!J$25:J$1186,'Customer Scenario Forecast'!$E$20:$E$1181,'Incremental Network SummerFcast'!$A131,'Customer Scenario Forecast'!$H$20:$H$1181,'Incremental Network SummerFcast'!$H$1)+J133))</f>
        <v>0</v>
      </c>
      <c r="K137" s="198">
        <f ca="1">IF($H$1="",
1*(
SUMIFS('Customer Scenario Forecast'!K$25:K$1186,'Customer Scenario Forecast'!$C$20:$C$1181,'Incremental Network SummerFcast'!$A131)+
SUMIFS('Customer Scenario Forecast'!K$25:K$1186,'Customer Scenario Forecast'!$D$20:$D$1181,'Incremental Network SummerFcast'!$A131)+
SUMIFS('Customer Scenario Forecast'!K$25:K$1186,'Customer Scenario Forecast'!$E$20:$E$1181,'Incremental Network SummerFcast'!$A131)+K133),
1*(
SUMIFS('Customer Scenario Forecast'!K$25:K$1186,'Customer Scenario Forecast'!$C$20:$C$1181,'Incremental Network SummerFcast'!$A131,'Customer Scenario Forecast'!$H$20:$H$1181,'Incremental Network SummerFcast'!$H$1)+
SUMIFS('Customer Scenario Forecast'!K$25:K$1186,'Customer Scenario Forecast'!$D$20:$D$1181,'Incremental Network SummerFcast'!$A131,'Customer Scenario Forecast'!$H$20:$H$1181,'Incremental Network SummerFcast'!$H$1)+
SUMIFS('Customer Scenario Forecast'!K$25:K$1186,'Customer Scenario Forecast'!$E$20:$E$1181,'Incremental Network SummerFcast'!$A131,'Customer Scenario Forecast'!$H$20:$H$1181,'Incremental Network SummerFcast'!$H$1)+K133))</f>
        <v>0</v>
      </c>
      <c r="L137" s="198">
        <f ca="1">IF($H$1="",
1*(
SUMIFS('Customer Scenario Forecast'!L$25:L$1186,'Customer Scenario Forecast'!$C$20:$C$1181,'Incremental Network SummerFcast'!$A131)+
SUMIFS('Customer Scenario Forecast'!L$25:L$1186,'Customer Scenario Forecast'!$D$20:$D$1181,'Incremental Network SummerFcast'!$A131)+
SUMIFS('Customer Scenario Forecast'!L$25:L$1186,'Customer Scenario Forecast'!$E$20:$E$1181,'Incremental Network SummerFcast'!$A131)+L133),
1*(
SUMIFS('Customer Scenario Forecast'!L$25:L$1186,'Customer Scenario Forecast'!$C$20:$C$1181,'Incremental Network SummerFcast'!$A131,'Customer Scenario Forecast'!$H$20:$H$1181,'Incremental Network SummerFcast'!$H$1)+
SUMIFS('Customer Scenario Forecast'!L$25:L$1186,'Customer Scenario Forecast'!$D$20:$D$1181,'Incremental Network SummerFcast'!$A131,'Customer Scenario Forecast'!$H$20:$H$1181,'Incremental Network SummerFcast'!$H$1)+
SUMIFS('Customer Scenario Forecast'!L$25:L$1186,'Customer Scenario Forecast'!$E$20:$E$1181,'Incremental Network SummerFcast'!$A131,'Customer Scenario Forecast'!$H$20:$H$1181,'Incremental Network SummerFcast'!$H$1)+L133))</f>
        <v>0</v>
      </c>
    </row>
    <row r="138" spans="1:13" ht="15.6" thickTop="1" thickBot="1">
      <c r="A138" s="197" t="s">
        <v>148</v>
      </c>
      <c r="B138" s="198">
        <f ca="1">'Incremental Network SummerFcast'!$B$245*B135+'Incremental Network SummerFcast'!$B$246*B136+'Incremental Network SummerFcast'!$B$247*B137</f>
        <v>0</v>
      </c>
      <c r="C138" s="198">
        <f ca="1">'Incremental Network SummerFcast'!$B$245*C135+'Incremental Network SummerFcast'!$B$246*C136+'Incremental Network SummerFcast'!$B$247*C137</f>
        <v>0</v>
      </c>
      <c r="D138" s="198">
        <f ca="1">'Incremental Network SummerFcast'!$B$245*D135+'Incremental Network SummerFcast'!$B$246*D136+'Incremental Network SummerFcast'!$B$247*D137</f>
        <v>0</v>
      </c>
      <c r="E138" s="198">
        <f ca="1">'Incremental Network SummerFcast'!$B$245*E135+'Incremental Network SummerFcast'!$B$246*E136+'Incremental Network SummerFcast'!$B$247*E137</f>
        <v>0</v>
      </c>
      <c r="F138" s="198">
        <f ca="1">'Incremental Network SummerFcast'!$B$245*F135+'Incremental Network SummerFcast'!$B$246*F136+'Incremental Network SummerFcast'!$B$247*F137</f>
        <v>0</v>
      </c>
      <c r="G138" s="198">
        <f ca="1">'Incremental Network SummerFcast'!$B$245*G135+'Incremental Network SummerFcast'!$B$246*G136+'Incremental Network SummerFcast'!$B$247*G137</f>
        <v>0</v>
      </c>
      <c r="H138" s="198">
        <f ca="1">'Incremental Network SummerFcast'!$B$245*H135+'Incremental Network SummerFcast'!$B$246*H136+'Incremental Network SummerFcast'!$B$247*H137</f>
        <v>0</v>
      </c>
      <c r="I138" s="198">
        <f ca="1">'Incremental Network SummerFcast'!$B$245*I135+'Incremental Network SummerFcast'!$B$246*I136+'Incremental Network SummerFcast'!$B$247*I137</f>
        <v>0</v>
      </c>
      <c r="J138" s="198">
        <f ca="1">'Incremental Network SummerFcast'!$B$245*J135+'Incremental Network SummerFcast'!$B$246*J136+'Incremental Network SummerFcast'!$B$247*J137</f>
        <v>0</v>
      </c>
      <c r="K138" s="198">
        <f ca="1">'Incremental Network SummerFcast'!$B$245*K135+'Incremental Network SummerFcast'!$B$246*K136+'Incremental Network SummerFcast'!$B$247*K137</f>
        <v>0</v>
      </c>
      <c r="L138" s="198">
        <f ca="1">'Incremental Network SummerFcast'!$B$245*L135+'Incremental Network SummerFcast'!$B$246*L136+'Incremental Network SummerFcast'!$B$247*L137</f>
        <v>0</v>
      </c>
    </row>
    <row r="139" spans="1:13" ht="15.6" thickTop="1" thickBot="1">
      <c r="A139" s="188" t="s">
        <v>128</v>
      </c>
      <c r="B139" s="216"/>
      <c r="C139" s="190"/>
      <c r="D139" s="190"/>
      <c r="E139" s="190"/>
      <c r="F139" s="190"/>
      <c r="G139" s="190"/>
      <c r="H139" s="190"/>
      <c r="I139" s="190"/>
      <c r="J139" s="190"/>
      <c r="K139" s="190"/>
      <c r="L139" s="190"/>
    </row>
    <row r="140" spans="1:13" ht="15" thickBot="1">
      <c r="A140" s="191" t="str">
        <f>A132</f>
        <v>Uptake Scenario</v>
      </c>
      <c r="B140" s="191">
        <f t="shared" ref="B140:L140" si="17">B132</f>
        <v>2023</v>
      </c>
      <c r="C140" s="191">
        <f t="shared" si="17"/>
        <v>2024</v>
      </c>
      <c r="D140" s="191">
        <f t="shared" si="17"/>
        <v>2025</v>
      </c>
      <c r="E140" s="191">
        <f t="shared" si="17"/>
        <v>2026</v>
      </c>
      <c r="F140" s="191">
        <f t="shared" si="17"/>
        <v>2027</v>
      </c>
      <c r="G140" s="191">
        <f t="shared" si="17"/>
        <v>2028</v>
      </c>
      <c r="H140" s="191">
        <f t="shared" si="17"/>
        <v>2029</v>
      </c>
      <c r="I140" s="191">
        <f t="shared" si="17"/>
        <v>2030</v>
      </c>
      <c r="J140" s="191">
        <f t="shared" si="17"/>
        <v>2031</v>
      </c>
      <c r="K140" s="191">
        <f t="shared" si="17"/>
        <v>2032</v>
      </c>
      <c r="L140" s="191">
        <f t="shared" si="17"/>
        <v>2033</v>
      </c>
    </row>
    <row r="141" spans="1:13" ht="15.6" thickTop="1" thickBot="1">
      <c r="A141" s="193"/>
      <c r="B141" s="206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37"/>
    </row>
    <row r="142" spans="1:13" ht="15" thickBot="1">
      <c r="A142" s="193" t="s">
        <v>111</v>
      </c>
      <c r="B142" s="194">
        <f ca="1">IF($H$1="",
SUMIFS('Customer Scenario Forecast'!B$22:B$1183,'Customer Scenario Forecast'!$C$20:$C$1181,'Incremental Network SummerFcast'!$A139)+
SUMIFS('Customer Scenario Forecast'!B$22:B$1183,'Customer Scenario Forecast'!$D$20:$D$1181,'Incremental Network SummerFcast'!$A139)+
SUMIFS('Customer Scenario Forecast'!B$22:B$1183,'Customer Scenario Forecast'!$E$20:$E$1181,'Incremental Network SummerFcast'!$A139),
SUMIFS('Customer Scenario Forecast'!B$22:B$1183,'Customer Scenario Forecast'!$C$20:$C$1181,'Incremental Network SummerFcast'!$A139,'Customer Scenario Forecast'!$H$20:$H$1181,'Incremental Network SummerFcast'!$H$1)+
SUMIFS('Customer Scenario Forecast'!B$22:B$1183,'Customer Scenario Forecast'!$D$20:$D$1181,'Incremental Network SummerFcast'!$A139,'Customer Scenario Forecast'!$H$20:$H$1181,'Incremental Network SummerFcast'!$H$1)+
SUMIFS('Customer Scenario Forecast'!B$22:B$1183,'Customer Scenario Forecast'!$E$20:$E$1181,'Incremental Network SummerFcast'!$A139,'Customer Scenario Forecast'!$H$20:$H$1181,'Incremental Network SummerFcast'!$H$1))</f>
        <v>-2</v>
      </c>
      <c r="C142" s="194">
        <f ca="1">IF($H$1="",
SUMIFS('Customer Scenario Forecast'!C$22:C$1183,'Customer Scenario Forecast'!$C$20:$C$1181,'Incremental Network SummerFcast'!$A139)+
SUMIFS('Customer Scenario Forecast'!C$22:C$1183,'Customer Scenario Forecast'!$D$20:$D$1181,'Incremental Network SummerFcast'!$A139)+
SUMIFS('Customer Scenario Forecast'!C$22:C$1183,'Customer Scenario Forecast'!$E$20:$E$1181,'Incremental Network SummerFcast'!$A139),
SUMIFS('Customer Scenario Forecast'!C$22:C$1183,'Customer Scenario Forecast'!$C$20:$C$1181,'Incremental Network SummerFcast'!$A139,'Customer Scenario Forecast'!$H$20:$H$1181,'Incremental Network SummerFcast'!$H$1)+
SUMIFS('Customer Scenario Forecast'!C$22:C$1183,'Customer Scenario Forecast'!$D$20:$D$1181,'Incremental Network SummerFcast'!$A139,'Customer Scenario Forecast'!$H$20:$H$1181,'Incremental Network SummerFcast'!$H$1)+
SUMIFS('Customer Scenario Forecast'!C$22:C$1183,'Customer Scenario Forecast'!$E$20:$E$1181,'Incremental Network SummerFcast'!$A139,'Customer Scenario Forecast'!$H$20:$H$1181,'Incremental Network SummerFcast'!$H$1))</f>
        <v>1.75</v>
      </c>
      <c r="D142" s="194">
        <f ca="1">IF($H$1="",
SUMIFS('Customer Scenario Forecast'!D$22:D$1183,'Customer Scenario Forecast'!$C$20:$C$1181,'Incremental Network SummerFcast'!$A139)+
SUMIFS('Customer Scenario Forecast'!D$22:D$1183,'Customer Scenario Forecast'!$D$20:$D$1181,'Incremental Network SummerFcast'!$A139)+
SUMIFS('Customer Scenario Forecast'!D$22:D$1183,'Customer Scenario Forecast'!$E$20:$E$1181,'Incremental Network SummerFcast'!$A139),
SUMIFS('Customer Scenario Forecast'!D$22:D$1183,'Customer Scenario Forecast'!$C$20:$C$1181,'Incremental Network SummerFcast'!$A139,'Customer Scenario Forecast'!$H$20:$H$1181,'Incremental Network SummerFcast'!$H$1)+
SUMIFS('Customer Scenario Forecast'!D$22:D$1183,'Customer Scenario Forecast'!$D$20:$D$1181,'Incremental Network SummerFcast'!$A139,'Customer Scenario Forecast'!$H$20:$H$1181,'Incremental Network SummerFcast'!$H$1)+
SUMIFS('Customer Scenario Forecast'!D$22:D$1183,'Customer Scenario Forecast'!$E$20:$E$1181,'Incremental Network SummerFcast'!$A139,'Customer Scenario Forecast'!$H$20:$H$1181,'Incremental Network SummerFcast'!$H$1))</f>
        <v>13</v>
      </c>
      <c r="E142" s="194">
        <f ca="1">IF($H$1="",
SUMIFS('Customer Scenario Forecast'!E$22:E$1183,'Customer Scenario Forecast'!$C$20:$C$1181,'Incremental Network SummerFcast'!$A139)+
SUMIFS('Customer Scenario Forecast'!E$22:E$1183,'Customer Scenario Forecast'!$D$20:$D$1181,'Incremental Network SummerFcast'!$A139)+
SUMIFS('Customer Scenario Forecast'!E$22:E$1183,'Customer Scenario Forecast'!$E$20:$E$1181,'Incremental Network SummerFcast'!$A139),
SUMIFS('Customer Scenario Forecast'!E$22:E$1183,'Customer Scenario Forecast'!$C$20:$C$1181,'Incremental Network SummerFcast'!$A139,'Customer Scenario Forecast'!$H$20:$H$1181,'Incremental Network SummerFcast'!$H$1)+
SUMIFS('Customer Scenario Forecast'!E$22:E$1183,'Customer Scenario Forecast'!$D$20:$D$1181,'Incremental Network SummerFcast'!$A139,'Customer Scenario Forecast'!$H$20:$H$1181,'Incremental Network SummerFcast'!$H$1)+
SUMIFS('Customer Scenario Forecast'!E$22:E$1183,'Customer Scenario Forecast'!$E$20:$E$1181,'Incremental Network SummerFcast'!$A139,'Customer Scenario Forecast'!$H$20:$H$1181,'Incremental Network SummerFcast'!$H$1))</f>
        <v>18</v>
      </c>
      <c r="F142" s="194">
        <f ca="1">IF($H$1="",
SUMIFS('Customer Scenario Forecast'!F$22:F$1183,'Customer Scenario Forecast'!$C$20:$C$1181,'Incremental Network SummerFcast'!$A139)+
SUMIFS('Customer Scenario Forecast'!F$22:F$1183,'Customer Scenario Forecast'!$D$20:$D$1181,'Incremental Network SummerFcast'!$A139)+
SUMIFS('Customer Scenario Forecast'!F$22:F$1183,'Customer Scenario Forecast'!$E$20:$E$1181,'Incremental Network SummerFcast'!$A139),
SUMIFS('Customer Scenario Forecast'!F$22:F$1183,'Customer Scenario Forecast'!$C$20:$C$1181,'Incremental Network SummerFcast'!$A139,'Customer Scenario Forecast'!$H$20:$H$1181,'Incremental Network SummerFcast'!$H$1)+
SUMIFS('Customer Scenario Forecast'!F$22:F$1183,'Customer Scenario Forecast'!$D$20:$D$1181,'Incremental Network SummerFcast'!$A139,'Customer Scenario Forecast'!$H$20:$H$1181,'Incremental Network SummerFcast'!$H$1)+
SUMIFS('Customer Scenario Forecast'!F$22:F$1183,'Customer Scenario Forecast'!$E$20:$E$1181,'Incremental Network SummerFcast'!$A139,'Customer Scenario Forecast'!$H$20:$H$1181,'Incremental Network SummerFcast'!$H$1))</f>
        <v>18</v>
      </c>
      <c r="G142" s="194">
        <f ca="1">IF($H$1="",
SUMIFS('Customer Scenario Forecast'!G$22:G$1183,'Customer Scenario Forecast'!$C$20:$C$1181,'Incremental Network SummerFcast'!$A139)+
SUMIFS('Customer Scenario Forecast'!G$22:G$1183,'Customer Scenario Forecast'!$D$20:$D$1181,'Incremental Network SummerFcast'!$A139)+
SUMIFS('Customer Scenario Forecast'!G$22:G$1183,'Customer Scenario Forecast'!$E$20:$E$1181,'Incremental Network SummerFcast'!$A139),
SUMIFS('Customer Scenario Forecast'!G$22:G$1183,'Customer Scenario Forecast'!$C$20:$C$1181,'Incremental Network SummerFcast'!$A139,'Customer Scenario Forecast'!$H$20:$H$1181,'Incremental Network SummerFcast'!$H$1)+
SUMIFS('Customer Scenario Forecast'!G$22:G$1183,'Customer Scenario Forecast'!$D$20:$D$1181,'Incremental Network SummerFcast'!$A139,'Customer Scenario Forecast'!$H$20:$H$1181,'Incremental Network SummerFcast'!$H$1)+
SUMIFS('Customer Scenario Forecast'!G$22:G$1183,'Customer Scenario Forecast'!$E$20:$E$1181,'Incremental Network SummerFcast'!$A139,'Customer Scenario Forecast'!$H$20:$H$1181,'Incremental Network SummerFcast'!$H$1))</f>
        <v>18</v>
      </c>
      <c r="H142" s="194">
        <f ca="1">IF($H$1="",
SUMIFS('Customer Scenario Forecast'!H$22:H$1183,'Customer Scenario Forecast'!$C$20:$C$1181,'Incremental Network SummerFcast'!$A139)+
SUMIFS('Customer Scenario Forecast'!H$22:H$1183,'Customer Scenario Forecast'!$D$20:$D$1181,'Incremental Network SummerFcast'!$A139)+
SUMIFS('Customer Scenario Forecast'!H$22:H$1183,'Customer Scenario Forecast'!$E$20:$E$1181,'Incremental Network SummerFcast'!$A139),
SUMIFS('Customer Scenario Forecast'!H$22:H$1183,'Customer Scenario Forecast'!$C$20:$C$1181,'Incremental Network SummerFcast'!$A139,'Customer Scenario Forecast'!$H$20:$H$1181,'Incremental Network SummerFcast'!$H$1)+
SUMIFS('Customer Scenario Forecast'!H$22:H$1183,'Customer Scenario Forecast'!$D$20:$D$1181,'Incremental Network SummerFcast'!$A139,'Customer Scenario Forecast'!$H$20:$H$1181,'Incremental Network SummerFcast'!$H$1)+
SUMIFS('Customer Scenario Forecast'!H$22:H$1183,'Customer Scenario Forecast'!$E$20:$E$1181,'Incremental Network SummerFcast'!$A139,'Customer Scenario Forecast'!$H$20:$H$1181,'Incremental Network SummerFcast'!$H$1))</f>
        <v>0</v>
      </c>
      <c r="I142" s="194">
        <f ca="1">IF($H$1="",
SUMIFS('Customer Scenario Forecast'!I$22:I$1183,'Customer Scenario Forecast'!$C$20:$C$1181,'Incremental Network SummerFcast'!$A139)+
SUMIFS('Customer Scenario Forecast'!I$22:I$1183,'Customer Scenario Forecast'!$D$20:$D$1181,'Incremental Network SummerFcast'!$A139)+
SUMIFS('Customer Scenario Forecast'!I$22:I$1183,'Customer Scenario Forecast'!$E$20:$E$1181,'Incremental Network SummerFcast'!$A139),
SUMIFS('Customer Scenario Forecast'!I$22:I$1183,'Customer Scenario Forecast'!$C$20:$C$1181,'Incremental Network SummerFcast'!$A139,'Customer Scenario Forecast'!$H$20:$H$1181,'Incremental Network SummerFcast'!$H$1)+
SUMIFS('Customer Scenario Forecast'!I$22:I$1183,'Customer Scenario Forecast'!$D$20:$D$1181,'Incremental Network SummerFcast'!$A139,'Customer Scenario Forecast'!$H$20:$H$1181,'Incremental Network SummerFcast'!$H$1)+
SUMIFS('Customer Scenario Forecast'!I$22:I$1183,'Customer Scenario Forecast'!$E$20:$E$1181,'Incremental Network SummerFcast'!$A139,'Customer Scenario Forecast'!$H$20:$H$1181,'Incremental Network SummerFcast'!$H$1))</f>
        <v>0</v>
      </c>
      <c r="J142" s="194">
        <f ca="1">IF($H$1="",
SUMIFS('Customer Scenario Forecast'!J$22:J$1183,'Customer Scenario Forecast'!$C$20:$C$1181,'Incremental Network SummerFcast'!$A139)+
SUMIFS('Customer Scenario Forecast'!J$22:J$1183,'Customer Scenario Forecast'!$D$20:$D$1181,'Incremental Network SummerFcast'!$A139)+
SUMIFS('Customer Scenario Forecast'!J$22:J$1183,'Customer Scenario Forecast'!$E$20:$E$1181,'Incremental Network SummerFcast'!$A139),
SUMIFS('Customer Scenario Forecast'!J$22:J$1183,'Customer Scenario Forecast'!$C$20:$C$1181,'Incremental Network SummerFcast'!$A139,'Customer Scenario Forecast'!$H$20:$H$1181,'Incremental Network SummerFcast'!$H$1)+
SUMIFS('Customer Scenario Forecast'!J$22:J$1183,'Customer Scenario Forecast'!$D$20:$D$1181,'Incremental Network SummerFcast'!$A139,'Customer Scenario Forecast'!$H$20:$H$1181,'Incremental Network SummerFcast'!$H$1)+
SUMIFS('Customer Scenario Forecast'!J$22:J$1183,'Customer Scenario Forecast'!$E$20:$E$1181,'Incremental Network SummerFcast'!$A139,'Customer Scenario Forecast'!$H$20:$H$1181,'Incremental Network SummerFcast'!$H$1))</f>
        <v>0</v>
      </c>
      <c r="K142" s="194">
        <f ca="1">IF($H$1="",
SUMIFS('Customer Scenario Forecast'!K$22:K$1183,'Customer Scenario Forecast'!$C$20:$C$1181,'Incremental Network SummerFcast'!$A139)+
SUMIFS('Customer Scenario Forecast'!K$22:K$1183,'Customer Scenario Forecast'!$D$20:$D$1181,'Incremental Network SummerFcast'!$A139)+
SUMIFS('Customer Scenario Forecast'!K$22:K$1183,'Customer Scenario Forecast'!$E$20:$E$1181,'Incremental Network SummerFcast'!$A139),
SUMIFS('Customer Scenario Forecast'!K$22:K$1183,'Customer Scenario Forecast'!$C$20:$C$1181,'Incremental Network SummerFcast'!$A139,'Customer Scenario Forecast'!$H$20:$H$1181,'Incremental Network SummerFcast'!$H$1)+
SUMIFS('Customer Scenario Forecast'!K$22:K$1183,'Customer Scenario Forecast'!$D$20:$D$1181,'Incremental Network SummerFcast'!$A139,'Customer Scenario Forecast'!$H$20:$H$1181,'Incremental Network SummerFcast'!$H$1)+
SUMIFS('Customer Scenario Forecast'!K$22:K$1183,'Customer Scenario Forecast'!$E$20:$E$1181,'Incremental Network SummerFcast'!$A139,'Customer Scenario Forecast'!$H$20:$H$1181,'Incremental Network SummerFcast'!$H$1))</f>
        <v>0</v>
      </c>
      <c r="L142" s="194">
        <f ca="1">IF($H$1="",
SUMIFS('Customer Scenario Forecast'!L$22:L$1183,'Customer Scenario Forecast'!$C$20:$C$1181,'Incremental Network SummerFcast'!$A139)+
SUMIFS('Customer Scenario Forecast'!L$22:L$1183,'Customer Scenario Forecast'!$D$20:$D$1181,'Incremental Network SummerFcast'!$A139)+
SUMIFS('Customer Scenario Forecast'!L$22:L$1183,'Customer Scenario Forecast'!$E$20:$E$1181,'Incremental Network SummerFcast'!$A139),
SUMIFS('Customer Scenario Forecast'!L$22:L$1183,'Customer Scenario Forecast'!$C$20:$C$1181,'Incremental Network SummerFcast'!$A139,'Customer Scenario Forecast'!$H$20:$H$1181,'Incremental Network SummerFcast'!$H$1)+
SUMIFS('Customer Scenario Forecast'!L$22:L$1183,'Customer Scenario Forecast'!$D$20:$D$1181,'Incremental Network SummerFcast'!$A139,'Customer Scenario Forecast'!$H$20:$H$1181,'Incremental Network SummerFcast'!$H$1)+
SUMIFS('Customer Scenario Forecast'!L$22:L$1183,'Customer Scenario Forecast'!$E$20:$E$1181,'Incremental Network SummerFcast'!$A139,'Customer Scenario Forecast'!$H$20:$H$1181,'Incremental Network SummerFcast'!$H$1))</f>
        <v>0</v>
      </c>
      <c r="M142" s="37"/>
    </row>
    <row r="143" spans="1:13" ht="15" thickBot="1">
      <c r="A143" s="195" t="s">
        <v>107</v>
      </c>
      <c r="B143" s="196">
        <f ca="1">IF($H$1="",
1*(
SUMIFS('Customer Scenario Forecast'!B$23:B$1184,'Customer Scenario Forecast'!$C$20:$C$1181,'Incremental Network SummerFcast'!$A139)+
SUMIFS('Customer Scenario Forecast'!B$23:B$1184,'Customer Scenario Forecast'!$D$20:$D$1181,'Incremental Network SummerFcast'!$A139)+
SUMIFS('Customer Scenario Forecast'!B$23:B$1184,'Customer Scenario Forecast'!$E$20:$E$1181,'Incremental Network SummerFcast'!$A139)+B141),
1*(
SUMIFS('Customer Scenario Forecast'!B$23:B$1184,'Customer Scenario Forecast'!$C$20:$C$1181,'Incremental Network SummerFcast'!$A139,'Customer Scenario Forecast'!$H$20:$H$1181,'Incremental Network SummerFcast'!$H$1)+
SUMIFS('Customer Scenario Forecast'!B$23:B$1184,'Customer Scenario Forecast'!$D$20:$D$1181,'Incremental Network SummerFcast'!$A139,'Customer Scenario Forecast'!$H$20:$H$1181,'Incremental Network SummerFcast'!$H$1)+
SUMIFS('Customer Scenario Forecast'!B$23:B$1184,'Customer Scenario Forecast'!$E$20:$E$1181,'Incremental Network SummerFcast'!$A139,'Customer Scenario Forecast'!$H$20:$H$1181,'Incremental Network SummerFcast'!$H$1)+B141))</f>
        <v>-2</v>
      </c>
      <c r="C143" s="196">
        <f ca="1">IF($H$1="",
1*(
SUMIFS('Customer Scenario Forecast'!C$23:C$1184,'Customer Scenario Forecast'!$C$20:$C$1181,'Incremental Network SummerFcast'!$A139)+
SUMIFS('Customer Scenario Forecast'!C$23:C$1184,'Customer Scenario Forecast'!$D$20:$D$1181,'Incremental Network SummerFcast'!$A139)+
SUMIFS('Customer Scenario Forecast'!C$23:C$1184,'Customer Scenario Forecast'!$E$20:$E$1181,'Incremental Network SummerFcast'!$A139)+C141),
1*(
SUMIFS('Customer Scenario Forecast'!C$23:C$1184,'Customer Scenario Forecast'!$C$20:$C$1181,'Incremental Network SummerFcast'!$A139,'Customer Scenario Forecast'!$H$20:$H$1181,'Incremental Network SummerFcast'!$H$1)+
SUMIFS('Customer Scenario Forecast'!C$23:C$1184,'Customer Scenario Forecast'!$D$20:$D$1181,'Incremental Network SummerFcast'!$A139,'Customer Scenario Forecast'!$H$20:$H$1181,'Incremental Network SummerFcast'!$H$1)+
SUMIFS('Customer Scenario Forecast'!C$23:C$1184,'Customer Scenario Forecast'!$E$20:$E$1181,'Incremental Network SummerFcast'!$A139,'Customer Scenario Forecast'!$H$20:$H$1181,'Incremental Network SummerFcast'!$H$1)+C141))</f>
        <v>1.75</v>
      </c>
      <c r="D143" s="196">
        <f ca="1">IF($H$1="",
1*(
SUMIFS('Customer Scenario Forecast'!D$23:D$1184,'Customer Scenario Forecast'!$C$20:$C$1181,'Incremental Network SummerFcast'!$A139)+
SUMIFS('Customer Scenario Forecast'!D$23:D$1184,'Customer Scenario Forecast'!$D$20:$D$1181,'Incremental Network SummerFcast'!$A139)+
SUMIFS('Customer Scenario Forecast'!D$23:D$1184,'Customer Scenario Forecast'!$E$20:$E$1181,'Incremental Network SummerFcast'!$A139)+D141),
1*(
SUMIFS('Customer Scenario Forecast'!D$23:D$1184,'Customer Scenario Forecast'!$C$20:$C$1181,'Incremental Network SummerFcast'!$A139,'Customer Scenario Forecast'!$H$20:$H$1181,'Incremental Network SummerFcast'!$H$1)+
SUMIFS('Customer Scenario Forecast'!D$23:D$1184,'Customer Scenario Forecast'!$D$20:$D$1181,'Incremental Network SummerFcast'!$A139,'Customer Scenario Forecast'!$H$20:$H$1181,'Incremental Network SummerFcast'!$H$1)+
SUMIFS('Customer Scenario Forecast'!D$23:D$1184,'Customer Scenario Forecast'!$E$20:$E$1181,'Incremental Network SummerFcast'!$A139,'Customer Scenario Forecast'!$H$20:$H$1181,'Incremental Network SummerFcast'!$H$1)+D141))</f>
        <v>13</v>
      </c>
      <c r="E143" s="196">
        <f ca="1">IF($H$1="",
1*(
SUMIFS('Customer Scenario Forecast'!E$23:E$1184,'Customer Scenario Forecast'!$C$20:$C$1181,'Incremental Network SummerFcast'!$A139)+
SUMIFS('Customer Scenario Forecast'!E$23:E$1184,'Customer Scenario Forecast'!$D$20:$D$1181,'Incremental Network SummerFcast'!$A139)+
SUMIFS('Customer Scenario Forecast'!E$23:E$1184,'Customer Scenario Forecast'!$E$20:$E$1181,'Incremental Network SummerFcast'!$A139)+E141),
1*(
SUMIFS('Customer Scenario Forecast'!E$23:E$1184,'Customer Scenario Forecast'!$C$20:$C$1181,'Incremental Network SummerFcast'!$A139,'Customer Scenario Forecast'!$H$20:$H$1181,'Incremental Network SummerFcast'!$H$1)+
SUMIFS('Customer Scenario Forecast'!E$23:E$1184,'Customer Scenario Forecast'!$D$20:$D$1181,'Incremental Network SummerFcast'!$A139,'Customer Scenario Forecast'!$H$20:$H$1181,'Incremental Network SummerFcast'!$H$1)+
SUMIFS('Customer Scenario Forecast'!E$23:E$1184,'Customer Scenario Forecast'!$E$20:$E$1181,'Incremental Network SummerFcast'!$A139,'Customer Scenario Forecast'!$H$20:$H$1181,'Incremental Network SummerFcast'!$H$1)+E141))</f>
        <v>18</v>
      </c>
      <c r="F143" s="196">
        <f ca="1">IF($H$1="",
1*(
SUMIFS('Customer Scenario Forecast'!F$23:F$1184,'Customer Scenario Forecast'!$C$20:$C$1181,'Incremental Network SummerFcast'!$A139)+
SUMIFS('Customer Scenario Forecast'!F$23:F$1184,'Customer Scenario Forecast'!$D$20:$D$1181,'Incremental Network SummerFcast'!$A139)+
SUMIFS('Customer Scenario Forecast'!F$23:F$1184,'Customer Scenario Forecast'!$E$20:$E$1181,'Incremental Network SummerFcast'!$A139)+F141),
1*(
SUMIFS('Customer Scenario Forecast'!F$23:F$1184,'Customer Scenario Forecast'!$C$20:$C$1181,'Incremental Network SummerFcast'!$A139,'Customer Scenario Forecast'!$H$20:$H$1181,'Incremental Network SummerFcast'!$H$1)+
SUMIFS('Customer Scenario Forecast'!F$23:F$1184,'Customer Scenario Forecast'!$D$20:$D$1181,'Incremental Network SummerFcast'!$A139,'Customer Scenario Forecast'!$H$20:$H$1181,'Incremental Network SummerFcast'!$H$1)+
SUMIFS('Customer Scenario Forecast'!F$23:F$1184,'Customer Scenario Forecast'!$E$20:$E$1181,'Incremental Network SummerFcast'!$A139,'Customer Scenario Forecast'!$H$20:$H$1181,'Incremental Network SummerFcast'!$H$1)+F141))</f>
        <v>18</v>
      </c>
      <c r="G143" s="196">
        <f ca="1">IF($H$1="",
1*(
SUMIFS('Customer Scenario Forecast'!G$23:G$1184,'Customer Scenario Forecast'!$C$20:$C$1181,'Incremental Network SummerFcast'!$A139)+
SUMIFS('Customer Scenario Forecast'!G$23:G$1184,'Customer Scenario Forecast'!$D$20:$D$1181,'Incremental Network SummerFcast'!$A139)+
SUMIFS('Customer Scenario Forecast'!G$23:G$1184,'Customer Scenario Forecast'!$E$20:$E$1181,'Incremental Network SummerFcast'!$A139)+G141),
1*(
SUMIFS('Customer Scenario Forecast'!G$23:G$1184,'Customer Scenario Forecast'!$C$20:$C$1181,'Incremental Network SummerFcast'!$A139,'Customer Scenario Forecast'!$H$20:$H$1181,'Incremental Network SummerFcast'!$H$1)+
SUMIFS('Customer Scenario Forecast'!G$23:G$1184,'Customer Scenario Forecast'!$D$20:$D$1181,'Incremental Network SummerFcast'!$A139,'Customer Scenario Forecast'!$H$20:$H$1181,'Incremental Network SummerFcast'!$H$1)+
SUMIFS('Customer Scenario Forecast'!G$23:G$1184,'Customer Scenario Forecast'!$E$20:$E$1181,'Incremental Network SummerFcast'!$A139,'Customer Scenario Forecast'!$H$20:$H$1181,'Incremental Network SummerFcast'!$H$1)+G141))</f>
        <v>18</v>
      </c>
      <c r="H143" s="196">
        <f ca="1">IF($H$1="",
1*(
SUMIFS('Customer Scenario Forecast'!H$23:H$1184,'Customer Scenario Forecast'!$C$20:$C$1181,'Incremental Network SummerFcast'!$A139)+
SUMIFS('Customer Scenario Forecast'!H$23:H$1184,'Customer Scenario Forecast'!$D$20:$D$1181,'Incremental Network SummerFcast'!$A139)+
SUMIFS('Customer Scenario Forecast'!H$23:H$1184,'Customer Scenario Forecast'!$E$20:$E$1181,'Incremental Network SummerFcast'!$A139)+H141),
1*(
SUMIFS('Customer Scenario Forecast'!H$23:H$1184,'Customer Scenario Forecast'!$C$20:$C$1181,'Incremental Network SummerFcast'!$A139,'Customer Scenario Forecast'!$H$20:$H$1181,'Incremental Network SummerFcast'!$H$1)+
SUMIFS('Customer Scenario Forecast'!H$23:H$1184,'Customer Scenario Forecast'!$D$20:$D$1181,'Incremental Network SummerFcast'!$A139,'Customer Scenario Forecast'!$H$20:$H$1181,'Incremental Network SummerFcast'!$H$1)+
SUMIFS('Customer Scenario Forecast'!H$23:H$1184,'Customer Scenario Forecast'!$E$20:$E$1181,'Incremental Network SummerFcast'!$A139,'Customer Scenario Forecast'!$H$20:$H$1181,'Incremental Network SummerFcast'!$H$1)+H141))</f>
        <v>0</v>
      </c>
      <c r="I143" s="196">
        <f ca="1">IF($H$1="",
1*(
SUMIFS('Customer Scenario Forecast'!I$23:I$1184,'Customer Scenario Forecast'!$C$20:$C$1181,'Incremental Network SummerFcast'!$A139)+
SUMIFS('Customer Scenario Forecast'!I$23:I$1184,'Customer Scenario Forecast'!$D$20:$D$1181,'Incremental Network SummerFcast'!$A139)+
SUMIFS('Customer Scenario Forecast'!I$23:I$1184,'Customer Scenario Forecast'!$E$20:$E$1181,'Incremental Network SummerFcast'!$A139)+I141),
1*(
SUMIFS('Customer Scenario Forecast'!I$23:I$1184,'Customer Scenario Forecast'!$C$20:$C$1181,'Incremental Network SummerFcast'!$A139,'Customer Scenario Forecast'!$H$20:$H$1181,'Incremental Network SummerFcast'!$H$1)+
SUMIFS('Customer Scenario Forecast'!I$23:I$1184,'Customer Scenario Forecast'!$D$20:$D$1181,'Incremental Network SummerFcast'!$A139,'Customer Scenario Forecast'!$H$20:$H$1181,'Incremental Network SummerFcast'!$H$1)+
SUMIFS('Customer Scenario Forecast'!I$23:I$1184,'Customer Scenario Forecast'!$E$20:$E$1181,'Incremental Network SummerFcast'!$A139,'Customer Scenario Forecast'!$H$20:$H$1181,'Incremental Network SummerFcast'!$H$1)+I141))</f>
        <v>0</v>
      </c>
      <c r="J143" s="196">
        <f ca="1">IF($H$1="",
1*(
SUMIFS('Customer Scenario Forecast'!J$23:J$1184,'Customer Scenario Forecast'!$C$20:$C$1181,'Incremental Network SummerFcast'!$A139)+
SUMIFS('Customer Scenario Forecast'!J$23:J$1184,'Customer Scenario Forecast'!$D$20:$D$1181,'Incremental Network SummerFcast'!$A139)+
SUMIFS('Customer Scenario Forecast'!J$23:J$1184,'Customer Scenario Forecast'!$E$20:$E$1181,'Incremental Network SummerFcast'!$A139)+J141),
1*(
SUMIFS('Customer Scenario Forecast'!J$23:J$1184,'Customer Scenario Forecast'!$C$20:$C$1181,'Incremental Network SummerFcast'!$A139,'Customer Scenario Forecast'!$H$20:$H$1181,'Incremental Network SummerFcast'!$H$1)+
SUMIFS('Customer Scenario Forecast'!J$23:J$1184,'Customer Scenario Forecast'!$D$20:$D$1181,'Incremental Network SummerFcast'!$A139,'Customer Scenario Forecast'!$H$20:$H$1181,'Incremental Network SummerFcast'!$H$1)+
SUMIFS('Customer Scenario Forecast'!J$23:J$1184,'Customer Scenario Forecast'!$E$20:$E$1181,'Incremental Network SummerFcast'!$A139,'Customer Scenario Forecast'!$H$20:$H$1181,'Incremental Network SummerFcast'!$H$1)+J141))</f>
        <v>0</v>
      </c>
      <c r="K143" s="196">
        <f ca="1">IF($H$1="",
1*(
SUMIFS('Customer Scenario Forecast'!K$23:K$1184,'Customer Scenario Forecast'!$C$20:$C$1181,'Incremental Network SummerFcast'!$A139)+
SUMIFS('Customer Scenario Forecast'!K$23:K$1184,'Customer Scenario Forecast'!$D$20:$D$1181,'Incremental Network SummerFcast'!$A139)+
SUMIFS('Customer Scenario Forecast'!K$23:K$1184,'Customer Scenario Forecast'!$E$20:$E$1181,'Incremental Network SummerFcast'!$A139)+K141),
1*(
SUMIFS('Customer Scenario Forecast'!K$23:K$1184,'Customer Scenario Forecast'!$C$20:$C$1181,'Incremental Network SummerFcast'!$A139,'Customer Scenario Forecast'!$H$20:$H$1181,'Incremental Network SummerFcast'!$H$1)+
SUMIFS('Customer Scenario Forecast'!K$23:K$1184,'Customer Scenario Forecast'!$D$20:$D$1181,'Incremental Network SummerFcast'!$A139,'Customer Scenario Forecast'!$H$20:$H$1181,'Incremental Network SummerFcast'!$H$1)+
SUMIFS('Customer Scenario Forecast'!K$23:K$1184,'Customer Scenario Forecast'!$E$20:$E$1181,'Incremental Network SummerFcast'!$A139,'Customer Scenario Forecast'!$H$20:$H$1181,'Incremental Network SummerFcast'!$H$1)+K141))</f>
        <v>0</v>
      </c>
      <c r="L143" s="196">
        <f ca="1">IF($H$1="",
1*(
SUMIFS('Customer Scenario Forecast'!L$23:L$1184,'Customer Scenario Forecast'!$C$20:$C$1181,'Incremental Network SummerFcast'!$A139)+
SUMIFS('Customer Scenario Forecast'!L$23:L$1184,'Customer Scenario Forecast'!$D$20:$D$1181,'Incremental Network SummerFcast'!$A139)+
SUMIFS('Customer Scenario Forecast'!L$23:L$1184,'Customer Scenario Forecast'!$E$20:$E$1181,'Incremental Network SummerFcast'!$A139)+L141),
1*(
SUMIFS('Customer Scenario Forecast'!L$23:L$1184,'Customer Scenario Forecast'!$C$20:$C$1181,'Incremental Network SummerFcast'!$A139,'Customer Scenario Forecast'!$H$20:$H$1181,'Incremental Network SummerFcast'!$H$1)+
SUMIFS('Customer Scenario Forecast'!L$23:L$1184,'Customer Scenario Forecast'!$D$20:$D$1181,'Incremental Network SummerFcast'!$A139,'Customer Scenario Forecast'!$H$20:$H$1181,'Incremental Network SummerFcast'!$H$1)+
SUMIFS('Customer Scenario Forecast'!L$23:L$1184,'Customer Scenario Forecast'!$E$20:$E$1181,'Incremental Network SummerFcast'!$A139,'Customer Scenario Forecast'!$H$20:$H$1181,'Incremental Network SummerFcast'!$H$1)+L141))</f>
        <v>0</v>
      </c>
    </row>
    <row r="144" spans="1:13" ht="15" thickBot="1">
      <c r="A144" s="195" t="s">
        <v>108</v>
      </c>
      <c r="B144" s="196">
        <f ca="1">IF($H$1="",
1*(
SUMIFS('Customer Scenario Forecast'!B$24:B$1185,'Customer Scenario Forecast'!$C$20:$C$1181,'Incremental Network SummerFcast'!$A139)+
SUMIFS('Customer Scenario Forecast'!B$24:B$1185,'Customer Scenario Forecast'!$D$20:$D$1181,'Incremental Network SummerFcast'!$A139)+
SUMIFS('Customer Scenario Forecast'!B$24:B$1185,'Customer Scenario Forecast'!$E$20:$E$1181,'Incremental Network SummerFcast'!$A139)+B141),
1*(
SUMIFS('Customer Scenario Forecast'!B$24:B$1185,'Customer Scenario Forecast'!$C$20:$C$1181,'Incremental Network SummerFcast'!$A139,'Customer Scenario Forecast'!$H$20:$H$1181,'Incremental Network SummerFcast'!$H$1)+
SUMIFS('Customer Scenario Forecast'!B$24:B$1185,'Customer Scenario Forecast'!$D$20:$D$1181,'Incremental Network SummerFcast'!$A139,'Customer Scenario Forecast'!$H$20:$H$1181,'Incremental Network SummerFcast'!$H$1)+
SUMIFS('Customer Scenario Forecast'!B$24:B$1185,'Customer Scenario Forecast'!$E$20:$E$1181,'Incremental Network SummerFcast'!$A139,'Customer Scenario Forecast'!$H$20:$H$1181,'Incremental Network SummerFcast'!$H$1)+B141))</f>
        <v>-2</v>
      </c>
      <c r="C144" s="196">
        <f ca="1">IF($H$1="",
1*(
SUMIFS('Customer Scenario Forecast'!C$24:C$1185,'Customer Scenario Forecast'!$C$20:$C$1181,'Incremental Network SummerFcast'!$A139)+
SUMIFS('Customer Scenario Forecast'!C$24:C$1185,'Customer Scenario Forecast'!$D$20:$D$1181,'Incremental Network SummerFcast'!$A139)+
SUMIFS('Customer Scenario Forecast'!C$24:C$1185,'Customer Scenario Forecast'!$E$20:$E$1181,'Incremental Network SummerFcast'!$A139)+C141),
1*(
SUMIFS('Customer Scenario Forecast'!C$24:C$1185,'Customer Scenario Forecast'!$C$20:$C$1181,'Incremental Network SummerFcast'!$A139,'Customer Scenario Forecast'!$H$20:$H$1181,'Incremental Network SummerFcast'!$H$1)+
SUMIFS('Customer Scenario Forecast'!C$24:C$1185,'Customer Scenario Forecast'!$D$20:$D$1181,'Incremental Network SummerFcast'!$A139,'Customer Scenario Forecast'!$H$20:$H$1181,'Incremental Network SummerFcast'!$H$1)+
SUMIFS('Customer Scenario Forecast'!C$24:C$1185,'Customer Scenario Forecast'!$E$20:$E$1181,'Incremental Network SummerFcast'!$A139,'Customer Scenario Forecast'!$H$20:$H$1181,'Incremental Network SummerFcast'!$H$1)+C141))</f>
        <v>1.75</v>
      </c>
      <c r="D144" s="196">
        <f ca="1">IF($H$1="",
1*(
SUMIFS('Customer Scenario Forecast'!D$24:D$1185,'Customer Scenario Forecast'!$C$20:$C$1181,'Incremental Network SummerFcast'!$A139)+
SUMIFS('Customer Scenario Forecast'!D$24:D$1185,'Customer Scenario Forecast'!$D$20:$D$1181,'Incremental Network SummerFcast'!$A139)+
SUMIFS('Customer Scenario Forecast'!D$24:D$1185,'Customer Scenario Forecast'!$E$20:$E$1181,'Incremental Network SummerFcast'!$A139)+D141),
1*(
SUMIFS('Customer Scenario Forecast'!D$24:D$1185,'Customer Scenario Forecast'!$C$20:$C$1181,'Incremental Network SummerFcast'!$A139,'Customer Scenario Forecast'!$H$20:$H$1181,'Incremental Network SummerFcast'!$H$1)+
SUMIFS('Customer Scenario Forecast'!D$24:D$1185,'Customer Scenario Forecast'!$D$20:$D$1181,'Incremental Network SummerFcast'!$A139,'Customer Scenario Forecast'!$H$20:$H$1181,'Incremental Network SummerFcast'!$H$1)+
SUMIFS('Customer Scenario Forecast'!D$24:D$1185,'Customer Scenario Forecast'!$E$20:$E$1181,'Incremental Network SummerFcast'!$A139,'Customer Scenario Forecast'!$H$20:$H$1181,'Incremental Network SummerFcast'!$H$1)+D141))</f>
        <v>13</v>
      </c>
      <c r="E144" s="196">
        <f ca="1">IF($H$1="",
1*(
SUMIFS('Customer Scenario Forecast'!E$24:E$1185,'Customer Scenario Forecast'!$C$20:$C$1181,'Incremental Network SummerFcast'!$A139)+
SUMIFS('Customer Scenario Forecast'!E$24:E$1185,'Customer Scenario Forecast'!$D$20:$D$1181,'Incremental Network SummerFcast'!$A139)+
SUMIFS('Customer Scenario Forecast'!E$24:E$1185,'Customer Scenario Forecast'!$E$20:$E$1181,'Incremental Network SummerFcast'!$A139)+E141),
1*(
SUMIFS('Customer Scenario Forecast'!E$24:E$1185,'Customer Scenario Forecast'!$C$20:$C$1181,'Incremental Network SummerFcast'!$A139,'Customer Scenario Forecast'!$H$20:$H$1181,'Incremental Network SummerFcast'!$H$1)+
SUMIFS('Customer Scenario Forecast'!E$24:E$1185,'Customer Scenario Forecast'!$D$20:$D$1181,'Incremental Network SummerFcast'!$A139,'Customer Scenario Forecast'!$H$20:$H$1181,'Incremental Network SummerFcast'!$H$1)+
SUMIFS('Customer Scenario Forecast'!E$24:E$1185,'Customer Scenario Forecast'!$E$20:$E$1181,'Incremental Network SummerFcast'!$A139,'Customer Scenario Forecast'!$H$20:$H$1181,'Incremental Network SummerFcast'!$H$1)+E141))</f>
        <v>18</v>
      </c>
      <c r="F144" s="196">
        <f ca="1">IF($H$1="",
1*(
SUMIFS('Customer Scenario Forecast'!F$24:F$1185,'Customer Scenario Forecast'!$C$20:$C$1181,'Incremental Network SummerFcast'!$A139)+
SUMIFS('Customer Scenario Forecast'!F$24:F$1185,'Customer Scenario Forecast'!$D$20:$D$1181,'Incremental Network SummerFcast'!$A139)+
SUMIFS('Customer Scenario Forecast'!F$24:F$1185,'Customer Scenario Forecast'!$E$20:$E$1181,'Incremental Network SummerFcast'!$A139)+F141),
1*(
SUMIFS('Customer Scenario Forecast'!F$24:F$1185,'Customer Scenario Forecast'!$C$20:$C$1181,'Incremental Network SummerFcast'!$A139,'Customer Scenario Forecast'!$H$20:$H$1181,'Incremental Network SummerFcast'!$H$1)+
SUMIFS('Customer Scenario Forecast'!F$24:F$1185,'Customer Scenario Forecast'!$D$20:$D$1181,'Incremental Network SummerFcast'!$A139,'Customer Scenario Forecast'!$H$20:$H$1181,'Incremental Network SummerFcast'!$H$1)+
SUMIFS('Customer Scenario Forecast'!F$24:F$1185,'Customer Scenario Forecast'!$E$20:$E$1181,'Incremental Network SummerFcast'!$A139,'Customer Scenario Forecast'!$H$20:$H$1181,'Incremental Network SummerFcast'!$H$1)+F141))</f>
        <v>18</v>
      </c>
      <c r="G144" s="196">
        <f ca="1">IF($H$1="",
1*(
SUMIFS('Customer Scenario Forecast'!G$24:G$1185,'Customer Scenario Forecast'!$C$20:$C$1181,'Incremental Network SummerFcast'!$A139)+
SUMIFS('Customer Scenario Forecast'!G$24:G$1185,'Customer Scenario Forecast'!$D$20:$D$1181,'Incremental Network SummerFcast'!$A139)+
SUMIFS('Customer Scenario Forecast'!G$24:G$1185,'Customer Scenario Forecast'!$E$20:$E$1181,'Incremental Network SummerFcast'!$A139)+G141),
1*(
SUMIFS('Customer Scenario Forecast'!G$24:G$1185,'Customer Scenario Forecast'!$C$20:$C$1181,'Incremental Network SummerFcast'!$A139,'Customer Scenario Forecast'!$H$20:$H$1181,'Incremental Network SummerFcast'!$H$1)+
SUMIFS('Customer Scenario Forecast'!G$24:G$1185,'Customer Scenario Forecast'!$D$20:$D$1181,'Incremental Network SummerFcast'!$A139,'Customer Scenario Forecast'!$H$20:$H$1181,'Incremental Network SummerFcast'!$H$1)+
SUMIFS('Customer Scenario Forecast'!G$24:G$1185,'Customer Scenario Forecast'!$E$20:$E$1181,'Incremental Network SummerFcast'!$A139,'Customer Scenario Forecast'!$H$20:$H$1181,'Incremental Network SummerFcast'!$H$1)+G141))</f>
        <v>18</v>
      </c>
      <c r="H144" s="196">
        <f ca="1">IF($H$1="",
1*(
SUMIFS('Customer Scenario Forecast'!H$24:H$1185,'Customer Scenario Forecast'!$C$20:$C$1181,'Incremental Network SummerFcast'!$A139)+
SUMIFS('Customer Scenario Forecast'!H$24:H$1185,'Customer Scenario Forecast'!$D$20:$D$1181,'Incremental Network SummerFcast'!$A139)+
SUMIFS('Customer Scenario Forecast'!H$24:H$1185,'Customer Scenario Forecast'!$E$20:$E$1181,'Incremental Network SummerFcast'!$A139)+H141),
1*(
SUMIFS('Customer Scenario Forecast'!H$24:H$1185,'Customer Scenario Forecast'!$C$20:$C$1181,'Incremental Network SummerFcast'!$A139,'Customer Scenario Forecast'!$H$20:$H$1181,'Incremental Network SummerFcast'!$H$1)+
SUMIFS('Customer Scenario Forecast'!H$24:H$1185,'Customer Scenario Forecast'!$D$20:$D$1181,'Incremental Network SummerFcast'!$A139,'Customer Scenario Forecast'!$H$20:$H$1181,'Incremental Network SummerFcast'!$H$1)+
SUMIFS('Customer Scenario Forecast'!H$24:H$1185,'Customer Scenario Forecast'!$E$20:$E$1181,'Incremental Network SummerFcast'!$A139,'Customer Scenario Forecast'!$H$20:$H$1181,'Incremental Network SummerFcast'!$H$1)+H141))</f>
        <v>0</v>
      </c>
      <c r="I144" s="196">
        <f ca="1">IF($H$1="",
1*(
SUMIFS('Customer Scenario Forecast'!I$24:I$1185,'Customer Scenario Forecast'!$C$20:$C$1181,'Incremental Network SummerFcast'!$A139)+
SUMIFS('Customer Scenario Forecast'!I$24:I$1185,'Customer Scenario Forecast'!$D$20:$D$1181,'Incremental Network SummerFcast'!$A139)+
SUMIFS('Customer Scenario Forecast'!I$24:I$1185,'Customer Scenario Forecast'!$E$20:$E$1181,'Incremental Network SummerFcast'!$A139)+I141),
1*(
SUMIFS('Customer Scenario Forecast'!I$24:I$1185,'Customer Scenario Forecast'!$C$20:$C$1181,'Incremental Network SummerFcast'!$A139,'Customer Scenario Forecast'!$H$20:$H$1181,'Incremental Network SummerFcast'!$H$1)+
SUMIFS('Customer Scenario Forecast'!I$24:I$1185,'Customer Scenario Forecast'!$D$20:$D$1181,'Incremental Network SummerFcast'!$A139,'Customer Scenario Forecast'!$H$20:$H$1181,'Incremental Network SummerFcast'!$H$1)+
SUMIFS('Customer Scenario Forecast'!I$24:I$1185,'Customer Scenario Forecast'!$E$20:$E$1181,'Incremental Network SummerFcast'!$A139,'Customer Scenario Forecast'!$H$20:$H$1181,'Incremental Network SummerFcast'!$H$1)+I141))</f>
        <v>0</v>
      </c>
      <c r="J144" s="196">
        <f ca="1">IF($H$1="",
1*(
SUMIFS('Customer Scenario Forecast'!J$24:J$1185,'Customer Scenario Forecast'!$C$20:$C$1181,'Incremental Network SummerFcast'!$A139)+
SUMIFS('Customer Scenario Forecast'!J$24:J$1185,'Customer Scenario Forecast'!$D$20:$D$1181,'Incremental Network SummerFcast'!$A139)+
SUMIFS('Customer Scenario Forecast'!J$24:J$1185,'Customer Scenario Forecast'!$E$20:$E$1181,'Incremental Network SummerFcast'!$A139)+J141),
1*(
SUMIFS('Customer Scenario Forecast'!J$24:J$1185,'Customer Scenario Forecast'!$C$20:$C$1181,'Incremental Network SummerFcast'!$A139,'Customer Scenario Forecast'!$H$20:$H$1181,'Incremental Network SummerFcast'!$H$1)+
SUMIFS('Customer Scenario Forecast'!J$24:J$1185,'Customer Scenario Forecast'!$D$20:$D$1181,'Incremental Network SummerFcast'!$A139,'Customer Scenario Forecast'!$H$20:$H$1181,'Incremental Network SummerFcast'!$H$1)+
SUMIFS('Customer Scenario Forecast'!J$24:J$1185,'Customer Scenario Forecast'!$E$20:$E$1181,'Incremental Network SummerFcast'!$A139,'Customer Scenario Forecast'!$H$20:$H$1181,'Incremental Network SummerFcast'!$H$1)+J141))</f>
        <v>0</v>
      </c>
      <c r="K144" s="196">
        <f ca="1">IF($H$1="",
1*(
SUMIFS('Customer Scenario Forecast'!K$24:K$1185,'Customer Scenario Forecast'!$C$20:$C$1181,'Incremental Network SummerFcast'!$A139)+
SUMIFS('Customer Scenario Forecast'!K$24:K$1185,'Customer Scenario Forecast'!$D$20:$D$1181,'Incremental Network SummerFcast'!$A139)+
SUMIFS('Customer Scenario Forecast'!K$24:K$1185,'Customer Scenario Forecast'!$E$20:$E$1181,'Incremental Network SummerFcast'!$A139)+K141),
1*(
SUMIFS('Customer Scenario Forecast'!K$24:K$1185,'Customer Scenario Forecast'!$C$20:$C$1181,'Incremental Network SummerFcast'!$A139,'Customer Scenario Forecast'!$H$20:$H$1181,'Incremental Network SummerFcast'!$H$1)+
SUMIFS('Customer Scenario Forecast'!K$24:K$1185,'Customer Scenario Forecast'!$D$20:$D$1181,'Incremental Network SummerFcast'!$A139,'Customer Scenario Forecast'!$H$20:$H$1181,'Incremental Network SummerFcast'!$H$1)+
SUMIFS('Customer Scenario Forecast'!K$24:K$1185,'Customer Scenario Forecast'!$E$20:$E$1181,'Incremental Network SummerFcast'!$A139,'Customer Scenario Forecast'!$H$20:$H$1181,'Incremental Network SummerFcast'!$H$1)+K141))</f>
        <v>0</v>
      </c>
      <c r="L144" s="196">
        <f ca="1">IF($H$1="",
1*(
SUMIFS('Customer Scenario Forecast'!L$24:L$1185,'Customer Scenario Forecast'!$C$20:$C$1181,'Incremental Network SummerFcast'!$A139)+
SUMIFS('Customer Scenario Forecast'!L$24:L$1185,'Customer Scenario Forecast'!$D$20:$D$1181,'Incremental Network SummerFcast'!$A139)+
SUMIFS('Customer Scenario Forecast'!L$24:L$1185,'Customer Scenario Forecast'!$E$20:$E$1181,'Incremental Network SummerFcast'!$A139)+L141),
1*(
SUMIFS('Customer Scenario Forecast'!L$24:L$1185,'Customer Scenario Forecast'!$C$20:$C$1181,'Incremental Network SummerFcast'!$A139,'Customer Scenario Forecast'!$H$20:$H$1181,'Incremental Network SummerFcast'!$H$1)+
SUMIFS('Customer Scenario Forecast'!L$24:L$1185,'Customer Scenario Forecast'!$D$20:$D$1181,'Incremental Network SummerFcast'!$A139,'Customer Scenario Forecast'!$H$20:$H$1181,'Incremental Network SummerFcast'!$H$1)+
SUMIFS('Customer Scenario Forecast'!L$24:L$1185,'Customer Scenario Forecast'!$E$20:$E$1181,'Incremental Network SummerFcast'!$A139,'Customer Scenario Forecast'!$H$20:$H$1181,'Incremental Network SummerFcast'!$H$1)+L141))</f>
        <v>0</v>
      </c>
    </row>
    <row r="145" spans="1:13" ht="15" thickBot="1">
      <c r="A145" s="197" t="s">
        <v>109</v>
      </c>
      <c r="B145" s="198">
        <f ca="1">IF($H$1="",
1*(
SUMIFS('Customer Scenario Forecast'!B$25:B$1186,'Customer Scenario Forecast'!$C$20:$C$1181,'Incremental Network SummerFcast'!$A139)+
SUMIFS('Customer Scenario Forecast'!B$25:B$1186,'Customer Scenario Forecast'!$D$20:$D$1181,'Incremental Network SummerFcast'!$A139)+
SUMIFS('Customer Scenario Forecast'!B$25:B$1186,'Customer Scenario Forecast'!$E$20:$E$1181,'Incremental Network SummerFcast'!$A139)+B141),
1*(
SUMIFS('Customer Scenario Forecast'!B$25:B$1186,'Customer Scenario Forecast'!$C$20:$C$1181,'Incremental Network SummerFcast'!$A139,'Customer Scenario Forecast'!$H$20:$H$1181,'Incremental Network SummerFcast'!$H$1)+
SUMIFS('Customer Scenario Forecast'!B$25:B$1186,'Customer Scenario Forecast'!$D$20:$D$1181,'Incremental Network SummerFcast'!$A139,'Customer Scenario Forecast'!$H$20:$H$1181,'Incremental Network SummerFcast'!$H$1)+
SUMIFS('Customer Scenario Forecast'!B$25:B$1186,'Customer Scenario Forecast'!$E$20:$E$1181,'Incremental Network SummerFcast'!$A139,'Customer Scenario Forecast'!$H$20:$H$1181,'Incremental Network SummerFcast'!$H$1)+B141))</f>
        <v>-2</v>
      </c>
      <c r="C145" s="198">
        <f ca="1">IF($H$1="",
1*(
SUMIFS('Customer Scenario Forecast'!C$25:C$1186,'Customer Scenario Forecast'!$C$20:$C$1181,'Incremental Network SummerFcast'!$A139)+
SUMIFS('Customer Scenario Forecast'!C$25:C$1186,'Customer Scenario Forecast'!$D$20:$D$1181,'Incremental Network SummerFcast'!$A139)+
SUMIFS('Customer Scenario Forecast'!C$25:C$1186,'Customer Scenario Forecast'!$E$20:$E$1181,'Incremental Network SummerFcast'!$A139)+C141),
1*(
SUMIFS('Customer Scenario Forecast'!C$25:C$1186,'Customer Scenario Forecast'!$C$20:$C$1181,'Incremental Network SummerFcast'!$A139,'Customer Scenario Forecast'!$H$20:$H$1181,'Incremental Network SummerFcast'!$H$1)+
SUMIFS('Customer Scenario Forecast'!C$25:C$1186,'Customer Scenario Forecast'!$D$20:$D$1181,'Incremental Network SummerFcast'!$A139,'Customer Scenario Forecast'!$H$20:$H$1181,'Incremental Network SummerFcast'!$H$1)+
SUMIFS('Customer Scenario Forecast'!C$25:C$1186,'Customer Scenario Forecast'!$E$20:$E$1181,'Incremental Network SummerFcast'!$A139,'Customer Scenario Forecast'!$H$20:$H$1181,'Incremental Network SummerFcast'!$H$1)+C141))</f>
        <v>1.75</v>
      </c>
      <c r="D145" s="198">
        <f ca="1">IF($H$1="",
1*(
SUMIFS('Customer Scenario Forecast'!D$25:D$1186,'Customer Scenario Forecast'!$C$20:$C$1181,'Incremental Network SummerFcast'!$A139)+
SUMIFS('Customer Scenario Forecast'!D$25:D$1186,'Customer Scenario Forecast'!$D$20:$D$1181,'Incremental Network SummerFcast'!$A139)+
SUMIFS('Customer Scenario Forecast'!D$25:D$1186,'Customer Scenario Forecast'!$E$20:$E$1181,'Incremental Network SummerFcast'!$A139)+D141),
1*(
SUMIFS('Customer Scenario Forecast'!D$25:D$1186,'Customer Scenario Forecast'!$C$20:$C$1181,'Incremental Network SummerFcast'!$A139,'Customer Scenario Forecast'!$H$20:$H$1181,'Incremental Network SummerFcast'!$H$1)+
SUMIFS('Customer Scenario Forecast'!D$25:D$1186,'Customer Scenario Forecast'!$D$20:$D$1181,'Incremental Network SummerFcast'!$A139,'Customer Scenario Forecast'!$H$20:$H$1181,'Incremental Network SummerFcast'!$H$1)+
SUMIFS('Customer Scenario Forecast'!D$25:D$1186,'Customer Scenario Forecast'!$E$20:$E$1181,'Incremental Network SummerFcast'!$A139,'Customer Scenario Forecast'!$H$20:$H$1181,'Incremental Network SummerFcast'!$H$1)+D141))</f>
        <v>13</v>
      </c>
      <c r="E145" s="198">
        <f ca="1">IF($H$1="",
1*(
SUMIFS('Customer Scenario Forecast'!E$25:E$1186,'Customer Scenario Forecast'!$C$20:$C$1181,'Incremental Network SummerFcast'!$A139)+
SUMIFS('Customer Scenario Forecast'!E$25:E$1186,'Customer Scenario Forecast'!$D$20:$D$1181,'Incremental Network SummerFcast'!$A139)+
SUMIFS('Customer Scenario Forecast'!E$25:E$1186,'Customer Scenario Forecast'!$E$20:$E$1181,'Incremental Network SummerFcast'!$A139)+E141),
1*(
SUMIFS('Customer Scenario Forecast'!E$25:E$1186,'Customer Scenario Forecast'!$C$20:$C$1181,'Incremental Network SummerFcast'!$A139,'Customer Scenario Forecast'!$H$20:$H$1181,'Incremental Network SummerFcast'!$H$1)+
SUMIFS('Customer Scenario Forecast'!E$25:E$1186,'Customer Scenario Forecast'!$D$20:$D$1181,'Incremental Network SummerFcast'!$A139,'Customer Scenario Forecast'!$H$20:$H$1181,'Incremental Network SummerFcast'!$H$1)+
SUMIFS('Customer Scenario Forecast'!E$25:E$1186,'Customer Scenario Forecast'!$E$20:$E$1181,'Incremental Network SummerFcast'!$A139,'Customer Scenario Forecast'!$H$20:$H$1181,'Incremental Network SummerFcast'!$H$1)+E141))</f>
        <v>18</v>
      </c>
      <c r="F145" s="198">
        <f ca="1">IF($H$1="",
1*(
SUMIFS('Customer Scenario Forecast'!F$25:F$1186,'Customer Scenario Forecast'!$C$20:$C$1181,'Incremental Network SummerFcast'!$A139)+
SUMIFS('Customer Scenario Forecast'!F$25:F$1186,'Customer Scenario Forecast'!$D$20:$D$1181,'Incremental Network SummerFcast'!$A139)+
SUMIFS('Customer Scenario Forecast'!F$25:F$1186,'Customer Scenario Forecast'!$E$20:$E$1181,'Incremental Network SummerFcast'!$A139)+F141),
1*(
SUMIFS('Customer Scenario Forecast'!F$25:F$1186,'Customer Scenario Forecast'!$C$20:$C$1181,'Incremental Network SummerFcast'!$A139,'Customer Scenario Forecast'!$H$20:$H$1181,'Incremental Network SummerFcast'!$H$1)+
SUMIFS('Customer Scenario Forecast'!F$25:F$1186,'Customer Scenario Forecast'!$D$20:$D$1181,'Incremental Network SummerFcast'!$A139,'Customer Scenario Forecast'!$H$20:$H$1181,'Incremental Network SummerFcast'!$H$1)+
SUMIFS('Customer Scenario Forecast'!F$25:F$1186,'Customer Scenario Forecast'!$E$20:$E$1181,'Incremental Network SummerFcast'!$A139,'Customer Scenario Forecast'!$H$20:$H$1181,'Incremental Network SummerFcast'!$H$1)+F141))</f>
        <v>18</v>
      </c>
      <c r="G145" s="198">
        <f ca="1">IF($H$1="",
1*(
SUMIFS('Customer Scenario Forecast'!G$25:G$1186,'Customer Scenario Forecast'!$C$20:$C$1181,'Incremental Network SummerFcast'!$A139)+
SUMIFS('Customer Scenario Forecast'!G$25:G$1186,'Customer Scenario Forecast'!$D$20:$D$1181,'Incremental Network SummerFcast'!$A139)+
SUMIFS('Customer Scenario Forecast'!G$25:G$1186,'Customer Scenario Forecast'!$E$20:$E$1181,'Incremental Network SummerFcast'!$A139)+G141),
1*(
SUMIFS('Customer Scenario Forecast'!G$25:G$1186,'Customer Scenario Forecast'!$C$20:$C$1181,'Incremental Network SummerFcast'!$A139,'Customer Scenario Forecast'!$H$20:$H$1181,'Incremental Network SummerFcast'!$H$1)+
SUMIFS('Customer Scenario Forecast'!G$25:G$1186,'Customer Scenario Forecast'!$D$20:$D$1181,'Incremental Network SummerFcast'!$A139,'Customer Scenario Forecast'!$H$20:$H$1181,'Incremental Network SummerFcast'!$H$1)+
SUMIFS('Customer Scenario Forecast'!G$25:G$1186,'Customer Scenario Forecast'!$E$20:$E$1181,'Incremental Network SummerFcast'!$A139,'Customer Scenario Forecast'!$H$20:$H$1181,'Incremental Network SummerFcast'!$H$1)+G141))</f>
        <v>18</v>
      </c>
      <c r="H145" s="198">
        <f ca="1">IF($H$1="",
1*(
SUMIFS('Customer Scenario Forecast'!H$25:H$1186,'Customer Scenario Forecast'!$C$20:$C$1181,'Incremental Network SummerFcast'!$A139)+
SUMIFS('Customer Scenario Forecast'!H$25:H$1186,'Customer Scenario Forecast'!$D$20:$D$1181,'Incremental Network SummerFcast'!$A139)+
SUMIFS('Customer Scenario Forecast'!H$25:H$1186,'Customer Scenario Forecast'!$E$20:$E$1181,'Incremental Network SummerFcast'!$A139)+H141),
1*(
SUMIFS('Customer Scenario Forecast'!H$25:H$1186,'Customer Scenario Forecast'!$C$20:$C$1181,'Incremental Network SummerFcast'!$A139,'Customer Scenario Forecast'!$H$20:$H$1181,'Incremental Network SummerFcast'!$H$1)+
SUMIFS('Customer Scenario Forecast'!H$25:H$1186,'Customer Scenario Forecast'!$D$20:$D$1181,'Incremental Network SummerFcast'!$A139,'Customer Scenario Forecast'!$H$20:$H$1181,'Incremental Network SummerFcast'!$H$1)+
SUMIFS('Customer Scenario Forecast'!H$25:H$1186,'Customer Scenario Forecast'!$E$20:$E$1181,'Incremental Network SummerFcast'!$A139,'Customer Scenario Forecast'!$H$20:$H$1181,'Incremental Network SummerFcast'!$H$1)+H141))</f>
        <v>0</v>
      </c>
      <c r="I145" s="198">
        <f ca="1">IF($H$1="",
1*(
SUMIFS('Customer Scenario Forecast'!I$25:I$1186,'Customer Scenario Forecast'!$C$20:$C$1181,'Incremental Network SummerFcast'!$A139)+
SUMIFS('Customer Scenario Forecast'!I$25:I$1186,'Customer Scenario Forecast'!$D$20:$D$1181,'Incremental Network SummerFcast'!$A139)+
SUMIFS('Customer Scenario Forecast'!I$25:I$1186,'Customer Scenario Forecast'!$E$20:$E$1181,'Incremental Network SummerFcast'!$A139)+I141),
1*(
SUMIFS('Customer Scenario Forecast'!I$25:I$1186,'Customer Scenario Forecast'!$C$20:$C$1181,'Incremental Network SummerFcast'!$A139,'Customer Scenario Forecast'!$H$20:$H$1181,'Incremental Network SummerFcast'!$H$1)+
SUMIFS('Customer Scenario Forecast'!I$25:I$1186,'Customer Scenario Forecast'!$D$20:$D$1181,'Incremental Network SummerFcast'!$A139,'Customer Scenario Forecast'!$H$20:$H$1181,'Incremental Network SummerFcast'!$H$1)+
SUMIFS('Customer Scenario Forecast'!I$25:I$1186,'Customer Scenario Forecast'!$E$20:$E$1181,'Incremental Network SummerFcast'!$A139,'Customer Scenario Forecast'!$H$20:$H$1181,'Incremental Network SummerFcast'!$H$1)+I141))</f>
        <v>0</v>
      </c>
      <c r="J145" s="198">
        <f ca="1">IF($H$1="",
1*(
SUMIFS('Customer Scenario Forecast'!J$25:J$1186,'Customer Scenario Forecast'!$C$20:$C$1181,'Incremental Network SummerFcast'!$A139)+
SUMIFS('Customer Scenario Forecast'!J$25:J$1186,'Customer Scenario Forecast'!$D$20:$D$1181,'Incremental Network SummerFcast'!$A139)+
SUMIFS('Customer Scenario Forecast'!J$25:J$1186,'Customer Scenario Forecast'!$E$20:$E$1181,'Incremental Network SummerFcast'!$A139)+J141),
1*(
SUMIFS('Customer Scenario Forecast'!J$25:J$1186,'Customer Scenario Forecast'!$C$20:$C$1181,'Incremental Network SummerFcast'!$A139,'Customer Scenario Forecast'!$H$20:$H$1181,'Incremental Network SummerFcast'!$H$1)+
SUMIFS('Customer Scenario Forecast'!J$25:J$1186,'Customer Scenario Forecast'!$D$20:$D$1181,'Incremental Network SummerFcast'!$A139,'Customer Scenario Forecast'!$H$20:$H$1181,'Incremental Network SummerFcast'!$H$1)+
SUMIFS('Customer Scenario Forecast'!J$25:J$1186,'Customer Scenario Forecast'!$E$20:$E$1181,'Incremental Network SummerFcast'!$A139,'Customer Scenario Forecast'!$H$20:$H$1181,'Incremental Network SummerFcast'!$H$1)+J141))</f>
        <v>0</v>
      </c>
      <c r="K145" s="198">
        <f ca="1">IF($H$1="",
1*(
SUMIFS('Customer Scenario Forecast'!K$25:K$1186,'Customer Scenario Forecast'!$C$20:$C$1181,'Incremental Network SummerFcast'!$A139)+
SUMIFS('Customer Scenario Forecast'!K$25:K$1186,'Customer Scenario Forecast'!$D$20:$D$1181,'Incremental Network SummerFcast'!$A139)+
SUMIFS('Customer Scenario Forecast'!K$25:K$1186,'Customer Scenario Forecast'!$E$20:$E$1181,'Incremental Network SummerFcast'!$A139)+K141),
1*(
SUMIFS('Customer Scenario Forecast'!K$25:K$1186,'Customer Scenario Forecast'!$C$20:$C$1181,'Incremental Network SummerFcast'!$A139,'Customer Scenario Forecast'!$H$20:$H$1181,'Incremental Network SummerFcast'!$H$1)+
SUMIFS('Customer Scenario Forecast'!K$25:K$1186,'Customer Scenario Forecast'!$D$20:$D$1181,'Incremental Network SummerFcast'!$A139,'Customer Scenario Forecast'!$H$20:$H$1181,'Incremental Network SummerFcast'!$H$1)+
SUMIFS('Customer Scenario Forecast'!K$25:K$1186,'Customer Scenario Forecast'!$E$20:$E$1181,'Incremental Network SummerFcast'!$A139,'Customer Scenario Forecast'!$H$20:$H$1181,'Incremental Network SummerFcast'!$H$1)+K141))</f>
        <v>0</v>
      </c>
      <c r="L145" s="198">
        <f ca="1">IF($H$1="",
1*(
SUMIFS('Customer Scenario Forecast'!L$25:L$1186,'Customer Scenario Forecast'!$C$20:$C$1181,'Incremental Network SummerFcast'!$A139)+
SUMIFS('Customer Scenario Forecast'!L$25:L$1186,'Customer Scenario Forecast'!$D$20:$D$1181,'Incremental Network SummerFcast'!$A139)+
SUMIFS('Customer Scenario Forecast'!L$25:L$1186,'Customer Scenario Forecast'!$E$20:$E$1181,'Incremental Network SummerFcast'!$A139)+L141),
1*(
SUMIFS('Customer Scenario Forecast'!L$25:L$1186,'Customer Scenario Forecast'!$C$20:$C$1181,'Incremental Network SummerFcast'!$A139,'Customer Scenario Forecast'!$H$20:$H$1181,'Incremental Network SummerFcast'!$H$1)+
SUMIFS('Customer Scenario Forecast'!L$25:L$1186,'Customer Scenario Forecast'!$D$20:$D$1181,'Incremental Network SummerFcast'!$A139,'Customer Scenario Forecast'!$H$20:$H$1181,'Incremental Network SummerFcast'!$H$1)+
SUMIFS('Customer Scenario Forecast'!L$25:L$1186,'Customer Scenario Forecast'!$E$20:$E$1181,'Incremental Network SummerFcast'!$A139,'Customer Scenario Forecast'!$H$20:$H$1181,'Incremental Network SummerFcast'!$H$1)+L141))</f>
        <v>0</v>
      </c>
    </row>
    <row r="146" spans="1:13" ht="15.6" thickTop="1" thickBot="1">
      <c r="A146" s="197" t="s">
        <v>148</v>
      </c>
      <c r="B146" s="198">
        <f ca="1">'Incremental Network SummerFcast'!$B$245*B143+'Incremental Network SummerFcast'!$B$246*B144+'Incremental Network SummerFcast'!$B$247*B145</f>
        <v>-2</v>
      </c>
      <c r="C146" s="198">
        <f ca="1">'Incremental Network SummerFcast'!$B$245*C143+'Incremental Network SummerFcast'!$B$246*C144+'Incremental Network SummerFcast'!$B$247*C145</f>
        <v>1.75</v>
      </c>
      <c r="D146" s="198">
        <f ca="1">'Incremental Network SummerFcast'!$B$245*D143+'Incremental Network SummerFcast'!$B$246*D144+'Incremental Network SummerFcast'!$B$247*D145</f>
        <v>13</v>
      </c>
      <c r="E146" s="198">
        <f ca="1">'Incremental Network SummerFcast'!$B$245*E143+'Incremental Network SummerFcast'!$B$246*E144+'Incremental Network SummerFcast'!$B$247*E145</f>
        <v>18</v>
      </c>
      <c r="F146" s="198">
        <f ca="1">'Incremental Network SummerFcast'!$B$245*F143+'Incremental Network SummerFcast'!$B$246*F144+'Incremental Network SummerFcast'!$B$247*F145</f>
        <v>18</v>
      </c>
      <c r="G146" s="198">
        <f ca="1">'Incremental Network SummerFcast'!$B$245*G143+'Incremental Network SummerFcast'!$B$246*G144+'Incremental Network SummerFcast'!$B$247*G145</f>
        <v>18</v>
      </c>
      <c r="H146" s="198">
        <f ca="1">'Incremental Network SummerFcast'!$B$245*H143+'Incremental Network SummerFcast'!$B$246*H144+'Incremental Network SummerFcast'!$B$247*H145</f>
        <v>0</v>
      </c>
      <c r="I146" s="198">
        <f ca="1">'Incremental Network SummerFcast'!$B$245*I143+'Incremental Network SummerFcast'!$B$246*I144+'Incremental Network SummerFcast'!$B$247*I145</f>
        <v>0</v>
      </c>
      <c r="J146" s="198">
        <f ca="1">'Incremental Network SummerFcast'!$B$245*J143+'Incremental Network SummerFcast'!$B$246*J144+'Incremental Network SummerFcast'!$B$247*J145</f>
        <v>0</v>
      </c>
      <c r="K146" s="198">
        <f ca="1">'Incremental Network SummerFcast'!$B$245*K143+'Incremental Network SummerFcast'!$B$246*K144+'Incremental Network SummerFcast'!$B$247*K145</f>
        <v>0</v>
      </c>
      <c r="L146" s="198">
        <f ca="1">'Incremental Network SummerFcast'!$B$245*L143+'Incremental Network SummerFcast'!$B$246*L144+'Incremental Network SummerFcast'!$B$247*L145</f>
        <v>0</v>
      </c>
    </row>
    <row r="147" spans="1:13" ht="15.6" thickTop="1" thickBot="1">
      <c r="A147" s="188" t="s">
        <v>123</v>
      </c>
      <c r="B147" s="216"/>
      <c r="C147" s="190"/>
      <c r="D147" s="190"/>
      <c r="E147" s="190"/>
      <c r="F147" s="190"/>
      <c r="G147" s="190"/>
      <c r="H147" s="190"/>
      <c r="I147" s="190"/>
      <c r="J147" s="190"/>
      <c r="K147" s="190"/>
      <c r="L147" s="190"/>
    </row>
    <row r="148" spans="1:13" ht="15" thickBot="1">
      <c r="A148" s="191" t="str">
        <f>A140</f>
        <v>Uptake Scenario</v>
      </c>
      <c r="B148" s="191">
        <f t="shared" ref="B148:L148" si="18">B140</f>
        <v>2023</v>
      </c>
      <c r="C148" s="191">
        <f t="shared" si="18"/>
        <v>2024</v>
      </c>
      <c r="D148" s="191">
        <f t="shared" si="18"/>
        <v>2025</v>
      </c>
      <c r="E148" s="191">
        <f t="shared" si="18"/>
        <v>2026</v>
      </c>
      <c r="F148" s="191">
        <f t="shared" si="18"/>
        <v>2027</v>
      </c>
      <c r="G148" s="191">
        <f t="shared" si="18"/>
        <v>2028</v>
      </c>
      <c r="H148" s="191">
        <f t="shared" si="18"/>
        <v>2029</v>
      </c>
      <c r="I148" s="191">
        <f t="shared" si="18"/>
        <v>2030</v>
      </c>
      <c r="J148" s="191">
        <f t="shared" si="18"/>
        <v>2031</v>
      </c>
      <c r="K148" s="191">
        <f t="shared" si="18"/>
        <v>2032</v>
      </c>
      <c r="L148" s="191">
        <f t="shared" si="18"/>
        <v>2033</v>
      </c>
    </row>
    <row r="149" spans="1:13" ht="15.6" thickTop="1" thickBot="1">
      <c r="A149" s="193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37"/>
    </row>
    <row r="150" spans="1:13" ht="15" thickBot="1">
      <c r="A150" s="193" t="s">
        <v>111</v>
      </c>
      <c r="B150" s="194">
        <f ca="1">IF($H$1="",
SUMIFS('Customer Scenario Forecast'!B$22:B$1183,'Customer Scenario Forecast'!$C$20:$C$1181,'Incremental Network SummerFcast'!$A147)+
SUMIFS('Customer Scenario Forecast'!B$22:B$1183,'Customer Scenario Forecast'!$D$20:$D$1181,'Incremental Network SummerFcast'!$A147)+
SUMIFS('Customer Scenario Forecast'!B$22:B$1183,'Customer Scenario Forecast'!$E$20:$E$1181,'Incremental Network SummerFcast'!$A147),
SUMIFS('Customer Scenario Forecast'!B$22:B$1183,'Customer Scenario Forecast'!$C$20:$C$1181,'Incremental Network SummerFcast'!$A147,'Customer Scenario Forecast'!$H$20:$H$1181,'Incremental Network SummerFcast'!$H$1)+
SUMIFS('Customer Scenario Forecast'!B$22:B$1183,'Customer Scenario Forecast'!$D$20:$D$1181,'Incremental Network SummerFcast'!$A147,'Customer Scenario Forecast'!$H$20:$H$1181,'Incremental Network SummerFcast'!$H$1)+
SUMIFS('Customer Scenario Forecast'!B$22:B$1183,'Customer Scenario Forecast'!$E$20:$E$1181,'Incremental Network SummerFcast'!$A147,'Customer Scenario Forecast'!$H$20:$H$1181,'Incremental Network SummerFcast'!$H$1))</f>
        <v>-31</v>
      </c>
      <c r="C150" s="194">
        <f ca="1">IF($H$1="",
SUMIFS('Customer Scenario Forecast'!C$22:C$1183,'Customer Scenario Forecast'!$C$20:$C$1181,'Incremental Network SummerFcast'!$A147)+
SUMIFS('Customer Scenario Forecast'!C$22:C$1183,'Customer Scenario Forecast'!$D$20:$D$1181,'Incremental Network SummerFcast'!$A147)+
SUMIFS('Customer Scenario Forecast'!C$22:C$1183,'Customer Scenario Forecast'!$E$20:$E$1181,'Incremental Network SummerFcast'!$A147),
SUMIFS('Customer Scenario Forecast'!C$22:C$1183,'Customer Scenario Forecast'!$C$20:$C$1181,'Incremental Network SummerFcast'!$A147,'Customer Scenario Forecast'!$H$20:$H$1181,'Incremental Network SummerFcast'!$H$1)+
SUMIFS('Customer Scenario Forecast'!C$22:C$1183,'Customer Scenario Forecast'!$D$20:$D$1181,'Incremental Network SummerFcast'!$A147,'Customer Scenario Forecast'!$H$20:$H$1181,'Incremental Network SummerFcast'!$H$1)+
SUMIFS('Customer Scenario Forecast'!C$22:C$1183,'Customer Scenario Forecast'!$E$20:$E$1181,'Incremental Network SummerFcast'!$A147,'Customer Scenario Forecast'!$H$20:$H$1181,'Incremental Network SummerFcast'!$H$1))</f>
        <v>0</v>
      </c>
      <c r="D150" s="194">
        <f ca="1">IF($H$1="",
SUMIFS('Customer Scenario Forecast'!D$22:D$1183,'Customer Scenario Forecast'!$C$20:$C$1181,'Incremental Network SummerFcast'!$A147)+
SUMIFS('Customer Scenario Forecast'!D$22:D$1183,'Customer Scenario Forecast'!$D$20:$D$1181,'Incremental Network SummerFcast'!$A147)+
SUMIFS('Customer Scenario Forecast'!D$22:D$1183,'Customer Scenario Forecast'!$E$20:$E$1181,'Incremental Network SummerFcast'!$A147),
SUMIFS('Customer Scenario Forecast'!D$22:D$1183,'Customer Scenario Forecast'!$C$20:$C$1181,'Incremental Network SummerFcast'!$A147,'Customer Scenario Forecast'!$H$20:$H$1181,'Incremental Network SummerFcast'!$H$1)+
SUMIFS('Customer Scenario Forecast'!D$22:D$1183,'Customer Scenario Forecast'!$D$20:$D$1181,'Incremental Network SummerFcast'!$A147,'Customer Scenario Forecast'!$H$20:$H$1181,'Incremental Network SummerFcast'!$H$1)+
SUMIFS('Customer Scenario Forecast'!D$22:D$1183,'Customer Scenario Forecast'!$E$20:$E$1181,'Incremental Network SummerFcast'!$A147,'Customer Scenario Forecast'!$H$20:$H$1181,'Incremental Network SummerFcast'!$H$1))</f>
        <v>13.360126115562503</v>
      </c>
      <c r="E150" s="194">
        <f ca="1">IF($H$1="",
SUMIFS('Customer Scenario Forecast'!E$22:E$1183,'Customer Scenario Forecast'!$C$20:$C$1181,'Incremental Network SummerFcast'!$A147)+
SUMIFS('Customer Scenario Forecast'!E$22:E$1183,'Customer Scenario Forecast'!$D$20:$D$1181,'Incremental Network SummerFcast'!$A147)+
SUMIFS('Customer Scenario Forecast'!E$22:E$1183,'Customer Scenario Forecast'!$E$20:$E$1181,'Incremental Network SummerFcast'!$A147),
SUMIFS('Customer Scenario Forecast'!E$22:E$1183,'Customer Scenario Forecast'!$C$20:$C$1181,'Incremental Network SummerFcast'!$A147,'Customer Scenario Forecast'!$H$20:$H$1181,'Incremental Network SummerFcast'!$H$1)+
SUMIFS('Customer Scenario Forecast'!E$22:E$1183,'Customer Scenario Forecast'!$D$20:$D$1181,'Incremental Network SummerFcast'!$A147,'Customer Scenario Forecast'!$H$20:$H$1181,'Incremental Network SummerFcast'!$H$1)+
SUMIFS('Customer Scenario Forecast'!E$22:E$1183,'Customer Scenario Forecast'!$E$20:$E$1181,'Incremental Network SummerFcast'!$A147,'Customer Scenario Forecast'!$H$20:$H$1181,'Incremental Network SummerFcast'!$H$1))</f>
        <v>51.626888020324408</v>
      </c>
      <c r="F150" s="194">
        <f ca="1">IF($H$1="",
SUMIFS('Customer Scenario Forecast'!F$22:F$1183,'Customer Scenario Forecast'!$C$20:$C$1181,'Incremental Network SummerFcast'!$A147)+
SUMIFS('Customer Scenario Forecast'!F$22:F$1183,'Customer Scenario Forecast'!$D$20:$D$1181,'Incremental Network SummerFcast'!$A147)+
SUMIFS('Customer Scenario Forecast'!F$22:F$1183,'Customer Scenario Forecast'!$E$20:$E$1181,'Incremental Network SummerFcast'!$A147),
SUMIFS('Customer Scenario Forecast'!F$22:F$1183,'Customer Scenario Forecast'!$C$20:$C$1181,'Incremental Network SummerFcast'!$A147,'Customer Scenario Forecast'!$H$20:$H$1181,'Incremental Network SummerFcast'!$H$1)+
SUMIFS('Customer Scenario Forecast'!F$22:F$1183,'Customer Scenario Forecast'!$D$20:$D$1181,'Incremental Network SummerFcast'!$A147,'Customer Scenario Forecast'!$H$20:$H$1181,'Incremental Network SummerFcast'!$H$1)+
SUMIFS('Customer Scenario Forecast'!F$22:F$1183,'Customer Scenario Forecast'!$E$20:$E$1181,'Incremental Network SummerFcast'!$A147,'Customer Scenario Forecast'!$H$20:$H$1181,'Incremental Network SummerFcast'!$H$1))</f>
        <v>83.635149110807106</v>
      </c>
      <c r="G150" s="194">
        <f ca="1">IF($H$1="",
SUMIFS('Customer Scenario Forecast'!G$22:G$1183,'Customer Scenario Forecast'!$C$20:$C$1181,'Incremental Network SummerFcast'!$A147)+
SUMIFS('Customer Scenario Forecast'!G$22:G$1183,'Customer Scenario Forecast'!$D$20:$D$1181,'Incremental Network SummerFcast'!$A147)+
SUMIFS('Customer Scenario Forecast'!G$22:G$1183,'Customer Scenario Forecast'!$E$20:$E$1181,'Incremental Network SummerFcast'!$A147),
SUMIFS('Customer Scenario Forecast'!G$22:G$1183,'Customer Scenario Forecast'!$C$20:$C$1181,'Incremental Network SummerFcast'!$A147,'Customer Scenario Forecast'!$H$20:$H$1181,'Incremental Network SummerFcast'!$H$1)+
SUMIFS('Customer Scenario Forecast'!G$22:G$1183,'Customer Scenario Forecast'!$D$20:$D$1181,'Incremental Network SummerFcast'!$A147,'Customer Scenario Forecast'!$H$20:$H$1181,'Incremental Network SummerFcast'!$H$1)+
SUMIFS('Customer Scenario Forecast'!G$22:G$1183,'Customer Scenario Forecast'!$E$20:$E$1181,'Incremental Network SummerFcast'!$A147,'Customer Scenario Forecast'!$H$20:$H$1181,'Incremental Network SummerFcast'!$H$1))</f>
        <v>119.81247105074587</v>
      </c>
      <c r="H150" s="194">
        <f ca="1">IF($H$1="",
SUMIFS('Customer Scenario Forecast'!H$22:H$1183,'Customer Scenario Forecast'!$C$20:$C$1181,'Incremental Network SummerFcast'!$A147)+
SUMIFS('Customer Scenario Forecast'!H$22:H$1183,'Customer Scenario Forecast'!$D$20:$D$1181,'Incremental Network SummerFcast'!$A147)+
SUMIFS('Customer Scenario Forecast'!H$22:H$1183,'Customer Scenario Forecast'!$E$20:$E$1181,'Incremental Network SummerFcast'!$A147),
SUMIFS('Customer Scenario Forecast'!H$22:H$1183,'Customer Scenario Forecast'!$C$20:$C$1181,'Incremental Network SummerFcast'!$A147,'Customer Scenario Forecast'!$H$20:$H$1181,'Incremental Network SummerFcast'!$H$1)+
SUMIFS('Customer Scenario Forecast'!H$22:H$1183,'Customer Scenario Forecast'!$D$20:$D$1181,'Incremental Network SummerFcast'!$A147,'Customer Scenario Forecast'!$H$20:$H$1181,'Incremental Network SummerFcast'!$H$1)+
SUMIFS('Customer Scenario Forecast'!H$22:H$1183,'Customer Scenario Forecast'!$E$20:$E$1181,'Incremental Network SummerFcast'!$A147,'Customer Scenario Forecast'!$H$20:$H$1181,'Incremental Network SummerFcast'!$H$1))</f>
        <v>186.68806152693634</v>
      </c>
      <c r="I150" s="194">
        <f ca="1">IF($H$1="",
SUMIFS('Customer Scenario Forecast'!I$22:I$1183,'Customer Scenario Forecast'!$C$20:$C$1181,'Incremental Network SummerFcast'!$A147)+
SUMIFS('Customer Scenario Forecast'!I$22:I$1183,'Customer Scenario Forecast'!$D$20:$D$1181,'Incremental Network SummerFcast'!$A147)+
SUMIFS('Customer Scenario Forecast'!I$22:I$1183,'Customer Scenario Forecast'!$E$20:$E$1181,'Incremental Network SummerFcast'!$A147),
SUMIFS('Customer Scenario Forecast'!I$22:I$1183,'Customer Scenario Forecast'!$C$20:$C$1181,'Incremental Network SummerFcast'!$A147,'Customer Scenario Forecast'!$H$20:$H$1181,'Incremental Network SummerFcast'!$H$1)+
SUMIFS('Customer Scenario Forecast'!I$22:I$1183,'Customer Scenario Forecast'!$D$20:$D$1181,'Incremental Network SummerFcast'!$A147,'Customer Scenario Forecast'!$H$20:$H$1181,'Incremental Network SummerFcast'!$H$1)+
SUMIFS('Customer Scenario Forecast'!I$22:I$1183,'Customer Scenario Forecast'!$E$20:$E$1181,'Incremental Network SummerFcast'!$A147,'Customer Scenario Forecast'!$H$20:$H$1181,'Incremental Network SummerFcast'!$H$1))</f>
        <v>234.03646353332033</v>
      </c>
      <c r="J150" s="194">
        <f ca="1">IF($H$1="",
SUMIFS('Customer Scenario Forecast'!J$22:J$1183,'Customer Scenario Forecast'!$C$20:$C$1181,'Incremental Network SummerFcast'!$A147)+
SUMIFS('Customer Scenario Forecast'!J$22:J$1183,'Customer Scenario Forecast'!$D$20:$D$1181,'Incremental Network SummerFcast'!$A147)+
SUMIFS('Customer Scenario Forecast'!J$22:J$1183,'Customer Scenario Forecast'!$E$20:$E$1181,'Incremental Network SummerFcast'!$A147),
SUMIFS('Customer Scenario Forecast'!J$22:J$1183,'Customer Scenario Forecast'!$C$20:$C$1181,'Incremental Network SummerFcast'!$A147,'Customer Scenario Forecast'!$H$20:$H$1181,'Incremental Network SummerFcast'!$H$1)+
SUMIFS('Customer Scenario Forecast'!J$22:J$1183,'Customer Scenario Forecast'!$D$20:$D$1181,'Incremental Network SummerFcast'!$A147,'Customer Scenario Forecast'!$H$20:$H$1181,'Incremental Network SummerFcast'!$H$1)+
SUMIFS('Customer Scenario Forecast'!J$22:J$1183,'Customer Scenario Forecast'!$E$20:$E$1181,'Incremental Network SummerFcast'!$A147,'Customer Scenario Forecast'!$H$20:$H$1181,'Incremental Network SummerFcast'!$H$1))</f>
        <v>289.33136956419776</v>
      </c>
      <c r="K150" s="194">
        <f ca="1">IF($H$1="",
SUMIFS('Customer Scenario Forecast'!K$22:K$1183,'Customer Scenario Forecast'!$C$20:$C$1181,'Incremental Network SummerFcast'!$A147)+
SUMIFS('Customer Scenario Forecast'!K$22:K$1183,'Customer Scenario Forecast'!$D$20:$D$1181,'Incremental Network SummerFcast'!$A147)+
SUMIFS('Customer Scenario Forecast'!K$22:K$1183,'Customer Scenario Forecast'!$E$20:$E$1181,'Incremental Network SummerFcast'!$A147),
SUMIFS('Customer Scenario Forecast'!K$22:K$1183,'Customer Scenario Forecast'!$C$20:$C$1181,'Incremental Network SummerFcast'!$A147,'Customer Scenario Forecast'!$H$20:$H$1181,'Incremental Network SummerFcast'!$H$1)+
SUMIFS('Customer Scenario Forecast'!K$22:K$1183,'Customer Scenario Forecast'!$D$20:$D$1181,'Incremental Network SummerFcast'!$A147,'Customer Scenario Forecast'!$H$20:$H$1181,'Incremental Network SummerFcast'!$H$1)+
SUMIFS('Customer Scenario Forecast'!K$22:K$1183,'Customer Scenario Forecast'!$E$20:$E$1181,'Incremental Network SummerFcast'!$A147,'Customer Scenario Forecast'!$H$20:$H$1181,'Incremental Network SummerFcast'!$H$1))</f>
        <v>355.8215390124422</v>
      </c>
      <c r="L150" s="194">
        <f ca="1">IF($H$1="",
SUMIFS('Customer Scenario Forecast'!L$22:L$1183,'Customer Scenario Forecast'!$C$20:$C$1181,'Incremental Network SummerFcast'!$A147)+
SUMIFS('Customer Scenario Forecast'!L$22:L$1183,'Customer Scenario Forecast'!$D$20:$D$1181,'Incremental Network SummerFcast'!$A147)+
SUMIFS('Customer Scenario Forecast'!L$22:L$1183,'Customer Scenario Forecast'!$E$20:$E$1181,'Incremental Network SummerFcast'!$A147),
SUMIFS('Customer Scenario Forecast'!L$22:L$1183,'Customer Scenario Forecast'!$C$20:$C$1181,'Incremental Network SummerFcast'!$A147,'Customer Scenario Forecast'!$H$20:$H$1181,'Incremental Network SummerFcast'!$H$1)+
SUMIFS('Customer Scenario Forecast'!L$22:L$1183,'Customer Scenario Forecast'!$D$20:$D$1181,'Incremental Network SummerFcast'!$A147,'Customer Scenario Forecast'!$H$20:$H$1181,'Incremental Network SummerFcast'!$H$1)+
SUMIFS('Customer Scenario Forecast'!L$22:L$1183,'Customer Scenario Forecast'!$E$20:$E$1181,'Incremental Network SummerFcast'!$A147,'Customer Scenario Forecast'!$H$20:$H$1181,'Incremental Network SummerFcast'!$H$1))</f>
        <v>429.45272544329362</v>
      </c>
      <c r="M150" s="37"/>
    </row>
    <row r="151" spans="1:13" ht="15" thickBot="1">
      <c r="A151" s="195" t="s">
        <v>107</v>
      </c>
      <c r="B151" s="196">
        <f ca="1">IF($H$1="",
1*(
SUMIFS('Customer Scenario Forecast'!B$23:B$1184,'Customer Scenario Forecast'!$C$20:$C$1181,'Incremental Network SummerFcast'!$A147)+
SUMIFS('Customer Scenario Forecast'!B$23:B$1184,'Customer Scenario Forecast'!$D$20:$D$1181,'Incremental Network SummerFcast'!$A147)+
SUMIFS('Customer Scenario Forecast'!B$23:B$1184,'Customer Scenario Forecast'!$E$20:$E$1181,'Incremental Network SummerFcast'!$A147)+B149),
1*(
SUMIFS('Customer Scenario Forecast'!B$23:B$1184,'Customer Scenario Forecast'!$C$20:$C$1181,'Incremental Network SummerFcast'!$A147,'Customer Scenario Forecast'!$H$20:$H$1181,'Incremental Network SummerFcast'!$H$1)+
SUMIFS('Customer Scenario Forecast'!B$23:B$1184,'Customer Scenario Forecast'!$D$20:$D$1181,'Incremental Network SummerFcast'!$A147,'Customer Scenario Forecast'!$H$20:$H$1181,'Incremental Network SummerFcast'!$H$1)+
SUMIFS('Customer Scenario Forecast'!B$23:B$1184,'Customer Scenario Forecast'!$E$20:$E$1181,'Incremental Network SummerFcast'!$A147,'Customer Scenario Forecast'!$H$20:$H$1181,'Incremental Network SummerFcast'!$H$1)+B149))</f>
        <v>-31</v>
      </c>
      <c r="C151" s="196">
        <f ca="1">IF($H$1="",
1*(
SUMIFS('Customer Scenario Forecast'!C$23:C$1184,'Customer Scenario Forecast'!$C$20:$C$1181,'Incremental Network SummerFcast'!$A147)+
SUMIFS('Customer Scenario Forecast'!C$23:C$1184,'Customer Scenario Forecast'!$D$20:$D$1181,'Incremental Network SummerFcast'!$A147)+
SUMIFS('Customer Scenario Forecast'!C$23:C$1184,'Customer Scenario Forecast'!$E$20:$E$1181,'Incremental Network SummerFcast'!$A147)+C149),
1*(
SUMIFS('Customer Scenario Forecast'!C$23:C$1184,'Customer Scenario Forecast'!$C$20:$C$1181,'Incremental Network SummerFcast'!$A147,'Customer Scenario Forecast'!$H$20:$H$1181,'Incremental Network SummerFcast'!$H$1)+
SUMIFS('Customer Scenario Forecast'!C$23:C$1184,'Customer Scenario Forecast'!$D$20:$D$1181,'Incremental Network SummerFcast'!$A147,'Customer Scenario Forecast'!$H$20:$H$1181,'Incremental Network SummerFcast'!$H$1)+
SUMIFS('Customer Scenario Forecast'!C$23:C$1184,'Customer Scenario Forecast'!$E$20:$E$1181,'Incremental Network SummerFcast'!$A147,'Customer Scenario Forecast'!$H$20:$H$1181,'Incremental Network SummerFcast'!$H$1)+C149))</f>
        <v>0</v>
      </c>
      <c r="D151" s="196">
        <f ca="1">IF($H$1="",
1*(
SUMIFS('Customer Scenario Forecast'!D$23:D$1184,'Customer Scenario Forecast'!$C$20:$C$1181,'Incremental Network SummerFcast'!$A147)+
SUMIFS('Customer Scenario Forecast'!D$23:D$1184,'Customer Scenario Forecast'!$D$20:$D$1181,'Incremental Network SummerFcast'!$A147)+
SUMIFS('Customer Scenario Forecast'!D$23:D$1184,'Customer Scenario Forecast'!$E$20:$E$1181,'Incremental Network SummerFcast'!$A147)+D149),
1*(
SUMIFS('Customer Scenario Forecast'!D$23:D$1184,'Customer Scenario Forecast'!$C$20:$C$1181,'Incremental Network SummerFcast'!$A147,'Customer Scenario Forecast'!$H$20:$H$1181,'Incremental Network SummerFcast'!$H$1)+
SUMIFS('Customer Scenario Forecast'!D$23:D$1184,'Customer Scenario Forecast'!$D$20:$D$1181,'Incremental Network SummerFcast'!$A147,'Customer Scenario Forecast'!$H$20:$H$1181,'Incremental Network SummerFcast'!$H$1)+
SUMIFS('Customer Scenario Forecast'!D$23:D$1184,'Customer Scenario Forecast'!$E$20:$E$1181,'Incremental Network SummerFcast'!$A147,'Customer Scenario Forecast'!$H$20:$H$1181,'Incremental Network SummerFcast'!$H$1)+D149))</f>
        <v>4</v>
      </c>
      <c r="E151" s="196">
        <f ca="1">IF($H$1="",
1*(
SUMIFS('Customer Scenario Forecast'!E$23:E$1184,'Customer Scenario Forecast'!$C$20:$C$1181,'Incremental Network SummerFcast'!$A147)+
SUMIFS('Customer Scenario Forecast'!E$23:E$1184,'Customer Scenario Forecast'!$D$20:$D$1181,'Incremental Network SummerFcast'!$A147)+
SUMIFS('Customer Scenario Forecast'!E$23:E$1184,'Customer Scenario Forecast'!$E$20:$E$1181,'Incremental Network SummerFcast'!$A147)+E149),
1*(
SUMIFS('Customer Scenario Forecast'!E$23:E$1184,'Customer Scenario Forecast'!$C$20:$C$1181,'Incremental Network SummerFcast'!$A147,'Customer Scenario Forecast'!$H$20:$H$1181,'Incremental Network SummerFcast'!$H$1)+
SUMIFS('Customer Scenario Forecast'!E$23:E$1184,'Customer Scenario Forecast'!$D$20:$D$1181,'Incremental Network SummerFcast'!$A147,'Customer Scenario Forecast'!$H$20:$H$1181,'Incremental Network SummerFcast'!$H$1)+
SUMIFS('Customer Scenario Forecast'!E$23:E$1184,'Customer Scenario Forecast'!$E$20:$E$1181,'Incremental Network SummerFcast'!$A147,'Customer Scenario Forecast'!$H$20:$H$1181,'Incremental Network SummerFcast'!$H$1)+E149))</f>
        <v>23.549999999999997</v>
      </c>
      <c r="F151" s="196">
        <f ca="1">IF($H$1="",
1*(
SUMIFS('Customer Scenario Forecast'!F$23:F$1184,'Customer Scenario Forecast'!$C$20:$C$1181,'Incremental Network SummerFcast'!$A147)+
SUMIFS('Customer Scenario Forecast'!F$23:F$1184,'Customer Scenario Forecast'!$D$20:$D$1181,'Incremental Network SummerFcast'!$A147)+
SUMIFS('Customer Scenario Forecast'!F$23:F$1184,'Customer Scenario Forecast'!$E$20:$E$1181,'Incremental Network SummerFcast'!$A147)+F149),
1*(
SUMIFS('Customer Scenario Forecast'!F$23:F$1184,'Customer Scenario Forecast'!$C$20:$C$1181,'Incremental Network SummerFcast'!$A147,'Customer Scenario Forecast'!$H$20:$H$1181,'Incremental Network SummerFcast'!$H$1)+
SUMIFS('Customer Scenario Forecast'!F$23:F$1184,'Customer Scenario Forecast'!$D$20:$D$1181,'Incremental Network SummerFcast'!$A147,'Customer Scenario Forecast'!$H$20:$H$1181,'Incremental Network SummerFcast'!$H$1)+
SUMIFS('Customer Scenario Forecast'!F$23:F$1184,'Customer Scenario Forecast'!$E$20:$E$1181,'Incremental Network SummerFcast'!$A147,'Customer Scenario Forecast'!$H$20:$H$1181,'Incremental Network SummerFcast'!$H$1)+F149))</f>
        <v>33.186461796625629</v>
      </c>
      <c r="G151" s="196">
        <f ca="1">IF($H$1="",
1*(
SUMIFS('Customer Scenario Forecast'!G$23:G$1184,'Customer Scenario Forecast'!$C$20:$C$1181,'Incremental Network SummerFcast'!$A147)+
SUMIFS('Customer Scenario Forecast'!G$23:G$1184,'Customer Scenario Forecast'!$D$20:$D$1181,'Incremental Network SummerFcast'!$A147)+
SUMIFS('Customer Scenario Forecast'!G$23:G$1184,'Customer Scenario Forecast'!$E$20:$E$1181,'Incremental Network SummerFcast'!$A147)+G149),
1*(
SUMIFS('Customer Scenario Forecast'!G$23:G$1184,'Customer Scenario Forecast'!$C$20:$C$1181,'Incremental Network SummerFcast'!$A147,'Customer Scenario Forecast'!$H$20:$H$1181,'Incremental Network SummerFcast'!$H$1)+
SUMIFS('Customer Scenario Forecast'!G$23:G$1184,'Customer Scenario Forecast'!$D$20:$D$1181,'Incremental Network SummerFcast'!$A147,'Customer Scenario Forecast'!$H$20:$H$1181,'Incremental Network SummerFcast'!$H$1)+
SUMIFS('Customer Scenario Forecast'!G$23:G$1184,'Customer Scenario Forecast'!$E$20:$E$1181,'Incremental Network SummerFcast'!$A147,'Customer Scenario Forecast'!$H$20:$H$1181,'Incremental Network SummerFcast'!$H$1)+G149))</f>
        <v>56.605281539964821</v>
      </c>
      <c r="H151" s="196">
        <f ca="1">IF($H$1="",
1*(
SUMIFS('Customer Scenario Forecast'!H$23:H$1184,'Customer Scenario Forecast'!$C$20:$C$1181,'Incremental Network SummerFcast'!$A147)+
SUMIFS('Customer Scenario Forecast'!H$23:H$1184,'Customer Scenario Forecast'!$D$20:$D$1181,'Incremental Network SummerFcast'!$A147)+
SUMIFS('Customer Scenario Forecast'!H$23:H$1184,'Customer Scenario Forecast'!$E$20:$E$1181,'Incremental Network SummerFcast'!$A147)+H149),
1*(
SUMIFS('Customer Scenario Forecast'!H$23:H$1184,'Customer Scenario Forecast'!$C$20:$C$1181,'Incremental Network SummerFcast'!$A147,'Customer Scenario Forecast'!$H$20:$H$1181,'Incremental Network SummerFcast'!$H$1)+
SUMIFS('Customer Scenario Forecast'!H$23:H$1184,'Customer Scenario Forecast'!$D$20:$D$1181,'Incremental Network SummerFcast'!$A147,'Customer Scenario Forecast'!$H$20:$H$1181,'Incremental Network SummerFcast'!$H$1)+
SUMIFS('Customer Scenario Forecast'!H$23:H$1184,'Customer Scenario Forecast'!$E$20:$E$1181,'Incremental Network SummerFcast'!$A147,'Customer Scenario Forecast'!$H$20:$H$1181,'Incremental Network SummerFcast'!$H$1)+H149))</f>
        <v>78.457714397107679</v>
      </c>
      <c r="I151" s="196">
        <f ca="1">IF($H$1="",
1*(
SUMIFS('Customer Scenario Forecast'!I$23:I$1184,'Customer Scenario Forecast'!$C$20:$C$1181,'Incremental Network SummerFcast'!$A147)+
SUMIFS('Customer Scenario Forecast'!I$23:I$1184,'Customer Scenario Forecast'!$D$20:$D$1181,'Incremental Network SummerFcast'!$A147)+
SUMIFS('Customer Scenario Forecast'!I$23:I$1184,'Customer Scenario Forecast'!$E$20:$E$1181,'Incremental Network SummerFcast'!$A147)+I149),
1*(
SUMIFS('Customer Scenario Forecast'!I$23:I$1184,'Customer Scenario Forecast'!$C$20:$C$1181,'Incremental Network SummerFcast'!$A147,'Customer Scenario Forecast'!$H$20:$H$1181,'Incremental Network SummerFcast'!$H$1)+
SUMIFS('Customer Scenario Forecast'!I$23:I$1184,'Customer Scenario Forecast'!$D$20:$D$1181,'Incremental Network SummerFcast'!$A147,'Customer Scenario Forecast'!$H$20:$H$1181,'Incremental Network SummerFcast'!$H$1)+
SUMIFS('Customer Scenario Forecast'!I$23:I$1184,'Customer Scenario Forecast'!$E$20:$E$1181,'Incremental Network SummerFcast'!$A147,'Customer Scenario Forecast'!$H$20:$H$1181,'Incremental Network SummerFcast'!$H$1)+I149))</f>
        <v>102.41979134948863</v>
      </c>
      <c r="J151" s="196">
        <f ca="1">IF($H$1="",
1*(
SUMIFS('Customer Scenario Forecast'!J$23:J$1184,'Customer Scenario Forecast'!$C$20:$C$1181,'Incremental Network SummerFcast'!$A147)+
SUMIFS('Customer Scenario Forecast'!J$23:J$1184,'Customer Scenario Forecast'!$D$20:$D$1181,'Incremental Network SummerFcast'!$A147)+
SUMIFS('Customer Scenario Forecast'!J$23:J$1184,'Customer Scenario Forecast'!$E$20:$E$1181,'Incremental Network SummerFcast'!$A147)+J149),
1*(
SUMIFS('Customer Scenario Forecast'!J$23:J$1184,'Customer Scenario Forecast'!$C$20:$C$1181,'Incremental Network SummerFcast'!$A147,'Customer Scenario Forecast'!$H$20:$H$1181,'Incremental Network SummerFcast'!$H$1)+
SUMIFS('Customer Scenario Forecast'!J$23:J$1184,'Customer Scenario Forecast'!$D$20:$D$1181,'Incremental Network SummerFcast'!$A147,'Customer Scenario Forecast'!$H$20:$H$1181,'Incremental Network SummerFcast'!$H$1)+
SUMIFS('Customer Scenario Forecast'!J$23:J$1184,'Customer Scenario Forecast'!$E$20:$E$1181,'Incremental Network SummerFcast'!$A147,'Customer Scenario Forecast'!$H$20:$H$1181,'Incremental Network SummerFcast'!$H$1)+J149))</f>
        <v>134.21783134948862</v>
      </c>
      <c r="K151" s="196">
        <f ca="1">IF($H$1="",
1*(
SUMIFS('Customer Scenario Forecast'!K$23:K$1184,'Customer Scenario Forecast'!$C$20:$C$1181,'Incremental Network SummerFcast'!$A147)+
SUMIFS('Customer Scenario Forecast'!K$23:K$1184,'Customer Scenario Forecast'!$D$20:$D$1181,'Incremental Network SummerFcast'!$A147)+
SUMIFS('Customer Scenario Forecast'!K$23:K$1184,'Customer Scenario Forecast'!$E$20:$E$1181,'Incremental Network SummerFcast'!$A147)+K149),
1*(
SUMIFS('Customer Scenario Forecast'!K$23:K$1184,'Customer Scenario Forecast'!$C$20:$C$1181,'Incremental Network SummerFcast'!$A147,'Customer Scenario Forecast'!$H$20:$H$1181,'Incremental Network SummerFcast'!$H$1)+
SUMIFS('Customer Scenario Forecast'!K$23:K$1184,'Customer Scenario Forecast'!$D$20:$D$1181,'Incremental Network SummerFcast'!$A147,'Customer Scenario Forecast'!$H$20:$H$1181,'Incremental Network SummerFcast'!$H$1)+
SUMIFS('Customer Scenario Forecast'!K$23:K$1184,'Customer Scenario Forecast'!$E$20:$E$1181,'Incremental Network SummerFcast'!$A147,'Customer Scenario Forecast'!$H$20:$H$1181,'Incremental Network SummerFcast'!$H$1)+K149))</f>
        <v>163.85257747547391</v>
      </c>
      <c r="L151" s="196">
        <f ca="1">IF($H$1="",
1*(
SUMIFS('Customer Scenario Forecast'!L$23:L$1184,'Customer Scenario Forecast'!$C$20:$C$1181,'Incremental Network SummerFcast'!$A147)+
SUMIFS('Customer Scenario Forecast'!L$23:L$1184,'Customer Scenario Forecast'!$D$20:$D$1181,'Incremental Network SummerFcast'!$A147)+
SUMIFS('Customer Scenario Forecast'!L$23:L$1184,'Customer Scenario Forecast'!$E$20:$E$1181,'Incremental Network SummerFcast'!$A147)+L149),
1*(
SUMIFS('Customer Scenario Forecast'!L$23:L$1184,'Customer Scenario Forecast'!$C$20:$C$1181,'Incremental Network SummerFcast'!$A147,'Customer Scenario Forecast'!$H$20:$H$1181,'Incremental Network SummerFcast'!$H$1)+
SUMIFS('Customer Scenario Forecast'!L$23:L$1184,'Customer Scenario Forecast'!$D$20:$D$1181,'Incremental Network SummerFcast'!$A147,'Customer Scenario Forecast'!$H$20:$H$1181,'Incremental Network SummerFcast'!$H$1)+
SUMIFS('Customer Scenario Forecast'!L$23:L$1184,'Customer Scenario Forecast'!$E$20:$E$1181,'Incremental Network SummerFcast'!$A147,'Customer Scenario Forecast'!$H$20:$H$1181,'Incremental Network SummerFcast'!$H$1)+L149))</f>
        <v>180.57261597628818</v>
      </c>
    </row>
    <row r="152" spans="1:13" ht="15" thickBot="1">
      <c r="A152" s="195" t="s">
        <v>108</v>
      </c>
      <c r="B152" s="196">
        <f ca="1">IF($H$1="",
1*(
SUMIFS('Customer Scenario Forecast'!B$24:B$1185,'Customer Scenario Forecast'!$C$20:$C$1181,'Incremental Network SummerFcast'!$A147)+
SUMIFS('Customer Scenario Forecast'!B$24:B$1185,'Customer Scenario Forecast'!$D$20:$D$1181,'Incremental Network SummerFcast'!$A147)+
SUMIFS('Customer Scenario Forecast'!B$24:B$1185,'Customer Scenario Forecast'!$E$20:$E$1181,'Incremental Network SummerFcast'!$A147)+B149),
1*(
SUMIFS('Customer Scenario Forecast'!B$24:B$1185,'Customer Scenario Forecast'!$C$20:$C$1181,'Incremental Network SummerFcast'!$A147,'Customer Scenario Forecast'!$H$20:$H$1181,'Incremental Network SummerFcast'!$H$1)+
SUMIFS('Customer Scenario Forecast'!B$24:B$1185,'Customer Scenario Forecast'!$D$20:$D$1181,'Incremental Network SummerFcast'!$A147,'Customer Scenario Forecast'!$H$20:$H$1181,'Incremental Network SummerFcast'!$H$1)+
SUMIFS('Customer Scenario Forecast'!B$24:B$1185,'Customer Scenario Forecast'!$E$20:$E$1181,'Incremental Network SummerFcast'!$A147,'Customer Scenario Forecast'!$H$20:$H$1181,'Incremental Network SummerFcast'!$H$1)+B149))</f>
        <v>-31</v>
      </c>
      <c r="C152" s="196">
        <f ca="1">IF($H$1="",
1*(
SUMIFS('Customer Scenario Forecast'!C$24:C$1185,'Customer Scenario Forecast'!$C$20:$C$1181,'Incremental Network SummerFcast'!$A147)+
SUMIFS('Customer Scenario Forecast'!C$24:C$1185,'Customer Scenario Forecast'!$D$20:$D$1181,'Incremental Network SummerFcast'!$A147)+
SUMIFS('Customer Scenario Forecast'!C$24:C$1185,'Customer Scenario Forecast'!$E$20:$E$1181,'Incremental Network SummerFcast'!$A147)+C149),
1*(
SUMIFS('Customer Scenario Forecast'!C$24:C$1185,'Customer Scenario Forecast'!$C$20:$C$1181,'Incremental Network SummerFcast'!$A147,'Customer Scenario Forecast'!$H$20:$H$1181,'Incremental Network SummerFcast'!$H$1)+
SUMIFS('Customer Scenario Forecast'!C$24:C$1185,'Customer Scenario Forecast'!$D$20:$D$1181,'Incremental Network SummerFcast'!$A147,'Customer Scenario Forecast'!$H$20:$H$1181,'Incremental Network SummerFcast'!$H$1)+
SUMIFS('Customer Scenario Forecast'!C$24:C$1185,'Customer Scenario Forecast'!$E$20:$E$1181,'Incremental Network SummerFcast'!$A147,'Customer Scenario Forecast'!$H$20:$H$1181,'Incremental Network SummerFcast'!$H$1)+C149))</f>
        <v>0</v>
      </c>
      <c r="D152" s="196">
        <f ca="1">IF($H$1="",
1*(
SUMIFS('Customer Scenario Forecast'!D$24:D$1185,'Customer Scenario Forecast'!$C$20:$C$1181,'Incremental Network SummerFcast'!$A147)+
SUMIFS('Customer Scenario Forecast'!D$24:D$1185,'Customer Scenario Forecast'!$D$20:$D$1181,'Incremental Network SummerFcast'!$A147)+
SUMIFS('Customer Scenario Forecast'!D$24:D$1185,'Customer Scenario Forecast'!$E$20:$E$1181,'Incremental Network SummerFcast'!$A147)+D149),
1*(
SUMIFS('Customer Scenario Forecast'!D$24:D$1185,'Customer Scenario Forecast'!$C$20:$C$1181,'Incremental Network SummerFcast'!$A147,'Customer Scenario Forecast'!$H$20:$H$1181,'Incremental Network SummerFcast'!$H$1)+
SUMIFS('Customer Scenario Forecast'!D$24:D$1185,'Customer Scenario Forecast'!$D$20:$D$1181,'Incremental Network SummerFcast'!$A147,'Customer Scenario Forecast'!$H$20:$H$1181,'Incremental Network SummerFcast'!$H$1)+
SUMIFS('Customer Scenario Forecast'!D$24:D$1185,'Customer Scenario Forecast'!$E$20:$E$1181,'Incremental Network SummerFcast'!$A147,'Customer Scenario Forecast'!$H$20:$H$1181,'Incremental Network SummerFcast'!$H$1)+D149))</f>
        <v>4</v>
      </c>
      <c r="E152" s="196">
        <f ca="1">IF($H$1="",
1*(
SUMIFS('Customer Scenario Forecast'!E$24:E$1185,'Customer Scenario Forecast'!$C$20:$C$1181,'Incremental Network SummerFcast'!$A147)+
SUMIFS('Customer Scenario Forecast'!E$24:E$1185,'Customer Scenario Forecast'!$D$20:$D$1181,'Incremental Network SummerFcast'!$A147)+
SUMIFS('Customer Scenario Forecast'!E$24:E$1185,'Customer Scenario Forecast'!$E$20:$E$1181,'Incremental Network SummerFcast'!$A147)+E149),
1*(
SUMIFS('Customer Scenario Forecast'!E$24:E$1185,'Customer Scenario Forecast'!$C$20:$C$1181,'Incremental Network SummerFcast'!$A147,'Customer Scenario Forecast'!$H$20:$H$1181,'Incremental Network SummerFcast'!$H$1)+
SUMIFS('Customer Scenario Forecast'!E$24:E$1185,'Customer Scenario Forecast'!$D$20:$D$1181,'Incremental Network SummerFcast'!$A147,'Customer Scenario Forecast'!$H$20:$H$1181,'Incremental Network SummerFcast'!$H$1)+
SUMIFS('Customer Scenario Forecast'!E$24:E$1185,'Customer Scenario Forecast'!$E$20:$E$1181,'Incremental Network SummerFcast'!$A147,'Customer Scenario Forecast'!$H$20:$H$1181,'Incremental Network SummerFcast'!$H$1)+E149))</f>
        <v>23.549999999999997</v>
      </c>
      <c r="F152" s="196">
        <f ca="1">IF($H$1="",
1*(
SUMIFS('Customer Scenario Forecast'!F$24:F$1185,'Customer Scenario Forecast'!$C$20:$C$1181,'Incremental Network SummerFcast'!$A147)+
SUMIFS('Customer Scenario Forecast'!F$24:F$1185,'Customer Scenario Forecast'!$D$20:$D$1181,'Incremental Network SummerFcast'!$A147)+
SUMIFS('Customer Scenario Forecast'!F$24:F$1185,'Customer Scenario Forecast'!$E$20:$E$1181,'Incremental Network SummerFcast'!$A147)+F149),
1*(
SUMIFS('Customer Scenario Forecast'!F$24:F$1185,'Customer Scenario Forecast'!$C$20:$C$1181,'Incremental Network SummerFcast'!$A147,'Customer Scenario Forecast'!$H$20:$H$1181,'Incremental Network SummerFcast'!$H$1)+
SUMIFS('Customer Scenario Forecast'!F$24:F$1185,'Customer Scenario Forecast'!$D$20:$D$1181,'Incremental Network SummerFcast'!$A147,'Customer Scenario Forecast'!$H$20:$H$1181,'Incremental Network SummerFcast'!$H$1)+
SUMIFS('Customer Scenario Forecast'!F$24:F$1185,'Customer Scenario Forecast'!$E$20:$E$1181,'Incremental Network SummerFcast'!$A147,'Customer Scenario Forecast'!$H$20:$H$1181,'Incremental Network SummerFcast'!$H$1)+F149))</f>
        <v>28.6</v>
      </c>
      <c r="G152" s="196">
        <f ca="1">IF($H$1="",
1*(
SUMIFS('Customer Scenario Forecast'!G$24:G$1185,'Customer Scenario Forecast'!$C$20:$C$1181,'Incremental Network SummerFcast'!$A147)+
SUMIFS('Customer Scenario Forecast'!G$24:G$1185,'Customer Scenario Forecast'!$D$20:$D$1181,'Incremental Network SummerFcast'!$A147)+
SUMIFS('Customer Scenario Forecast'!G$24:G$1185,'Customer Scenario Forecast'!$E$20:$E$1181,'Incremental Network SummerFcast'!$A147)+G149),
1*(
SUMIFS('Customer Scenario Forecast'!G$24:G$1185,'Customer Scenario Forecast'!$C$20:$C$1181,'Incremental Network SummerFcast'!$A147,'Customer Scenario Forecast'!$H$20:$H$1181,'Incremental Network SummerFcast'!$H$1)+
SUMIFS('Customer Scenario Forecast'!G$24:G$1185,'Customer Scenario Forecast'!$D$20:$D$1181,'Incremental Network SummerFcast'!$A147,'Customer Scenario Forecast'!$H$20:$H$1181,'Incremental Network SummerFcast'!$H$1)+
SUMIFS('Customer Scenario Forecast'!G$24:G$1185,'Customer Scenario Forecast'!$E$20:$E$1181,'Incremental Network SummerFcast'!$A147,'Customer Scenario Forecast'!$H$20:$H$1181,'Incremental Network SummerFcast'!$H$1)+G149))</f>
        <v>36.822025223112504</v>
      </c>
      <c r="H152" s="196">
        <f ca="1">IF($H$1="",
1*(
SUMIFS('Customer Scenario Forecast'!H$24:H$1185,'Customer Scenario Forecast'!$C$20:$C$1181,'Incremental Network SummerFcast'!$A147)+
SUMIFS('Customer Scenario Forecast'!H$24:H$1185,'Customer Scenario Forecast'!$D$20:$D$1181,'Incremental Network SummerFcast'!$A147)+
SUMIFS('Customer Scenario Forecast'!H$24:H$1185,'Customer Scenario Forecast'!$E$20:$E$1181,'Incremental Network SummerFcast'!$A147)+H149),
1*(
SUMIFS('Customer Scenario Forecast'!H$24:H$1185,'Customer Scenario Forecast'!$C$20:$C$1181,'Incremental Network SummerFcast'!$A147,'Customer Scenario Forecast'!$H$20:$H$1181,'Incremental Network SummerFcast'!$H$1)+
SUMIFS('Customer Scenario Forecast'!H$24:H$1185,'Customer Scenario Forecast'!$D$20:$D$1181,'Incremental Network SummerFcast'!$A147,'Customer Scenario Forecast'!$H$20:$H$1181,'Incremental Network SummerFcast'!$H$1)+
SUMIFS('Customer Scenario Forecast'!H$24:H$1185,'Customer Scenario Forecast'!$E$20:$E$1181,'Incremental Network SummerFcast'!$A147,'Customer Scenario Forecast'!$H$20:$H$1181,'Incremental Network SummerFcast'!$H$1)+H149))</f>
        <v>62.880448544068791</v>
      </c>
      <c r="I152" s="196">
        <f ca="1">IF($H$1="",
1*(
SUMIFS('Customer Scenario Forecast'!I$24:I$1185,'Customer Scenario Forecast'!$C$20:$C$1181,'Incremental Network SummerFcast'!$A147)+
SUMIFS('Customer Scenario Forecast'!I$24:I$1185,'Customer Scenario Forecast'!$D$20:$D$1181,'Incremental Network SummerFcast'!$A147)+
SUMIFS('Customer Scenario Forecast'!I$24:I$1185,'Customer Scenario Forecast'!$E$20:$E$1181,'Incremental Network SummerFcast'!$A147)+I149),
1*(
SUMIFS('Customer Scenario Forecast'!I$24:I$1185,'Customer Scenario Forecast'!$C$20:$C$1181,'Incremental Network SummerFcast'!$A147,'Customer Scenario Forecast'!$H$20:$H$1181,'Incremental Network SummerFcast'!$H$1)+
SUMIFS('Customer Scenario Forecast'!I$24:I$1185,'Customer Scenario Forecast'!$D$20:$D$1181,'Incremental Network SummerFcast'!$A147,'Customer Scenario Forecast'!$H$20:$H$1181,'Incremental Network SummerFcast'!$H$1)+
SUMIFS('Customer Scenario Forecast'!I$24:I$1185,'Customer Scenario Forecast'!$E$20:$E$1181,'Incremental Network SummerFcast'!$A147,'Customer Scenario Forecast'!$H$20:$H$1181,'Incremental Network SummerFcast'!$H$1)+I149))</f>
        <v>82.858005686925935</v>
      </c>
      <c r="J152" s="196">
        <f ca="1">IF($H$1="",
1*(
SUMIFS('Customer Scenario Forecast'!J$24:J$1185,'Customer Scenario Forecast'!$C$20:$C$1181,'Incremental Network SummerFcast'!$A147)+
SUMIFS('Customer Scenario Forecast'!J$24:J$1185,'Customer Scenario Forecast'!$D$20:$D$1181,'Incremental Network SummerFcast'!$A147)+
SUMIFS('Customer Scenario Forecast'!J$24:J$1185,'Customer Scenario Forecast'!$E$20:$E$1181,'Incremental Network SummerFcast'!$A147)+J149),
1*(
SUMIFS('Customer Scenario Forecast'!J$24:J$1185,'Customer Scenario Forecast'!$C$20:$C$1181,'Incremental Network SummerFcast'!$A147,'Customer Scenario Forecast'!$H$20:$H$1181,'Incremental Network SummerFcast'!$H$1)+
SUMIFS('Customer Scenario Forecast'!J$24:J$1185,'Customer Scenario Forecast'!$D$20:$D$1181,'Incremental Network SummerFcast'!$A147,'Customer Scenario Forecast'!$H$20:$H$1181,'Incremental Network SummerFcast'!$H$1)+
SUMIFS('Customer Scenario Forecast'!J$24:J$1185,'Customer Scenario Forecast'!$E$20:$E$1181,'Incremental Network SummerFcast'!$A147,'Customer Scenario Forecast'!$H$20:$H$1181,'Incremental Network SummerFcast'!$H$1)+J149))</f>
        <v>102.83256187740213</v>
      </c>
      <c r="K152" s="196">
        <f ca="1">IF($H$1="",
1*(
SUMIFS('Customer Scenario Forecast'!K$24:K$1185,'Customer Scenario Forecast'!$C$20:$C$1181,'Incremental Network SummerFcast'!$A147)+
SUMIFS('Customer Scenario Forecast'!K$24:K$1185,'Customer Scenario Forecast'!$D$20:$D$1181,'Incremental Network SummerFcast'!$A147)+
SUMIFS('Customer Scenario Forecast'!K$24:K$1185,'Customer Scenario Forecast'!$E$20:$E$1181,'Incremental Network SummerFcast'!$A147)+K149),
1*(
SUMIFS('Customer Scenario Forecast'!K$24:K$1185,'Customer Scenario Forecast'!$C$20:$C$1181,'Incremental Network SummerFcast'!$A147,'Customer Scenario Forecast'!$H$20:$H$1181,'Incremental Network SummerFcast'!$H$1)+
SUMIFS('Customer Scenario Forecast'!K$24:K$1185,'Customer Scenario Forecast'!$D$20:$D$1181,'Incremental Network SummerFcast'!$A147,'Customer Scenario Forecast'!$H$20:$H$1181,'Incremental Network SummerFcast'!$H$1)+
SUMIFS('Customer Scenario Forecast'!K$24:K$1185,'Customer Scenario Forecast'!$E$20:$E$1181,'Incremental Network SummerFcast'!$A147,'Customer Scenario Forecast'!$H$20:$H$1181,'Incremental Network SummerFcast'!$H$1)+K149))</f>
        <v>113.39507616311641</v>
      </c>
      <c r="L152" s="196">
        <f ca="1">IF($H$1="",
1*(
SUMIFS('Customer Scenario Forecast'!L$24:L$1185,'Customer Scenario Forecast'!$C$20:$C$1181,'Incremental Network SummerFcast'!$A147)+
SUMIFS('Customer Scenario Forecast'!L$24:L$1185,'Customer Scenario Forecast'!$D$20:$D$1181,'Incremental Network SummerFcast'!$A147)+
SUMIFS('Customer Scenario Forecast'!L$24:L$1185,'Customer Scenario Forecast'!$E$20:$E$1181,'Incremental Network SummerFcast'!$A147)+L149),
1*(
SUMIFS('Customer Scenario Forecast'!L$24:L$1185,'Customer Scenario Forecast'!$C$20:$C$1181,'Incremental Network SummerFcast'!$A147,'Customer Scenario Forecast'!$H$20:$H$1181,'Incremental Network SummerFcast'!$H$1)+
SUMIFS('Customer Scenario Forecast'!L$24:L$1185,'Customer Scenario Forecast'!$D$20:$D$1181,'Incremental Network SummerFcast'!$A147,'Customer Scenario Forecast'!$H$20:$H$1181,'Incremental Network SummerFcast'!$H$1)+
SUMIFS('Customer Scenario Forecast'!L$24:L$1185,'Customer Scenario Forecast'!$E$20:$E$1181,'Incremental Network SummerFcast'!$A147,'Customer Scenario Forecast'!$H$20:$H$1181,'Incremental Network SummerFcast'!$H$1)+L149))</f>
        <v>123.85817370725036</v>
      </c>
    </row>
    <row r="153" spans="1:13" ht="15" thickBot="1">
      <c r="A153" s="197" t="s">
        <v>109</v>
      </c>
      <c r="B153" s="198">
        <f ca="1">IF($H$1="",
1*(
SUMIFS('Customer Scenario Forecast'!B$25:B$1186,'Customer Scenario Forecast'!$C$20:$C$1181,'Incremental Network SummerFcast'!$A147)+
SUMIFS('Customer Scenario Forecast'!B$25:B$1186,'Customer Scenario Forecast'!$D$20:$D$1181,'Incremental Network SummerFcast'!$A147)+
SUMIFS('Customer Scenario Forecast'!B$25:B$1186,'Customer Scenario Forecast'!$E$20:$E$1181,'Incremental Network SummerFcast'!$A147)+B149),
1*(
SUMIFS('Customer Scenario Forecast'!B$25:B$1186,'Customer Scenario Forecast'!$C$20:$C$1181,'Incremental Network SummerFcast'!$A147,'Customer Scenario Forecast'!$H$20:$H$1181,'Incremental Network SummerFcast'!$H$1)+
SUMIFS('Customer Scenario Forecast'!B$25:B$1186,'Customer Scenario Forecast'!$D$20:$D$1181,'Incremental Network SummerFcast'!$A147,'Customer Scenario Forecast'!$H$20:$H$1181,'Incremental Network SummerFcast'!$H$1)+
SUMIFS('Customer Scenario Forecast'!B$25:B$1186,'Customer Scenario Forecast'!$E$20:$E$1181,'Incremental Network SummerFcast'!$A147,'Customer Scenario Forecast'!$H$20:$H$1181,'Incremental Network SummerFcast'!$H$1)+B149))</f>
        <v>-31</v>
      </c>
      <c r="C153" s="198">
        <f ca="1">IF($H$1="",
1*(
SUMIFS('Customer Scenario Forecast'!C$25:C$1186,'Customer Scenario Forecast'!$C$20:$C$1181,'Incremental Network SummerFcast'!$A147)+
SUMIFS('Customer Scenario Forecast'!C$25:C$1186,'Customer Scenario Forecast'!$D$20:$D$1181,'Incremental Network SummerFcast'!$A147)+
SUMIFS('Customer Scenario Forecast'!C$25:C$1186,'Customer Scenario Forecast'!$E$20:$E$1181,'Incremental Network SummerFcast'!$A147)+C149),
1*(
SUMIFS('Customer Scenario Forecast'!C$25:C$1186,'Customer Scenario Forecast'!$C$20:$C$1181,'Incremental Network SummerFcast'!$A147,'Customer Scenario Forecast'!$H$20:$H$1181,'Incremental Network SummerFcast'!$H$1)+
SUMIFS('Customer Scenario Forecast'!C$25:C$1186,'Customer Scenario Forecast'!$D$20:$D$1181,'Incremental Network SummerFcast'!$A147,'Customer Scenario Forecast'!$H$20:$H$1181,'Incremental Network SummerFcast'!$H$1)+
SUMIFS('Customer Scenario Forecast'!C$25:C$1186,'Customer Scenario Forecast'!$E$20:$E$1181,'Incremental Network SummerFcast'!$A147,'Customer Scenario Forecast'!$H$20:$H$1181,'Incremental Network SummerFcast'!$H$1)+C149))</f>
        <v>0</v>
      </c>
      <c r="D153" s="198">
        <f ca="1">IF($H$1="",
1*(
SUMIFS('Customer Scenario Forecast'!D$25:D$1186,'Customer Scenario Forecast'!$C$20:$C$1181,'Incremental Network SummerFcast'!$A147)+
SUMIFS('Customer Scenario Forecast'!D$25:D$1186,'Customer Scenario Forecast'!$D$20:$D$1181,'Incremental Network SummerFcast'!$A147)+
SUMIFS('Customer Scenario Forecast'!D$25:D$1186,'Customer Scenario Forecast'!$E$20:$E$1181,'Incremental Network SummerFcast'!$A147)+D149),
1*(
SUMIFS('Customer Scenario Forecast'!D$25:D$1186,'Customer Scenario Forecast'!$C$20:$C$1181,'Incremental Network SummerFcast'!$A147,'Customer Scenario Forecast'!$H$20:$H$1181,'Incremental Network SummerFcast'!$H$1)+
SUMIFS('Customer Scenario Forecast'!D$25:D$1186,'Customer Scenario Forecast'!$D$20:$D$1181,'Incremental Network SummerFcast'!$A147,'Customer Scenario Forecast'!$H$20:$H$1181,'Incremental Network SummerFcast'!$H$1)+
SUMIFS('Customer Scenario Forecast'!D$25:D$1186,'Customer Scenario Forecast'!$E$20:$E$1181,'Incremental Network SummerFcast'!$A147,'Customer Scenario Forecast'!$H$20:$H$1181,'Incremental Network SummerFcast'!$H$1)+D149))</f>
        <v>4</v>
      </c>
      <c r="E153" s="198">
        <f ca="1">IF($H$1="",
1*(
SUMIFS('Customer Scenario Forecast'!E$25:E$1186,'Customer Scenario Forecast'!$C$20:$C$1181,'Incremental Network SummerFcast'!$A147)+
SUMIFS('Customer Scenario Forecast'!E$25:E$1186,'Customer Scenario Forecast'!$D$20:$D$1181,'Incremental Network SummerFcast'!$A147)+
SUMIFS('Customer Scenario Forecast'!E$25:E$1186,'Customer Scenario Forecast'!$E$20:$E$1181,'Incremental Network SummerFcast'!$A147)+E149),
1*(
SUMIFS('Customer Scenario Forecast'!E$25:E$1186,'Customer Scenario Forecast'!$C$20:$C$1181,'Incremental Network SummerFcast'!$A147,'Customer Scenario Forecast'!$H$20:$H$1181,'Incremental Network SummerFcast'!$H$1)+
SUMIFS('Customer Scenario Forecast'!E$25:E$1186,'Customer Scenario Forecast'!$D$20:$D$1181,'Incremental Network SummerFcast'!$A147,'Customer Scenario Forecast'!$H$20:$H$1181,'Incremental Network SummerFcast'!$H$1)+
SUMIFS('Customer Scenario Forecast'!E$25:E$1186,'Customer Scenario Forecast'!$E$20:$E$1181,'Incremental Network SummerFcast'!$A147,'Customer Scenario Forecast'!$H$20:$H$1181,'Incremental Network SummerFcast'!$H$1)+E149))</f>
        <v>30.289290803205002</v>
      </c>
      <c r="F153" s="198">
        <f ca="1">IF($H$1="",
1*(
SUMIFS('Customer Scenario Forecast'!F$25:F$1186,'Customer Scenario Forecast'!$C$20:$C$1181,'Incremental Network SummerFcast'!$A147)+
SUMIFS('Customer Scenario Forecast'!F$25:F$1186,'Customer Scenario Forecast'!$D$20:$D$1181,'Incremental Network SummerFcast'!$A147)+
SUMIFS('Customer Scenario Forecast'!F$25:F$1186,'Customer Scenario Forecast'!$E$20:$E$1181,'Incremental Network SummerFcast'!$A147)+F149),
1*(
SUMIFS('Customer Scenario Forecast'!F$25:F$1186,'Customer Scenario Forecast'!$C$20:$C$1181,'Incremental Network SummerFcast'!$A147,'Customer Scenario Forecast'!$H$20:$H$1181,'Incremental Network SummerFcast'!$H$1)+
SUMIFS('Customer Scenario Forecast'!F$25:F$1186,'Customer Scenario Forecast'!$D$20:$D$1181,'Incremental Network SummerFcast'!$A147,'Customer Scenario Forecast'!$H$20:$H$1181,'Incremental Network SummerFcast'!$H$1)+
SUMIFS('Customer Scenario Forecast'!F$25:F$1186,'Customer Scenario Forecast'!$E$20:$E$1181,'Incremental Network SummerFcast'!$A147,'Customer Scenario Forecast'!$H$20:$H$1181,'Incremental Network SummerFcast'!$H$1)+F149))</f>
        <v>57.590477607973426</v>
      </c>
      <c r="G153" s="198">
        <f ca="1">IF($H$1="",
1*(
SUMIFS('Customer Scenario Forecast'!G$25:G$1186,'Customer Scenario Forecast'!$C$20:$C$1181,'Incremental Network SummerFcast'!$A147)+
SUMIFS('Customer Scenario Forecast'!G$25:G$1186,'Customer Scenario Forecast'!$D$20:$D$1181,'Incremental Network SummerFcast'!$A147)+
SUMIFS('Customer Scenario Forecast'!G$25:G$1186,'Customer Scenario Forecast'!$E$20:$E$1181,'Incremental Network SummerFcast'!$A147)+G149),
1*(
SUMIFS('Customer Scenario Forecast'!G$25:G$1186,'Customer Scenario Forecast'!$C$20:$C$1181,'Incremental Network SummerFcast'!$A147,'Customer Scenario Forecast'!$H$20:$H$1181,'Incremental Network SummerFcast'!$H$1)+
SUMIFS('Customer Scenario Forecast'!G$25:G$1186,'Customer Scenario Forecast'!$D$20:$D$1181,'Incremental Network SummerFcast'!$A147,'Customer Scenario Forecast'!$H$20:$H$1181,'Incremental Network SummerFcast'!$H$1)+
SUMIFS('Customer Scenario Forecast'!G$25:G$1186,'Customer Scenario Forecast'!$E$20:$E$1181,'Incremental Network SummerFcast'!$A147,'Customer Scenario Forecast'!$H$20:$H$1181,'Incremental Network SummerFcast'!$H$1)+G149))</f>
        <v>69.79495475083057</v>
      </c>
      <c r="H153" s="198">
        <f ca="1">IF($H$1="",
1*(
SUMIFS('Customer Scenario Forecast'!H$25:H$1186,'Customer Scenario Forecast'!$C$20:$C$1181,'Incremental Network SummerFcast'!$A147)+
SUMIFS('Customer Scenario Forecast'!H$25:H$1186,'Customer Scenario Forecast'!$D$20:$D$1181,'Incremental Network SummerFcast'!$A147)+
SUMIFS('Customer Scenario Forecast'!H$25:H$1186,'Customer Scenario Forecast'!$E$20:$E$1181,'Incremental Network SummerFcast'!$A147)+H149),
1*(
SUMIFS('Customer Scenario Forecast'!H$25:H$1186,'Customer Scenario Forecast'!$C$20:$C$1181,'Incremental Network SummerFcast'!$A147,'Customer Scenario Forecast'!$H$20:$H$1181,'Incremental Network SummerFcast'!$H$1)+
SUMIFS('Customer Scenario Forecast'!H$25:H$1186,'Customer Scenario Forecast'!$D$20:$D$1181,'Incremental Network SummerFcast'!$A147,'Customer Scenario Forecast'!$H$20:$H$1181,'Incremental Network SummerFcast'!$H$1)+
SUMIFS('Customer Scenario Forecast'!H$25:H$1186,'Customer Scenario Forecast'!$E$20:$E$1181,'Incremental Network SummerFcast'!$A147,'Customer Scenario Forecast'!$H$20:$H$1181,'Incremental Network SummerFcast'!$H$1)+H149))</f>
        <v>95.961814179401998</v>
      </c>
      <c r="I153" s="198">
        <f ca="1">IF($H$1="",
1*(
SUMIFS('Customer Scenario Forecast'!I$25:I$1186,'Customer Scenario Forecast'!$C$20:$C$1181,'Incremental Network SummerFcast'!$A147)+
SUMIFS('Customer Scenario Forecast'!I$25:I$1186,'Customer Scenario Forecast'!$D$20:$D$1181,'Incremental Network SummerFcast'!$A147)+
SUMIFS('Customer Scenario Forecast'!I$25:I$1186,'Customer Scenario Forecast'!$E$20:$E$1181,'Incremental Network SummerFcast'!$A147)+I149),
1*(
SUMIFS('Customer Scenario Forecast'!I$25:I$1186,'Customer Scenario Forecast'!$C$20:$C$1181,'Incremental Network SummerFcast'!$A147,'Customer Scenario Forecast'!$H$20:$H$1181,'Incremental Network SummerFcast'!$H$1)+
SUMIFS('Customer Scenario Forecast'!I$25:I$1186,'Customer Scenario Forecast'!$D$20:$D$1181,'Incremental Network SummerFcast'!$A147,'Customer Scenario Forecast'!$H$20:$H$1181,'Incremental Network SummerFcast'!$H$1)+
SUMIFS('Customer Scenario Forecast'!I$25:I$1186,'Customer Scenario Forecast'!$E$20:$E$1181,'Incremental Network SummerFcast'!$A147,'Customer Scenario Forecast'!$H$20:$H$1181,'Incremental Network SummerFcast'!$H$1)+I149))</f>
        <v>144.18350560797344</v>
      </c>
      <c r="J153" s="198">
        <f ca="1">IF($H$1="",
1*(
SUMIFS('Customer Scenario Forecast'!J$25:J$1186,'Customer Scenario Forecast'!$C$20:$C$1181,'Incremental Network SummerFcast'!$A147)+
SUMIFS('Customer Scenario Forecast'!J$25:J$1186,'Customer Scenario Forecast'!$D$20:$D$1181,'Incremental Network SummerFcast'!$A147)+
SUMIFS('Customer Scenario Forecast'!J$25:J$1186,'Customer Scenario Forecast'!$E$20:$E$1181,'Incremental Network SummerFcast'!$A147)+J149),
1*(
SUMIFS('Customer Scenario Forecast'!J$25:J$1186,'Customer Scenario Forecast'!$C$20:$C$1181,'Incremental Network SummerFcast'!$A147,'Customer Scenario Forecast'!$H$20:$H$1181,'Incremental Network SummerFcast'!$H$1)+
SUMIFS('Customer Scenario Forecast'!J$25:J$1186,'Customer Scenario Forecast'!$D$20:$D$1181,'Incremental Network SummerFcast'!$A147,'Customer Scenario Forecast'!$H$20:$H$1181,'Incremental Network SummerFcast'!$H$1)+
SUMIFS('Customer Scenario Forecast'!J$25:J$1186,'Customer Scenario Forecast'!$E$20:$E$1181,'Incremental Network SummerFcast'!$A147,'Customer Scenario Forecast'!$H$20:$H$1181,'Incremental Network SummerFcast'!$H$1)+J149))</f>
        <v>193.32042009380496</v>
      </c>
      <c r="K153" s="198">
        <f ca="1">IF($H$1="",
1*(
SUMIFS('Customer Scenario Forecast'!K$25:K$1186,'Customer Scenario Forecast'!$C$20:$C$1181,'Incremental Network SummerFcast'!$A147)+
SUMIFS('Customer Scenario Forecast'!K$25:K$1186,'Customer Scenario Forecast'!$D$20:$D$1181,'Incremental Network SummerFcast'!$A147)+
SUMIFS('Customer Scenario Forecast'!K$25:K$1186,'Customer Scenario Forecast'!$E$20:$E$1181,'Incremental Network SummerFcast'!$A147)+K149),
1*(
SUMIFS('Customer Scenario Forecast'!K$25:K$1186,'Customer Scenario Forecast'!$C$20:$C$1181,'Incremental Network SummerFcast'!$A147,'Customer Scenario Forecast'!$H$20:$H$1181,'Incremental Network SummerFcast'!$H$1)+
SUMIFS('Customer Scenario Forecast'!K$25:K$1186,'Customer Scenario Forecast'!$D$20:$D$1181,'Incremental Network SummerFcast'!$A147,'Customer Scenario Forecast'!$H$20:$H$1181,'Incremental Network SummerFcast'!$H$1)+
SUMIFS('Customer Scenario Forecast'!K$25:K$1186,'Customer Scenario Forecast'!$E$20:$E$1181,'Incremental Network SummerFcast'!$A147,'Customer Scenario Forecast'!$H$20:$H$1181,'Incremental Network SummerFcast'!$H$1)+K149))</f>
        <v>223.37484543130739</v>
      </c>
      <c r="L153" s="198">
        <f ca="1">IF($H$1="",
1*(
SUMIFS('Customer Scenario Forecast'!L$25:L$1186,'Customer Scenario Forecast'!$C$20:$C$1181,'Incremental Network SummerFcast'!$A147)+
SUMIFS('Customer Scenario Forecast'!L$25:L$1186,'Customer Scenario Forecast'!$D$20:$D$1181,'Incremental Network SummerFcast'!$A147)+
SUMIFS('Customer Scenario Forecast'!L$25:L$1186,'Customer Scenario Forecast'!$E$20:$E$1181,'Incremental Network SummerFcast'!$A147)+L149),
1*(
SUMIFS('Customer Scenario Forecast'!L$25:L$1186,'Customer Scenario Forecast'!$C$20:$C$1181,'Incremental Network SummerFcast'!$A147,'Customer Scenario Forecast'!$H$20:$H$1181,'Incremental Network SummerFcast'!$H$1)+
SUMIFS('Customer Scenario Forecast'!L$25:L$1186,'Customer Scenario Forecast'!$D$20:$D$1181,'Incremental Network SummerFcast'!$A147,'Customer Scenario Forecast'!$H$20:$H$1181,'Incremental Network SummerFcast'!$H$1)+
SUMIFS('Customer Scenario Forecast'!L$25:L$1186,'Customer Scenario Forecast'!$E$20:$E$1181,'Incremental Network SummerFcast'!$A147,'Customer Scenario Forecast'!$H$20:$H$1181,'Incremental Network SummerFcast'!$H$1)+L149))</f>
        <v>239.9274032433066</v>
      </c>
    </row>
    <row r="154" spans="1:13" ht="15.6" thickTop="1" thickBot="1">
      <c r="A154" s="197" t="s">
        <v>148</v>
      </c>
      <c r="B154" s="198">
        <f ca="1">'Incremental Network SummerFcast'!$B$245*B151+'Incremental Network SummerFcast'!$B$246*B152+'Incremental Network SummerFcast'!$B$247*B153</f>
        <v>-31</v>
      </c>
      <c r="C154" s="198">
        <f ca="1">'Incremental Network SummerFcast'!$B$245*C151+'Incremental Network SummerFcast'!$B$246*C152+'Incremental Network SummerFcast'!$B$247*C153</f>
        <v>0</v>
      </c>
      <c r="D154" s="198">
        <f ca="1">'Incremental Network SummerFcast'!$B$245*D151+'Incremental Network SummerFcast'!$B$246*D152+'Incremental Network SummerFcast'!$B$247*D153</f>
        <v>4</v>
      </c>
      <c r="E154" s="198">
        <f ca="1">'Incremental Network SummerFcast'!$B$245*E151+'Incremental Network SummerFcast'!$B$246*E152+'Incremental Network SummerFcast'!$B$247*E153</f>
        <v>25.234822700801249</v>
      </c>
      <c r="F154" s="198">
        <f ca="1">'Incremental Network SummerFcast'!$B$245*F151+'Incremental Network SummerFcast'!$B$246*F152+'Incremental Network SummerFcast'!$B$247*F153</f>
        <v>38.14085030030617</v>
      </c>
      <c r="G154" s="198">
        <f ca="1">'Incremental Network SummerFcast'!$B$245*G151+'Incremental Network SummerFcast'!$B$246*G152+'Incremental Network SummerFcast'!$B$247*G153</f>
        <v>54.956885763468179</v>
      </c>
      <c r="H154" s="198">
        <f ca="1">'Incremental Network SummerFcast'!$B$245*H151+'Incremental Network SummerFcast'!$B$246*H152+'Incremental Network SummerFcast'!$B$247*H153</f>
        <v>78.939422879421542</v>
      </c>
      <c r="I154" s="198">
        <f ca="1">'Incremental Network SummerFcast'!$B$245*I151+'Incremental Network SummerFcast'!$B$246*I152+'Incremental Network SummerFcast'!$B$247*I153</f>
        <v>107.97027349846917</v>
      </c>
      <c r="J154" s="198">
        <f ca="1">'Incremental Network SummerFcast'!$B$245*J151+'Incremental Network SummerFcast'!$B$246*J152+'Incremental Network SummerFcast'!$B$247*J153</f>
        <v>141.14716116754607</v>
      </c>
      <c r="K154" s="198">
        <f ca="1">'Incremental Network SummerFcast'!$B$245*K151+'Incremental Network SummerFcast'!$B$246*K152+'Incremental Network SummerFcast'!$B$247*K153</f>
        <v>166.11876913634291</v>
      </c>
      <c r="L154" s="198">
        <f ca="1">'Incremental Network SummerFcast'!$B$245*L151+'Incremental Network SummerFcast'!$B$246*L152+'Incremental Network SummerFcast'!$B$247*L153</f>
        <v>181.23270222578333</v>
      </c>
    </row>
    <row r="155" spans="1:13" ht="15.6" thickTop="1" thickBot="1">
      <c r="A155" s="188" t="s">
        <v>115</v>
      </c>
      <c r="B155" s="216"/>
      <c r="C155" s="190"/>
      <c r="D155" s="190"/>
      <c r="E155" s="190"/>
      <c r="F155" s="190"/>
      <c r="G155" s="190"/>
      <c r="H155" s="190"/>
      <c r="I155" s="190"/>
      <c r="J155" s="190"/>
      <c r="K155" s="190"/>
      <c r="L155" s="190"/>
    </row>
    <row r="156" spans="1:13" ht="15" thickBot="1">
      <c r="A156" s="191" t="str">
        <f>A148</f>
        <v>Uptake Scenario</v>
      </c>
      <c r="B156" s="191">
        <f t="shared" ref="B156:L156" si="19">B148</f>
        <v>2023</v>
      </c>
      <c r="C156" s="191">
        <f t="shared" si="19"/>
        <v>2024</v>
      </c>
      <c r="D156" s="191">
        <f t="shared" si="19"/>
        <v>2025</v>
      </c>
      <c r="E156" s="191">
        <f t="shared" si="19"/>
        <v>2026</v>
      </c>
      <c r="F156" s="191">
        <f t="shared" si="19"/>
        <v>2027</v>
      </c>
      <c r="G156" s="191">
        <f t="shared" si="19"/>
        <v>2028</v>
      </c>
      <c r="H156" s="191">
        <f t="shared" si="19"/>
        <v>2029</v>
      </c>
      <c r="I156" s="191">
        <f t="shared" si="19"/>
        <v>2030</v>
      </c>
      <c r="J156" s="191">
        <f t="shared" si="19"/>
        <v>2031</v>
      </c>
      <c r="K156" s="191">
        <f t="shared" si="19"/>
        <v>2032</v>
      </c>
      <c r="L156" s="191">
        <f t="shared" si="19"/>
        <v>2033</v>
      </c>
    </row>
    <row r="157" spans="1:13" ht="15.6" thickTop="1" thickBot="1">
      <c r="A157" s="193"/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37"/>
    </row>
    <row r="158" spans="1:13" ht="15" thickBot="1">
      <c r="A158" s="193" t="s">
        <v>111</v>
      </c>
      <c r="B158" s="194">
        <f ca="1">IF($H$1="",
SUMIFS('Customer Scenario Forecast'!B$22:B$1183,'Customer Scenario Forecast'!$C$20:$C$1181,'Incremental Network SummerFcast'!$A155)+
SUMIFS('Customer Scenario Forecast'!B$22:B$1183,'Customer Scenario Forecast'!$D$20:$D$1181,'Incremental Network SummerFcast'!$A155)+
SUMIFS('Customer Scenario Forecast'!B$22:B$1183,'Customer Scenario Forecast'!$E$20:$E$1181,'Incremental Network SummerFcast'!$A155),
SUMIFS('Customer Scenario Forecast'!B$22:B$1183,'Customer Scenario Forecast'!$C$20:$C$1181,'Incremental Network SummerFcast'!$A155,'Customer Scenario Forecast'!$H$20:$H$1181,'Incremental Network SummerFcast'!$H$1)+
SUMIFS('Customer Scenario Forecast'!B$22:B$1183,'Customer Scenario Forecast'!$D$20:$D$1181,'Incremental Network SummerFcast'!$A155,'Customer Scenario Forecast'!$H$20:$H$1181,'Incremental Network SummerFcast'!$H$1)+
SUMIFS('Customer Scenario Forecast'!B$22:B$1183,'Customer Scenario Forecast'!$E$20:$E$1181,'Incremental Network SummerFcast'!$A155,'Customer Scenario Forecast'!$H$20:$H$1181,'Incremental Network SummerFcast'!$H$1))</f>
        <v>0</v>
      </c>
      <c r="C158" s="194">
        <f ca="1">IF($H$1="",
SUMIFS('Customer Scenario Forecast'!C$22:C$1183,'Customer Scenario Forecast'!$C$20:$C$1181,'Incremental Network SummerFcast'!$A155)+
SUMIFS('Customer Scenario Forecast'!C$22:C$1183,'Customer Scenario Forecast'!$D$20:$D$1181,'Incremental Network SummerFcast'!$A155)+
SUMIFS('Customer Scenario Forecast'!C$22:C$1183,'Customer Scenario Forecast'!$E$20:$E$1181,'Incremental Network SummerFcast'!$A155),
SUMIFS('Customer Scenario Forecast'!C$22:C$1183,'Customer Scenario Forecast'!$C$20:$C$1181,'Incremental Network SummerFcast'!$A155,'Customer Scenario Forecast'!$H$20:$H$1181,'Incremental Network SummerFcast'!$H$1)+
SUMIFS('Customer Scenario Forecast'!C$22:C$1183,'Customer Scenario Forecast'!$D$20:$D$1181,'Incremental Network SummerFcast'!$A155,'Customer Scenario Forecast'!$H$20:$H$1181,'Incremental Network SummerFcast'!$H$1)+
SUMIFS('Customer Scenario Forecast'!C$22:C$1183,'Customer Scenario Forecast'!$E$20:$E$1181,'Incremental Network SummerFcast'!$A155,'Customer Scenario Forecast'!$H$20:$H$1181,'Incremental Network SummerFcast'!$H$1))</f>
        <v>5</v>
      </c>
      <c r="D158" s="194">
        <f ca="1">IF($H$1="",
SUMIFS('Customer Scenario Forecast'!D$22:D$1183,'Customer Scenario Forecast'!$C$20:$C$1181,'Incremental Network SummerFcast'!$A155)+
SUMIFS('Customer Scenario Forecast'!D$22:D$1183,'Customer Scenario Forecast'!$D$20:$D$1181,'Incremental Network SummerFcast'!$A155)+
SUMIFS('Customer Scenario Forecast'!D$22:D$1183,'Customer Scenario Forecast'!$E$20:$E$1181,'Incremental Network SummerFcast'!$A155),
SUMIFS('Customer Scenario Forecast'!D$22:D$1183,'Customer Scenario Forecast'!$C$20:$C$1181,'Incremental Network SummerFcast'!$A155,'Customer Scenario Forecast'!$H$20:$H$1181,'Incremental Network SummerFcast'!$H$1)+
SUMIFS('Customer Scenario Forecast'!D$22:D$1183,'Customer Scenario Forecast'!$D$20:$D$1181,'Incremental Network SummerFcast'!$A155,'Customer Scenario Forecast'!$H$20:$H$1181,'Incremental Network SummerFcast'!$H$1)+
SUMIFS('Customer Scenario Forecast'!D$22:D$1183,'Customer Scenario Forecast'!$E$20:$E$1181,'Incremental Network SummerFcast'!$A155,'Customer Scenario Forecast'!$H$20:$H$1181,'Incremental Network SummerFcast'!$H$1))</f>
        <v>26</v>
      </c>
      <c r="E158" s="194">
        <f ca="1">IF($H$1="",
SUMIFS('Customer Scenario Forecast'!E$22:E$1183,'Customer Scenario Forecast'!$C$20:$C$1181,'Incremental Network SummerFcast'!$A155)+
SUMIFS('Customer Scenario Forecast'!E$22:E$1183,'Customer Scenario Forecast'!$D$20:$D$1181,'Incremental Network SummerFcast'!$A155)+
SUMIFS('Customer Scenario Forecast'!E$22:E$1183,'Customer Scenario Forecast'!$E$20:$E$1181,'Incremental Network SummerFcast'!$A155),
SUMIFS('Customer Scenario Forecast'!E$22:E$1183,'Customer Scenario Forecast'!$C$20:$C$1181,'Incremental Network SummerFcast'!$A155,'Customer Scenario Forecast'!$H$20:$H$1181,'Incremental Network SummerFcast'!$H$1)+
SUMIFS('Customer Scenario Forecast'!E$22:E$1183,'Customer Scenario Forecast'!$D$20:$D$1181,'Incremental Network SummerFcast'!$A155,'Customer Scenario Forecast'!$H$20:$H$1181,'Incremental Network SummerFcast'!$H$1)+
SUMIFS('Customer Scenario Forecast'!E$22:E$1183,'Customer Scenario Forecast'!$E$20:$E$1181,'Incremental Network SummerFcast'!$A155,'Customer Scenario Forecast'!$H$20:$H$1181,'Incremental Network SummerFcast'!$H$1))</f>
        <v>40</v>
      </c>
      <c r="F158" s="194">
        <f ca="1">IF($H$1="",
SUMIFS('Customer Scenario Forecast'!F$22:F$1183,'Customer Scenario Forecast'!$C$20:$C$1181,'Incremental Network SummerFcast'!$A155)+
SUMIFS('Customer Scenario Forecast'!F$22:F$1183,'Customer Scenario Forecast'!$D$20:$D$1181,'Incremental Network SummerFcast'!$A155)+
SUMIFS('Customer Scenario Forecast'!F$22:F$1183,'Customer Scenario Forecast'!$E$20:$E$1181,'Incremental Network SummerFcast'!$A155),
SUMIFS('Customer Scenario Forecast'!F$22:F$1183,'Customer Scenario Forecast'!$C$20:$C$1181,'Incremental Network SummerFcast'!$A155,'Customer Scenario Forecast'!$H$20:$H$1181,'Incremental Network SummerFcast'!$H$1)+
SUMIFS('Customer Scenario Forecast'!F$22:F$1183,'Customer Scenario Forecast'!$D$20:$D$1181,'Incremental Network SummerFcast'!$A155,'Customer Scenario Forecast'!$H$20:$H$1181,'Incremental Network SummerFcast'!$H$1)+
SUMIFS('Customer Scenario Forecast'!F$22:F$1183,'Customer Scenario Forecast'!$E$20:$E$1181,'Incremental Network SummerFcast'!$A155,'Customer Scenario Forecast'!$H$20:$H$1181,'Incremental Network SummerFcast'!$H$1))</f>
        <v>40</v>
      </c>
      <c r="G158" s="194">
        <f ca="1">IF($H$1="",
SUMIFS('Customer Scenario Forecast'!G$22:G$1183,'Customer Scenario Forecast'!$C$20:$C$1181,'Incremental Network SummerFcast'!$A155)+
SUMIFS('Customer Scenario Forecast'!G$22:G$1183,'Customer Scenario Forecast'!$D$20:$D$1181,'Incremental Network SummerFcast'!$A155)+
SUMIFS('Customer Scenario Forecast'!G$22:G$1183,'Customer Scenario Forecast'!$E$20:$E$1181,'Incremental Network SummerFcast'!$A155),
SUMIFS('Customer Scenario Forecast'!G$22:G$1183,'Customer Scenario Forecast'!$C$20:$C$1181,'Incremental Network SummerFcast'!$A155,'Customer Scenario Forecast'!$H$20:$H$1181,'Incremental Network SummerFcast'!$H$1)+
SUMIFS('Customer Scenario Forecast'!G$22:G$1183,'Customer Scenario Forecast'!$D$20:$D$1181,'Incremental Network SummerFcast'!$A155,'Customer Scenario Forecast'!$H$20:$H$1181,'Incremental Network SummerFcast'!$H$1)+
SUMIFS('Customer Scenario Forecast'!G$22:G$1183,'Customer Scenario Forecast'!$E$20:$E$1181,'Incremental Network SummerFcast'!$A155,'Customer Scenario Forecast'!$H$20:$H$1181,'Incremental Network SummerFcast'!$H$1))</f>
        <v>55</v>
      </c>
      <c r="H158" s="194">
        <f ca="1">IF($H$1="",
SUMIFS('Customer Scenario Forecast'!H$22:H$1183,'Customer Scenario Forecast'!$C$20:$C$1181,'Incremental Network SummerFcast'!$A155)+
SUMIFS('Customer Scenario Forecast'!H$22:H$1183,'Customer Scenario Forecast'!$D$20:$D$1181,'Incremental Network SummerFcast'!$A155)+
SUMIFS('Customer Scenario Forecast'!H$22:H$1183,'Customer Scenario Forecast'!$E$20:$E$1181,'Incremental Network SummerFcast'!$A155),
SUMIFS('Customer Scenario Forecast'!H$22:H$1183,'Customer Scenario Forecast'!$C$20:$C$1181,'Incremental Network SummerFcast'!$A155,'Customer Scenario Forecast'!$H$20:$H$1181,'Incremental Network SummerFcast'!$H$1)+
SUMIFS('Customer Scenario Forecast'!H$22:H$1183,'Customer Scenario Forecast'!$D$20:$D$1181,'Incremental Network SummerFcast'!$A155,'Customer Scenario Forecast'!$H$20:$H$1181,'Incremental Network SummerFcast'!$H$1)+
SUMIFS('Customer Scenario Forecast'!H$22:H$1183,'Customer Scenario Forecast'!$E$20:$E$1181,'Incremental Network SummerFcast'!$A155,'Customer Scenario Forecast'!$H$20:$H$1181,'Incremental Network SummerFcast'!$H$1))</f>
        <v>60</v>
      </c>
      <c r="I158" s="194">
        <f ca="1">IF($H$1="",
SUMIFS('Customer Scenario Forecast'!I$22:I$1183,'Customer Scenario Forecast'!$C$20:$C$1181,'Incremental Network SummerFcast'!$A155)+
SUMIFS('Customer Scenario Forecast'!I$22:I$1183,'Customer Scenario Forecast'!$D$20:$D$1181,'Incremental Network SummerFcast'!$A155)+
SUMIFS('Customer Scenario Forecast'!I$22:I$1183,'Customer Scenario Forecast'!$E$20:$E$1181,'Incremental Network SummerFcast'!$A155),
SUMIFS('Customer Scenario Forecast'!I$22:I$1183,'Customer Scenario Forecast'!$C$20:$C$1181,'Incremental Network SummerFcast'!$A155,'Customer Scenario Forecast'!$H$20:$H$1181,'Incremental Network SummerFcast'!$H$1)+
SUMIFS('Customer Scenario Forecast'!I$22:I$1183,'Customer Scenario Forecast'!$D$20:$D$1181,'Incremental Network SummerFcast'!$A155,'Customer Scenario Forecast'!$H$20:$H$1181,'Incremental Network SummerFcast'!$H$1)+
SUMIFS('Customer Scenario Forecast'!I$22:I$1183,'Customer Scenario Forecast'!$E$20:$E$1181,'Incremental Network SummerFcast'!$A155,'Customer Scenario Forecast'!$H$20:$H$1181,'Incremental Network SummerFcast'!$H$1))</f>
        <v>65</v>
      </c>
      <c r="J158" s="194">
        <f ca="1">IF($H$1="",
SUMIFS('Customer Scenario Forecast'!J$22:J$1183,'Customer Scenario Forecast'!$C$20:$C$1181,'Incremental Network SummerFcast'!$A155)+
SUMIFS('Customer Scenario Forecast'!J$22:J$1183,'Customer Scenario Forecast'!$D$20:$D$1181,'Incremental Network SummerFcast'!$A155)+
SUMIFS('Customer Scenario Forecast'!J$22:J$1183,'Customer Scenario Forecast'!$E$20:$E$1181,'Incremental Network SummerFcast'!$A155),
SUMIFS('Customer Scenario Forecast'!J$22:J$1183,'Customer Scenario Forecast'!$C$20:$C$1181,'Incremental Network SummerFcast'!$A155,'Customer Scenario Forecast'!$H$20:$H$1181,'Incremental Network SummerFcast'!$H$1)+
SUMIFS('Customer Scenario Forecast'!J$22:J$1183,'Customer Scenario Forecast'!$D$20:$D$1181,'Incremental Network SummerFcast'!$A155,'Customer Scenario Forecast'!$H$20:$H$1181,'Incremental Network SummerFcast'!$H$1)+
SUMIFS('Customer Scenario Forecast'!J$22:J$1183,'Customer Scenario Forecast'!$E$20:$E$1181,'Incremental Network SummerFcast'!$A155,'Customer Scenario Forecast'!$H$20:$H$1181,'Incremental Network SummerFcast'!$H$1))</f>
        <v>85.8</v>
      </c>
      <c r="K158" s="194">
        <f ca="1">IF($H$1="",
SUMIFS('Customer Scenario Forecast'!K$22:K$1183,'Customer Scenario Forecast'!$C$20:$C$1181,'Incremental Network SummerFcast'!$A155)+
SUMIFS('Customer Scenario Forecast'!K$22:K$1183,'Customer Scenario Forecast'!$D$20:$D$1181,'Incremental Network SummerFcast'!$A155)+
SUMIFS('Customer Scenario Forecast'!K$22:K$1183,'Customer Scenario Forecast'!$E$20:$E$1181,'Incremental Network SummerFcast'!$A155),
SUMIFS('Customer Scenario Forecast'!K$22:K$1183,'Customer Scenario Forecast'!$C$20:$C$1181,'Incremental Network SummerFcast'!$A155,'Customer Scenario Forecast'!$H$20:$H$1181,'Incremental Network SummerFcast'!$H$1)+
SUMIFS('Customer Scenario Forecast'!K$22:K$1183,'Customer Scenario Forecast'!$D$20:$D$1181,'Incremental Network SummerFcast'!$A155,'Customer Scenario Forecast'!$H$20:$H$1181,'Incremental Network SummerFcast'!$H$1)+
SUMIFS('Customer Scenario Forecast'!K$22:K$1183,'Customer Scenario Forecast'!$E$20:$E$1181,'Incremental Network SummerFcast'!$A155,'Customer Scenario Forecast'!$H$20:$H$1181,'Incremental Network SummerFcast'!$H$1))</f>
        <v>92.6</v>
      </c>
      <c r="L158" s="194">
        <f ca="1">IF($H$1="",
SUMIFS('Customer Scenario Forecast'!L$22:L$1183,'Customer Scenario Forecast'!$C$20:$C$1181,'Incremental Network SummerFcast'!$A155)+
SUMIFS('Customer Scenario Forecast'!L$22:L$1183,'Customer Scenario Forecast'!$D$20:$D$1181,'Incremental Network SummerFcast'!$A155)+
SUMIFS('Customer Scenario Forecast'!L$22:L$1183,'Customer Scenario Forecast'!$E$20:$E$1181,'Incremental Network SummerFcast'!$A155),
SUMIFS('Customer Scenario Forecast'!L$22:L$1183,'Customer Scenario Forecast'!$C$20:$C$1181,'Incremental Network SummerFcast'!$A155,'Customer Scenario Forecast'!$H$20:$H$1181,'Incremental Network SummerFcast'!$H$1)+
SUMIFS('Customer Scenario Forecast'!L$22:L$1183,'Customer Scenario Forecast'!$D$20:$D$1181,'Incremental Network SummerFcast'!$A155,'Customer Scenario Forecast'!$H$20:$H$1181,'Incremental Network SummerFcast'!$H$1)+
SUMIFS('Customer Scenario Forecast'!L$22:L$1183,'Customer Scenario Forecast'!$E$20:$E$1181,'Incremental Network SummerFcast'!$A155,'Customer Scenario Forecast'!$H$20:$H$1181,'Incremental Network SummerFcast'!$H$1))</f>
        <v>99.4</v>
      </c>
      <c r="M158" s="37"/>
    </row>
    <row r="159" spans="1:13" ht="15" thickBot="1">
      <c r="A159" s="195" t="s">
        <v>107</v>
      </c>
      <c r="B159" s="196">
        <f ca="1">IF($H$1="",
1*(
SUMIFS('Customer Scenario Forecast'!B$23:B$1184,'Customer Scenario Forecast'!$C$20:$C$1181,'Incremental Network SummerFcast'!$A155)+
SUMIFS('Customer Scenario Forecast'!B$23:B$1184,'Customer Scenario Forecast'!$D$20:$D$1181,'Incremental Network SummerFcast'!$A155)+
SUMIFS('Customer Scenario Forecast'!B$23:B$1184,'Customer Scenario Forecast'!$E$20:$E$1181,'Incremental Network SummerFcast'!$A155)+B157),
1*(
SUMIFS('Customer Scenario Forecast'!B$23:B$1184,'Customer Scenario Forecast'!$C$20:$C$1181,'Incremental Network SummerFcast'!$A155,'Customer Scenario Forecast'!$H$20:$H$1181,'Incremental Network SummerFcast'!$H$1)+
SUMIFS('Customer Scenario Forecast'!B$23:B$1184,'Customer Scenario Forecast'!$D$20:$D$1181,'Incremental Network SummerFcast'!$A155,'Customer Scenario Forecast'!$H$20:$H$1181,'Incremental Network SummerFcast'!$H$1)+
SUMIFS('Customer Scenario Forecast'!B$23:B$1184,'Customer Scenario Forecast'!$E$20:$E$1181,'Incremental Network SummerFcast'!$A155,'Customer Scenario Forecast'!$H$20:$H$1181,'Incremental Network SummerFcast'!$H$1)+B157))</f>
        <v>0</v>
      </c>
      <c r="C159" s="196">
        <f ca="1">IF($H$1="",
1*(
SUMIFS('Customer Scenario Forecast'!C$23:C$1184,'Customer Scenario Forecast'!$C$20:$C$1181,'Incremental Network SummerFcast'!$A155)+
SUMIFS('Customer Scenario Forecast'!C$23:C$1184,'Customer Scenario Forecast'!$D$20:$D$1181,'Incremental Network SummerFcast'!$A155)+
SUMIFS('Customer Scenario Forecast'!C$23:C$1184,'Customer Scenario Forecast'!$E$20:$E$1181,'Incremental Network SummerFcast'!$A155)+C157),
1*(
SUMIFS('Customer Scenario Forecast'!C$23:C$1184,'Customer Scenario Forecast'!$C$20:$C$1181,'Incremental Network SummerFcast'!$A155,'Customer Scenario Forecast'!$H$20:$H$1181,'Incremental Network SummerFcast'!$H$1)+
SUMIFS('Customer Scenario Forecast'!C$23:C$1184,'Customer Scenario Forecast'!$D$20:$D$1181,'Incremental Network SummerFcast'!$A155,'Customer Scenario Forecast'!$H$20:$H$1181,'Incremental Network SummerFcast'!$H$1)+
SUMIFS('Customer Scenario Forecast'!C$23:C$1184,'Customer Scenario Forecast'!$E$20:$E$1181,'Incremental Network SummerFcast'!$A155,'Customer Scenario Forecast'!$H$20:$H$1181,'Incremental Network SummerFcast'!$H$1)+C157))</f>
        <v>0</v>
      </c>
      <c r="D159" s="196">
        <f ca="1">IF($H$1="",
1*(
SUMIFS('Customer Scenario Forecast'!D$23:D$1184,'Customer Scenario Forecast'!$C$20:$C$1181,'Incremental Network SummerFcast'!$A155)+
SUMIFS('Customer Scenario Forecast'!D$23:D$1184,'Customer Scenario Forecast'!$D$20:$D$1181,'Incremental Network SummerFcast'!$A155)+
SUMIFS('Customer Scenario Forecast'!D$23:D$1184,'Customer Scenario Forecast'!$E$20:$E$1181,'Incremental Network SummerFcast'!$A155)+D157),
1*(
SUMIFS('Customer Scenario Forecast'!D$23:D$1184,'Customer Scenario Forecast'!$C$20:$C$1181,'Incremental Network SummerFcast'!$A155,'Customer Scenario Forecast'!$H$20:$H$1181,'Incremental Network SummerFcast'!$H$1)+
SUMIFS('Customer Scenario Forecast'!D$23:D$1184,'Customer Scenario Forecast'!$D$20:$D$1181,'Incremental Network SummerFcast'!$A155,'Customer Scenario Forecast'!$H$20:$H$1181,'Incremental Network SummerFcast'!$H$1)+
SUMIFS('Customer Scenario Forecast'!D$23:D$1184,'Customer Scenario Forecast'!$E$20:$E$1181,'Incremental Network SummerFcast'!$A155,'Customer Scenario Forecast'!$H$20:$H$1181,'Incremental Network SummerFcast'!$H$1)+D157))</f>
        <v>4.5</v>
      </c>
      <c r="E159" s="196">
        <f ca="1">IF($H$1="",
1*(
SUMIFS('Customer Scenario Forecast'!E$23:E$1184,'Customer Scenario Forecast'!$C$20:$C$1181,'Incremental Network SummerFcast'!$A155)+
SUMIFS('Customer Scenario Forecast'!E$23:E$1184,'Customer Scenario Forecast'!$D$20:$D$1181,'Incremental Network SummerFcast'!$A155)+
SUMIFS('Customer Scenario Forecast'!E$23:E$1184,'Customer Scenario Forecast'!$E$20:$E$1181,'Incremental Network SummerFcast'!$A155)+E157),
1*(
SUMIFS('Customer Scenario Forecast'!E$23:E$1184,'Customer Scenario Forecast'!$C$20:$C$1181,'Incremental Network SummerFcast'!$A155,'Customer Scenario Forecast'!$H$20:$H$1181,'Incremental Network SummerFcast'!$H$1)+
SUMIFS('Customer Scenario Forecast'!E$23:E$1184,'Customer Scenario Forecast'!$D$20:$D$1181,'Incremental Network SummerFcast'!$A155,'Customer Scenario Forecast'!$H$20:$H$1181,'Incremental Network SummerFcast'!$H$1)+
SUMIFS('Customer Scenario Forecast'!E$23:E$1184,'Customer Scenario Forecast'!$E$20:$E$1181,'Incremental Network SummerFcast'!$A155,'Customer Scenario Forecast'!$H$20:$H$1181,'Incremental Network SummerFcast'!$H$1)+E157))</f>
        <v>13.5</v>
      </c>
      <c r="F159" s="196">
        <f ca="1">IF($H$1="",
1*(
SUMIFS('Customer Scenario Forecast'!F$23:F$1184,'Customer Scenario Forecast'!$C$20:$C$1181,'Incremental Network SummerFcast'!$A155)+
SUMIFS('Customer Scenario Forecast'!F$23:F$1184,'Customer Scenario Forecast'!$D$20:$D$1181,'Incremental Network SummerFcast'!$A155)+
SUMIFS('Customer Scenario Forecast'!F$23:F$1184,'Customer Scenario Forecast'!$E$20:$E$1181,'Incremental Network SummerFcast'!$A155)+F157),
1*(
SUMIFS('Customer Scenario Forecast'!F$23:F$1184,'Customer Scenario Forecast'!$C$20:$C$1181,'Incremental Network SummerFcast'!$A155,'Customer Scenario Forecast'!$H$20:$H$1181,'Incremental Network SummerFcast'!$H$1)+
SUMIFS('Customer Scenario Forecast'!F$23:F$1184,'Customer Scenario Forecast'!$D$20:$D$1181,'Incremental Network SummerFcast'!$A155,'Customer Scenario Forecast'!$H$20:$H$1181,'Incremental Network SummerFcast'!$H$1)+
SUMIFS('Customer Scenario Forecast'!F$23:F$1184,'Customer Scenario Forecast'!$E$20:$E$1181,'Incremental Network SummerFcast'!$A155,'Customer Scenario Forecast'!$H$20:$H$1181,'Incremental Network SummerFcast'!$H$1)+F157))</f>
        <v>13.5</v>
      </c>
      <c r="G159" s="196">
        <f ca="1">IF($H$1="",
1*(
SUMIFS('Customer Scenario Forecast'!G$23:G$1184,'Customer Scenario Forecast'!$C$20:$C$1181,'Incremental Network SummerFcast'!$A155)+
SUMIFS('Customer Scenario Forecast'!G$23:G$1184,'Customer Scenario Forecast'!$D$20:$D$1181,'Incremental Network SummerFcast'!$A155)+
SUMIFS('Customer Scenario Forecast'!G$23:G$1184,'Customer Scenario Forecast'!$E$20:$E$1181,'Incremental Network SummerFcast'!$A155)+G157),
1*(
SUMIFS('Customer Scenario Forecast'!G$23:G$1184,'Customer Scenario Forecast'!$C$20:$C$1181,'Incremental Network SummerFcast'!$A155,'Customer Scenario Forecast'!$H$20:$H$1181,'Incremental Network SummerFcast'!$H$1)+
SUMIFS('Customer Scenario Forecast'!G$23:G$1184,'Customer Scenario Forecast'!$D$20:$D$1181,'Incremental Network SummerFcast'!$A155,'Customer Scenario Forecast'!$H$20:$H$1181,'Incremental Network SummerFcast'!$H$1)+
SUMIFS('Customer Scenario Forecast'!G$23:G$1184,'Customer Scenario Forecast'!$E$20:$E$1181,'Incremental Network SummerFcast'!$A155,'Customer Scenario Forecast'!$H$20:$H$1181,'Incremental Network SummerFcast'!$H$1)+G157))</f>
        <v>17.350000000000001</v>
      </c>
      <c r="H159" s="196">
        <f ca="1">IF($H$1="",
1*(
SUMIFS('Customer Scenario Forecast'!H$23:H$1184,'Customer Scenario Forecast'!$C$20:$C$1181,'Incremental Network SummerFcast'!$A155)+
SUMIFS('Customer Scenario Forecast'!H$23:H$1184,'Customer Scenario Forecast'!$D$20:$D$1181,'Incremental Network SummerFcast'!$A155)+
SUMIFS('Customer Scenario Forecast'!H$23:H$1184,'Customer Scenario Forecast'!$E$20:$E$1181,'Incremental Network SummerFcast'!$A155)+H157),
1*(
SUMIFS('Customer Scenario Forecast'!H$23:H$1184,'Customer Scenario Forecast'!$C$20:$C$1181,'Incremental Network SummerFcast'!$A155,'Customer Scenario Forecast'!$H$20:$H$1181,'Incremental Network SummerFcast'!$H$1)+
SUMIFS('Customer Scenario Forecast'!H$23:H$1184,'Customer Scenario Forecast'!$D$20:$D$1181,'Incremental Network SummerFcast'!$A155,'Customer Scenario Forecast'!$H$20:$H$1181,'Incremental Network SummerFcast'!$H$1)+
SUMIFS('Customer Scenario Forecast'!H$23:H$1184,'Customer Scenario Forecast'!$E$20:$E$1181,'Incremental Network SummerFcast'!$A155,'Customer Scenario Forecast'!$H$20:$H$1181,'Incremental Network SummerFcast'!$H$1)+H157))</f>
        <v>17.350000000000001</v>
      </c>
      <c r="I159" s="196">
        <f ca="1">IF($H$1="",
1*(
SUMIFS('Customer Scenario Forecast'!I$23:I$1184,'Customer Scenario Forecast'!$C$20:$C$1181,'Incremental Network SummerFcast'!$A155)+
SUMIFS('Customer Scenario Forecast'!I$23:I$1184,'Customer Scenario Forecast'!$D$20:$D$1181,'Incremental Network SummerFcast'!$A155)+
SUMIFS('Customer Scenario Forecast'!I$23:I$1184,'Customer Scenario Forecast'!$E$20:$E$1181,'Incremental Network SummerFcast'!$A155)+I157),
1*(
SUMIFS('Customer Scenario Forecast'!I$23:I$1184,'Customer Scenario Forecast'!$C$20:$C$1181,'Incremental Network SummerFcast'!$A155,'Customer Scenario Forecast'!$H$20:$H$1181,'Incremental Network SummerFcast'!$H$1)+
SUMIFS('Customer Scenario Forecast'!I$23:I$1184,'Customer Scenario Forecast'!$D$20:$D$1181,'Incremental Network SummerFcast'!$A155,'Customer Scenario Forecast'!$H$20:$H$1181,'Incremental Network SummerFcast'!$H$1)+
SUMIFS('Customer Scenario Forecast'!I$23:I$1184,'Customer Scenario Forecast'!$E$20:$E$1181,'Incremental Network SummerFcast'!$A155,'Customer Scenario Forecast'!$H$20:$H$1181,'Incremental Network SummerFcast'!$H$1)+I157))</f>
        <v>17.350000000000001</v>
      </c>
      <c r="J159" s="196">
        <f ca="1">IF($H$1="",
1*(
SUMIFS('Customer Scenario Forecast'!J$23:J$1184,'Customer Scenario Forecast'!$C$20:$C$1181,'Incremental Network SummerFcast'!$A155)+
SUMIFS('Customer Scenario Forecast'!J$23:J$1184,'Customer Scenario Forecast'!$D$20:$D$1181,'Incremental Network SummerFcast'!$A155)+
SUMIFS('Customer Scenario Forecast'!J$23:J$1184,'Customer Scenario Forecast'!$E$20:$E$1181,'Incremental Network SummerFcast'!$A155)+J157),
1*(
SUMIFS('Customer Scenario Forecast'!J$23:J$1184,'Customer Scenario Forecast'!$C$20:$C$1181,'Incremental Network SummerFcast'!$A155,'Customer Scenario Forecast'!$H$20:$H$1181,'Incremental Network SummerFcast'!$H$1)+
SUMIFS('Customer Scenario Forecast'!J$23:J$1184,'Customer Scenario Forecast'!$D$20:$D$1181,'Incremental Network SummerFcast'!$A155,'Customer Scenario Forecast'!$H$20:$H$1181,'Incremental Network SummerFcast'!$H$1)+
SUMIFS('Customer Scenario Forecast'!J$23:J$1184,'Customer Scenario Forecast'!$E$20:$E$1181,'Incremental Network SummerFcast'!$A155,'Customer Scenario Forecast'!$H$20:$H$1181,'Incremental Network SummerFcast'!$H$1)+J157))</f>
        <v>32.9</v>
      </c>
      <c r="K159" s="196">
        <f ca="1">IF($H$1="",
1*(
SUMIFS('Customer Scenario Forecast'!K$23:K$1184,'Customer Scenario Forecast'!$C$20:$C$1181,'Incremental Network SummerFcast'!$A155)+
SUMIFS('Customer Scenario Forecast'!K$23:K$1184,'Customer Scenario Forecast'!$D$20:$D$1181,'Incremental Network SummerFcast'!$A155)+
SUMIFS('Customer Scenario Forecast'!K$23:K$1184,'Customer Scenario Forecast'!$E$20:$E$1181,'Incremental Network SummerFcast'!$A155)+K157),
1*(
SUMIFS('Customer Scenario Forecast'!K$23:K$1184,'Customer Scenario Forecast'!$C$20:$C$1181,'Incremental Network SummerFcast'!$A155,'Customer Scenario Forecast'!$H$20:$H$1181,'Incremental Network SummerFcast'!$H$1)+
SUMIFS('Customer Scenario Forecast'!K$23:K$1184,'Customer Scenario Forecast'!$D$20:$D$1181,'Incremental Network SummerFcast'!$A155,'Customer Scenario Forecast'!$H$20:$H$1181,'Incremental Network SummerFcast'!$H$1)+
SUMIFS('Customer Scenario Forecast'!K$23:K$1184,'Customer Scenario Forecast'!$E$20:$E$1181,'Incremental Network SummerFcast'!$A155,'Customer Scenario Forecast'!$H$20:$H$1181,'Incremental Network SummerFcast'!$H$1)+K157))</f>
        <v>33.6</v>
      </c>
      <c r="L159" s="196">
        <f ca="1">IF($H$1="",
1*(
SUMIFS('Customer Scenario Forecast'!L$23:L$1184,'Customer Scenario Forecast'!$C$20:$C$1181,'Incremental Network SummerFcast'!$A155)+
SUMIFS('Customer Scenario Forecast'!L$23:L$1184,'Customer Scenario Forecast'!$D$20:$D$1181,'Incremental Network SummerFcast'!$A155)+
SUMIFS('Customer Scenario Forecast'!L$23:L$1184,'Customer Scenario Forecast'!$E$20:$E$1181,'Incremental Network SummerFcast'!$A155)+L157),
1*(
SUMIFS('Customer Scenario Forecast'!L$23:L$1184,'Customer Scenario Forecast'!$C$20:$C$1181,'Incremental Network SummerFcast'!$A155,'Customer Scenario Forecast'!$H$20:$H$1181,'Incremental Network SummerFcast'!$H$1)+
SUMIFS('Customer Scenario Forecast'!L$23:L$1184,'Customer Scenario Forecast'!$D$20:$D$1181,'Incremental Network SummerFcast'!$A155,'Customer Scenario Forecast'!$H$20:$H$1181,'Incremental Network SummerFcast'!$H$1)+
SUMIFS('Customer Scenario Forecast'!L$23:L$1184,'Customer Scenario Forecast'!$E$20:$E$1181,'Incremental Network SummerFcast'!$A155,'Customer Scenario Forecast'!$H$20:$H$1181,'Incremental Network SummerFcast'!$H$1)+L157))</f>
        <v>31.85</v>
      </c>
    </row>
    <row r="160" spans="1:13" ht="15" thickBot="1">
      <c r="A160" s="195" t="s">
        <v>108</v>
      </c>
      <c r="B160" s="196">
        <f ca="1">IF($H$1="",
1*(
SUMIFS('Customer Scenario Forecast'!B$24:B$1185,'Customer Scenario Forecast'!$C$20:$C$1181,'Incremental Network SummerFcast'!$A155)+
SUMIFS('Customer Scenario Forecast'!B$24:B$1185,'Customer Scenario Forecast'!$D$20:$D$1181,'Incremental Network SummerFcast'!$A155)+
SUMIFS('Customer Scenario Forecast'!B$24:B$1185,'Customer Scenario Forecast'!$E$20:$E$1181,'Incremental Network SummerFcast'!$A155)+B157),
1*(
SUMIFS('Customer Scenario Forecast'!B$24:B$1185,'Customer Scenario Forecast'!$C$20:$C$1181,'Incremental Network SummerFcast'!$A155,'Customer Scenario Forecast'!$H$20:$H$1181,'Incremental Network SummerFcast'!$H$1)+
SUMIFS('Customer Scenario Forecast'!B$24:B$1185,'Customer Scenario Forecast'!$D$20:$D$1181,'Incremental Network SummerFcast'!$A155,'Customer Scenario Forecast'!$H$20:$H$1181,'Incremental Network SummerFcast'!$H$1)+
SUMIFS('Customer Scenario Forecast'!B$24:B$1185,'Customer Scenario Forecast'!$E$20:$E$1181,'Incremental Network SummerFcast'!$A155,'Customer Scenario Forecast'!$H$20:$H$1181,'Incremental Network SummerFcast'!$H$1)+B157))</f>
        <v>0</v>
      </c>
      <c r="C160" s="196">
        <f ca="1">IF($H$1="",
1*(
SUMIFS('Customer Scenario Forecast'!C$24:C$1185,'Customer Scenario Forecast'!$C$20:$C$1181,'Incremental Network SummerFcast'!$A155)+
SUMIFS('Customer Scenario Forecast'!C$24:C$1185,'Customer Scenario Forecast'!$D$20:$D$1181,'Incremental Network SummerFcast'!$A155)+
SUMIFS('Customer Scenario Forecast'!C$24:C$1185,'Customer Scenario Forecast'!$E$20:$E$1181,'Incremental Network SummerFcast'!$A155)+C157),
1*(
SUMIFS('Customer Scenario Forecast'!C$24:C$1185,'Customer Scenario Forecast'!$C$20:$C$1181,'Incremental Network SummerFcast'!$A155,'Customer Scenario Forecast'!$H$20:$H$1181,'Incremental Network SummerFcast'!$H$1)+
SUMIFS('Customer Scenario Forecast'!C$24:C$1185,'Customer Scenario Forecast'!$D$20:$D$1181,'Incremental Network SummerFcast'!$A155,'Customer Scenario Forecast'!$H$20:$H$1181,'Incremental Network SummerFcast'!$H$1)+
SUMIFS('Customer Scenario Forecast'!C$24:C$1185,'Customer Scenario Forecast'!$E$20:$E$1181,'Incremental Network SummerFcast'!$A155,'Customer Scenario Forecast'!$H$20:$H$1181,'Incremental Network SummerFcast'!$H$1)+C157))</f>
        <v>0</v>
      </c>
      <c r="D160" s="196">
        <f ca="1">IF($H$1="",
1*(
SUMIFS('Customer Scenario Forecast'!D$24:D$1185,'Customer Scenario Forecast'!$C$20:$C$1181,'Incremental Network SummerFcast'!$A155)+
SUMIFS('Customer Scenario Forecast'!D$24:D$1185,'Customer Scenario Forecast'!$D$20:$D$1181,'Incremental Network SummerFcast'!$A155)+
SUMIFS('Customer Scenario Forecast'!D$24:D$1185,'Customer Scenario Forecast'!$E$20:$E$1181,'Incremental Network SummerFcast'!$A155)+D157),
1*(
SUMIFS('Customer Scenario Forecast'!D$24:D$1185,'Customer Scenario Forecast'!$C$20:$C$1181,'Incremental Network SummerFcast'!$A155,'Customer Scenario Forecast'!$H$20:$H$1181,'Incremental Network SummerFcast'!$H$1)+
SUMIFS('Customer Scenario Forecast'!D$24:D$1185,'Customer Scenario Forecast'!$D$20:$D$1181,'Incremental Network SummerFcast'!$A155,'Customer Scenario Forecast'!$H$20:$H$1181,'Incremental Network SummerFcast'!$H$1)+
SUMIFS('Customer Scenario Forecast'!D$24:D$1185,'Customer Scenario Forecast'!$E$20:$E$1181,'Incremental Network SummerFcast'!$A155,'Customer Scenario Forecast'!$H$20:$H$1181,'Incremental Network SummerFcast'!$H$1)+D157))</f>
        <v>0</v>
      </c>
      <c r="E160" s="196">
        <f ca="1">IF($H$1="",
1*(
SUMIFS('Customer Scenario Forecast'!E$24:E$1185,'Customer Scenario Forecast'!$C$20:$C$1181,'Incremental Network SummerFcast'!$A155)+
SUMIFS('Customer Scenario Forecast'!E$24:E$1185,'Customer Scenario Forecast'!$D$20:$D$1181,'Incremental Network SummerFcast'!$A155)+
SUMIFS('Customer Scenario Forecast'!E$24:E$1185,'Customer Scenario Forecast'!$E$20:$E$1181,'Incremental Network SummerFcast'!$A155)+E157),
1*(
SUMIFS('Customer Scenario Forecast'!E$24:E$1185,'Customer Scenario Forecast'!$C$20:$C$1181,'Incremental Network SummerFcast'!$A155,'Customer Scenario Forecast'!$H$20:$H$1181,'Incremental Network SummerFcast'!$H$1)+
SUMIFS('Customer Scenario Forecast'!E$24:E$1185,'Customer Scenario Forecast'!$D$20:$D$1181,'Incremental Network SummerFcast'!$A155,'Customer Scenario Forecast'!$H$20:$H$1181,'Incremental Network SummerFcast'!$H$1)+
SUMIFS('Customer Scenario Forecast'!E$24:E$1185,'Customer Scenario Forecast'!$E$20:$E$1181,'Incremental Network SummerFcast'!$A155,'Customer Scenario Forecast'!$H$20:$H$1181,'Incremental Network SummerFcast'!$H$1)+E157))</f>
        <v>3</v>
      </c>
      <c r="F160" s="196">
        <f ca="1">IF($H$1="",
1*(
SUMIFS('Customer Scenario Forecast'!F$24:F$1185,'Customer Scenario Forecast'!$C$20:$C$1181,'Incremental Network SummerFcast'!$A155)+
SUMIFS('Customer Scenario Forecast'!F$24:F$1185,'Customer Scenario Forecast'!$D$20:$D$1181,'Incremental Network SummerFcast'!$A155)+
SUMIFS('Customer Scenario Forecast'!F$24:F$1185,'Customer Scenario Forecast'!$E$20:$E$1181,'Incremental Network SummerFcast'!$A155)+F157),
1*(
SUMIFS('Customer Scenario Forecast'!F$24:F$1185,'Customer Scenario Forecast'!$C$20:$C$1181,'Incremental Network SummerFcast'!$A155,'Customer Scenario Forecast'!$H$20:$H$1181,'Incremental Network SummerFcast'!$H$1)+
SUMIFS('Customer Scenario Forecast'!F$24:F$1185,'Customer Scenario Forecast'!$D$20:$D$1181,'Incremental Network SummerFcast'!$A155,'Customer Scenario Forecast'!$H$20:$H$1181,'Incremental Network SummerFcast'!$H$1)+
SUMIFS('Customer Scenario Forecast'!F$24:F$1185,'Customer Scenario Forecast'!$E$20:$E$1181,'Incremental Network SummerFcast'!$A155,'Customer Scenario Forecast'!$H$20:$H$1181,'Incremental Network SummerFcast'!$H$1)+F157))</f>
        <v>9</v>
      </c>
      <c r="G160" s="196">
        <f ca="1">IF($H$1="",
1*(
SUMIFS('Customer Scenario Forecast'!G$24:G$1185,'Customer Scenario Forecast'!$C$20:$C$1181,'Incremental Network SummerFcast'!$A155)+
SUMIFS('Customer Scenario Forecast'!G$24:G$1185,'Customer Scenario Forecast'!$D$20:$D$1181,'Incremental Network SummerFcast'!$A155)+
SUMIFS('Customer Scenario Forecast'!G$24:G$1185,'Customer Scenario Forecast'!$E$20:$E$1181,'Incremental Network SummerFcast'!$A155)+G157),
1*(
SUMIFS('Customer Scenario Forecast'!G$24:G$1185,'Customer Scenario Forecast'!$C$20:$C$1181,'Incremental Network SummerFcast'!$A155,'Customer Scenario Forecast'!$H$20:$H$1181,'Incremental Network SummerFcast'!$H$1)+
SUMIFS('Customer Scenario Forecast'!G$24:G$1185,'Customer Scenario Forecast'!$D$20:$D$1181,'Incremental Network SummerFcast'!$A155,'Customer Scenario Forecast'!$H$20:$H$1181,'Incremental Network SummerFcast'!$H$1)+
SUMIFS('Customer Scenario Forecast'!G$24:G$1185,'Customer Scenario Forecast'!$E$20:$E$1181,'Incremental Network SummerFcast'!$A155,'Customer Scenario Forecast'!$H$20:$H$1181,'Incremental Network SummerFcast'!$H$1)+G157))</f>
        <v>9</v>
      </c>
      <c r="H160" s="196">
        <f ca="1">IF($H$1="",
1*(
SUMIFS('Customer Scenario Forecast'!H$24:H$1185,'Customer Scenario Forecast'!$C$20:$C$1181,'Incremental Network SummerFcast'!$A155)+
SUMIFS('Customer Scenario Forecast'!H$24:H$1185,'Customer Scenario Forecast'!$D$20:$D$1181,'Incremental Network SummerFcast'!$A155)+
SUMIFS('Customer Scenario Forecast'!H$24:H$1185,'Customer Scenario Forecast'!$E$20:$E$1181,'Incremental Network SummerFcast'!$A155)+H157),
1*(
SUMIFS('Customer Scenario Forecast'!H$24:H$1185,'Customer Scenario Forecast'!$C$20:$C$1181,'Incremental Network SummerFcast'!$A155,'Customer Scenario Forecast'!$H$20:$H$1181,'Incremental Network SummerFcast'!$H$1)+
SUMIFS('Customer Scenario Forecast'!H$24:H$1185,'Customer Scenario Forecast'!$D$20:$D$1181,'Incremental Network SummerFcast'!$A155,'Customer Scenario Forecast'!$H$20:$H$1181,'Incremental Network SummerFcast'!$H$1)+
SUMIFS('Customer Scenario Forecast'!H$24:H$1185,'Customer Scenario Forecast'!$E$20:$E$1181,'Incremental Network SummerFcast'!$A155,'Customer Scenario Forecast'!$H$20:$H$1181,'Incremental Network SummerFcast'!$H$1)+H157))</f>
        <v>9</v>
      </c>
      <c r="I160" s="196">
        <f ca="1">IF($H$1="",
1*(
SUMIFS('Customer Scenario Forecast'!I$24:I$1185,'Customer Scenario Forecast'!$C$20:$C$1181,'Incremental Network SummerFcast'!$A155)+
SUMIFS('Customer Scenario Forecast'!I$24:I$1185,'Customer Scenario Forecast'!$D$20:$D$1181,'Incremental Network SummerFcast'!$A155)+
SUMIFS('Customer Scenario Forecast'!I$24:I$1185,'Customer Scenario Forecast'!$E$20:$E$1181,'Incremental Network SummerFcast'!$A155)+I157),
1*(
SUMIFS('Customer Scenario Forecast'!I$24:I$1185,'Customer Scenario Forecast'!$C$20:$C$1181,'Incremental Network SummerFcast'!$A155,'Customer Scenario Forecast'!$H$20:$H$1181,'Incremental Network SummerFcast'!$H$1)+
SUMIFS('Customer Scenario Forecast'!I$24:I$1185,'Customer Scenario Forecast'!$D$20:$D$1181,'Incremental Network SummerFcast'!$A155,'Customer Scenario Forecast'!$H$20:$H$1181,'Incremental Network SummerFcast'!$H$1)+
SUMIFS('Customer Scenario Forecast'!I$24:I$1185,'Customer Scenario Forecast'!$E$20:$E$1181,'Incremental Network SummerFcast'!$A155,'Customer Scenario Forecast'!$H$20:$H$1181,'Incremental Network SummerFcast'!$H$1)+I157))</f>
        <v>10.1</v>
      </c>
      <c r="J160" s="196">
        <f ca="1">IF($H$1="",
1*(
SUMIFS('Customer Scenario Forecast'!J$24:J$1185,'Customer Scenario Forecast'!$C$20:$C$1181,'Incremental Network SummerFcast'!$A155)+
SUMIFS('Customer Scenario Forecast'!J$24:J$1185,'Customer Scenario Forecast'!$D$20:$D$1181,'Incremental Network SummerFcast'!$A155)+
SUMIFS('Customer Scenario Forecast'!J$24:J$1185,'Customer Scenario Forecast'!$E$20:$E$1181,'Incremental Network SummerFcast'!$A155)+J157),
1*(
SUMIFS('Customer Scenario Forecast'!J$24:J$1185,'Customer Scenario Forecast'!$C$20:$C$1181,'Incremental Network SummerFcast'!$A155,'Customer Scenario Forecast'!$H$20:$H$1181,'Incremental Network SummerFcast'!$H$1)+
SUMIFS('Customer Scenario Forecast'!J$24:J$1185,'Customer Scenario Forecast'!$D$20:$D$1181,'Incremental Network SummerFcast'!$A155,'Customer Scenario Forecast'!$H$20:$H$1181,'Incremental Network SummerFcast'!$H$1)+
SUMIFS('Customer Scenario Forecast'!J$24:J$1185,'Customer Scenario Forecast'!$E$20:$E$1181,'Incremental Network SummerFcast'!$A155,'Customer Scenario Forecast'!$H$20:$H$1181,'Incremental Network SummerFcast'!$H$1)+J157))</f>
        <v>18.5</v>
      </c>
      <c r="K160" s="196">
        <f ca="1">IF($H$1="",
1*(
SUMIFS('Customer Scenario Forecast'!K$24:K$1185,'Customer Scenario Forecast'!$C$20:$C$1181,'Incremental Network SummerFcast'!$A155)+
SUMIFS('Customer Scenario Forecast'!K$24:K$1185,'Customer Scenario Forecast'!$D$20:$D$1181,'Incremental Network SummerFcast'!$A155)+
SUMIFS('Customer Scenario Forecast'!K$24:K$1185,'Customer Scenario Forecast'!$E$20:$E$1181,'Incremental Network SummerFcast'!$A155)+K157),
1*(
SUMIFS('Customer Scenario Forecast'!K$24:K$1185,'Customer Scenario Forecast'!$C$20:$C$1181,'Incremental Network SummerFcast'!$A155,'Customer Scenario Forecast'!$H$20:$H$1181,'Incremental Network SummerFcast'!$H$1)+
SUMIFS('Customer Scenario Forecast'!K$24:K$1185,'Customer Scenario Forecast'!$D$20:$D$1181,'Incremental Network SummerFcast'!$A155,'Customer Scenario Forecast'!$H$20:$H$1181,'Incremental Network SummerFcast'!$H$1)+
SUMIFS('Customer Scenario Forecast'!K$24:K$1185,'Customer Scenario Forecast'!$E$20:$E$1181,'Incremental Network SummerFcast'!$A155,'Customer Scenario Forecast'!$H$20:$H$1181,'Incremental Network SummerFcast'!$H$1)+K157))</f>
        <v>18.5</v>
      </c>
      <c r="L160" s="196">
        <f ca="1">IF($H$1="",
1*(
SUMIFS('Customer Scenario Forecast'!L$24:L$1185,'Customer Scenario Forecast'!$C$20:$C$1181,'Incremental Network SummerFcast'!$A155)+
SUMIFS('Customer Scenario Forecast'!L$24:L$1185,'Customer Scenario Forecast'!$D$20:$D$1181,'Incremental Network SummerFcast'!$A155)+
SUMIFS('Customer Scenario Forecast'!L$24:L$1185,'Customer Scenario Forecast'!$E$20:$E$1181,'Incremental Network SummerFcast'!$A155)+L157),
1*(
SUMIFS('Customer Scenario Forecast'!L$24:L$1185,'Customer Scenario Forecast'!$C$20:$C$1181,'Incremental Network SummerFcast'!$A155,'Customer Scenario Forecast'!$H$20:$H$1181,'Incremental Network SummerFcast'!$H$1)+
SUMIFS('Customer Scenario Forecast'!L$24:L$1185,'Customer Scenario Forecast'!$D$20:$D$1181,'Incremental Network SummerFcast'!$A155,'Customer Scenario Forecast'!$H$20:$H$1181,'Incremental Network SummerFcast'!$H$1)+
SUMIFS('Customer Scenario Forecast'!L$24:L$1185,'Customer Scenario Forecast'!$E$20:$E$1181,'Incremental Network SummerFcast'!$A155,'Customer Scenario Forecast'!$H$20:$H$1181,'Incremental Network SummerFcast'!$H$1)+L157))</f>
        <v>25</v>
      </c>
    </row>
    <row r="161" spans="1:13" ht="15" thickBot="1">
      <c r="A161" s="197" t="s">
        <v>109</v>
      </c>
      <c r="B161" s="198">
        <f ca="1">IF($H$1="",
1*(
SUMIFS('Customer Scenario Forecast'!B$25:B$1186,'Customer Scenario Forecast'!$C$20:$C$1181,'Incremental Network SummerFcast'!$A155)+
SUMIFS('Customer Scenario Forecast'!B$25:B$1186,'Customer Scenario Forecast'!$D$20:$D$1181,'Incremental Network SummerFcast'!$A155)+
SUMIFS('Customer Scenario Forecast'!B$25:B$1186,'Customer Scenario Forecast'!$E$20:$E$1181,'Incremental Network SummerFcast'!$A155)+B157),
1*(
SUMIFS('Customer Scenario Forecast'!B$25:B$1186,'Customer Scenario Forecast'!$C$20:$C$1181,'Incremental Network SummerFcast'!$A155,'Customer Scenario Forecast'!$H$20:$H$1181,'Incremental Network SummerFcast'!$H$1)+
SUMIFS('Customer Scenario Forecast'!B$25:B$1186,'Customer Scenario Forecast'!$D$20:$D$1181,'Incremental Network SummerFcast'!$A155,'Customer Scenario Forecast'!$H$20:$H$1181,'Incremental Network SummerFcast'!$H$1)+
SUMIFS('Customer Scenario Forecast'!B$25:B$1186,'Customer Scenario Forecast'!$E$20:$E$1181,'Incremental Network SummerFcast'!$A155,'Customer Scenario Forecast'!$H$20:$H$1181,'Incremental Network SummerFcast'!$H$1)+B157))</f>
        <v>0</v>
      </c>
      <c r="C161" s="198">
        <f ca="1">IF($H$1="",
1*(
SUMIFS('Customer Scenario Forecast'!C$25:C$1186,'Customer Scenario Forecast'!$C$20:$C$1181,'Incremental Network SummerFcast'!$A155)+
SUMIFS('Customer Scenario Forecast'!C$25:C$1186,'Customer Scenario Forecast'!$D$20:$D$1181,'Incremental Network SummerFcast'!$A155)+
SUMIFS('Customer Scenario Forecast'!C$25:C$1186,'Customer Scenario Forecast'!$E$20:$E$1181,'Incremental Network SummerFcast'!$A155)+C157),
1*(
SUMIFS('Customer Scenario Forecast'!C$25:C$1186,'Customer Scenario Forecast'!$C$20:$C$1181,'Incremental Network SummerFcast'!$A155,'Customer Scenario Forecast'!$H$20:$H$1181,'Incremental Network SummerFcast'!$H$1)+
SUMIFS('Customer Scenario Forecast'!C$25:C$1186,'Customer Scenario Forecast'!$D$20:$D$1181,'Incremental Network SummerFcast'!$A155,'Customer Scenario Forecast'!$H$20:$H$1181,'Incremental Network SummerFcast'!$H$1)+
SUMIFS('Customer Scenario Forecast'!C$25:C$1186,'Customer Scenario Forecast'!$E$20:$E$1181,'Incremental Network SummerFcast'!$A155,'Customer Scenario Forecast'!$H$20:$H$1181,'Incremental Network SummerFcast'!$H$1)+C157))</f>
        <v>5</v>
      </c>
      <c r="D161" s="198">
        <f ca="1">IF($H$1="",
1*(
SUMIFS('Customer Scenario Forecast'!D$25:D$1186,'Customer Scenario Forecast'!$C$20:$C$1181,'Incremental Network SummerFcast'!$A155)+
SUMIFS('Customer Scenario Forecast'!D$25:D$1186,'Customer Scenario Forecast'!$D$20:$D$1181,'Incremental Network SummerFcast'!$A155)+
SUMIFS('Customer Scenario Forecast'!D$25:D$1186,'Customer Scenario Forecast'!$E$20:$E$1181,'Incremental Network SummerFcast'!$A155)+D157),
1*(
SUMIFS('Customer Scenario Forecast'!D$25:D$1186,'Customer Scenario Forecast'!$C$20:$C$1181,'Incremental Network SummerFcast'!$A155,'Customer Scenario Forecast'!$H$20:$H$1181,'Incremental Network SummerFcast'!$H$1)+
SUMIFS('Customer Scenario Forecast'!D$25:D$1186,'Customer Scenario Forecast'!$D$20:$D$1181,'Incremental Network SummerFcast'!$A155,'Customer Scenario Forecast'!$H$20:$H$1181,'Incremental Network SummerFcast'!$H$1)+
SUMIFS('Customer Scenario Forecast'!D$25:D$1186,'Customer Scenario Forecast'!$E$20:$E$1181,'Incremental Network SummerFcast'!$A155,'Customer Scenario Forecast'!$H$20:$H$1181,'Incremental Network SummerFcast'!$H$1)+D157))</f>
        <v>15</v>
      </c>
      <c r="E161" s="198">
        <f ca="1">IF($H$1="",
1*(
SUMIFS('Customer Scenario Forecast'!E$25:E$1186,'Customer Scenario Forecast'!$C$20:$C$1181,'Incremental Network SummerFcast'!$A155)+
SUMIFS('Customer Scenario Forecast'!E$25:E$1186,'Customer Scenario Forecast'!$D$20:$D$1181,'Incremental Network SummerFcast'!$A155)+
SUMIFS('Customer Scenario Forecast'!E$25:E$1186,'Customer Scenario Forecast'!$E$20:$E$1181,'Incremental Network SummerFcast'!$A155)+E157),
1*(
SUMIFS('Customer Scenario Forecast'!E$25:E$1186,'Customer Scenario Forecast'!$C$20:$C$1181,'Incremental Network SummerFcast'!$A155,'Customer Scenario Forecast'!$H$20:$H$1181,'Incremental Network SummerFcast'!$H$1)+
SUMIFS('Customer Scenario Forecast'!E$25:E$1186,'Customer Scenario Forecast'!$D$20:$D$1181,'Incremental Network SummerFcast'!$A155,'Customer Scenario Forecast'!$H$20:$H$1181,'Incremental Network SummerFcast'!$H$1)+
SUMIFS('Customer Scenario Forecast'!E$25:E$1186,'Customer Scenario Forecast'!$E$20:$E$1181,'Incremental Network SummerFcast'!$A155,'Customer Scenario Forecast'!$H$20:$H$1181,'Incremental Network SummerFcast'!$H$1)+E157))</f>
        <v>15</v>
      </c>
      <c r="F161" s="198">
        <f ca="1">IF($H$1="",
1*(
SUMIFS('Customer Scenario Forecast'!F$25:F$1186,'Customer Scenario Forecast'!$C$20:$C$1181,'Incremental Network SummerFcast'!$A155)+
SUMIFS('Customer Scenario Forecast'!F$25:F$1186,'Customer Scenario Forecast'!$D$20:$D$1181,'Incremental Network SummerFcast'!$A155)+
SUMIFS('Customer Scenario Forecast'!F$25:F$1186,'Customer Scenario Forecast'!$E$20:$E$1181,'Incremental Network SummerFcast'!$A155)+F157),
1*(
SUMIFS('Customer Scenario Forecast'!F$25:F$1186,'Customer Scenario Forecast'!$C$20:$C$1181,'Incremental Network SummerFcast'!$A155,'Customer Scenario Forecast'!$H$20:$H$1181,'Incremental Network SummerFcast'!$H$1)+
SUMIFS('Customer Scenario Forecast'!F$25:F$1186,'Customer Scenario Forecast'!$D$20:$D$1181,'Incremental Network SummerFcast'!$A155,'Customer Scenario Forecast'!$H$20:$H$1181,'Incremental Network SummerFcast'!$H$1)+
SUMIFS('Customer Scenario Forecast'!F$25:F$1186,'Customer Scenario Forecast'!$E$20:$E$1181,'Incremental Network SummerFcast'!$A155,'Customer Scenario Forecast'!$H$20:$H$1181,'Incremental Network SummerFcast'!$H$1)+F157))</f>
        <v>20.939999999999998</v>
      </c>
      <c r="G161" s="198">
        <f ca="1">IF($H$1="",
1*(
SUMIFS('Customer Scenario Forecast'!G$25:G$1186,'Customer Scenario Forecast'!$C$20:$C$1181,'Incremental Network SummerFcast'!$A155)+
SUMIFS('Customer Scenario Forecast'!G$25:G$1186,'Customer Scenario Forecast'!$D$20:$D$1181,'Incremental Network SummerFcast'!$A155)+
SUMIFS('Customer Scenario Forecast'!G$25:G$1186,'Customer Scenario Forecast'!$E$20:$E$1181,'Incremental Network SummerFcast'!$A155)+G157),
1*(
SUMIFS('Customer Scenario Forecast'!G$25:G$1186,'Customer Scenario Forecast'!$C$20:$C$1181,'Incremental Network SummerFcast'!$A155,'Customer Scenario Forecast'!$H$20:$H$1181,'Incremental Network SummerFcast'!$H$1)+
SUMIFS('Customer Scenario Forecast'!G$25:G$1186,'Customer Scenario Forecast'!$D$20:$D$1181,'Incremental Network SummerFcast'!$A155,'Customer Scenario Forecast'!$H$20:$H$1181,'Incremental Network SummerFcast'!$H$1)+
SUMIFS('Customer Scenario Forecast'!G$25:G$1186,'Customer Scenario Forecast'!$E$20:$E$1181,'Incremental Network SummerFcast'!$A155,'Customer Scenario Forecast'!$H$20:$H$1181,'Incremental Network SummerFcast'!$H$1)+G157))</f>
        <v>20.939999999999998</v>
      </c>
      <c r="H161" s="198">
        <f ca="1">IF($H$1="",
1*(
SUMIFS('Customer Scenario Forecast'!H$25:H$1186,'Customer Scenario Forecast'!$C$20:$C$1181,'Incremental Network SummerFcast'!$A155)+
SUMIFS('Customer Scenario Forecast'!H$25:H$1186,'Customer Scenario Forecast'!$D$20:$D$1181,'Incremental Network SummerFcast'!$A155)+
SUMIFS('Customer Scenario Forecast'!H$25:H$1186,'Customer Scenario Forecast'!$E$20:$E$1181,'Incremental Network SummerFcast'!$A155)+H157),
1*(
SUMIFS('Customer Scenario Forecast'!H$25:H$1186,'Customer Scenario Forecast'!$C$20:$C$1181,'Incremental Network SummerFcast'!$A155,'Customer Scenario Forecast'!$H$20:$H$1181,'Incremental Network SummerFcast'!$H$1)+
SUMIFS('Customer Scenario Forecast'!H$25:H$1186,'Customer Scenario Forecast'!$D$20:$D$1181,'Incremental Network SummerFcast'!$A155,'Customer Scenario Forecast'!$H$20:$H$1181,'Incremental Network SummerFcast'!$H$1)+
SUMIFS('Customer Scenario Forecast'!H$25:H$1186,'Customer Scenario Forecast'!$E$20:$E$1181,'Incremental Network SummerFcast'!$A155,'Customer Scenario Forecast'!$H$20:$H$1181,'Incremental Network SummerFcast'!$H$1)+H157))</f>
        <v>20.939999999999998</v>
      </c>
      <c r="I161" s="198">
        <f ca="1">IF($H$1="",
1*(
SUMIFS('Customer Scenario Forecast'!I$25:I$1186,'Customer Scenario Forecast'!$C$20:$C$1181,'Incremental Network SummerFcast'!$A155)+
SUMIFS('Customer Scenario Forecast'!I$25:I$1186,'Customer Scenario Forecast'!$D$20:$D$1181,'Incremental Network SummerFcast'!$A155)+
SUMIFS('Customer Scenario Forecast'!I$25:I$1186,'Customer Scenario Forecast'!$E$20:$E$1181,'Incremental Network SummerFcast'!$A155)+I157),
1*(
SUMIFS('Customer Scenario Forecast'!I$25:I$1186,'Customer Scenario Forecast'!$C$20:$C$1181,'Incremental Network SummerFcast'!$A155,'Customer Scenario Forecast'!$H$20:$H$1181,'Incremental Network SummerFcast'!$H$1)+
SUMIFS('Customer Scenario Forecast'!I$25:I$1186,'Customer Scenario Forecast'!$D$20:$D$1181,'Incremental Network SummerFcast'!$A155,'Customer Scenario Forecast'!$H$20:$H$1181,'Incremental Network SummerFcast'!$H$1)+
SUMIFS('Customer Scenario Forecast'!I$25:I$1186,'Customer Scenario Forecast'!$E$20:$E$1181,'Incremental Network SummerFcast'!$A155,'Customer Scenario Forecast'!$H$20:$H$1181,'Incremental Network SummerFcast'!$H$1)+I157))</f>
        <v>33.64</v>
      </c>
      <c r="J161" s="198">
        <f ca="1">IF($H$1="",
1*(
SUMIFS('Customer Scenario Forecast'!J$25:J$1186,'Customer Scenario Forecast'!$C$20:$C$1181,'Incremental Network SummerFcast'!$A155)+
SUMIFS('Customer Scenario Forecast'!J$25:J$1186,'Customer Scenario Forecast'!$D$20:$D$1181,'Incremental Network SummerFcast'!$A155)+
SUMIFS('Customer Scenario Forecast'!J$25:J$1186,'Customer Scenario Forecast'!$E$20:$E$1181,'Incremental Network SummerFcast'!$A155)+J157),
1*(
SUMIFS('Customer Scenario Forecast'!J$25:J$1186,'Customer Scenario Forecast'!$C$20:$C$1181,'Incremental Network SummerFcast'!$A155,'Customer Scenario Forecast'!$H$20:$H$1181,'Incremental Network SummerFcast'!$H$1)+
SUMIFS('Customer Scenario Forecast'!J$25:J$1186,'Customer Scenario Forecast'!$D$20:$D$1181,'Incremental Network SummerFcast'!$A155,'Customer Scenario Forecast'!$H$20:$H$1181,'Incremental Network SummerFcast'!$H$1)+
SUMIFS('Customer Scenario Forecast'!J$25:J$1186,'Customer Scenario Forecast'!$E$20:$E$1181,'Incremental Network SummerFcast'!$A155,'Customer Scenario Forecast'!$H$20:$H$1181,'Incremental Network SummerFcast'!$H$1)+J157))</f>
        <v>57.9</v>
      </c>
      <c r="K161" s="198">
        <f ca="1">IF($H$1="",
1*(
SUMIFS('Customer Scenario Forecast'!K$25:K$1186,'Customer Scenario Forecast'!$C$20:$C$1181,'Incremental Network SummerFcast'!$A155)+
SUMIFS('Customer Scenario Forecast'!K$25:K$1186,'Customer Scenario Forecast'!$D$20:$D$1181,'Incremental Network SummerFcast'!$A155)+
SUMIFS('Customer Scenario Forecast'!K$25:K$1186,'Customer Scenario Forecast'!$E$20:$E$1181,'Incremental Network SummerFcast'!$A155)+K157),
1*(
SUMIFS('Customer Scenario Forecast'!K$25:K$1186,'Customer Scenario Forecast'!$C$20:$C$1181,'Incremental Network SummerFcast'!$A155,'Customer Scenario Forecast'!$H$20:$H$1181,'Incremental Network SummerFcast'!$H$1)+
SUMIFS('Customer Scenario Forecast'!K$25:K$1186,'Customer Scenario Forecast'!$D$20:$D$1181,'Incremental Network SummerFcast'!$A155,'Customer Scenario Forecast'!$H$20:$H$1181,'Incremental Network SummerFcast'!$H$1)+
SUMIFS('Customer Scenario Forecast'!K$25:K$1186,'Customer Scenario Forecast'!$E$20:$E$1181,'Incremental Network SummerFcast'!$A155,'Customer Scenario Forecast'!$H$20:$H$1181,'Incremental Network SummerFcast'!$H$1)+K157))</f>
        <v>54.66</v>
      </c>
      <c r="L161" s="198">
        <f ca="1">IF($H$1="",
1*(
SUMIFS('Customer Scenario Forecast'!L$25:L$1186,'Customer Scenario Forecast'!$C$20:$C$1181,'Incremental Network SummerFcast'!$A155)+
SUMIFS('Customer Scenario Forecast'!L$25:L$1186,'Customer Scenario Forecast'!$D$20:$D$1181,'Incremental Network SummerFcast'!$A155)+
SUMIFS('Customer Scenario Forecast'!L$25:L$1186,'Customer Scenario Forecast'!$E$20:$E$1181,'Incremental Network SummerFcast'!$A155)+L157),
1*(
SUMIFS('Customer Scenario Forecast'!L$25:L$1186,'Customer Scenario Forecast'!$C$20:$C$1181,'Incremental Network SummerFcast'!$A155,'Customer Scenario Forecast'!$H$20:$H$1181,'Incremental Network SummerFcast'!$H$1)+
SUMIFS('Customer Scenario Forecast'!L$25:L$1186,'Customer Scenario Forecast'!$D$20:$D$1181,'Incremental Network SummerFcast'!$A155,'Customer Scenario Forecast'!$H$20:$H$1181,'Incremental Network SummerFcast'!$H$1)+
SUMIFS('Customer Scenario Forecast'!L$25:L$1186,'Customer Scenario Forecast'!$E$20:$E$1181,'Incremental Network SummerFcast'!$A155,'Customer Scenario Forecast'!$H$20:$H$1181,'Incremental Network SummerFcast'!$H$1)+L157))</f>
        <v>57.089999999999996</v>
      </c>
    </row>
    <row r="162" spans="1:13" ht="15.6" thickTop="1" thickBot="1">
      <c r="A162" s="197" t="s">
        <v>148</v>
      </c>
      <c r="B162" s="198">
        <f ca="1">'Incremental Network SummerFcast'!$B$245*B159+'Incremental Network SummerFcast'!$B$246*B160+'Incremental Network SummerFcast'!$B$247*B161</f>
        <v>0</v>
      </c>
      <c r="C162" s="198">
        <f ca="1">'Incremental Network SummerFcast'!$B$245*C159+'Incremental Network SummerFcast'!$B$246*C160+'Incremental Network SummerFcast'!$B$247*C161</f>
        <v>1.25</v>
      </c>
      <c r="D162" s="198">
        <f ca="1">'Incremental Network SummerFcast'!$B$245*D159+'Incremental Network SummerFcast'!$B$246*D160+'Incremental Network SummerFcast'!$B$247*D161</f>
        <v>6</v>
      </c>
      <c r="E162" s="198">
        <f ca="1">'Incremental Network SummerFcast'!$B$245*E159+'Incremental Network SummerFcast'!$B$246*E160+'Incremental Network SummerFcast'!$B$247*E161</f>
        <v>11.25</v>
      </c>
      <c r="F162" s="198">
        <f ca="1">'Incremental Network SummerFcast'!$B$245*F159+'Incremental Network SummerFcast'!$B$246*F160+'Incremental Network SummerFcast'!$B$247*F161</f>
        <v>14.234999999999999</v>
      </c>
      <c r="G162" s="198">
        <f ca="1">'Incremental Network SummerFcast'!$B$245*G159+'Incremental Network SummerFcast'!$B$246*G160+'Incremental Network SummerFcast'!$B$247*G161</f>
        <v>16.16</v>
      </c>
      <c r="H162" s="198">
        <f ca="1">'Incremental Network SummerFcast'!$B$245*H159+'Incremental Network SummerFcast'!$B$246*H160+'Incremental Network SummerFcast'!$B$247*H161</f>
        <v>16.16</v>
      </c>
      <c r="I162" s="198">
        <f ca="1">'Incremental Network SummerFcast'!$B$245*I159+'Incremental Network SummerFcast'!$B$246*I160+'Incremental Network SummerFcast'!$B$247*I161</f>
        <v>19.61</v>
      </c>
      <c r="J162" s="198">
        <f ca="1">'Incremental Network SummerFcast'!$B$245*J159+'Incremental Network SummerFcast'!$B$246*J160+'Incremental Network SummerFcast'!$B$247*J161</f>
        <v>35.549999999999997</v>
      </c>
      <c r="K162" s="198">
        <f ca="1">'Incremental Network SummerFcast'!$B$245*K159+'Incremental Network SummerFcast'!$B$246*K160+'Incremental Network SummerFcast'!$B$247*K161</f>
        <v>35.090000000000003</v>
      </c>
      <c r="L162" s="198">
        <f ca="1">'Incremental Network SummerFcast'!$B$245*L159+'Incremental Network SummerFcast'!$B$246*L160+'Incremental Network SummerFcast'!$B$247*L161</f>
        <v>36.447499999999998</v>
      </c>
    </row>
    <row r="163" spans="1:13" ht="15.6" thickTop="1" thickBot="1">
      <c r="A163" s="188" t="s">
        <v>132</v>
      </c>
      <c r="B163" s="216"/>
      <c r="C163" s="190"/>
      <c r="D163" s="190"/>
      <c r="E163" s="190"/>
      <c r="F163" s="190"/>
      <c r="G163" s="190"/>
      <c r="H163" s="190"/>
      <c r="I163" s="190"/>
      <c r="J163" s="190"/>
      <c r="K163" s="190"/>
      <c r="L163" s="190"/>
    </row>
    <row r="164" spans="1:13" ht="15" thickBot="1">
      <c r="A164" s="191" t="str">
        <f>A156</f>
        <v>Uptake Scenario</v>
      </c>
      <c r="B164" s="191">
        <f t="shared" ref="B164:L164" si="20">B156</f>
        <v>2023</v>
      </c>
      <c r="C164" s="191">
        <f t="shared" si="20"/>
        <v>2024</v>
      </c>
      <c r="D164" s="191">
        <f t="shared" si="20"/>
        <v>2025</v>
      </c>
      <c r="E164" s="191">
        <f t="shared" si="20"/>
        <v>2026</v>
      </c>
      <c r="F164" s="191">
        <f t="shared" si="20"/>
        <v>2027</v>
      </c>
      <c r="G164" s="191">
        <f t="shared" si="20"/>
        <v>2028</v>
      </c>
      <c r="H164" s="191">
        <f t="shared" si="20"/>
        <v>2029</v>
      </c>
      <c r="I164" s="191">
        <f t="shared" si="20"/>
        <v>2030</v>
      </c>
      <c r="J164" s="191">
        <f t="shared" si="20"/>
        <v>2031</v>
      </c>
      <c r="K164" s="191">
        <f t="shared" si="20"/>
        <v>2032</v>
      </c>
      <c r="L164" s="191">
        <f t="shared" si="20"/>
        <v>2033</v>
      </c>
    </row>
    <row r="165" spans="1:13" ht="15.6" thickTop="1" thickBot="1">
      <c r="A165" s="193"/>
      <c r="B165" s="206"/>
      <c r="C165" s="206"/>
      <c r="D165" s="206"/>
      <c r="E165" s="206"/>
      <c r="F165" s="206"/>
      <c r="G165" s="206"/>
      <c r="H165" s="206"/>
      <c r="I165" s="206"/>
      <c r="J165" s="206"/>
      <c r="K165" s="206"/>
      <c r="L165" s="206"/>
      <c r="M165" s="37"/>
    </row>
    <row r="166" spans="1:13" ht="15" thickBot="1">
      <c r="A166" s="193" t="s">
        <v>111</v>
      </c>
      <c r="B166" s="194">
        <f ca="1">IF($H$1="",
SUMIFS('Customer Scenario Forecast'!B$22:B$1183,'Customer Scenario Forecast'!$C$20:$C$1181,'Incremental Network SummerFcast'!$A163)+
SUMIFS('Customer Scenario Forecast'!B$22:B$1183,'Customer Scenario Forecast'!$D$20:$D$1181,'Incremental Network SummerFcast'!$A163)+
SUMIFS('Customer Scenario Forecast'!B$22:B$1183,'Customer Scenario Forecast'!$E$20:$E$1181,'Incremental Network SummerFcast'!$A163),
SUMIFS('Customer Scenario Forecast'!B$22:B$1183,'Customer Scenario Forecast'!$C$20:$C$1181,'Incremental Network SummerFcast'!$A163,'Customer Scenario Forecast'!$H$20:$H$1181,'Incremental Network SummerFcast'!$H$1)+
SUMIFS('Customer Scenario Forecast'!B$22:B$1183,'Customer Scenario Forecast'!$D$20:$D$1181,'Incremental Network SummerFcast'!$A163,'Customer Scenario Forecast'!$H$20:$H$1181,'Incremental Network SummerFcast'!$H$1)+
SUMIFS('Customer Scenario Forecast'!B$22:B$1183,'Customer Scenario Forecast'!$E$20:$E$1181,'Incremental Network SummerFcast'!$A163,'Customer Scenario Forecast'!$H$20:$H$1181,'Incremental Network SummerFcast'!$H$1))</f>
        <v>0</v>
      </c>
      <c r="C166" s="194">
        <f ca="1">IF($H$1="",
SUMIFS('Customer Scenario Forecast'!C$22:C$1183,'Customer Scenario Forecast'!$C$20:$C$1181,'Incremental Network SummerFcast'!$A163)+
SUMIFS('Customer Scenario Forecast'!C$22:C$1183,'Customer Scenario Forecast'!$D$20:$D$1181,'Incremental Network SummerFcast'!$A163)+
SUMIFS('Customer Scenario Forecast'!C$22:C$1183,'Customer Scenario Forecast'!$E$20:$E$1181,'Incremental Network SummerFcast'!$A163),
SUMIFS('Customer Scenario Forecast'!C$22:C$1183,'Customer Scenario Forecast'!$C$20:$C$1181,'Incremental Network SummerFcast'!$A163,'Customer Scenario Forecast'!$H$20:$H$1181,'Incremental Network SummerFcast'!$H$1)+
SUMIFS('Customer Scenario Forecast'!C$22:C$1183,'Customer Scenario Forecast'!$D$20:$D$1181,'Incremental Network SummerFcast'!$A163,'Customer Scenario Forecast'!$H$20:$H$1181,'Incremental Network SummerFcast'!$H$1)+
SUMIFS('Customer Scenario Forecast'!C$22:C$1183,'Customer Scenario Forecast'!$E$20:$E$1181,'Incremental Network SummerFcast'!$A163,'Customer Scenario Forecast'!$H$20:$H$1181,'Incremental Network SummerFcast'!$H$1))</f>
        <v>0</v>
      </c>
      <c r="D166" s="194">
        <f ca="1">IF($H$1="",
SUMIFS('Customer Scenario Forecast'!D$22:D$1183,'Customer Scenario Forecast'!$C$20:$C$1181,'Incremental Network SummerFcast'!$A163)+
SUMIFS('Customer Scenario Forecast'!D$22:D$1183,'Customer Scenario Forecast'!$D$20:$D$1181,'Incremental Network SummerFcast'!$A163)+
SUMIFS('Customer Scenario Forecast'!D$22:D$1183,'Customer Scenario Forecast'!$E$20:$E$1181,'Incremental Network SummerFcast'!$A163),
SUMIFS('Customer Scenario Forecast'!D$22:D$1183,'Customer Scenario Forecast'!$C$20:$C$1181,'Incremental Network SummerFcast'!$A163,'Customer Scenario Forecast'!$H$20:$H$1181,'Incremental Network SummerFcast'!$H$1)+
SUMIFS('Customer Scenario Forecast'!D$22:D$1183,'Customer Scenario Forecast'!$D$20:$D$1181,'Incremental Network SummerFcast'!$A163,'Customer Scenario Forecast'!$H$20:$H$1181,'Incremental Network SummerFcast'!$H$1)+
SUMIFS('Customer Scenario Forecast'!D$22:D$1183,'Customer Scenario Forecast'!$E$20:$E$1181,'Incremental Network SummerFcast'!$A163,'Customer Scenario Forecast'!$H$20:$H$1181,'Incremental Network SummerFcast'!$H$1))</f>
        <v>0</v>
      </c>
      <c r="E166" s="194">
        <f ca="1">IF($H$1="",
SUMIFS('Customer Scenario Forecast'!E$22:E$1183,'Customer Scenario Forecast'!$C$20:$C$1181,'Incremental Network SummerFcast'!$A163)+
SUMIFS('Customer Scenario Forecast'!E$22:E$1183,'Customer Scenario Forecast'!$D$20:$D$1181,'Incremental Network SummerFcast'!$A163)+
SUMIFS('Customer Scenario Forecast'!E$22:E$1183,'Customer Scenario Forecast'!$E$20:$E$1181,'Incremental Network SummerFcast'!$A163),
SUMIFS('Customer Scenario Forecast'!E$22:E$1183,'Customer Scenario Forecast'!$C$20:$C$1181,'Incremental Network SummerFcast'!$A163,'Customer Scenario Forecast'!$H$20:$H$1181,'Incremental Network SummerFcast'!$H$1)+
SUMIFS('Customer Scenario Forecast'!E$22:E$1183,'Customer Scenario Forecast'!$D$20:$D$1181,'Incremental Network SummerFcast'!$A163,'Customer Scenario Forecast'!$H$20:$H$1181,'Incremental Network SummerFcast'!$H$1)+
SUMIFS('Customer Scenario Forecast'!E$22:E$1183,'Customer Scenario Forecast'!$E$20:$E$1181,'Incremental Network SummerFcast'!$A163,'Customer Scenario Forecast'!$H$20:$H$1181,'Incremental Network SummerFcast'!$H$1))</f>
        <v>0</v>
      </c>
      <c r="F166" s="194">
        <f ca="1">IF($H$1="",
SUMIFS('Customer Scenario Forecast'!F$22:F$1183,'Customer Scenario Forecast'!$C$20:$C$1181,'Incremental Network SummerFcast'!$A163)+
SUMIFS('Customer Scenario Forecast'!F$22:F$1183,'Customer Scenario Forecast'!$D$20:$D$1181,'Incremental Network SummerFcast'!$A163)+
SUMIFS('Customer Scenario Forecast'!F$22:F$1183,'Customer Scenario Forecast'!$E$20:$E$1181,'Incremental Network SummerFcast'!$A163),
SUMIFS('Customer Scenario Forecast'!F$22:F$1183,'Customer Scenario Forecast'!$C$20:$C$1181,'Incremental Network SummerFcast'!$A163,'Customer Scenario Forecast'!$H$20:$H$1181,'Incremental Network SummerFcast'!$H$1)+
SUMIFS('Customer Scenario Forecast'!F$22:F$1183,'Customer Scenario Forecast'!$D$20:$D$1181,'Incremental Network SummerFcast'!$A163,'Customer Scenario Forecast'!$H$20:$H$1181,'Incremental Network SummerFcast'!$H$1)+
SUMIFS('Customer Scenario Forecast'!F$22:F$1183,'Customer Scenario Forecast'!$E$20:$E$1181,'Incremental Network SummerFcast'!$A163,'Customer Scenario Forecast'!$H$20:$H$1181,'Incremental Network SummerFcast'!$H$1))</f>
        <v>0</v>
      </c>
      <c r="G166" s="194">
        <f ca="1">IF($H$1="",
SUMIFS('Customer Scenario Forecast'!G$22:G$1183,'Customer Scenario Forecast'!$C$20:$C$1181,'Incremental Network SummerFcast'!$A163)+
SUMIFS('Customer Scenario Forecast'!G$22:G$1183,'Customer Scenario Forecast'!$D$20:$D$1181,'Incremental Network SummerFcast'!$A163)+
SUMIFS('Customer Scenario Forecast'!G$22:G$1183,'Customer Scenario Forecast'!$E$20:$E$1181,'Incremental Network SummerFcast'!$A163),
SUMIFS('Customer Scenario Forecast'!G$22:G$1183,'Customer Scenario Forecast'!$C$20:$C$1181,'Incremental Network SummerFcast'!$A163,'Customer Scenario Forecast'!$H$20:$H$1181,'Incremental Network SummerFcast'!$H$1)+
SUMIFS('Customer Scenario Forecast'!G$22:G$1183,'Customer Scenario Forecast'!$D$20:$D$1181,'Incremental Network SummerFcast'!$A163,'Customer Scenario Forecast'!$H$20:$H$1181,'Incremental Network SummerFcast'!$H$1)+
SUMIFS('Customer Scenario Forecast'!G$22:G$1183,'Customer Scenario Forecast'!$E$20:$E$1181,'Incremental Network SummerFcast'!$A163,'Customer Scenario Forecast'!$H$20:$H$1181,'Incremental Network SummerFcast'!$H$1))</f>
        <v>0</v>
      </c>
      <c r="H166" s="194">
        <f ca="1">IF($H$1="",
SUMIFS('Customer Scenario Forecast'!H$22:H$1183,'Customer Scenario Forecast'!$C$20:$C$1181,'Incremental Network SummerFcast'!$A163)+
SUMIFS('Customer Scenario Forecast'!H$22:H$1183,'Customer Scenario Forecast'!$D$20:$D$1181,'Incremental Network SummerFcast'!$A163)+
SUMIFS('Customer Scenario Forecast'!H$22:H$1183,'Customer Scenario Forecast'!$E$20:$E$1181,'Incremental Network SummerFcast'!$A163),
SUMIFS('Customer Scenario Forecast'!H$22:H$1183,'Customer Scenario Forecast'!$C$20:$C$1181,'Incremental Network SummerFcast'!$A163,'Customer Scenario Forecast'!$H$20:$H$1181,'Incremental Network SummerFcast'!$H$1)+
SUMIFS('Customer Scenario Forecast'!H$22:H$1183,'Customer Scenario Forecast'!$D$20:$D$1181,'Incremental Network SummerFcast'!$A163,'Customer Scenario Forecast'!$H$20:$H$1181,'Incremental Network SummerFcast'!$H$1)+
SUMIFS('Customer Scenario Forecast'!H$22:H$1183,'Customer Scenario Forecast'!$E$20:$E$1181,'Incremental Network SummerFcast'!$A163,'Customer Scenario Forecast'!$H$20:$H$1181,'Incremental Network SummerFcast'!$H$1))</f>
        <v>0</v>
      </c>
      <c r="I166" s="194">
        <f ca="1">IF($H$1="",
SUMIFS('Customer Scenario Forecast'!I$22:I$1183,'Customer Scenario Forecast'!$C$20:$C$1181,'Incremental Network SummerFcast'!$A163)+
SUMIFS('Customer Scenario Forecast'!I$22:I$1183,'Customer Scenario Forecast'!$D$20:$D$1181,'Incremental Network SummerFcast'!$A163)+
SUMIFS('Customer Scenario Forecast'!I$22:I$1183,'Customer Scenario Forecast'!$E$20:$E$1181,'Incremental Network SummerFcast'!$A163),
SUMIFS('Customer Scenario Forecast'!I$22:I$1183,'Customer Scenario Forecast'!$C$20:$C$1181,'Incremental Network SummerFcast'!$A163,'Customer Scenario Forecast'!$H$20:$H$1181,'Incremental Network SummerFcast'!$H$1)+
SUMIFS('Customer Scenario Forecast'!I$22:I$1183,'Customer Scenario Forecast'!$D$20:$D$1181,'Incremental Network SummerFcast'!$A163,'Customer Scenario Forecast'!$H$20:$H$1181,'Incremental Network SummerFcast'!$H$1)+
SUMIFS('Customer Scenario Forecast'!I$22:I$1183,'Customer Scenario Forecast'!$E$20:$E$1181,'Incremental Network SummerFcast'!$A163,'Customer Scenario Forecast'!$H$20:$H$1181,'Incremental Network SummerFcast'!$H$1))</f>
        <v>0</v>
      </c>
      <c r="J166" s="194">
        <f ca="1">IF($H$1="",
SUMIFS('Customer Scenario Forecast'!J$22:J$1183,'Customer Scenario Forecast'!$C$20:$C$1181,'Incremental Network SummerFcast'!$A163)+
SUMIFS('Customer Scenario Forecast'!J$22:J$1183,'Customer Scenario Forecast'!$D$20:$D$1181,'Incremental Network SummerFcast'!$A163)+
SUMIFS('Customer Scenario Forecast'!J$22:J$1183,'Customer Scenario Forecast'!$E$20:$E$1181,'Incremental Network SummerFcast'!$A163),
SUMIFS('Customer Scenario Forecast'!J$22:J$1183,'Customer Scenario Forecast'!$C$20:$C$1181,'Incremental Network SummerFcast'!$A163,'Customer Scenario Forecast'!$H$20:$H$1181,'Incremental Network SummerFcast'!$H$1)+
SUMIFS('Customer Scenario Forecast'!J$22:J$1183,'Customer Scenario Forecast'!$D$20:$D$1181,'Incremental Network SummerFcast'!$A163,'Customer Scenario Forecast'!$H$20:$H$1181,'Incremental Network SummerFcast'!$H$1)+
SUMIFS('Customer Scenario Forecast'!J$22:J$1183,'Customer Scenario Forecast'!$E$20:$E$1181,'Incremental Network SummerFcast'!$A163,'Customer Scenario Forecast'!$H$20:$H$1181,'Incremental Network SummerFcast'!$H$1))</f>
        <v>23.400315288906256</v>
      </c>
      <c r="K166" s="194">
        <f ca="1">IF($H$1="",
SUMIFS('Customer Scenario Forecast'!K$22:K$1183,'Customer Scenario Forecast'!$C$20:$C$1181,'Incremental Network SummerFcast'!$A163)+
SUMIFS('Customer Scenario Forecast'!K$22:K$1183,'Customer Scenario Forecast'!$D$20:$D$1181,'Incremental Network SummerFcast'!$A163)+
SUMIFS('Customer Scenario Forecast'!K$22:K$1183,'Customer Scenario Forecast'!$E$20:$E$1181,'Incremental Network SummerFcast'!$A163),
SUMIFS('Customer Scenario Forecast'!K$22:K$1183,'Customer Scenario Forecast'!$C$20:$C$1181,'Incremental Network SummerFcast'!$A163,'Customer Scenario Forecast'!$H$20:$H$1181,'Incremental Network SummerFcast'!$H$1)+
SUMIFS('Customer Scenario Forecast'!K$22:K$1183,'Customer Scenario Forecast'!$D$20:$D$1181,'Incremental Network SummerFcast'!$A163,'Customer Scenario Forecast'!$H$20:$H$1181,'Incremental Network SummerFcast'!$H$1)+
SUMIFS('Customer Scenario Forecast'!K$22:K$1183,'Customer Scenario Forecast'!$E$20:$E$1181,'Incremental Network SummerFcast'!$A163,'Customer Scenario Forecast'!$H$20:$H$1181,'Incremental Network SummerFcast'!$H$1))</f>
        <v>59.667574750830561</v>
      </c>
      <c r="L166" s="194">
        <f ca="1">IF($H$1="",
SUMIFS('Customer Scenario Forecast'!L$22:L$1183,'Customer Scenario Forecast'!$C$20:$C$1181,'Incremental Network SummerFcast'!$A163)+
SUMIFS('Customer Scenario Forecast'!L$22:L$1183,'Customer Scenario Forecast'!$D$20:$D$1181,'Incremental Network SummerFcast'!$A163)+
SUMIFS('Customer Scenario Forecast'!L$22:L$1183,'Customer Scenario Forecast'!$E$20:$E$1181,'Incremental Network SummerFcast'!$A163),
SUMIFS('Customer Scenario Forecast'!L$22:L$1183,'Customer Scenario Forecast'!$C$20:$C$1181,'Incremental Network SummerFcast'!$A163,'Customer Scenario Forecast'!$H$20:$H$1181,'Incremental Network SummerFcast'!$H$1)+
SUMIFS('Customer Scenario Forecast'!L$22:L$1183,'Customer Scenario Forecast'!$D$20:$D$1181,'Incremental Network SummerFcast'!$A163,'Customer Scenario Forecast'!$H$20:$H$1181,'Incremental Network SummerFcast'!$H$1)+
SUMIFS('Customer Scenario Forecast'!L$22:L$1183,'Customer Scenario Forecast'!$E$20:$E$1181,'Incremental Network SummerFcast'!$A163,'Customer Scenario Forecast'!$H$20:$H$1181,'Incremental Network SummerFcast'!$H$1))</f>
        <v>78.235074750830563</v>
      </c>
      <c r="M166" s="37"/>
    </row>
    <row r="167" spans="1:13" ht="15" thickBot="1">
      <c r="A167" s="195" t="s">
        <v>107</v>
      </c>
      <c r="B167" s="196">
        <f ca="1">IF($H$1="",
1*(
SUMIFS('Customer Scenario Forecast'!B$23:B$1184,'Customer Scenario Forecast'!$C$20:$C$1181,'Incremental Network SummerFcast'!$A163)+
SUMIFS('Customer Scenario Forecast'!B$23:B$1184,'Customer Scenario Forecast'!$D$20:$D$1181,'Incremental Network SummerFcast'!$A163)+
SUMIFS('Customer Scenario Forecast'!B$23:B$1184,'Customer Scenario Forecast'!$E$20:$E$1181,'Incremental Network SummerFcast'!$A163)+B165),
1*(
SUMIFS('Customer Scenario Forecast'!B$23:B$1184,'Customer Scenario Forecast'!$C$20:$C$1181,'Incremental Network SummerFcast'!$A163,'Customer Scenario Forecast'!$H$20:$H$1181,'Incremental Network SummerFcast'!$H$1)+
SUMIFS('Customer Scenario Forecast'!B$23:B$1184,'Customer Scenario Forecast'!$D$20:$D$1181,'Incremental Network SummerFcast'!$A163,'Customer Scenario Forecast'!$H$20:$H$1181,'Incremental Network SummerFcast'!$H$1)+
SUMIFS('Customer Scenario Forecast'!B$23:B$1184,'Customer Scenario Forecast'!$E$20:$E$1181,'Incremental Network SummerFcast'!$A163,'Customer Scenario Forecast'!$H$20:$H$1181,'Incremental Network SummerFcast'!$H$1)+B165))</f>
        <v>0</v>
      </c>
      <c r="C167" s="196">
        <f ca="1">IF($H$1="",
1*(
SUMIFS('Customer Scenario Forecast'!C$23:C$1184,'Customer Scenario Forecast'!$C$20:$C$1181,'Incremental Network SummerFcast'!$A163)+
SUMIFS('Customer Scenario Forecast'!C$23:C$1184,'Customer Scenario Forecast'!$D$20:$D$1181,'Incremental Network SummerFcast'!$A163)+
SUMIFS('Customer Scenario Forecast'!C$23:C$1184,'Customer Scenario Forecast'!$E$20:$E$1181,'Incremental Network SummerFcast'!$A163)+C165),
1*(
SUMIFS('Customer Scenario Forecast'!C$23:C$1184,'Customer Scenario Forecast'!$C$20:$C$1181,'Incremental Network SummerFcast'!$A163,'Customer Scenario Forecast'!$H$20:$H$1181,'Incremental Network SummerFcast'!$H$1)+
SUMIFS('Customer Scenario Forecast'!C$23:C$1184,'Customer Scenario Forecast'!$D$20:$D$1181,'Incremental Network SummerFcast'!$A163,'Customer Scenario Forecast'!$H$20:$H$1181,'Incremental Network SummerFcast'!$H$1)+
SUMIFS('Customer Scenario Forecast'!C$23:C$1184,'Customer Scenario Forecast'!$E$20:$E$1181,'Incremental Network SummerFcast'!$A163,'Customer Scenario Forecast'!$H$20:$H$1181,'Incremental Network SummerFcast'!$H$1)+C165))</f>
        <v>0</v>
      </c>
      <c r="D167" s="196">
        <f ca="1">IF($H$1="",
1*(
SUMIFS('Customer Scenario Forecast'!D$23:D$1184,'Customer Scenario Forecast'!$C$20:$C$1181,'Incremental Network SummerFcast'!$A163)+
SUMIFS('Customer Scenario Forecast'!D$23:D$1184,'Customer Scenario Forecast'!$D$20:$D$1181,'Incremental Network SummerFcast'!$A163)+
SUMIFS('Customer Scenario Forecast'!D$23:D$1184,'Customer Scenario Forecast'!$E$20:$E$1181,'Incremental Network SummerFcast'!$A163)+D165),
1*(
SUMIFS('Customer Scenario Forecast'!D$23:D$1184,'Customer Scenario Forecast'!$C$20:$C$1181,'Incremental Network SummerFcast'!$A163,'Customer Scenario Forecast'!$H$20:$H$1181,'Incremental Network SummerFcast'!$H$1)+
SUMIFS('Customer Scenario Forecast'!D$23:D$1184,'Customer Scenario Forecast'!$D$20:$D$1181,'Incremental Network SummerFcast'!$A163,'Customer Scenario Forecast'!$H$20:$H$1181,'Incremental Network SummerFcast'!$H$1)+
SUMIFS('Customer Scenario Forecast'!D$23:D$1184,'Customer Scenario Forecast'!$E$20:$E$1181,'Incremental Network SummerFcast'!$A163,'Customer Scenario Forecast'!$H$20:$H$1181,'Incremental Network SummerFcast'!$H$1)+D165))</f>
        <v>0</v>
      </c>
      <c r="E167" s="196">
        <f ca="1">IF($H$1="",
1*(
SUMIFS('Customer Scenario Forecast'!E$23:E$1184,'Customer Scenario Forecast'!$C$20:$C$1181,'Incremental Network SummerFcast'!$A163)+
SUMIFS('Customer Scenario Forecast'!E$23:E$1184,'Customer Scenario Forecast'!$D$20:$D$1181,'Incremental Network SummerFcast'!$A163)+
SUMIFS('Customer Scenario Forecast'!E$23:E$1184,'Customer Scenario Forecast'!$E$20:$E$1181,'Incremental Network SummerFcast'!$A163)+E165),
1*(
SUMIFS('Customer Scenario Forecast'!E$23:E$1184,'Customer Scenario Forecast'!$C$20:$C$1181,'Incremental Network SummerFcast'!$A163,'Customer Scenario Forecast'!$H$20:$H$1181,'Incremental Network SummerFcast'!$H$1)+
SUMIFS('Customer Scenario Forecast'!E$23:E$1184,'Customer Scenario Forecast'!$D$20:$D$1181,'Incremental Network SummerFcast'!$A163,'Customer Scenario Forecast'!$H$20:$H$1181,'Incremental Network SummerFcast'!$H$1)+
SUMIFS('Customer Scenario Forecast'!E$23:E$1184,'Customer Scenario Forecast'!$E$20:$E$1181,'Incremental Network SummerFcast'!$A163,'Customer Scenario Forecast'!$H$20:$H$1181,'Incremental Network SummerFcast'!$H$1)+E165))</f>
        <v>0</v>
      </c>
      <c r="F167" s="196">
        <f ca="1">IF($H$1="",
1*(
SUMIFS('Customer Scenario Forecast'!F$23:F$1184,'Customer Scenario Forecast'!$C$20:$C$1181,'Incremental Network SummerFcast'!$A163)+
SUMIFS('Customer Scenario Forecast'!F$23:F$1184,'Customer Scenario Forecast'!$D$20:$D$1181,'Incremental Network SummerFcast'!$A163)+
SUMIFS('Customer Scenario Forecast'!F$23:F$1184,'Customer Scenario Forecast'!$E$20:$E$1181,'Incremental Network SummerFcast'!$A163)+F165),
1*(
SUMIFS('Customer Scenario Forecast'!F$23:F$1184,'Customer Scenario Forecast'!$C$20:$C$1181,'Incremental Network SummerFcast'!$A163,'Customer Scenario Forecast'!$H$20:$H$1181,'Incremental Network SummerFcast'!$H$1)+
SUMIFS('Customer Scenario Forecast'!F$23:F$1184,'Customer Scenario Forecast'!$D$20:$D$1181,'Incremental Network SummerFcast'!$A163,'Customer Scenario Forecast'!$H$20:$H$1181,'Incremental Network SummerFcast'!$H$1)+
SUMIFS('Customer Scenario Forecast'!F$23:F$1184,'Customer Scenario Forecast'!$E$20:$E$1181,'Incremental Network SummerFcast'!$A163,'Customer Scenario Forecast'!$H$20:$H$1181,'Incremental Network SummerFcast'!$H$1)+F165))</f>
        <v>0</v>
      </c>
      <c r="G167" s="196">
        <f ca="1">IF($H$1="",
1*(
SUMIFS('Customer Scenario Forecast'!G$23:G$1184,'Customer Scenario Forecast'!$C$20:$C$1181,'Incremental Network SummerFcast'!$A163)+
SUMIFS('Customer Scenario Forecast'!G$23:G$1184,'Customer Scenario Forecast'!$D$20:$D$1181,'Incremental Network SummerFcast'!$A163)+
SUMIFS('Customer Scenario Forecast'!G$23:G$1184,'Customer Scenario Forecast'!$E$20:$E$1181,'Incremental Network SummerFcast'!$A163)+G165),
1*(
SUMIFS('Customer Scenario Forecast'!G$23:G$1184,'Customer Scenario Forecast'!$C$20:$C$1181,'Incremental Network SummerFcast'!$A163,'Customer Scenario Forecast'!$H$20:$H$1181,'Incremental Network SummerFcast'!$H$1)+
SUMIFS('Customer Scenario Forecast'!G$23:G$1184,'Customer Scenario Forecast'!$D$20:$D$1181,'Incremental Network SummerFcast'!$A163,'Customer Scenario Forecast'!$H$20:$H$1181,'Incremental Network SummerFcast'!$H$1)+
SUMIFS('Customer Scenario Forecast'!G$23:G$1184,'Customer Scenario Forecast'!$E$20:$E$1181,'Incremental Network SummerFcast'!$A163,'Customer Scenario Forecast'!$H$20:$H$1181,'Incremental Network SummerFcast'!$H$1)+G165))</f>
        <v>0</v>
      </c>
      <c r="H167" s="196">
        <f ca="1">IF($H$1="",
1*(
SUMIFS('Customer Scenario Forecast'!H$23:H$1184,'Customer Scenario Forecast'!$C$20:$C$1181,'Incremental Network SummerFcast'!$A163)+
SUMIFS('Customer Scenario Forecast'!H$23:H$1184,'Customer Scenario Forecast'!$D$20:$D$1181,'Incremental Network SummerFcast'!$A163)+
SUMIFS('Customer Scenario Forecast'!H$23:H$1184,'Customer Scenario Forecast'!$E$20:$E$1181,'Incremental Network SummerFcast'!$A163)+H165),
1*(
SUMIFS('Customer Scenario Forecast'!H$23:H$1184,'Customer Scenario Forecast'!$C$20:$C$1181,'Incremental Network SummerFcast'!$A163,'Customer Scenario Forecast'!$H$20:$H$1181,'Incremental Network SummerFcast'!$H$1)+
SUMIFS('Customer Scenario Forecast'!H$23:H$1184,'Customer Scenario Forecast'!$D$20:$D$1181,'Incremental Network SummerFcast'!$A163,'Customer Scenario Forecast'!$H$20:$H$1181,'Incremental Network SummerFcast'!$H$1)+
SUMIFS('Customer Scenario Forecast'!H$23:H$1184,'Customer Scenario Forecast'!$E$20:$E$1181,'Incremental Network SummerFcast'!$A163,'Customer Scenario Forecast'!$H$20:$H$1181,'Incremental Network SummerFcast'!$H$1)+H165))</f>
        <v>0</v>
      </c>
      <c r="I167" s="196">
        <f ca="1">IF($H$1="",
1*(
SUMIFS('Customer Scenario Forecast'!I$23:I$1184,'Customer Scenario Forecast'!$C$20:$C$1181,'Incremental Network SummerFcast'!$A163)+
SUMIFS('Customer Scenario Forecast'!I$23:I$1184,'Customer Scenario Forecast'!$D$20:$D$1181,'Incremental Network SummerFcast'!$A163)+
SUMIFS('Customer Scenario Forecast'!I$23:I$1184,'Customer Scenario Forecast'!$E$20:$E$1181,'Incremental Network SummerFcast'!$A163)+I165),
1*(
SUMIFS('Customer Scenario Forecast'!I$23:I$1184,'Customer Scenario Forecast'!$C$20:$C$1181,'Incremental Network SummerFcast'!$A163,'Customer Scenario Forecast'!$H$20:$H$1181,'Incremental Network SummerFcast'!$H$1)+
SUMIFS('Customer Scenario Forecast'!I$23:I$1184,'Customer Scenario Forecast'!$D$20:$D$1181,'Incremental Network SummerFcast'!$A163,'Customer Scenario Forecast'!$H$20:$H$1181,'Incremental Network SummerFcast'!$H$1)+
SUMIFS('Customer Scenario Forecast'!I$23:I$1184,'Customer Scenario Forecast'!$E$20:$E$1181,'Incremental Network SummerFcast'!$A163,'Customer Scenario Forecast'!$H$20:$H$1181,'Incremental Network SummerFcast'!$H$1)+I165))</f>
        <v>0</v>
      </c>
      <c r="J167" s="196">
        <f ca="1">IF($H$1="",
1*(
SUMIFS('Customer Scenario Forecast'!J$23:J$1184,'Customer Scenario Forecast'!$C$20:$C$1181,'Incremental Network SummerFcast'!$A163)+
SUMIFS('Customer Scenario Forecast'!J$23:J$1184,'Customer Scenario Forecast'!$D$20:$D$1181,'Incremental Network SummerFcast'!$A163)+
SUMIFS('Customer Scenario Forecast'!J$23:J$1184,'Customer Scenario Forecast'!$E$20:$E$1181,'Incremental Network SummerFcast'!$A163)+J165),
1*(
SUMIFS('Customer Scenario Forecast'!J$23:J$1184,'Customer Scenario Forecast'!$C$20:$C$1181,'Incremental Network SummerFcast'!$A163,'Customer Scenario Forecast'!$H$20:$H$1181,'Incremental Network SummerFcast'!$H$1)+
SUMIFS('Customer Scenario Forecast'!J$23:J$1184,'Customer Scenario Forecast'!$D$20:$D$1181,'Incremental Network SummerFcast'!$A163,'Customer Scenario Forecast'!$H$20:$H$1181,'Incremental Network SummerFcast'!$H$1)+
SUMIFS('Customer Scenario Forecast'!J$23:J$1184,'Customer Scenario Forecast'!$E$20:$E$1181,'Incremental Network SummerFcast'!$A163,'Customer Scenario Forecast'!$H$20:$H$1181,'Incremental Network SummerFcast'!$H$1)+J165))</f>
        <v>0</v>
      </c>
      <c r="K167" s="196">
        <f ca="1">IF($H$1="",
1*(
SUMIFS('Customer Scenario Forecast'!K$23:K$1184,'Customer Scenario Forecast'!$C$20:$C$1181,'Incremental Network SummerFcast'!$A163)+
SUMIFS('Customer Scenario Forecast'!K$23:K$1184,'Customer Scenario Forecast'!$D$20:$D$1181,'Incremental Network SummerFcast'!$A163)+
SUMIFS('Customer Scenario Forecast'!K$23:K$1184,'Customer Scenario Forecast'!$E$20:$E$1181,'Incremental Network SummerFcast'!$A163)+K165),
1*(
SUMIFS('Customer Scenario Forecast'!K$23:K$1184,'Customer Scenario Forecast'!$C$20:$C$1181,'Incremental Network SummerFcast'!$A163,'Customer Scenario Forecast'!$H$20:$H$1181,'Incremental Network SummerFcast'!$H$1)+
SUMIFS('Customer Scenario Forecast'!K$23:K$1184,'Customer Scenario Forecast'!$D$20:$D$1181,'Incremental Network SummerFcast'!$A163,'Customer Scenario Forecast'!$H$20:$H$1181,'Incremental Network SummerFcast'!$H$1)+
SUMIFS('Customer Scenario Forecast'!K$23:K$1184,'Customer Scenario Forecast'!$E$20:$E$1181,'Incremental Network SummerFcast'!$A163,'Customer Scenario Forecast'!$H$20:$H$1181,'Incremental Network SummerFcast'!$H$1)+K165))</f>
        <v>0</v>
      </c>
      <c r="L167" s="196">
        <f ca="1">IF($H$1="",
1*(
SUMIFS('Customer Scenario Forecast'!L$23:L$1184,'Customer Scenario Forecast'!$C$20:$C$1181,'Incremental Network SummerFcast'!$A163)+
SUMIFS('Customer Scenario Forecast'!L$23:L$1184,'Customer Scenario Forecast'!$D$20:$D$1181,'Incremental Network SummerFcast'!$A163)+
SUMIFS('Customer Scenario Forecast'!L$23:L$1184,'Customer Scenario Forecast'!$E$20:$E$1181,'Incremental Network SummerFcast'!$A163)+L165),
1*(
SUMIFS('Customer Scenario Forecast'!L$23:L$1184,'Customer Scenario Forecast'!$C$20:$C$1181,'Incremental Network SummerFcast'!$A163,'Customer Scenario Forecast'!$H$20:$H$1181,'Incremental Network SummerFcast'!$H$1)+
SUMIFS('Customer Scenario Forecast'!L$23:L$1184,'Customer Scenario Forecast'!$D$20:$D$1181,'Incremental Network SummerFcast'!$A163,'Customer Scenario Forecast'!$H$20:$H$1181,'Incremental Network SummerFcast'!$H$1)+
SUMIFS('Customer Scenario Forecast'!L$23:L$1184,'Customer Scenario Forecast'!$E$20:$E$1181,'Incremental Network SummerFcast'!$A163,'Customer Scenario Forecast'!$H$20:$H$1181,'Incremental Network SummerFcast'!$H$1)+L165))</f>
        <v>0</v>
      </c>
    </row>
    <row r="168" spans="1:13" ht="15" thickBot="1">
      <c r="A168" s="195" t="s">
        <v>108</v>
      </c>
      <c r="B168" s="196">
        <f ca="1">IF($H$1="",
1*(
SUMIFS('Customer Scenario Forecast'!B$24:B$1185,'Customer Scenario Forecast'!$C$20:$C$1181,'Incremental Network SummerFcast'!$A163)+
SUMIFS('Customer Scenario Forecast'!B$24:B$1185,'Customer Scenario Forecast'!$D$20:$D$1181,'Incremental Network SummerFcast'!$A163)+
SUMIFS('Customer Scenario Forecast'!B$24:B$1185,'Customer Scenario Forecast'!$E$20:$E$1181,'Incremental Network SummerFcast'!$A163)+B165),
1*(
SUMIFS('Customer Scenario Forecast'!B$24:B$1185,'Customer Scenario Forecast'!$C$20:$C$1181,'Incremental Network SummerFcast'!$A163,'Customer Scenario Forecast'!$H$20:$H$1181,'Incremental Network SummerFcast'!$H$1)+
SUMIFS('Customer Scenario Forecast'!B$24:B$1185,'Customer Scenario Forecast'!$D$20:$D$1181,'Incremental Network SummerFcast'!$A163,'Customer Scenario Forecast'!$H$20:$H$1181,'Incremental Network SummerFcast'!$H$1)+
SUMIFS('Customer Scenario Forecast'!B$24:B$1185,'Customer Scenario Forecast'!$E$20:$E$1181,'Incremental Network SummerFcast'!$A163,'Customer Scenario Forecast'!$H$20:$H$1181,'Incremental Network SummerFcast'!$H$1)+B165))</f>
        <v>0</v>
      </c>
      <c r="C168" s="196">
        <f ca="1">IF($H$1="",
1*(
SUMIFS('Customer Scenario Forecast'!C$24:C$1185,'Customer Scenario Forecast'!$C$20:$C$1181,'Incremental Network SummerFcast'!$A163)+
SUMIFS('Customer Scenario Forecast'!C$24:C$1185,'Customer Scenario Forecast'!$D$20:$D$1181,'Incremental Network SummerFcast'!$A163)+
SUMIFS('Customer Scenario Forecast'!C$24:C$1185,'Customer Scenario Forecast'!$E$20:$E$1181,'Incremental Network SummerFcast'!$A163)+C165),
1*(
SUMIFS('Customer Scenario Forecast'!C$24:C$1185,'Customer Scenario Forecast'!$C$20:$C$1181,'Incremental Network SummerFcast'!$A163,'Customer Scenario Forecast'!$H$20:$H$1181,'Incremental Network SummerFcast'!$H$1)+
SUMIFS('Customer Scenario Forecast'!C$24:C$1185,'Customer Scenario Forecast'!$D$20:$D$1181,'Incremental Network SummerFcast'!$A163,'Customer Scenario Forecast'!$H$20:$H$1181,'Incremental Network SummerFcast'!$H$1)+
SUMIFS('Customer Scenario Forecast'!C$24:C$1185,'Customer Scenario Forecast'!$E$20:$E$1181,'Incremental Network SummerFcast'!$A163,'Customer Scenario Forecast'!$H$20:$H$1181,'Incremental Network SummerFcast'!$H$1)+C165))</f>
        <v>0</v>
      </c>
      <c r="D168" s="196">
        <f ca="1">IF($H$1="",
1*(
SUMIFS('Customer Scenario Forecast'!D$24:D$1185,'Customer Scenario Forecast'!$C$20:$C$1181,'Incremental Network SummerFcast'!$A163)+
SUMIFS('Customer Scenario Forecast'!D$24:D$1185,'Customer Scenario Forecast'!$D$20:$D$1181,'Incremental Network SummerFcast'!$A163)+
SUMIFS('Customer Scenario Forecast'!D$24:D$1185,'Customer Scenario Forecast'!$E$20:$E$1181,'Incremental Network SummerFcast'!$A163)+D165),
1*(
SUMIFS('Customer Scenario Forecast'!D$24:D$1185,'Customer Scenario Forecast'!$C$20:$C$1181,'Incremental Network SummerFcast'!$A163,'Customer Scenario Forecast'!$H$20:$H$1181,'Incremental Network SummerFcast'!$H$1)+
SUMIFS('Customer Scenario Forecast'!D$24:D$1185,'Customer Scenario Forecast'!$D$20:$D$1181,'Incremental Network SummerFcast'!$A163,'Customer Scenario Forecast'!$H$20:$H$1181,'Incremental Network SummerFcast'!$H$1)+
SUMIFS('Customer Scenario Forecast'!D$24:D$1185,'Customer Scenario Forecast'!$E$20:$E$1181,'Incremental Network SummerFcast'!$A163,'Customer Scenario Forecast'!$H$20:$H$1181,'Incremental Network SummerFcast'!$H$1)+D165))</f>
        <v>0</v>
      </c>
      <c r="E168" s="196">
        <f ca="1">IF($H$1="",
1*(
SUMIFS('Customer Scenario Forecast'!E$24:E$1185,'Customer Scenario Forecast'!$C$20:$C$1181,'Incremental Network SummerFcast'!$A163)+
SUMIFS('Customer Scenario Forecast'!E$24:E$1185,'Customer Scenario Forecast'!$D$20:$D$1181,'Incremental Network SummerFcast'!$A163)+
SUMIFS('Customer Scenario Forecast'!E$24:E$1185,'Customer Scenario Forecast'!$E$20:$E$1181,'Incremental Network SummerFcast'!$A163)+E165),
1*(
SUMIFS('Customer Scenario Forecast'!E$24:E$1185,'Customer Scenario Forecast'!$C$20:$C$1181,'Incremental Network SummerFcast'!$A163,'Customer Scenario Forecast'!$H$20:$H$1181,'Incremental Network SummerFcast'!$H$1)+
SUMIFS('Customer Scenario Forecast'!E$24:E$1185,'Customer Scenario Forecast'!$D$20:$D$1181,'Incremental Network SummerFcast'!$A163,'Customer Scenario Forecast'!$H$20:$H$1181,'Incremental Network SummerFcast'!$H$1)+
SUMIFS('Customer Scenario Forecast'!E$24:E$1185,'Customer Scenario Forecast'!$E$20:$E$1181,'Incremental Network SummerFcast'!$A163,'Customer Scenario Forecast'!$H$20:$H$1181,'Incremental Network SummerFcast'!$H$1)+E165))</f>
        <v>0</v>
      </c>
      <c r="F168" s="196">
        <f ca="1">IF($H$1="",
1*(
SUMIFS('Customer Scenario Forecast'!F$24:F$1185,'Customer Scenario Forecast'!$C$20:$C$1181,'Incremental Network SummerFcast'!$A163)+
SUMIFS('Customer Scenario Forecast'!F$24:F$1185,'Customer Scenario Forecast'!$D$20:$D$1181,'Incremental Network SummerFcast'!$A163)+
SUMIFS('Customer Scenario Forecast'!F$24:F$1185,'Customer Scenario Forecast'!$E$20:$E$1181,'Incremental Network SummerFcast'!$A163)+F165),
1*(
SUMIFS('Customer Scenario Forecast'!F$24:F$1185,'Customer Scenario Forecast'!$C$20:$C$1181,'Incremental Network SummerFcast'!$A163,'Customer Scenario Forecast'!$H$20:$H$1181,'Incremental Network SummerFcast'!$H$1)+
SUMIFS('Customer Scenario Forecast'!F$24:F$1185,'Customer Scenario Forecast'!$D$20:$D$1181,'Incremental Network SummerFcast'!$A163,'Customer Scenario Forecast'!$H$20:$H$1181,'Incremental Network SummerFcast'!$H$1)+
SUMIFS('Customer Scenario Forecast'!F$24:F$1185,'Customer Scenario Forecast'!$E$20:$E$1181,'Incremental Network SummerFcast'!$A163,'Customer Scenario Forecast'!$H$20:$H$1181,'Incremental Network SummerFcast'!$H$1)+F165))</f>
        <v>0</v>
      </c>
      <c r="G168" s="196">
        <f ca="1">IF($H$1="",
1*(
SUMIFS('Customer Scenario Forecast'!G$24:G$1185,'Customer Scenario Forecast'!$C$20:$C$1181,'Incremental Network SummerFcast'!$A163)+
SUMIFS('Customer Scenario Forecast'!G$24:G$1185,'Customer Scenario Forecast'!$D$20:$D$1181,'Incremental Network SummerFcast'!$A163)+
SUMIFS('Customer Scenario Forecast'!G$24:G$1185,'Customer Scenario Forecast'!$E$20:$E$1181,'Incremental Network SummerFcast'!$A163)+G165),
1*(
SUMIFS('Customer Scenario Forecast'!G$24:G$1185,'Customer Scenario Forecast'!$C$20:$C$1181,'Incremental Network SummerFcast'!$A163,'Customer Scenario Forecast'!$H$20:$H$1181,'Incremental Network SummerFcast'!$H$1)+
SUMIFS('Customer Scenario Forecast'!G$24:G$1185,'Customer Scenario Forecast'!$D$20:$D$1181,'Incremental Network SummerFcast'!$A163,'Customer Scenario Forecast'!$H$20:$H$1181,'Incremental Network SummerFcast'!$H$1)+
SUMIFS('Customer Scenario Forecast'!G$24:G$1185,'Customer Scenario Forecast'!$E$20:$E$1181,'Incremental Network SummerFcast'!$A163,'Customer Scenario Forecast'!$H$20:$H$1181,'Incremental Network SummerFcast'!$H$1)+G165))</f>
        <v>0</v>
      </c>
      <c r="H168" s="196">
        <f ca="1">IF($H$1="",
1*(
SUMIFS('Customer Scenario Forecast'!H$24:H$1185,'Customer Scenario Forecast'!$C$20:$C$1181,'Incremental Network SummerFcast'!$A163)+
SUMIFS('Customer Scenario Forecast'!H$24:H$1185,'Customer Scenario Forecast'!$D$20:$D$1181,'Incremental Network SummerFcast'!$A163)+
SUMIFS('Customer Scenario Forecast'!H$24:H$1185,'Customer Scenario Forecast'!$E$20:$E$1181,'Incremental Network SummerFcast'!$A163)+H165),
1*(
SUMIFS('Customer Scenario Forecast'!H$24:H$1185,'Customer Scenario Forecast'!$C$20:$C$1181,'Incremental Network SummerFcast'!$A163,'Customer Scenario Forecast'!$H$20:$H$1181,'Incremental Network SummerFcast'!$H$1)+
SUMIFS('Customer Scenario Forecast'!H$24:H$1185,'Customer Scenario Forecast'!$D$20:$D$1181,'Incremental Network SummerFcast'!$A163,'Customer Scenario Forecast'!$H$20:$H$1181,'Incremental Network SummerFcast'!$H$1)+
SUMIFS('Customer Scenario Forecast'!H$24:H$1185,'Customer Scenario Forecast'!$E$20:$E$1181,'Incremental Network SummerFcast'!$A163,'Customer Scenario Forecast'!$H$20:$H$1181,'Incremental Network SummerFcast'!$H$1)+H165))</f>
        <v>0</v>
      </c>
      <c r="I168" s="196">
        <f ca="1">IF($H$1="",
1*(
SUMIFS('Customer Scenario Forecast'!I$24:I$1185,'Customer Scenario Forecast'!$C$20:$C$1181,'Incremental Network SummerFcast'!$A163)+
SUMIFS('Customer Scenario Forecast'!I$24:I$1185,'Customer Scenario Forecast'!$D$20:$D$1181,'Incremental Network SummerFcast'!$A163)+
SUMIFS('Customer Scenario Forecast'!I$24:I$1185,'Customer Scenario Forecast'!$E$20:$E$1181,'Incremental Network SummerFcast'!$A163)+I165),
1*(
SUMIFS('Customer Scenario Forecast'!I$24:I$1185,'Customer Scenario Forecast'!$C$20:$C$1181,'Incremental Network SummerFcast'!$A163,'Customer Scenario Forecast'!$H$20:$H$1181,'Incremental Network SummerFcast'!$H$1)+
SUMIFS('Customer Scenario Forecast'!I$24:I$1185,'Customer Scenario Forecast'!$D$20:$D$1181,'Incremental Network SummerFcast'!$A163,'Customer Scenario Forecast'!$H$20:$H$1181,'Incremental Network SummerFcast'!$H$1)+
SUMIFS('Customer Scenario Forecast'!I$24:I$1185,'Customer Scenario Forecast'!$E$20:$E$1181,'Incremental Network SummerFcast'!$A163,'Customer Scenario Forecast'!$H$20:$H$1181,'Incremental Network SummerFcast'!$H$1)+I165))</f>
        <v>0</v>
      </c>
      <c r="J168" s="196">
        <f ca="1">IF($H$1="",
1*(
SUMIFS('Customer Scenario Forecast'!J$24:J$1185,'Customer Scenario Forecast'!$C$20:$C$1181,'Incremental Network SummerFcast'!$A163)+
SUMIFS('Customer Scenario Forecast'!J$24:J$1185,'Customer Scenario Forecast'!$D$20:$D$1181,'Incremental Network SummerFcast'!$A163)+
SUMIFS('Customer Scenario Forecast'!J$24:J$1185,'Customer Scenario Forecast'!$E$20:$E$1181,'Incremental Network SummerFcast'!$A163)+J165),
1*(
SUMIFS('Customer Scenario Forecast'!J$24:J$1185,'Customer Scenario Forecast'!$C$20:$C$1181,'Incremental Network SummerFcast'!$A163,'Customer Scenario Forecast'!$H$20:$H$1181,'Incremental Network SummerFcast'!$H$1)+
SUMIFS('Customer Scenario Forecast'!J$24:J$1185,'Customer Scenario Forecast'!$D$20:$D$1181,'Incremental Network SummerFcast'!$A163,'Customer Scenario Forecast'!$H$20:$H$1181,'Incremental Network SummerFcast'!$H$1)+
SUMIFS('Customer Scenario Forecast'!J$24:J$1185,'Customer Scenario Forecast'!$E$20:$E$1181,'Incremental Network SummerFcast'!$A163,'Customer Scenario Forecast'!$H$20:$H$1181,'Incremental Network SummerFcast'!$H$1)+J165))</f>
        <v>0</v>
      </c>
      <c r="K168" s="196">
        <f ca="1">IF($H$1="",
1*(
SUMIFS('Customer Scenario Forecast'!K$24:K$1185,'Customer Scenario Forecast'!$C$20:$C$1181,'Incremental Network SummerFcast'!$A163)+
SUMIFS('Customer Scenario Forecast'!K$24:K$1185,'Customer Scenario Forecast'!$D$20:$D$1181,'Incremental Network SummerFcast'!$A163)+
SUMIFS('Customer Scenario Forecast'!K$24:K$1185,'Customer Scenario Forecast'!$E$20:$E$1181,'Incremental Network SummerFcast'!$A163)+K165),
1*(
SUMIFS('Customer Scenario Forecast'!K$24:K$1185,'Customer Scenario Forecast'!$C$20:$C$1181,'Incremental Network SummerFcast'!$A163,'Customer Scenario Forecast'!$H$20:$H$1181,'Incremental Network SummerFcast'!$H$1)+
SUMIFS('Customer Scenario Forecast'!K$24:K$1185,'Customer Scenario Forecast'!$D$20:$D$1181,'Incremental Network SummerFcast'!$A163,'Customer Scenario Forecast'!$H$20:$H$1181,'Incremental Network SummerFcast'!$H$1)+
SUMIFS('Customer Scenario Forecast'!K$24:K$1185,'Customer Scenario Forecast'!$E$20:$E$1181,'Incremental Network SummerFcast'!$A163,'Customer Scenario Forecast'!$H$20:$H$1181,'Incremental Network SummerFcast'!$H$1)+K165))</f>
        <v>0</v>
      </c>
      <c r="L168" s="196">
        <f ca="1">IF($H$1="",
1*(
SUMIFS('Customer Scenario Forecast'!L$24:L$1185,'Customer Scenario Forecast'!$C$20:$C$1181,'Incremental Network SummerFcast'!$A163)+
SUMIFS('Customer Scenario Forecast'!L$24:L$1185,'Customer Scenario Forecast'!$D$20:$D$1181,'Incremental Network SummerFcast'!$A163)+
SUMIFS('Customer Scenario Forecast'!L$24:L$1185,'Customer Scenario Forecast'!$E$20:$E$1181,'Incremental Network SummerFcast'!$A163)+L165),
1*(
SUMIFS('Customer Scenario Forecast'!L$24:L$1185,'Customer Scenario Forecast'!$C$20:$C$1181,'Incremental Network SummerFcast'!$A163,'Customer Scenario Forecast'!$H$20:$H$1181,'Incremental Network SummerFcast'!$H$1)+
SUMIFS('Customer Scenario Forecast'!L$24:L$1185,'Customer Scenario Forecast'!$D$20:$D$1181,'Incremental Network SummerFcast'!$A163,'Customer Scenario Forecast'!$H$20:$H$1181,'Incremental Network SummerFcast'!$H$1)+
SUMIFS('Customer Scenario Forecast'!L$24:L$1185,'Customer Scenario Forecast'!$E$20:$E$1181,'Incremental Network SummerFcast'!$A163,'Customer Scenario Forecast'!$H$20:$H$1181,'Incremental Network SummerFcast'!$H$1)+L165))</f>
        <v>0</v>
      </c>
    </row>
    <row r="169" spans="1:13" ht="15" thickBot="1">
      <c r="A169" s="197" t="s">
        <v>109</v>
      </c>
      <c r="B169" s="198">
        <f ca="1">IF($H$1="",
1*(
SUMIFS('Customer Scenario Forecast'!B$25:B$1186,'Customer Scenario Forecast'!$C$20:$C$1181,'Incremental Network SummerFcast'!$A163)+
SUMIFS('Customer Scenario Forecast'!B$25:B$1186,'Customer Scenario Forecast'!$D$20:$D$1181,'Incremental Network SummerFcast'!$A163)+
SUMIFS('Customer Scenario Forecast'!B$25:B$1186,'Customer Scenario Forecast'!$E$20:$E$1181,'Incremental Network SummerFcast'!$A163)+B165),
1*(
SUMIFS('Customer Scenario Forecast'!B$25:B$1186,'Customer Scenario Forecast'!$C$20:$C$1181,'Incremental Network SummerFcast'!$A163,'Customer Scenario Forecast'!$H$20:$H$1181,'Incremental Network SummerFcast'!$H$1)+
SUMIFS('Customer Scenario Forecast'!B$25:B$1186,'Customer Scenario Forecast'!$D$20:$D$1181,'Incremental Network SummerFcast'!$A163,'Customer Scenario Forecast'!$H$20:$H$1181,'Incremental Network SummerFcast'!$H$1)+
SUMIFS('Customer Scenario Forecast'!B$25:B$1186,'Customer Scenario Forecast'!$E$20:$E$1181,'Incremental Network SummerFcast'!$A163,'Customer Scenario Forecast'!$H$20:$H$1181,'Incremental Network SummerFcast'!$H$1)+B165))</f>
        <v>0</v>
      </c>
      <c r="C169" s="198">
        <f ca="1">IF($H$1="",
1*(
SUMIFS('Customer Scenario Forecast'!C$25:C$1186,'Customer Scenario Forecast'!$C$20:$C$1181,'Incremental Network SummerFcast'!$A163)+
SUMIFS('Customer Scenario Forecast'!C$25:C$1186,'Customer Scenario Forecast'!$D$20:$D$1181,'Incremental Network SummerFcast'!$A163)+
SUMIFS('Customer Scenario Forecast'!C$25:C$1186,'Customer Scenario Forecast'!$E$20:$E$1181,'Incremental Network SummerFcast'!$A163)+C165),
1*(
SUMIFS('Customer Scenario Forecast'!C$25:C$1186,'Customer Scenario Forecast'!$C$20:$C$1181,'Incremental Network SummerFcast'!$A163,'Customer Scenario Forecast'!$H$20:$H$1181,'Incremental Network SummerFcast'!$H$1)+
SUMIFS('Customer Scenario Forecast'!C$25:C$1186,'Customer Scenario Forecast'!$D$20:$D$1181,'Incremental Network SummerFcast'!$A163,'Customer Scenario Forecast'!$H$20:$H$1181,'Incremental Network SummerFcast'!$H$1)+
SUMIFS('Customer Scenario Forecast'!C$25:C$1186,'Customer Scenario Forecast'!$E$20:$E$1181,'Incremental Network SummerFcast'!$A163,'Customer Scenario Forecast'!$H$20:$H$1181,'Incremental Network SummerFcast'!$H$1)+C165))</f>
        <v>0</v>
      </c>
      <c r="D169" s="198">
        <f ca="1">IF($H$1="",
1*(
SUMIFS('Customer Scenario Forecast'!D$25:D$1186,'Customer Scenario Forecast'!$C$20:$C$1181,'Incremental Network SummerFcast'!$A163)+
SUMIFS('Customer Scenario Forecast'!D$25:D$1186,'Customer Scenario Forecast'!$D$20:$D$1181,'Incremental Network SummerFcast'!$A163)+
SUMIFS('Customer Scenario Forecast'!D$25:D$1186,'Customer Scenario Forecast'!$E$20:$E$1181,'Incremental Network SummerFcast'!$A163)+D165),
1*(
SUMIFS('Customer Scenario Forecast'!D$25:D$1186,'Customer Scenario Forecast'!$C$20:$C$1181,'Incremental Network SummerFcast'!$A163,'Customer Scenario Forecast'!$H$20:$H$1181,'Incremental Network SummerFcast'!$H$1)+
SUMIFS('Customer Scenario Forecast'!D$25:D$1186,'Customer Scenario Forecast'!$D$20:$D$1181,'Incremental Network SummerFcast'!$A163,'Customer Scenario Forecast'!$H$20:$H$1181,'Incremental Network SummerFcast'!$H$1)+
SUMIFS('Customer Scenario Forecast'!D$25:D$1186,'Customer Scenario Forecast'!$E$20:$E$1181,'Incremental Network SummerFcast'!$A163,'Customer Scenario Forecast'!$H$20:$H$1181,'Incremental Network SummerFcast'!$H$1)+D165))</f>
        <v>0</v>
      </c>
      <c r="E169" s="198">
        <f ca="1">IF($H$1="",
1*(
SUMIFS('Customer Scenario Forecast'!E$25:E$1186,'Customer Scenario Forecast'!$C$20:$C$1181,'Incremental Network SummerFcast'!$A163)+
SUMIFS('Customer Scenario Forecast'!E$25:E$1186,'Customer Scenario Forecast'!$D$20:$D$1181,'Incremental Network SummerFcast'!$A163)+
SUMIFS('Customer Scenario Forecast'!E$25:E$1186,'Customer Scenario Forecast'!$E$20:$E$1181,'Incremental Network SummerFcast'!$A163)+E165),
1*(
SUMIFS('Customer Scenario Forecast'!E$25:E$1186,'Customer Scenario Forecast'!$C$20:$C$1181,'Incremental Network SummerFcast'!$A163,'Customer Scenario Forecast'!$H$20:$H$1181,'Incremental Network SummerFcast'!$H$1)+
SUMIFS('Customer Scenario Forecast'!E$25:E$1186,'Customer Scenario Forecast'!$D$20:$D$1181,'Incremental Network SummerFcast'!$A163,'Customer Scenario Forecast'!$H$20:$H$1181,'Incremental Network SummerFcast'!$H$1)+
SUMIFS('Customer Scenario Forecast'!E$25:E$1186,'Customer Scenario Forecast'!$E$20:$E$1181,'Incremental Network SummerFcast'!$A163,'Customer Scenario Forecast'!$H$20:$H$1181,'Incremental Network SummerFcast'!$H$1)+E165))</f>
        <v>0</v>
      </c>
      <c r="F169" s="198">
        <f ca="1">IF($H$1="",
1*(
SUMIFS('Customer Scenario Forecast'!F$25:F$1186,'Customer Scenario Forecast'!$C$20:$C$1181,'Incremental Network SummerFcast'!$A163)+
SUMIFS('Customer Scenario Forecast'!F$25:F$1186,'Customer Scenario Forecast'!$D$20:$D$1181,'Incremental Network SummerFcast'!$A163)+
SUMIFS('Customer Scenario Forecast'!F$25:F$1186,'Customer Scenario Forecast'!$E$20:$E$1181,'Incremental Network SummerFcast'!$A163)+F165),
1*(
SUMIFS('Customer Scenario Forecast'!F$25:F$1186,'Customer Scenario Forecast'!$C$20:$C$1181,'Incremental Network SummerFcast'!$A163,'Customer Scenario Forecast'!$H$20:$H$1181,'Incremental Network SummerFcast'!$H$1)+
SUMIFS('Customer Scenario Forecast'!F$25:F$1186,'Customer Scenario Forecast'!$D$20:$D$1181,'Incremental Network SummerFcast'!$A163,'Customer Scenario Forecast'!$H$20:$H$1181,'Incremental Network SummerFcast'!$H$1)+
SUMIFS('Customer Scenario Forecast'!F$25:F$1186,'Customer Scenario Forecast'!$E$20:$E$1181,'Incremental Network SummerFcast'!$A163,'Customer Scenario Forecast'!$H$20:$H$1181,'Incremental Network SummerFcast'!$H$1)+F165))</f>
        <v>0</v>
      </c>
      <c r="G169" s="198">
        <f ca="1">IF($H$1="",
1*(
SUMIFS('Customer Scenario Forecast'!G$25:G$1186,'Customer Scenario Forecast'!$C$20:$C$1181,'Incremental Network SummerFcast'!$A163)+
SUMIFS('Customer Scenario Forecast'!G$25:G$1186,'Customer Scenario Forecast'!$D$20:$D$1181,'Incremental Network SummerFcast'!$A163)+
SUMIFS('Customer Scenario Forecast'!G$25:G$1186,'Customer Scenario Forecast'!$E$20:$E$1181,'Incremental Network SummerFcast'!$A163)+G165),
1*(
SUMIFS('Customer Scenario Forecast'!G$25:G$1186,'Customer Scenario Forecast'!$C$20:$C$1181,'Incremental Network SummerFcast'!$A163,'Customer Scenario Forecast'!$H$20:$H$1181,'Incremental Network SummerFcast'!$H$1)+
SUMIFS('Customer Scenario Forecast'!G$25:G$1186,'Customer Scenario Forecast'!$D$20:$D$1181,'Incremental Network SummerFcast'!$A163,'Customer Scenario Forecast'!$H$20:$H$1181,'Incremental Network SummerFcast'!$H$1)+
SUMIFS('Customer Scenario Forecast'!G$25:G$1186,'Customer Scenario Forecast'!$E$20:$E$1181,'Incremental Network SummerFcast'!$A163,'Customer Scenario Forecast'!$H$20:$H$1181,'Incremental Network SummerFcast'!$H$1)+G165))</f>
        <v>0</v>
      </c>
      <c r="H169" s="198">
        <f ca="1">IF($H$1="",
1*(
SUMIFS('Customer Scenario Forecast'!H$25:H$1186,'Customer Scenario Forecast'!$C$20:$C$1181,'Incremental Network SummerFcast'!$A163)+
SUMIFS('Customer Scenario Forecast'!H$25:H$1186,'Customer Scenario Forecast'!$D$20:$D$1181,'Incremental Network SummerFcast'!$A163)+
SUMIFS('Customer Scenario Forecast'!H$25:H$1186,'Customer Scenario Forecast'!$E$20:$E$1181,'Incremental Network SummerFcast'!$A163)+H165),
1*(
SUMIFS('Customer Scenario Forecast'!H$25:H$1186,'Customer Scenario Forecast'!$C$20:$C$1181,'Incremental Network SummerFcast'!$A163,'Customer Scenario Forecast'!$H$20:$H$1181,'Incremental Network SummerFcast'!$H$1)+
SUMIFS('Customer Scenario Forecast'!H$25:H$1186,'Customer Scenario Forecast'!$D$20:$D$1181,'Incremental Network SummerFcast'!$A163,'Customer Scenario Forecast'!$H$20:$H$1181,'Incremental Network SummerFcast'!$H$1)+
SUMIFS('Customer Scenario Forecast'!H$25:H$1186,'Customer Scenario Forecast'!$E$20:$E$1181,'Incremental Network SummerFcast'!$A163,'Customer Scenario Forecast'!$H$20:$H$1181,'Incremental Network SummerFcast'!$H$1)+H165))</f>
        <v>0</v>
      </c>
      <c r="I169" s="198">
        <f ca="1">IF($H$1="",
1*(
SUMIFS('Customer Scenario Forecast'!I$25:I$1186,'Customer Scenario Forecast'!$C$20:$C$1181,'Incremental Network SummerFcast'!$A163)+
SUMIFS('Customer Scenario Forecast'!I$25:I$1186,'Customer Scenario Forecast'!$D$20:$D$1181,'Incremental Network SummerFcast'!$A163)+
SUMIFS('Customer Scenario Forecast'!I$25:I$1186,'Customer Scenario Forecast'!$E$20:$E$1181,'Incremental Network SummerFcast'!$A163)+I165),
1*(
SUMIFS('Customer Scenario Forecast'!I$25:I$1186,'Customer Scenario Forecast'!$C$20:$C$1181,'Incremental Network SummerFcast'!$A163,'Customer Scenario Forecast'!$H$20:$H$1181,'Incremental Network SummerFcast'!$H$1)+
SUMIFS('Customer Scenario Forecast'!I$25:I$1186,'Customer Scenario Forecast'!$D$20:$D$1181,'Incremental Network SummerFcast'!$A163,'Customer Scenario Forecast'!$H$20:$H$1181,'Incremental Network SummerFcast'!$H$1)+
SUMIFS('Customer Scenario Forecast'!I$25:I$1186,'Customer Scenario Forecast'!$E$20:$E$1181,'Incremental Network SummerFcast'!$A163,'Customer Scenario Forecast'!$H$20:$H$1181,'Incremental Network SummerFcast'!$H$1)+I165))</f>
        <v>0</v>
      </c>
      <c r="J169" s="198">
        <f ca="1">IF($H$1="",
1*(
SUMIFS('Customer Scenario Forecast'!J$25:J$1186,'Customer Scenario Forecast'!$C$20:$C$1181,'Incremental Network SummerFcast'!$A163)+
SUMIFS('Customer Scenario Forecast'!J$25:J$1186,'Customer Scenario Forecast'!$D$20:$D$1181,'Incremental Network SummerFcast'!$A163)+
SUMIFS('Customer Scenario Forecast'!J$25:J$1186,'Customer Scenario Forecast'!$E$20:$E$1181,'Incremental Network SummerFcast'!$A163)+J165),
1*(
SUMIFS('Customer Scenario Forecast'!J$25:J$1186,'Customer Scenario Forecast'!$C$20:$C$1181,'Incremental Network SummerFcast'!$A163,'Customer Scenario Forecast'!$H$20:$H$1181,'Incremental Network SummerFcast'!$H$1)+
SUMIFS('Customer Scenario Forecast'!J$25:J$1186,'Customer Scenario Forecast'!$D$20:$D$1181,'Incremental Network SummerFcast'!$A163,'Customer Scenario Forecast'!$H$20:$H$1181,'Incremental Network SummerFcast'!$H$1)+
SUMIFS('Customer Scenario Forecast'!J$25:J$1186,'Customer Scenario Forecast'!$E$20:$E$1181,'Incremental Network SummerFcast'!$A163,'Customer Scenario Forecast'!$H$20:$H$1181,'Incremental Network SummerFcast'!$H$1)+J165))</f>
        <v>0</v>
      </c>
      <c r="K169" s="198">
        <f ca="1">IF($H$1="",
1*(
SUMIFS('Customer Scenario Forecast'!K$25:K$1186,'Customer Scenario Forecast'!$C$20:$C$1181,'Incremental Network SummerFcast'!$A163)+
SUMIFS('Customer Scenario Forecast'!K$25:K$1186,'Customer Scenario Forecast'!$D$20:$D$1181,'Incremental Network SummerFcast'!$A163)+
SUMIFS('Customer Scenario Forecast'!K$25:K$1186,'Customer Scenario Forecast'!$E$20:$E$1181,'Incremental Network SummerFcast'!$A163)+K165),
1*(
SUMIFS('Customer Scenario Forecast'!K$25:K$1186,'Customer Scenario Forecast'!$C$20:$C$1181,'Incremental Network SummerFcast'!$A163,'Customer Scenario Forecast'!$H$20:$H$1181,'Incremental Network SummerFcast'!$H$1)+
SUMIFS('Customer Scenario Forecast'!K$25:K$1186,'Customer Scenario Forecast'!$D$20:$D$1181,'Incremental Network SummerFcast'!$A163,'Customer Scenario Forecast'!$H$20:$H$1181,'Incremental Network SummerFcast'!$H$1)+
SUMIFS('Customer Scenario Forecast'!K$25:K$1186,'Customer Scenario Forecast'!$E$20:$E$1181,'Incremental Network SummerFcast'!$A163,'Customer Scenario Forecast'!$H$20:$H$1181,'Incremental Network SummerFcast'!$H$1)+K165))</f>
        <v>0</v>
      </c>
      <c r="L169" s="198">
        <f ca="1">IF($H$1="",
1*(
SUMIFS('Customer Scenario Forecast'!L$25:L$1186,'Customer Scenario Forecast'!$C$20:$C$1181,'Incremental Network SummerFcast'!$A163)+
SUMIFS('Customer Scenario Forecast'!L$25:L$1186,'Customer Scenario Forecast'!$D$20:$D$1181,'Incremental Network SummerFcast'!$A163)+
SUMIFS('Customer Scenario Forecast'!L$25:L$1186,'Customer Scenario Forecast'!$E$20:$E$1181,'Incremental Network SummerFcast'!$A163)+L165),
1*(
SUMIFS('Customer Scenario Forecast'!L$25:L$1186,'Customer Scenario Forecast'!$C$20:$C$1181,'Incremental Network SummerFcast'!$A163,'Customer Scenario Forecast'!$H$20:$H$1181,'Incremental Network SummerFcast'!$H$1)+
SUMIFS('Customer Scenario Forecast'!L$25:L$1186,'Customer Scenario Forecast'!$D$20:$D$1181,'Incremental Network SummerFcast'!$A163,'Customer Scenario Forecast'!$H$20:$H$1181,'Incremental Network SummerFcast'!$H$1)+
SUMIFS('Customer Scenario Forecast'!L$25:L$1186,'Customer Scenario Forecast'!$E$20:$E$1181,'Incremental Network SummerFcast'!$A163,'Customer Scenario Forecast'!$H$20:$H$1181,'Incremental Network SummerFcast'!$H$1)+L165))</f>
        <v>0</v>
      </c>
    </row>
    <row r="170" spans="1:13" ht="15.6" thickTop="1" thickBot="1">
      <c r="A170" s="197" t="s">
        <v>148</v>
      </c>
      <c r="B170" s="198">
        <f ca="1">'Incremental Network SummerFcast'!$B$245*B167+'Incremental Network SummerFcast'!$B$246*B168+'Incremental Network SummerFcast'!$B$247*B169</f>
        <v>0</v>
      </c>
      <c r="C170" s="198">
        <f ca="1">'Incremental Network SummerFcast'!$B$245*C167+'Incremental Network SummerFcast'!$B$246*C168+'Incremental Network SummerFcast'!$B$247*C169</f>
        <v>0</v>
      </c>
      <c r="D170" s="198">
        <f ca="1">'Incremental Network SummerFcast'!$B$245*D167+'Incremental Network SummerFcast'!$B$246*D168+'Incremental Network SummerFcast'!$B$247*D169</f>
        <v>0</v>
      </c>
      <c r="E170" s="198">
        <f ca="1">'Incremental Network SummerFcast'!$B$245*E167+'Incremental Network SummerFcast'!$B$246*E168+'Incremental Network SummerFcast'!$B$247*E169</f>
        <v>0</v>
      </c>
      <c r="F170" s="198">
        <f ca="1">'Incremental Network SummerFcast'!$B$245*F167+'Incremental Network SummerFcast'!$B$246*F168+'Incremental Network SummerFcast'!$B$247*F169</f>
        <v>0</v>
      </c>
      <c r="G170" s="198">
        <f ca="1">'Incremental Network SummerFcast'!$B$245*G167+'Incremental Network SummerFcast'!$B$246*G168+'Incremental Network SummerFcast'!$B$247*G169</f>
        <v>0</v>
      </c>
      <c r="H170" s="198">
        <f ca="1">'Incremental Network SummerFcast'!$B$245*H167+'Incremental Network SummerFcast'!$B$246*H168+'Incremental Network SummerFcast'!$B$247*H169</f>
        <v>0</v>
      </c>
      <c r="I170" s="198">
        <f ca="1">'Incremental Network SummerFcast'!$B$245*I167+'Incremental Network SummerFcast'!$B$246*I168+'Incremental Network SummerFcast'!$B$247*I169</f>
        <v>0</v>
      </c>
      <c r="J170" s="198">
        <f ca="1">'Incremental Network SummerFcast'!$B$245*J167+'Incremental Network SummerFcast'!$B$246*J168+'Incremental Network SummerFcast'!$B$247*J169</f>
        <v>0</v>
      </c>
      <c r="K170" s="198">
        <f ca="1">'Incremental Network SummerFcast'!$B$245*K167+'Incremental Network SummerFcast'!$B$246*K168+'Incremental Network SummerFcast'!$B$247*K169</f>
        <v>0</v>
      </c>
      <c r="L170" s="198">
        <f ca="1">'Incremental Network SummerFcast'!$B$245*L167+'Incremental Network SummerFcast'!$B$246*L168+'Incremental Network SummerFcast'!$B$247*L169</f>
        <v>0</v>
      </c>
    </row>
    <row r="171" spans="1:13" ht="15.6" thickTop="1" thickBot="1">
      <c r="A171" s="188" t="s">
        <v>154</v>
      </c>
      <c r="B171" s="216"/>
      <c r="C171" s="190"/>
      <c r="D171" s="190"/>
      <c r="E171" s="190"/>
      <c r="F171" s="190"/>
      <c r="G171" s="190"/>
      <c r="H171" s="190"/>
      <c r="I171" s="190"/>
      <c r="J171" s="190"/>
      <c r="K171" s="190"/>
      <c r="L171" s="190"/>
    </row>
    <row r="172" spans="1:13" ht="15" thickBot="1">
      <c r="A172" s="191" t="str">
        <f>A164</f>
        <v>Uptake Scenario</v>
      </c>
      <c r="B172" s="191">
        <f t="shared" ref="B172:L172" si="21">B164</f>
        <v>2023</v>
      </c>
      <c r="C172" s="191">
        <f t="shared" si="21"/>
        <v>2024</v>
      </c>
      <c r="D172" s="191">
        <f t="shared" si="21"/>
        <v>2025</v>
      </c>
      <c r="E172" s="191">
        <f t="shared" si="21"/>
        <v>2026</v>
      </c>
      <c r="F172" s="191">
        <f t="shared" si="21"/>
        <v>2027</v>
      </c>
      <c r="G172" s="191">
        <f t="shared" si="21"/>
        <v>2028</v>
      </c>
      <c r="H172" s="191">
        <f t="shared" si="21"/>
        <v>2029</v>
      </c>
      <c r="I172" s="191">
        <f t="shared" si="21"/>
        <v>2030</v>
      </c>
      <c r="J172" s="191">
        <f t="shared" si="21"/>
        <v>2031</v>
      </c>
      <c r="K172" s="191">
        <f t="shared" si="21"/>
        <v>2032</v>
      </c>
      <c r="L172" s="191">
        <f t="shared" si="21"/>
        <v>2033</v>
      </c>
    </row>
    <row r="173" spans="1:13" ht="15.6" thickTop="1" thickBot="1">
      <c r="A173" s="193"/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37"/>
    </row>
    <row r="174" spans="1:13" ht="15" thickBot="1">
      <c r="A174" s="193" t="s">
        <v>111</v>
      </c>
      <c r="B174" s="194">
        <f ca="1">IF($H$1="",
SUMIFS('Customer Scenario Forecast'!B$22:B$1183,'Customer Scenario Forecast'!$C$20:$C$1181,'Incremental Network SummerFcast'!$A171)+
SUMIFS('Customer Scenario Forecast'!B$22:B$1183,'Customer Scenario Forecast'!$D$20:$D$1181,'Incremental Network SummerFcast'!$A171)+
SUMIFS('Customer Scenario Forecast'!B$22:B$1183,'Customer Scenario Forecast'!$E$20:$E$1181,'Incremental Network SummerFcast'!$A171),
SUMIFS('Customer Scenario Forecast'!B$22:B$1183,'Customer Scenario Forecast'!$C$20:$C$1181,'Incremental Network SummerFcast'!$A171,'Customer Scenario Forecast'!$H$20:$H$1181,'Incremental Network SummerFcast'!$H$1)+
SUMIFS('Customer Scenario Forecast'!B$22:B$1183,'Customer Scenario Forecast'!$D$20:$D$1181,'Incremental Network SummerFcast'!$A171,'Customer Scenario Forecast'!$H$20:$H$1181,'Incremental Network SummerFcast'!$H$1)+
SUMIFS('Customer Scenario Forecast'!B$22:B$1183,'Customer Scenario Forecast'!$E$20:$E$1181,'Incremental Network SummerFcast'!$A171,'Customer Scenario Forecast'!$H$20:$H$1181,'Incremental Network SummerFcast'!$H$1))</f>
        <v>0</v>
      </c>
      <c r="C174" s="194">
        <f ca="1">IF($H$1="",
SUMIFS('Customer Scenario Forecast'!C$22:C$1183,'Customer Scenario Forecast'!$C$20:$C$1181,'Incremental Network SummerFcast'!$A171)+
SUMIFS('Customer Scenario Forecast'!C$22:C$1183,'Customer Scenario Forecast'!$D$20:$D$1181,'Incremental Network SummerFcast'!$A171)+
SUMIFS('Customer Scenario Forecast'!C$22:C$1183,'Customer Scenario Forecast'!$E$20:$E$1181,'Incremental Network SummerFcast'!$A171),
SUMIFS('Customer Scenario Forecast'!C$22:C$1183,'Customer Scenario Forecast'!$C$20:$C$1181,'Incremental Network SummerFcast'!$A171,'Customer Scenario Forecast'!$H$20:$H$1181,'Incremental Network SummerFcast'!$H$1)+
SUMIFS('Customer Scenario Forecast'!C$22:C$1183,'Customer Scenario Forecast'!$D$20:$D$1181,'Incremental Network SummerFcast'!$A171,'Customer Scenario Forecast'!$H$20:$H$1181,'Incremental Network SummerFcast'!$H$1)+
SUMIFS('Customer Scenario Forecast'!C$22:C$1183,'Customer Scenario Forecast'!$E$20:$E$1181,'Incremental Network SummerFcast'!$A171,'Customer Scenario Forecast'!$H$20:$H$1181,'Incremental Network SummerFcast'!$H$1))</f>
        <v>0</v>
      </c>
      <c r="D174" s="194">
        <f ca="1">IF($H$1="",
SUMIFS('Customer Scenario Forecast'!D$22:D$1183,'Customer Scenario Forecast'!$C$20:$C$1181,'Incremental Network SummerFcast'!$A171)+
SUMIFS('Customer Scenario Forecast'!D$22:D$1183,'Customer Scenario Forecast'!$D$20:$D$1181,'Incremental Network SummerFcast'!$A171)+
SUMIFS('Customer Scenario Forecast'!D$22:D$1183,'Customer Scenario Forecast'!$E$20:$E$1181,'Incremental Network SummerFcast'!$A171),
SUMIFS('Customer Scenario Forecast'!D$22:D$1183,'Customer Scenario Forecast'!$C$20:$C$1181,'Incremental Network SummerFcast'!$A171,'Customer Scenario Forecast'!$H$20:$H$1181,'Incremental Network SummerFcast'!$H$1)+
SUMIFS('Customer Scenario Forecast'!D$22:D$1183,'Customer Scenario Forecast'!$D$20:$D$1181,'Incremental Network SummerFcast'!$A171,'Customer Scenario Forecast'!$H$20:$H$1181,'Incremental Network SummerFcast'!$H$1)+
SUMIFS('Customer Scenario Forecast'!D$22:D$1183,'Customer Scenario Forecast'!$E$20:$E$1181,'Incremental Network SummerFcast'!$A171,'Customer Scenario Forecast'!$H$20:$H$1181,'Incremental Network SummerFcast'!$H$1))</f>
        <v>0</v>
      </c>
      <c r="E174" s="194">
        <f ca="1">IF($H$1="",
SUMIFS('Customer Scenario Forecast'!E$22:E$1183,'Customer Scenario Forecast'!$C$20:$C$1181,'Incremental Network SummerFcast'!$A171)+
SUMIFS('Customer Scenario Forecast'!E$22:E$1183,'Customer Scenario Forecast'!$D$20:$D$1181,'Incremental Network SummerFcast'!$A171)+
SUMIFS('Customer Scenario Forecast'!E$22:E$1183,'Customer Scenario Forecast'!$E$20:$E$1181,'Incremental Network SummerFcast'!$A171),
SUMIFS('Customer Scenario Forecast'!E$22:E$1183,'Customer Scenario Forecast'!$C$20:$C$1181,'Incremental Network SummerFcast'!$A171,'Customer Scenario Forecast'!$H$20:$H$1181,'Incremental Network SummerFcast'!$H$1)+
SUMIFS('Customer Scenario Forecast'!E$22:E$1183,'Customer Scenario Forecast'!$D$20:$D$1181,'Incremental Network SummerFcast'!$A171,'Customer Scenario Forecast'!$H$20:$H$1181,'Incremental Network SummerFcast'!$H$1)+
SUMIFS('Customer Scenario Forecast'!E$22:E$1183,'Customer Scenario Forecast'!$E$20:$E$1181,'Incremental Network SummerFcast'!$A171,'Customer Scenario Forecast'!$H$20:$H$1181,'Incremental Network SummerFcast'!$H$1))</f>
        <v>0</v>
      </c>
      <c r="F174" s="194">
        <f ca="1">IF($H$1="",
SUMIFS('Customer Scenario Forecast'!F$22:F$1183,'Customer Scenario Forecast'!$C$20:$C$1181,'Incremental Network SummerFcast'!$A171)+
SUMIFS('Customer Scenario Forecast'!F$22:F$1183,'Customer Scenario Forecast'!$D$20:$D$1181,'Incremental Network SummerFcast'!$A171)+
SUMIFS('Customer Scenario Forecast'!F$22:F$1183,'Customer Scenario Forecast'!$E$20:$E$1181,'Incremental Network SummerFcast'!$A171),
SUMIFS('Customer Scenario Forecast'!F$22:F$1183,'Customer Scenario Forecast'!$C$20:$C$1181,'Incremental Network SummerFcast'!$A171,'Customer Scenario Forecast'!$H$20:$H$1181,'Incremental Network SummerFcast'!$H$1)+
SUMIFS('Customer Scenario Forecast'!F$22:F$1183,'Customer Scenario Forecast'!$D$20:$D$1181,'Incremental Network SummerFcast'!$A171,'Customer Scenario Forecast'!$H$20:$H$1181,'Incremental Network SummerFcast'!$H$1)+
SUMIFS('Customer Scenario Forecast'!F$22:F$1183,'Customer Scenario Forecast'!$E$20:$E$1181,'Incremental Network SummerFcast'!$A171,'Customer Scenario Forecast'!$H$20:$H$1181,'Incremental Network SummerFcast'!$H$1))</f>
        <v>0</v>
      </c>
      <c r="G174" s="194">
        <f ca="1">IF($H$1="",
SUMIFS('Customer Scenario Forecast'!G$22:G$1183,'Customer Scenario Forecast'!$C$20:$C$1181,'Incremental Network SummerFcast'!$A171)+
SUMIFS('Customer Scenario Forecast'!G$22:G$1183,'Customer Scenario Forecast'!$D$20:$D$1181,'Incremental Network SummerFcast'!$A171)+
SUMIFS('Customer Scenario Forecast'!G$22:G$1183,'Customer Scenario Forecast'!$E$20:$E$1181,'Incremental Network SummerFcast'!$A171),
SUMIFS('Customer Scenario Forecast'!G$22:G$1183,'Customer Scenario Forecast'!$C$20:$C$1181,'Incremental Network SummerFcast'!$A171,'Customer Scenario Forecast'!$H$20:$H$1181,'Incremental Network SummerFcast'!$H$1)+
SUMIFS('Customer Scenario Forecast'!G$22:G$1183,'Customer Scenario Forecast'!$D$20:$D$1181,'Incremental Network SummerFcast'!$A171,'Customer Scenario Forecast'!$H$20:$H$1181,'Incremental Network SummerFcast'!$H$1)+
SUMIFS('Customer Scenario Forecast'!G$22:G$1183,'Customer Scenario Forecast'!$E$20:$E$1181,'Incremental Network SummerFcast'!$A171,'Customer Scenario Forecast'!$H$20:$H$1181,'Incremental Network SummerFcast'!$H$1))</f>
        <v>0</v>
      </c>
      <c r="H174" s="194">
        <f ca="1">IF($H$1="",
SUMIFS('Customer Scenario Forecast'!H$22:H$1183,'Customer Scenario Forecast'!$C$20:$C$1181,'Incremental Network SummerFcast'!$A171)+
SUMIFS('Customer Scenario Forecast'!H$22:H$1183,'Customer Scenario Forecast'!$D$20:$D$1181,'Incremental Network SummerFcast'!$A171)+
SUMIFS('Customer Scenario Forecast'!H$22:H$1183,'Customer Scenario Forecast'!$E$20:$E$1181,'Incremental Network SummerFcast'!$A171),
SUMIFS('Customer Scenario Forecast'!H$22:H$1183,'Customer Scenario Forecast'!$C$20:$C$1181,'Incremental Network SummerFcast'!$A171,'Customer Scenario Forecast'!$H$20:$H$1181,'Incremental Network SummerFcast'!$H$1)+
SUMIFS('Customer Scenario Forecast'!H$22:H$1183,'Customer Scenario Forecast'!$D$20:$D$1181,'Incremental Network SummerFcast'!$A171,'Customer Scenario Forecast'!$H$20:$H$1181,'Incremental Network SummerFcast'!$H$1)+
SUMIFS('Customer Scenario Forecast'!H$22:H$1183,'Customer Scenario Forecast'!$E$20:$E$1181,'Incremental Network SummerFcast'!$A171,'Customer Scenario Forecast'!$H$20:$H$1181,'Incremental Network SummerFcast'!$H$1))</f>
        <v>0</v>
      </c>
      <c r="I174" s="194">
        <f ca="1">IF($H$1="",
SUMIFS('Customer Scenario Forecast'!I$22:I$1183,'Customer Scenario Forecast'!$C$20:$C$1181,'Incremental Network SummerFcast'!$A171)+
SUMIFS('Customer Scenario Forecast'!I$22:I$1183,'Customer Scenario Forecast'!$D$20:$D$1181,'Incremental Network SummerFcast'!$A171)+
SUMIFS('Customer Scenario Forecast'!I$22:I$1183,'Customer Scenario Forecast'!$E$20:$E$1181,'Incremental Network SummerFcast'!$A171),
SUMIFS('Customer Scenario Forecast'!I$22:I$1183,'Customer Scenario Forecast'!$C$20:$C$1181,'Incremental Network SummerFcast'!$A171,'Customer Scenario Forecast'!$H$20:$H$1181,'Incremental Network SummerFcast'!$H$1)+
SUMIFS('Customer Scenario Forecast'!I$22:I$1183,'Customer Scenario Forecast'!$D$20:$D$1181,'Incremental Network SummerFcast'!$A171,'Customer Scenario Forecast'!$H$20:$H$1181,'Incremental Network SummerFcast'!$H$1)+
SUMIFS('Customer Scenario Forecast'!I$22:I$1183,'Customer Scenario Forecast'!$E$20:$E$1181,'Incremental Network SummerFcast'!$A171,'Customer Scenario Forecast'!$H$20:$H$1181,'Incremental Network SummerFcast'!$H$1))</f>
        <v>0</v>
      </c>
      <c r="J174" s="194">
        <f ca="1">IF($H$1="",
SUMIFS('Customer Scenario Forecast'!J$22:J$1183,'Customer Scenario Forecast'!$C$20:$C$1181,'Incremental Network SummerFcast'!$A171)+
SUMIFS('Customer Scenario Forecast'!J$22:J$1183,'Customer Scenario Forecast'!$D$20:$D$1181,'Incremental Network SummerFcast'!$A171)+
SUMIFS('Customer Scenario Forecast'!J$22:J$1183,'Customer Scenario Forecast'!$E$20:$E$1181,'Incremental Network SummerFcast'!$A171),
SUMIFS('Customer Scenario Forecast'!J$22:J$1183,'Customer Scenario Forecast'!$C$20:$C$1181,'Incremental Network SummerFcast'!$A171,'Customer Scenario Forecast'!$H$20:$H$1181,'Incremental Network SummerFcast'!$H$1)+
SUMIFS('Customer Scenario Forecast'!J$22:J$1183,'Customer Scenario Forecast'!$D$20:$D$1181,'Incremental Network SummerFcast'!$A171,'Customer Scenario Forecast'!$H$20:$H$1181,'Incremental Network SummerFcast'!$H$1)+
SUMIFS('Customer Scenario Forecast'!J$22:J$1183,'Customer Scenario Forecast'!$E$20:$E$1181,'Incremental Network SummerFcast'!$A171,'Customer Scenario Forecast'!$H$20:$H$1181,'Incremental Network SummerFcast'!$H$1))</f>
        <v>0</v>
      </c>
      <c r="K174" s="194">
        <f ca="1">IF($H$1="",
SUMIFS('Customer Scenario Forecast'!K$22:K$1183,'Customer Scenario Forecast'!$C$20:$C$1181,'Incremental Network SummerFcast'!$A171)+
SUMIFS('Customer Scenario Forecast'!K$22:K$1183,'Customer Scenario Forecast'!$D$20:$D$1181,'Incremental Network SummerFcast'!$A171)+
SUMIFS('Customer Scenario Forecast'!K$22:K$1183,'Customer Scenario Forecast'!$E$20:$E$1181,'Incremental Network SummerFcast'!$A171),
SUMIFS('Customer Scenario Forecast'!K$22:K$1183,'Customer Scenario Forecast'!$C$20:$C$1181,'Incremental Network SummerFcast'!$A171,'Customer Scenario Forecast'!$H$20:$H$1181,'Incremental Network SummerFcast'!$H$1)+
SUMIFS('Customer Scenario Forecast'!K$22:K$1183,'Customer Scenario Forecast'!$D$20:$D$1181,'Incremental Network SummerFcast'!$A171,'Customer Scenario Forecast'!$H$20:$H$1181,'Incremental Network SummerFcast'!$H$1)+
SUMIFS('Customer Scenario Forecast'!K$22:K$1183,'Customer Scenario Forecast'!$E$20:$E$1181,'Incremental Network SummerFcast'!$A171,'Customer Scenario Forecast'!$H$20:$H$1181,'Incremental Network SummerFcast'!$H$1))</f>
        <v>0</v>
      </c>
      <c r="L174" s="194">
        <f ca="1">IF($H$1="",
SUMIFS('Customer Scenario Forecast'!L$22:L$1183,'Customer Scenario Forecast'!$C$20:$C$1181,'Incremental Network SummerFcast'!$A171)+
SUMIFS('Customer Scenario Forecast'!L$22:L$1183,'Customer Scenario Forecast'!$D$20:$D$1181,'Incremental Network SummerFcast'!$A171)+
SUMIFS('Customer Scenario Forecast'!L$22:L$1183,'Customer Scenario Forecast'!$E$20:$E$1181,'Incremental Network SummerFcast'!$A171),
SUMIFS('Customer Scenario Forecast'!L$22:L$1183,'Customer Scenario Forecast'!$C$20:$C$1181,'Incremental Network SummerFcast'!$A171,'Customer Scenario Forecast'!$H$20:$H$1181,'Incremental Network SummerFcast'!$H$1)+
SUMIFS('Customer Scenario Forecast'!L$22:L$1183,'Customer Scenario Forecast'!$D$20:$D$1181,'Incremental Network SummerFcast'!$A171,'Customer Scenario Forecast'!$H$20:$H$1181,'Incremental Network SummerFcast'!$H$1)+
SUMIFS('Customer Scenario Forecast'!L$22:L$1183,'Customer Scenario Forecast'!$E$20:$E$1181,'Incremental Network SummerFcast'!$A171,'Customer Scenario Forecast'!$H$20:$H$1181,'Incremental Network SummerFcast'!$H$1))</f>
        <v>0</v>
      </c>
      <c r="M174" s="37"/>
    </row>
    <row r="175" spans="1:13" ht="15" thickBot="1">
      <c r="A175" s="195" t="s">
        <v>107</v>
      </c>
      <c r="B175" s="196">
        <f ca="1">IF($H$1="",
1*(
SUMIFS('Customer Scenario Forecast'!B$23:B$1184,'Customer Scenario Forecast'!$C$20:$C$1181,'Incremental Network SummerFcast'!$A171)+
SUMIFS('Customer Scenario Forecast'!B$23:B$1184,'Customer Scenario Forecast'!$D$20:$D$1181,'Incremental Network SummerFcast'!$A171)+
SUMIFS('Customer Scenario Forecast'!B$23:B$1184,'Customer Scenario Forecast'!$E$20:$E$1181,'Incremental Network SummerFcast'!$A171)+B173),
1*(
SUMIFS('Customer Scenario Forecast'!B$23:B$1184,'Customer Scenario Forecast'!$C$20:$C$1181,'Incremental Network SummerFcast'!$A171,'Customer Scenario Forecast'!$H$20:$H$1181,'Incremental Network SummerFcast'!$H$1)+
SUMIFS('Customer Scenario Forecast'!B$23:B$1184,'Customer Scenario Forecast'!$D$20:$D$1181,'Incremental Network SummerFcast'!$A171,'Customer Scenario Forecast'!$H$20:$H$1181,'Incremental Network SummerFcast'!$H$1)+
SUMIFS('Customer Scenario Forecast'!B$23:B$1184,'Customer Scenario Forecast'!$E$20:$E$1181,'Incremental Network SummerFcast'!$A171,'Customer Scenario Forecast'!$H$20:$H$1181,'Incremental Network SummerFcast'!$H$1)+B173))</f>
        <v>0</v>
      </c>
      <c r="C175" s="196">
        <f ca="1">IF($H$1="",
1*(
SUMIFS('Customer Scenario Forecast'!C$23:C$1184,'Customer Scenario Forecast'!$C$20:$C$1181,'Incremental Network SummerFcast'!$A171)+
SUMIFS('Customer Scenario Forecast'!C$23:C$1184,'Customer Scenario Forecast'!$D$20:$D$1181,'Incremental Network SummerFcast'!$A171)+
SUMIFS('Customer Scenario Forecast'!C$23:C$1184,'Customer Scenario Forecast'!$E$20:$E$1181,'Incremental Network SummerFcast'!$A171)+C173),
1*(
SUMIFS('Customer Scenario Forecast'!C$23:C$1184,'Customer Scenario Forecast'!$C$20:$C$1181,'Incremental Network SummerFcast'!$A171,'Customer Scenario Forecast'!$H$20:$H$1181,'Incremental Network SummerFcast'!$H$1)+
SUMIFS('Customer Scenario Forecast'!C$23:C$1184,'Customer Scenario Forecast'!$D$20:$D$1181,'Incremental Network SummerFcast'!$A171,'Customer Scenario Forecast'!$H$20:$H$1181,'Incremental Network SummerFcast'!$H$1)+
SUMIFS('Customer Scenario Forecast'!C$23:C$1184,'Customer Scenario Forecast'!$E$20:$E$1181,'Incremental Network SummerFcast'!$A171,'Customer Scenario Forecast'!$H$20:$H$1181,'Incremental Network SummerFcast'!$H$1)+C173))</f>
        <v>0</v>
      </c>
      <c r="D175" s="196">
        <f ca="1">IF($H$1="",
1*(
SUMIFS('Customer Scenario Forecast'!D$23:D$1184,'Customer Scenario Forecast'!$C$20:$C$1181,'Incremental Network SummerFcast'!$A171)+
SUMIFS('Customer Scenario Forecast'!D$23:D$1184,'Customer Scenario Forecast'!$D$20:$D$1181,'Incremental Network SummerFcast'!$A171)+
SUMIFS('Customer Scenario Forecast'!D$23:D$1184,'Customer Scenario Forecast'!$E$20:$E$1181,'Incremental Network SummerFcast'!$A171)+D173),
1*(
SUMIFS('Customer Scenario Forecast'!D$23:D$1184,'Customer Scenario Forecast'!$C$20:$C$1181,'Incremental Network SummerFcast'!$A171,'Customer Scenario Forecast'!$H$20:$H$1181,'Incremental Network SummerFcast'!$H$1)+
SUMIFS('Customer Scenario Forecast'!D$23:D$1184,'Customer Scenario Forecast'!$D$20:$D$1181,'Incremental Network SummerFcast'!$A171,'Customer Scenario Forecast'!$H$20:$H$1181,'Incremental Network SummerFcast'!$H$1)+
SUMIFS('Customer Scenario Forecast'!D$23:D$1184,'Customer Scenario Forecast'!$E$20:$E$1181,'Incremental Network SummerFcast'!$A171,'Customer Scenario Forecast'!$H$20:$H$1181,'Incremental Network SummerFcast'!$H$1)+D173))</f>
        <v>0</v>
      </c>
      <c r="E175" s="196">
        <f ca="1">IF($H$1="",
1*(
SUMIFS('Customer Scenario Forecast'!E$23:E$1184,'Customer Scenario Forecast'!$C$20:$C$1181,'Incremental Network SummerFcast'!$A171)+
SUMIFS('Customer Scenario Forecast'!E$23:E$1184,'Customer Scenario Forecast'!$D$20:$D$1181,'Incremental Network SummerFcast'!$A171)+
SUMIFS('Customer Scenario Forecast'!E$23:E$1184,'Customer Scenario Forecast'!$E$20:$E$1181,'Incremental Network SummerFcast'!$A171)+E173),
1*(
SUMIFS('Customer Scenario Forecast'!E$23:E$1184,'Customer Scenario Forecast'!$C$20:$C$1181,'Incremental Network SummerFcast'!$A171,'Customer Scenario Forecast'!$H$20:$H$1181,'Incremental Network SummerFcast'!$H$1)+
SUMIFS('Customer Scenario Forecast'!E$23:E$1184,'Customer Scenario Forecast'!$D$20:$D$1181,'Incremental Network SummerFcast'!$A171,'Customer Scenario Forecast'!$H$20:$H$1181,'Incremental Network SummerFcast'!$H$1)+
SUMIFS('Customer Scenario Forecast'!E$23:E$1184,'Customer Scenario Forecast'!$E$20:$E$1181,'Incremental Network SummerFcast'!$A171,'Customer Scenario Forecast'!$H$20:$H$1181,'Incremental Network SummerFcast'!$H$1)+E173))</f>
        <v>0</v>
      </c>
      <c r="F175" s="196">
        <f ca="1">IF($H$1="",
1*(
SUMIFS('Customer Scenario Forecast'!F$23:F$1184,'Customer Scenario Forecast'!$C$20:$C$1181,'Incremental Network SummerFcast'!$A171)+
SUMIFS('Customer Scenario Forecast'!F$23:F$1184,'Customer Scenario Forecast'!$D$20:$D$1181,'Incremental Network SummerFcast'!$A171)+
SUMIFS('Customer Scenario Forecast'!F$23:F$1184,'Customer Scenario Forecast'!$E$20:$E$1181,'Incremental Network SummerFcast'!$A171)+F173),
1*(
SUMIFS('Customer Scenario Forecast'!F$23:F$1184,'Customer Scenario Forecast'!$C$20:$C$1181,'Incremental Network SummerFcast'!$A171,'Customer Scenario Forecast'!$H$20:$H$1181,'Incremental Network SummerFcast'!$H$1)+
SUMIFS('Customer Scenario Forecast'!F$23:F$1184,'Customer Scenario Forecast'!$D$20:$D$1181,'Incremental Network SummerFcast'!$A171,'Customer Scenario Forecast'!$H$20:$H$1181,'Incremental Network SummerFcast'!$H$1)+
SUMIFS('Customer Scenario Forecast'!F$23:F$1184,'Customer Scenario Forecast'!$E$20:$E$1181,'Incremental Network SummerFcast'!$A171,'Customer Scenario Forecast'!$H$20:$H$1181,'Incremental Network SummerFcast'!$H$1)+F173))</f>
        <v>0</v>
      </c>
      <c r="G175" s="196">
        <f ca="1">IF($H$1="",
1*(
SUMIFS('Customer Scenario Forecast'!G$23:G$1184,'Customer Scenario Forecast'!$C$20:$C$1181,'Incremental Network SummerFcast'!$A171)+
SUMIFS('Customer Scenario Forecast'!G$23:G$1184,'Customer Scenario Forecast'!$D$20:$D$1181,'Incremental Network SummerFcast'!$A171)+
SUMIFS('Customer Scenario Forecast'!G$23:G$1184,'Customer Scenario Forecast'!$E$20:$E$1181,'Incremental Network SummerFcast'!$A171)+G173),
1*(
SUMIFS('Customer Scenario Forecast'!G$23:G$1184,'Customer Scenario Forecast'!$C$20:$C$1181,'Incremental Network SummerFcast'!$A171,'Customer Scenario Forecast'!$H$20:$H$1181,'Incremental Network SummerFcast'!$H$1)+
SUMIFS('Customer Scenario Forecast'!G$23:G$1184,'Customer Scenario Forecast'!$D$20:$D$1181,'Incremental Network SummerFcast'!$A171,'Customer Scenario Forecast'!$H$20:$H$1181,'Incremental Network SummerFcast'!$H$1)+
SUMIFS('Customer Scenario Forecast'!G$23:G$1184,'Customer Scenario Forecast'!$E$20:$E$1181,'Incremental Network SummerFcast'!$A171,'Customer Scenario Forecast'!$H$20:$H$1181,'Incremental Network SummerFcast'!$H$1)+G173))</f>
        <v>0</v>
      </c>
      <c r="H175" s="196">
        <f ca="1">IF($H$1="",
1*(
SUMIFS('Customer Scenario Forecast'!H$23:H$1184,'Customer Scenario Forecast'!$C$20:$C$1181,'Incremental Network SummerFcast'!$A171)+
SUMIFS('Customer Scenario Forecast'!H$23:H$1184,'Customer Scenario Forecast'!$D$20:$D$1181,'Incremental Network SummerFcast'!$A171)+
SUMIFS('Customer Scenario Forecast'!H$23:H$1184,'Customer Scenario Forecast'!$E$20:$E$1181,'Incremental Network SummerFcast'!$A171)+H173),
1*(
SUMIFS('Customer Scenario Forecast'!H$23:H$1184,'Customer Scenario Forecast'!$C$20:$C$1181,'Incremental Network SummerFcast'!$A171,'Customer Scenario Forecast'!$H$20:$H$1181,'Incremental Network SummerFcast'!$H$1)+
SUMIFS('Customer Scenario Forecast'!H$23:H$1184,'Customer Scenario Forecast'!$D$20:$D$1181,'Incremental Network SummerFcast'!$A171,'Customer Scenario Forecast'!$H$20:$H$1181,'Incremental Network SummerFcast'!$H$1)+
SUMIFS('Customer Scenario Forecast'!H$23:H$1184,'Customer Scenario Forecast'!$E$20:$E$1181,'Incremental Network SummerFcast'!$A171,'Customer Scenario Forecast'!$H$20:$H$1181,'Incremental Network SummerFcast'!$H$1)+H173))</f>
        <v>0</v>
      </c>
      <c r="I175" s="196">
        <f ca="1">IF($H$1="",
1*(
SUMIFS('Customer Scenario Forecast'!I$23:I$1184,'Customer Scenario Forecast'!$C$20:$C$1181,'Incremental Network SummerFcast'!$A171)+
SUMIFS('Customer Scenario Forecast'!I$23:I$1184,'Customer Scenario Forecast'!$D$20:$D$1181,'Incremental Network SummerFcast'!$A171)+
SUMIFS('Customer Scenario Forecast'!I$23:I$1184,'Customer Scenario Forecast'!$E$20:$E$1181,'Incremental Network SummerFcast'!$A171)+I173),
1*(
SUMIFS('Customer Scenario Forecast'!I$23:I$1184,'Customer Scenario Forecast'!$C$20:$C$1181,'Incremental Network SummerFcast'!$A171,'Customer Scenario Forecast'!$H$20:$H$1181,'Incremental Network SummerFcast'!$H$1)+
SUMIFS('Customer Scenario Forecast'!I$23:I$1184,'Customer Scenario Forecast'!$D$20:$D$1181,'Incremental Network SummerFcast'!$A171,'Customer Scenario Forecast'!$H$20:$H$1181,'Incremental Network SummerFcast'!$H$1)+
SUMIFS('Customer Scenario Forecast'!I$23:I$1184,'Customer Scenario Forecast'!$E$20:$E$1181,'Incremental Network SummerFcast'!$A171,'Customer Scenario Forecast'!$H$20:$H$1181,'Incremental Network SummerFcast'!$H$1)+I173))</f>
        <v>0</v>
      </c>
      <c r="J175" s="196">
        <f ca="1">IF($H$1="",
1*(
SUMIFS('Customer Scenario Forecast'!J$23:J$1184,'Customer Scenario Forecast'!$C$20:$C$1181,'Incremental Network SummerFcast'!$A171)+
SUMIFS('Customer Scenario Forecast'!J$23:J$1184,'Customer Scenario Forecast'!$D$20:$D$1181,'Incremental Network SummerFcast'!$A171)+
SUMIFS('Customer Scenario Forecast'!J$23:J$1184,'Customer Scenario Forecast'!$E$20:$E$1181,'Incremental Network SummerFcast'!$A171)+J173),
1*(
SUMIFS('Customer Scenario Forecast'!J$23:J$1184,'Customer Scenario Forecast'!$C$20:$C$1181,'Incremental Network SummerFcast'!$A171,'Customer Scenario Forecast'!$H$20:$H$1181,'Incremental Network SummerFcast'!$H$1)+
SUMIFS('Customer Scenario Forecast'!J$23:J$1184,'Customer Scenario Forecast'!$D$20:$D$1181,'Incremental Network SummerFcast'!$A171,'Customer Scenario Forecast'!$H$20:$H$1181,'Incremental Network SummerFcast'!$H$1)+
SUMIFS('Customer Scenario Forecast'!J$23:J$1184,'Customer Scenario Forecast'!$E$20:$E$1181,'Incremental Network SummerFcast'!$A171,'Customer Scenario Forecast'!$H$20:$H$1181,'Incremental Network SummerFcast'!$H$1)+J173))</f>
        <v>0</v>
      </c>
      <c r="K175" s="196">
        <f ca="1">IF($H$1="",
1*(
SUMIFS('Customer Scenario Forecast'!K$23:K$1184,'Customer Scenario Forecast'!$C$20:$C$1181,'Incremental Network SummerFcast'!$A171)+
SUMIFS('Customer Scenario Forecast'!K$23:K$1184,'Customer Scenario Forecast'!$D$20:$D$1181,'Incremental Network SummerFcast'!$A171)+
SUMIFS('Customer Scenario Forecast'!K$23:K$1184,'Customer Scenario Forecast'!$E$20:$E$1181,'Incremental Network SummerFcast'!$A171)+K173),
1*(
SUMIFS('Customer Scenario Forecast'!K$23:K$1184,'Customer Scenario Forecast'!$C$20:$C$1181,'Incremental Network SummerFcast'!$A171,'Customer Scenario Forecast'!$H$20:$H$1181,'Incremental Network SummerFcast'!$H$1)+
SUMIFS('Customer Scenario Forecast'!K$23:K$1184,'Customer Scenario Forecast'!$D$20:$D$1181,'Incremental Network SummerFcast'!$A171,'Customer Scenario Forecast'!$H$20:$H$1181,'Incremental Network SummerFcast'!$H$1)+
SUMIFS('Customer Scenario Forecast'!K$23:K$1184,'Customer Scenario Forecast'!$E$20:$E$1181,'Incremental Network SummerFcast'!$A171,'Customer Scenario Forecast'!$H$20:$H$1181,'Incremental Network SummerFcast'!$H$1)+K173))</f>
        <v>0</v>
      </c>
      <c r="L175" s="196">
        <f ca="1">IF($H$1="",
1*(
SUMIFS('Customer Scenario Forecast'!L$23:L$1184,'Customer Scenario Forecast'!$C$20:$C$1181,'Incremental Network SummerFcast'!$A171)+
SUMIFS('Customer Scenario Forecast'!L$23:L$1184,'Customer Scenario Forecast'!$D$20:$D$1181,'Incremental Network SummerFcast'!$A171)+
SUMIFS('Customer Scenario Forecast'!L$23:L$1184,'Customer Scenario Forecast'!$E$20:$E$1181,'Incremental Network SummerFcast'!$A171)+L173),
1*(
SUMIFS('Customer Scenario Forecast'!L$23:L$1184,'Customer Scenario Forecast'!$C$20:$C$1181,'Incremental Network SummerFcast'!$A171,'Customer Scenario Forecast'!$H$20:$H$1181,'Incremental Network SummerFcast'!$H$1)+
SUMIFS('Customer Scenario Forecast'!L$23:L$1184,'Customer Scenario Forecast'!$D$20:$D$1181,'Incremental Network SummerFcast'!$A171,'Customer Scenario Forecast'!$H$20:$H$1181,'Incremental Network SummerFcast'!$H$1)+
SUMIFS('Customer Scenario Forecast'!L$23:L$1184,'Customer Scenario Forecast'!$E$20:$E$1181,'Incremental Network SummerFcast'!$A171,'Customer Scenario Forecast'!$H$20:$H$1181,'Incremental Network SummerFcast'!$H$1)+L173))</f>
        <v>0</v>
      </c>
    </row>
    <row r="176" spans="1:13" ht="15" thickBot="1">
      <c r="A176" s="195" t="s">
        <v>108</v>
      </c>
      <c r="B176" s="196">
        <f ca="1">IF($H$1="",
1*(
SUMIFS('Customer Scenario Forecast'!B$24:B$1185,'Customer Scenario Forecast'!$C$20:$C$1181,'Incremental Network SummerFcast'!$A171)+
SUMIFS('Customer Scenario Forecast'!B$24:B$1185,'Customer Scenario Forecast'!$D$20:$D$1181,'Incremental Network SummerFcast'!$A171)+
SUMIFS('Customer Scenario Forecast'!B$24:B$1185,'Customer Scenario Forecast'!$E$20:$E$1181,'Incremental Network SummerFcast'!$A171)+B173),
1*(
SUMIFS('Customer Scenario Forecast'!B$24:B$1185,'Customer Scenario Forecast'!$C$20:$C$1181,'Incremental Network SummerFcast'!$A171,'Customer Scenario Forecast'!$H$20:$H$1181,'Incremental Network SummerFcast'!$H$1)+
SUMIFS('Customer Scenario Forecast'!B$24:B$1185,'Customer Scenario Forecast'!$D$20:$D$1181,'Incremental Network SummerFcast'!$A171,'Customer Scenario Forecast'!$H$20:$H$1181,'Incremental Network SummerFcast'!$H$1)+
SUMIFS('Customer Scenario Forecast'!B$24:B$1185,'Customer Scenario Forecast'!$E$20:$E$1181,'Incremental Network SummerFcast'!$A171,'Customer Scenario Forecast'!$H$20:$H$1181,'Incremental Network SummerFcast'!$H$1)+B173))</f>
        <v>0</v>
      </c>
      <c r="C176" s="196">
        <f ca="1">IF($H$1="",
1*(
SUMIFS('Customer Scenario Forecast'!C$24:C$1185,'Customer Scenario Forecast'!$C$20:$C$1181,'Incremental Network SummerFcast'!$A171)+
SUMIFS('Customer Scenario Forecast'!C$24:C$1185,'Customer Scenario Forecast'!$D$20:$D$1181,'Incremental Network SummerFcast'!$A171)+
SUMIFS('Customer Scenario Forecast'!C$24:C$1185,'Customer Scenario Forecast'!$E$20:$E$1181,'Incremental Network SummerFcast'!$A171)+C173),
1*(
SUMIFS('Customer Scenario Forecast'!C$24:C$1185,'Customer Scenario Forecast'!$C$20:$C$1181,'Incremental Network SummerFcast'!$A171,'Customer Scenario Forecast'!$H$20:$H$1181,'Incremental Network SummerFcast'!$H$1)+
SUMIFS('Customer Scenario Forecast'!C$24:C$1185,'Customer Scenario Forecast'!$D$20:$D$1181,'Incremental Network SummerFcast'!$A171,'Customer Scenario Forecast'!$H$20:$H$1181,'Incremental Network SummerFcast'!$H$1)+
SUMIFS('Customer Scenario Forecast'!C$24:C$1185,'Customer Scenario Forecast'!$E$20:$E$1181,'Incremental Network SummerFcast'!$A171,'Customer Scenario Forecast'!$H$20:$H$1181,'Incremental Network SummerFcast'!$H$1)+C173))</f>
        <v>0</v>
      </c>
      <c r="D176" s="196">
        <f ca="1">IF($H$1="",
1*(
SUMIFS('Customer Scenario Forecast'!D$24:D$1185,'Customer Scenario Forecast'!$C$20:$C$1181,'Incremental Network SummerFcast'!$A171)+
SUMIFS('Customer Scenario Forecast'!D$24:D$1185,'Customer Scenario Forecast'!$D$20:$D$1181,'Incremental Network SummerFcast'!$A171)+
SUMIFS('Customer Scenario Forecast'!D$24:D$1185,'Customer Scenario Forecast'!$E$20:$E$1181,'Incremental Network SummerFcast'!$A171)+D173),
1*(
SUMIFS('Customer Scenario Forecast'!D$24:D$1185,'Customer Scenario Forecast'!$C$20:$C$1181,'Incremental Network SummerFcast'!$A171,'Customer Scenario Forecast'!$H$20:$H$1181,'Incremental Network SummerFcast'!$H$1)+
SUMIFS('Customer Scenario Forecast'!D$24:D$1185,'Customer Scenario Forecast'!$D$20:$D$1181,'Incremental Network SummerFcast'!$A171,'Customer Scenario Forecast'!$H$20:$H$1181,'Incremental Network SummerFcast'!$H$1)+
SUMIFS('Customer Scenario Forecast'!D$24:D$1185,'Customer Scenario Forecast'!$E$20:$E$1181,'Incremental Network SummerFcast'!$A171,'Customer Scenario Forecast'!$H$20:$H$1181,'Incremental Network SummerFcast'!$H$1)+D173))</f>
        <v>0</v>
      </c>
      <c r="E176" s="196">
        <f ca="1">IF($H$1="",
1*(
SUMIFS('Customer Scenario Forecast'!E$24:E$1185,'Customer Scenario Forecast'!$C$20:$C$1181,'Incremental Network SummerFcast'!$A171)+
SUMIFS('Customer Scenario Forecast'!E$24:E$1185,'Customer Scenario Forecast'!$D$20:$D$1181,'Incremental Network SummerFcast'!$A171)+
SUMIFS('Customer Scenario Forecast'!E$24:E$1185,'Customer Scenario Forecast'!$E$20:$E$1181,'Incremental Network SummerFcast'!$A171)+E173),
1*(
SUMIFS('Customer Scenario Forecast'!E$24:E$1185,'Customer Scenario Forecast'!$C$20:$C$1181,'Incremental Network SummerFcast'!$A171,'Customer Scenario Forecast'!$H$20:$H$1181,'Incremental Network SummerFcast'!$H$1)+
SUMIFS('Customer Scenario Forecast'!E$24:E$1185,'Customer Scenario Forecast'!$D$20:$D$1181,'Incremental Network SummerFcast'!$A171,'Customer Scenario Forecast'!$H$20:$H$1181,'Incremental Network SummerFcast'!$H$1)+
SUMIFS('Customer Scenario Forecast'!E$24:E$1185,'Customer Scenario Forecast'!$E$20:$E$1181,'Incremental Network SummerFcast'!$A171,'Customer Scenario Forecast'!$H$20:$H$1181,'Incremental Network SummerFcast'!$H$1)+E173))</f>
        <v>0</v>
      </c>
      <c r="F176" s="196">
        <f ca="1">IF($H$1="",
1*(
SUMIFS('Customer Scenario Forecast'!F$24:F$1185,'Customer Scenario Forecast'!$C$20:$C$1181,'Incremental Network SummerFcast'!$A171)+
SUMIFS('Customer Scenario Forecast'!F$24:F$1185,'Customer Scenario Forecast'!$D$20:$D$1181,'Incremental Network SummerFcast'!$A171)+
SUMIFS('Customer Scenario Forecast'!F$24:F$1185,'Customer Scenario Forecast'!$E$20:$E$1181,'Incremental Network SummerFcast'!$A171)+F173),
1*(
SUMIFS('Customer Scenario Forecast'!F$24:F$1185,'Customer Scenario Forecast'!$C$20:$C$1181,'Incremental Network SummerFcast'!$A171,'Customer Scenario Forecast'!$H$20:$H$1181,'Incremental Network SummerFcast'!$H$1)+
SUMIFS('Customer Scenario Forecast'!F$24:F$1185,'Customer Scenario Forecast'!$D$20:$D$1181,'Incremental Network SummerFcast'!$A171,'Customer Scenario Forecast'!$H$20:$H$1181,'Incremental Network SummerFcast'!$H$1)+
SUMIFS('Customer Scenario Forecast'!F$24:F$1185,'Customer Scenario Forecast'!$E$20:$E$1181,'Incremental Network SummerFcast'!$A171,'Customer Scenario Forecast'!$H$20:$H$1181,'Incremental Network SummerFcast'!$H$1)+F173))</f>
        <v>0</v>
      </c>
      <c r="G176" s="196">
        <f ca="1">IF($H$1="",
1*(
SUMIFS('Customer Scenario Forecast'!G$24:G$1185,'Customer Scenario Forecast'!$C$20:$C$1181,'Incremental Network SummerFcast'!$A171)+
SUMIFS('Customer Scenario Forecast'!G$24:G$1185,'Customer Scenario Forecast'!$D$20:$D$1181,'Incremental Network SummerFcast'!$A171)+
SUMIFS('Customer Scenario Forecast'!G$24:G$1185,'Customer Scenario Forecast'!$E$20:$E$1181,'Incremental Network SummerFcast'!$A171)+G173),
1*(
SUMIFS('Customer Scenario Forecast'!G$24:G$1185,'Customer Scenario Forecast'!$C$20:$C$1181,'Incremental Network SummerFcast'!$A171,'Customer Scenario Forecast'!$H$20:$H$1181,'Incremental Network SummerFcast'!$H$1)+
SUMIFS('Customer Scenario Forecast'!G$24:G$1185,'Customer Scenario Forecast'!$D$20:$D$1181,'Incremental Network SummerFcast'!$A171,'Customer Scenario Forecast'!$H$20:$H$1181,'Incremental Network SummerFcast'!$H$1)+
SUMIFS('Customer Scenario Forecast'!G$24:G$1185,'Customer Scenario Forecast'!$E$20:$E$1181,'Incremental Network SummerFcast'!$A171,'Customer Scenario Forecast'!$H$20:$H$1181,'Incremental Network SummerFcast'!$H$1)+G173))</f>
        <v>0</v>
      </c>
      <c r="H176" s="196">
        <f ca="1">IF($H$1="",
1*(
SUMIFS('Customer Scenario Forecast'!H$24:H$1185,'Customer Scenario Forecast'!$C$20:$C$1181,'Incremental Network SummerFcast'!$A171)+
SUMIFS('Customer Scenario Forecast'!H$24:H$1185,'Customer Scenario Forecast'!$D$20:$D$1181,'Incremental Network SummerFcast'!$A171)+
SUMIFS('Customer Scenario Forecast'!H$24:H$1185,'Customer Scenario Forecast'!$E$20:$E$1181,'Incremental Network SummerFcast'!$A171)+H173),
1*(
SUMIFS('Customer Scenario Forecast'!H$24:H$1185,'Customer Scenario Forecast'!$C$20:$C$1181,'Incremental Network SummerFcast'!$A171,'Customer Scenario Forecast'!$H$20:$H$1181,'Incremental Network SummerFcast'!$H$1)+
SUMIFS('Customer Scenario Forecast'!H$24:H$1185,'Customer Scenario Forecast'!$D$20:$D$1181,'Incremental Network SummerFcast'!$A171,'Customer Scenario Forecast'!$H$20:$H$1181,'Incremental Network SummerFcast'!$H$1)+
SUMIFS('Customer Scenario Forecast'!H$24:H$1185,'Customer Scenario Forecast'!$E$20:$E$1181,'Incremental Network SummerFcast'!$A171,'Customer Scenario Forecast'!$H$20:$H$1181,'Incremental Network SummerFcast'!$H$1)+H173))</f>
        <v>0</v>
      </c>
      <c r="I176" s="196">
        <f ca="1">IF($H$1="",
1*(
SUMIFS('Customer Scenario Forecast'!I$24:I$1185,'Customer Scenario Forecast'!$C$20:$C$1181,'Incremental Network SummerFcast'!$A171)+
SUMIFS('Customer Scenario Forecast'!I$24:I$1185,'Customer Scenario Forecast'!$D$20:$D$1181,'Incremental Network SummerFcast'!$A171)+
SUMIFS('Customer Scenario Forecast'!I$24:I$1185,'Customer Scenario Forecast'!$E$20:$E$1181,'Incremental Network SummerFcast'!$A171)+I173),
1*(
SUMIFS('Customer Scenario Forecast'!I$24:I$1185,'Customer Scenario Forecast'!$C$20:$C$1181,'Incremental Network SummerFcast'!$A171,'Customer Scenario Forecast'!$H$20:$H$1181,'Incremental Network SummerFcast'!$H$1)+
SUMIFS('Customer Scenario Forecast'!I$24:I$1185,'Customer Scenario Forecast'!$D$20:$D$1181,'Incremental Network SummerFcast'!$A171,'Customer Scenario Forecast'!$H$20:$H$1181,'Incremental Network SummerFcast'!$H$1)+
SUMIFS('Customer Scenario Forecast'!I$24:I$1185,'Customer Scenario Forecast'!$E$20:$E$1181,'Incremental Network SummerFcast'!$A171,'Customer Scenario Forecast'!$H$20:$H$1181,'Incremental Network SummerFcast'!$H$1)+I173))</f>
        <v>0</v>
      </c>
      <c r="J176" s="196">
        <f ca="1">IF($H$1="",
1*(
SUMIFS('Customer Scenario Forecast'!J$24:J$1185,'Customer Scenario Forecast'!$C$20:$C$1181,'Incremental Network SummerFcast'!$A171)+
SUMIFS('Customer Scenario Forecast'!J$24:J$1185,'Customer Scenario Forecast'!$D$20:$D$1181,'Incremental Network SummerFcast'!$A171)+
SUMIFS('Customer Scenario Forecast'!J$24:J$1185,'Customer Scenario Forecast'!$E$20:$E$1181,'Incremental Network SummerFcast'!$A171)+J173),
1*(
SUMIFS('Customer Scenario Forecast'!J$24:J$1185,'Customer Scenario Forecast'!$C$20:$C$1181,'Incremental Network SummerFcast'!$A171,'Customer Scenario Forecast'!$H$20:$H$1181,'Incremental Network SummerFcast'!$H$1)+
SUMIFS('Customer Scenario Forecast'!J$24:J$1185,'Customer Scenario Forecast'!$D$20:$D$1181,'Incremental Network SummerFcast'!$A171,'Customer Scenario Forecast'!$H$20:$H$1181,'Incremental Network SummerFcast'!$H$1)+
SUMIFS('Customer Scenario Forecast'!J$24:J$1185,'Customer Scenario Forecast'!$E$20:$E$1181,'Incremental Network SummerFcast'!$A171,'Customer Scenario Forecast'!$H$20:$H$1181,'Incremental Network SummerFcast'!$H$1)+J173))</f>
        <v>0</v>
      </c>
      <c r="K176" s="196">
        <f ca="1">IF($H$1="",
1*(
SUMIFS('Customer Scenario Forecast'!K$24:K$1185,'Customer Scenario Forecast'!$C$20:$C$1181,'Incremental Network SummerFcast'!$A171)+
SUMIFS('Customer Scenario Forecast'!K$24:K$1185,'Customer Scenario Forecast'!$D$20:$D$1181,'Incremental Network SummerFcast'!$A171)+
SUMIFS('Customer Scenario Forecast'!K$24:K$1185,'Customer Scenario Forecast'!$E$20:$E$1181,'Incremental Network SummerFcast'!$A171)+K173),
1*(
SUMIFS('Customer Scenario Forecast'!K$24:K$1185,'Customer Scenario Forecast'!$C$20:$C$1181,'Incremental Network SummerFcast'!$A171,'Customer Scenario Forecast'!$H$20:$H$1181,'Incremental Network SummerFcast'!$H$1)+
SUMIFS('Customer Scenario Forecast'!K$24:K$1185,'Customer Scenario Forecast'!$D$20:$D$1181,'Incremental Network SummerFcast'!$A171,'Customer Scenario Forecast'!$H$20:$H$1181,'Incremental Network SummerFcast'!$H$1)+
SUMIFS('Customer Scenario Forecast'!K$24:K$1185,'Customer Scenario Forecast'!$E$20:$E$1181,'Incremental Network SummerFcast'!$A171,'Customer Scenario Forecast'!$H$20:$H$1181,'Incremental Network SummerFcast'!$H$1)+K173))</f>
        <v>0</v>
      </c>
      <c r="L176" s="196">
        <f ca="1">IF($H$1="",
1*(
SUMIFS('Customer Scenario Forecast'!L$24:L$1185,'Customer Scenario Forecast'!$C$20:$C$1181,'Incremental Network SummerFcast'!$A171)+
SUMIFS('Customer Scenario Forecast'!L$24:L$1185,'Customer Scenario Forecast'!$D$20:$D$1181,'Incremental Network SummerFcast'!$A171)+
SUMIFS('Customer Scenario Forecast'!L$24:L$1185,'Customer Scenario Forecast'!$E$20:$E$1181,'Incremental Network SummerFcast'!$A171)+L173),
1*(
SUMIFS('Customer Scenario Forecast'!L$24:L$1185,'Customer Scenario Forecast'!$C$20:$C$1181,'Incremental Network SummerFcast'!$A171,'Customer Scenario Forecast'!$H$20:$H$1181,'Incremental Network SummerFcast'!$H$1)+
SUMIFS('Customer Scenario Forecast'!L$24:L$1185,'Customer Scenario Forecast'!$D$20:$D$1181,'Incremental Network SummerFcast'!$A171,'Customer Scenario Forecast'!$H$20:$H$1181,'Incremental Network SummerFcast'!$H$1)+
SUMIFS('Customer Scenario Forecast'!L$24:L$1185,'Customer Scenario Forecast'!$E$20:$E$1181,'Incremental Network SummerFcast'!$A171,'Customer Scenario Forecast'!$H$20:$H$1181,'Incremental Network SummerFcast'!$H$1)+L173))</f>
        <v>0</v>
      </c>
    </row>
    <row r="177" spans="1:13" ht="15" thickBot="1">
      <c r="A177" s="197" t="s">
        <v>109</v>
      </c>
      <c r="B177" s="198">
        <f ca="1">IF($H$1="",
1*(
SUMIFS('Customer Scenario Forecast'!B$25:B$1186,'Customer Scenario Forecast'!$C$20:$C$1181,'Incremental Network SummerFcast'!$A171)+
SUMIFS('Customer Scenario Forecast'!B$25:B$1186,'Customer Scenario Forecast'!$D$20:$D$1181,'Incremental Network SummerFcast'!$A171)+
SUMIFS('Customer Scenario Forecast'!B$25:B$1186,'Customer Scenario Forecast'!$E$20:$E$1181,'Incremental Network SummerFcast'!$A171)+B173),
1*(
SUMIFS('Customer Scenario Forecast'!B$25:B$1186,'Customer Scenario Forecast'!$C$20:$C$1181,'Incremental Network SummerFcast'!$A171,'Customer Scenario Forecast'!$H$20:$H$1181,'Incremental Network SummerFcast'!$H$1)+
SUMIFS('Customer Scenario Forecast'!B$25:B$1186,'Customer Scenario Forecast'!$D$20:$D$1181,'Incremental Network SummerFcast'!$A171,'Customer Scenario Forecast'!$H$20:$H$1181,'Incremental Network SummerFcast'!$H$1)+
SUMIFS('Customer Scenario Forecast'!B$25:B$1186,'Customer Scenario Forecast'!$E$20:$E$1181,'Incremental Network SummerFcast'!$A171,'Customer Scenario Forecast'!$H$20:$H$1181,'Incremental Network SummerFcast'!$H$1)+B173))</f>
        <v>0</v>
      </c>
      <c r="C177" s="198">
        <f ca="1">IF($H$1="",
1*(
SUMIFS('Customer Scenario Forecast'!C$25:C$1186,'Customer Scenario Forecast'!$C$20:$C$1181,'Incremental Network SummerFcast'!$A171)+
SUMIFS('Customer Scenario Forecast'!C$25:C$1186,'Customer Scenario Forecast'!$D$20:$D$1181,'Incremental Network SummerFcast'!$A171)+
SUMIFS('Customer Scenario Forecast'!C$25:C$1186,'Customer Scenario Forecast'!$E$20:$E$1181,'Incremental Network SummerFcast'!$A171)+C173),
1*(
SUMIFS('Customer Scenario Forecast'!C$25:C$1186,'Customer Scenario Forecast'!$C$20:$C$1181,'Incremental Network SummerFcast'!$A171,'Customer Scenario Forecast'!$H$20:$H$1181,'Incremental Network SummerFcast'!$H$1)+
SUMIFS('Customer Scenario Forecast'!C$25:C$1186,'Customer Scenario Forecast'!$D$20:$D$1181,'Incremental Network SummerFcast'!$A171,'Customer Scenario Forecast'!$H$20:$H$1181,'Incremental Network SummerFcast'!$H$1)+
SUMIFS('Customer Scenario Forecast'!C$25:C$1186,'Customer Scenario Forecast'!$E$20:$E$1181,'Incremental Network SummerFcast'!$A171,'Customer Scenario Forecast'!$H$20:$H$1181,'Incremental Network SummerFcast'!$H$1)+C173))</f>
        <v>0</v>
      </c>
      <c r="D177" s="198">
        <f ca="1">IF($H$1="",
1*(
SUMIFS('Customer Scenario Forecast'!D$25:D$1186,'Customer Scenario Forecast'!$C$20:$C$1181,'Incremental Network SummerFcast'!$A171)+
SUMIFS('Customer Scenario Forecast'!D$25:D$1186,'Customer Scenario Forecast'!$D$20:$D$1181,'Incremental Network SummerFcast'!$A171)+
SUMIFS('Customer Scenario Forecast'!D$25:D$1186,'Customer Scenario Forecast'!$E$20:$E$1181,'Incremental Network SummerFcast'!$A171)+D173),
1*(
SUMIFS('Customer Scenario Forecast'!D$25:D$1186,'Customer Scenario Forecast'!$C$20:$C$1181,'Incremental Network SummerFcast'!$A171,'Customer Scenario Forecast'!$H$20:$H$1181,'Incremental Network SummerFcast'!$H$1)+
SUMIFS('Customer Scenario Forecast'!D$25:D$1186,'Customer Scenario Forecast'!$D$20:$D$1181,'Incremental Network SummerFcast'!$A171,'Customer Scenario Forecast'!$H$20:$H$1181,'Incremental Network SummerFcast'!$H$1)+
SUMIFS('Customer Scenario Forecast'!D$25:D$1186,'Customer Scenario Forecast'!$E$20:$E$1181,'Incremental Network SummerFcast'!$A171,'Customer Scenario Forecast'!$H$20:$H$1181,'Incremental Network SummerFcast'!$H$1)+D173))</f>
        <v>0</v>
      </c>
      <c r="E177" s="198">
        <f ca="1">IF($H$1="",
1*(
SUMIFS('Customer Scenario Forecast'!E$25:E$1186,'Customer Scenario Forecast'!$C$20:$C$1181,'Incremental Network SummerFcast'!$A171)+
SUMIFS('Customer Scenario Forecast'!E$25:E$1186,'Customer Scenario Forecast'!$D$20:$D$1181,'Incremental Network SummerFcast'!$A171)+
SUMIFS('Customer Scenario Forecast'!E$25:E$1186,'Customer Scenario Forecast'!$E$20:$E$1181,'Incremental Network SummerFcast'!$A171)+E173),
1*(
SUMIFS('Customer Scenario Forecast'!E$25:E$1186,'Customer Scenario Forecast'!$C$20:$C$1181,'Incremental Network SummerFcast'!$A171,'Customer Scenario Forecast'!$H$20:$H$1181,'Incremental Network SummerFcast'!$H$1)+
SUMIFS('Customer Scenario Forecast'!E$25:E$1186,'Customer Scenario Forecast'!$D$20:$D$1181,'Incremental Network SummerFcast'!$A171,'Customer Scenario Forecast'!$H$20:$H$1181,'Incremental Network SummerFcast'!$H$1)+
SUMIFS('Customer Scenario Forecast'!E$25:E$1186,'Customer Scenario Forecast'!$E$20:$E$1181,'Incremental Network SummerFcast'!$A171,'Customer Scenario Forecast'!$H$20:$H$1181,'Incremental Network SummerFcast'!$H$1)+E173))</f>
        <v>0</v>
      </c>
      <c r="F177" s="198">
        <f ca="1">IF($H$1="",
1*(
SUMIFS('Customer Scenario Forecast'!F$25:F$1186,'Customer Scenario Forecast'!$C$20:$C$1181,'Incremental Network SummerFcast'!$A171)+
SUMIFS('Customer Scenario Forecast'!F$25:F$1186,'Customer Scenario Forecast'!$D$20:$D$1181,'Incremental Network SummerFcast'!$A171)+
SUMIFS('Customer Scenario Forecast'!F$25:F$1186,'Customer Scenario Forecast'!$E$20:$E$1181,'Incremental Network SummerFcast'!$A171)+F173),
1*(
SUMIFS('Customer Scenario Forecast'!F$25:F$1186,'Customer Scenario Forecast'!$C$20:$C$1181,'Incremental Network SummerFcast'!$A171,'Customer Scenario Forecast'!$H$20:$H$1181,'Incremental Network SummerFcast'!$H$1)+
SUMIFS('Customer Scenario Forecast'!F$25:F$1186,'Customer Scenario Forecast'!$D$20:$D$1181,'Incremental Network SummerFcast'!$A171,'Customer Scenario Forecast'!$H$20:$H$1181,'Incremental Network SummerFcast'!$H$1)+
SUMIFS('Customer Scenario Forecast'!F$25:F$1186,'Customer Scenario Forecast'!$E$20:$E$1181,'Incremental Network SummerFcast'!$A171,'Customer Scenario Forecast'!$H$20:$H$1181,'Incremental Network SummerFcast'!$H$1)+F173))</f>
        <v>0</v>
      </c>
      <c r="G177" s="198">
        <f ca="1">IF($H$1="",
1*(
SUMIFS('Customer Scenario Forecast'!G$25:G$1186,'Customer Scenario Forecast'!$C$20:$C$1181,'Incremental Network SummerFcast'!$A171)+
SUMIFS('Customer Scenario Forecast'!G$25:G$1186,'Customer Scenario Forecast'!$D$20:$D$1181,'Incremental Network SummerFcast'!$A171)+
SUMIFS('Customer Scenario Forecast'!G$25:G$1186,'Customer Scenario Forecast'!$E$20:$E$1181,'Incremental Network SummerFcast'!$A171)+G173),
1*(
SUMIFS('Customer Scenario Forecast'!G$25:G$1186,'Customer Scenario Forecast'!$C$20:$C$1181,'Incremental Network SummerFcast'!$A171,'Customer Scenario Forecast'!$H$20:$H$1181,'Incremental Network SummerFcast'!$H$1)+
SUMIFS('Customer Scenario Forecast'!G$25:G$1186,'Customer Scenario Forecast'!$D$20:$D$1181,'Incremental Network SummerFcast'!$A171,'Customer Scenario Forecast'!$H$20:$H$1181,'Incremental Network SummerFcast'!$H$1)+
SUMIFS('Customer Scenario Forecast'!G$25:G$1186,'Customer Scenario Forecast'!$E$20:$E$1181,'Incremental Network SummerFcast'!$A171,'Customer Scenario Forecast'!$H$20:$H$1181,'Incremental Network SummerFcast'!$H$1)+G173))</f>
        <v>0</v>
      </c>
      <c r="H177" s="198">
        <f ca="1">IF($H$1="",
1*(
SUMIFS('Customer Scenario Forecast'!H$25:H$1186,'Customer Scenario Forecast'!$C$20:$C$1181,'Incremental Network SummerFcast'!$A171)+
SUMIFS('Customer Scenario Forecast'!H$25:H$1186,'Customer Scenario Forecast'!$D$20:$D$1181,'Incremental Network SummerFcast'!$A171)+
SUMIFS('Customer Scenario Forecast'!H$25:H$1186,'Customer Scenario Forecast'!$E$20:$E$1181,'Incremental Network SummerFcast'!$A171)+H173),
1*(
SUMIFS('Customer Scenario Forecast'!H$25:H$1186,'Customer Scenario Forecast'!$C$20:$C$1181,'Incremental Network SummerFcast'!$A171,'Customer Scenario Forecast'!$H$20:$H$1181,'Incremental Network SummerFcast'!$H$1)+
SUMIFS('Customer Scenario Forecast'!H$25:H$1186,'Customer Scenario Forecast'!$D$20:$D$1181,'Incremental Network SummerFcast'!$A171,'Customer Scenario Forecast'!$H$20:$H$1181,'Incremental Network SummerFcast'!$H$1)+
SUMIFS('Customer Scenario Forecast'!H$25:H$1186,'Customer Scenario Forecast'!$E$20:$E$1181,'Incremental Network SummerFcast'!$A171,'Customer Scenario Forecast'!$H$20:$H$1181,'Incremental Network SummerFcast'!$H$1)+H173))</f>
        <v>0</v>
      </c>
      <c r="I177" s="198">
        <f ca="1">IF($H$1="",
1*(
SUMIFS('Customer Scenario Forecast'!I$25:I$1186,'Customer Scenario Forecast'!$C$20:$C$1181,'Incremental Network SummerFcast'!$A171)+
SUMIFS('Customer Scenario Forecast'!I$25:I$1186,'Customer Scenario Forecast'!$D$20:$D$1181,'Incremental Network SummerFcast'!$A171)+
SUMIFS('Customer Scenario Forecast'!I$25:I$1186,'Customer Scenario Forecast'!$E$20:$E$1181,'Incremental Network SummerFcast'!$A171)+I173),
1*(
SUMIFS('Customer Scenario Forecast'!I$25:I$1186,'Customer Scenario Forecast'!$C$20:$C$1181,'Incremental Network SummerFcast'!$A171,'Customer Scenario Forecast'!$H$20:$H$1181,'Incremental Network SummerFcast'!$H$1)+
SUMIFS('Customer Scenario Forecast'!I$25:I$1186,'Customer Scenario Forecast'!$D$20:$D$1181,'Incremental Network SummerFcast'!$A171,'Customer Scenario Forecast'!$H$20:$H$1181,'Incremental Network SummerFcast'!$H$1)+
SUMIFS('Customer Scenario Forecast'!I$25:I$1186,'Customer Scenario Forecast'!$E$20:$E$1181,'Incremental Network SummerFcast'!$A171,'Customer Scenario Forecast'!$H$20:$H$1181,'Incremental Network SummerFcast'!$H$1)+I173))</f>
        <v>0</v>
      </c>
      <c r="J177" s="198">
        <f ca="1">IF($H$1="",
1*(
SUMIFS('Customer Scenario Forecast'!J$25:J$1186,'Customer Scenario Forecast'!$C$20:$C$1181,'Incremental Network SummerFcast'!$A171)+
SUMIFS('Customer Scenario Forecast'!J$25:J$1186,'Customer Scenario Forecast'!$D$20:$D$1181,'Incremental Network SummerFcast'!$A171)+
SUMIFS('Customer Scenario Forecast'!J$25:J$1186,'Customer Scenario Forecast'!$E$20:$E$1181,'Incremental Network SummerFcast'!$A171)+J173),
1*(
SUMIFS('Customer Scenario Forecast'!J$25:J$1186,'Customer Scenario Forecast'!$C$20:$C$1181,'Incremental Network SummerFcast'!$A171,'Customer Scenario Forecast'!$H$20:$H$1181,'Incremental Network SummerFcast'!$H$1)+
SUMIFS('Customer Scenario Forecast'!J$25:J$1186,'Customer Scenario Forecast'!$D$20:$D$1181,'Incremental Network SummerFcast'!$A171,'Customer Scenario Forecast'!$H$20:$H$1181,'Incremental Network SummerFcast'!$H$1)+
SUMIFS('Customer Scenario Forecast'!J$25:J$1186,'Customer Scenario Forecast'!$E$20:$E$1181,'Incremental Network SummerFcast'!$A171,'Customer Scenario Forecast'!$H$20:$H$1181,'Incremental Network SummerFcast'!$H$1)+J173))</f>
        <v>0</v>
      </c>
      <c r="K177" s="198">
        <f ca="1">IF($H$1="",
1*(
SUMIFS('Customer Scenario Forecast'!K$25:K$1186,'Customer Scenario Forecast'!$C$20:$C$1181,'Incremental Network SummerFcast'!$A171)+
SUMIFS('Customer Scenario Forecast'!K$25:K$1186,'Customer Scenario Forecast'!$D$20:$D$1181,'Incremental Network SummerFcast'!$A171)+
SUMIFS('Customer Scenario Forecast'!K$25:K$1186,'Customer Scenario Forecast'!$E$20:$E$1181,'Incremental Network SummerFcast'!$A171)+K173),
1*(
SUMIFS('Customer Scenario Forecast'!K$25:K$1186,'Customer Scenario Forecast'!$C$20:$C$1181,'Incremental Network SummerFcast'!$A171,'Customer Scenario Forecast'!$H$20:$H$1181,'Incremental Network SummerFcast'!$H$1)+
SUMIFS('Customer Scenario Forecast'!K$25:K$1186,'Customer Scenario Forecast'!$D$20:$D$1181,'Incremental Network SummerFcast'!$A171,'Customer Scenario Forecast'!$H$20:$H$1181,'Incremental Network SummerFcast'!$H$1)+
SUMIFS('Customer Scenario Forecast'!K$25:K$1186,'Customer Scenario Forecast'!$E$20:$E$1181,'Incremental Network SummerFcast'!$A171,'Customer Scenario Forecast'!$H$20:$H$1181,'Incremental Network SummerFcast'!$H$1)+K173))</f>
        <v>0</v>
      </c>
      <c r="L177" s="198">
        <f ca="1">IF($H$1="",
1*(
SUMIFS('Customer Scenario Forecast'!L$25:L$1186,'Customer Scenario Forecast'!$C$20:$C$1181,'Incremental Network SummerFcast'!$A171)+
SUMIFS('Customer Scenario Forecast'!L$25:L$1186,'Customer Scenario Forecast'!$D$20:$D$1181,'Incremental Network SummerFcast'!$A171)+
SUMIFS('Customer Scenario Forecast'!L$25:L$1186,'Customer Scenario Forecast'!$E$20:$E$1181,'Incremental Network SummerFcast'!$A171)+L173),
1*(
SUMIFS('Customer Scenario Forecast'!L$25:L$1186,'Customer Scenario Forecast'!$C$20:$C$1181,'Incremental Network SummerFcast'!$A171,'Customer Scenario Forecast'!$H$20:$H$1181,'Incremental Network SummerFcast'!$H$1)+
SUMIFS('Customer Scenario Forecast'!L$25:L$1186,'Customer Scenario Forecast'!$D$20:$D$1181,'Incremental Network SummerFcast'!$A171,'Customer Scenario Forecast'!$H$20:$H$1181,'Incremental Network SummerFcast'!$H$1)+
SUMIFS('Customer Scenario Forecast'!L$25:L$1186,'Customer Scenario Forecast'!$E$20:$E$1181,'Incremental Network SummerFcast'!$A171,'Customer Scenario Forecast'!$H$20:$H$1181,'Incremental Network SummerFcast'!$H$1)+L173))</f>
        <v>0</v>
      </c>
    </row>
    <row r="178" spans="1:13" ht="15.6" thickTop="1" thickBot="1">
      <c r="A178" s="197" t="s">
        <v>148</v>
      </c>
      <c r="B178" s="198">
        <f ca="1">'Incremental Network SummerFcast'!$B$245*B175+'Incremental Network SummerFcast'!$B$246*B176+'Incremental Network SummerFcast'!$B$247*B177</f>
        <v>0</v>
      </c>
      <c r="C178" s="198">
        <f ca="1">'Incremental Network SummerFcast'!$B$245*C175+'Incremental Network SummerFcast'!$B$246*C176+'Incremental Network SummerFcast'!$B$247*C177</f>
        <v>0</v>
      </c>
      <c r="D178" s="198">
        <f ca="1">'Incremental Network SummerFcast'!$B$245*D175+'Incremental Network SummerFcast'!$B$246*D176+'Incremental Network SummerFcast'!$B$247*D177</f>
        <v>0</v>
      </c>
      <c r="E178" s="198">
        <f ca="1">'Incremental Network SummerFcast'!$B$245*E175+'Incremental Network SummerFcast'!$B$246*E176+'Incremental Network SummerFcast'!$B$247*E177</f>
        <v>0</v>
      </c>
      <c r="F178" s="198">
        <f ca="1">'Incremental Network SummerFcast'!$B$245*F175+'Incremental Network SummerFcast'!$B$246*F176+'Incremental Network SummerFcast'!$B$247*F177</f>
        <v>0</v>
      </c>
      <c r="G178" s="198">
        <f ca="1">'Incremental Network SummerFcast'!$B$245*G175+'Incremental Network SummerFcast'!$B$246*G176+'Incremental Network SummerFcast'!$B$247*G177</f>
        <v>0</v>
      </c>
      <c r="H178" s="198">
        <f ca="1">'Incremental Network SummerFcast'!$B$245*H175+'Incremental Network SummerFcast'!$B$246*H176+'Incremental Network SummerFcast'!$B$247*H177</f>
        <v>0</v>
      </c>
      <c r="I178" s="198">
        <f ca="1">'Incremental Network SummerFcast'!$B$245*I175+'Incremental Network SummerFcast'!$B$246*I176+'Incremental Network SummerFcast'!$B$247*I177</f>
        <v>0</v>
      </c>
      <c r="J178" s="198">
        <f ca="1">'Incremental Network SummerFcast'!$B$245*J175+'Incremental Network SummerFcast'!$B$246*J176+'Incremental Network SummerFcast'!$B$247*J177</f>
        <v>0</v>
      </c>
      <c r="K178" s="198">
        <f ca="1">'Incremental Network SummerFcast'!$B$245*K175+'Incremental Network SummerFcast'!$B$246*K176+'Incremental Network SummerFcast'!$B$247*K177</f>
        <v>0</v>
      </c>
      <c r="L178" s="198">
        <f ca="1">'Incremental Network SummerFcast'!$B$245*L175+'Incremental Network SummerFcast'!$B$246*L176+'Incremental Network SummerFcast'!$B$247*L177</f>
        <v>0</v>
      </c>
    </row>
    <row r="179" spans="1:13" ht="15.6" thickTop="1" thickBot="1">
      <c r="A179" s="188" t="s">
        <v>125</v>
      </c>
      <c r="B179" s="216"/>
      <c r="C179" s="190"/>
      <c r="D179" s="190"/>
      <c r="E179" s="190"/>
      <c r="F179" s="190"/>
      <c r="G179" s="190"/>
      <c r="H179" s="190"/>
      <c r="I179" s="190"/>
      <c r="J179" s="190"/>
      <c r="K179" s="190"/>
      <c r="L179" s="190"/>
    </row>
    <row r="180" spans="1:13" ht="15" thickBot="1">
      <c r="A180" s="191" t="str">
        <f>A172</f>
        <v>Uptake Scenario</v>
      </c>
      <c r="B180" s="191">
        <f t="shared" ref="B180:L180" si="22">B172</f>
        <v>2023</v>
      </c>
      <c r="C180" s="191">
        <f t="shared" si="22"/>
        <v>2024</v>
      </c>
      <c r="D180" s="191">
        <f t="shared" si="22"/>
        <v>2025</v>
      </c>
      <c r="E180" s="191">
        <f t="shared" si="22"/>
        <v>2026</v>
      </c>
      <c r="F180" s="191">
        <f t="shared" si="22"/>
        <v>2027</v>
      </c>
      <c r="G180" s="191">
        <f t="shared" si="22"/>
        <v>2028</v>
      </c>
      <c r="H180" s="191">
        <f t="shared" si="22"/>
        <v>2029</v>
      </c>
      <c r="I180" s="191">
        <f t="shared" si="22"/>
        <v>2030</v>
      </c>
      <c r="J180" s="191">
        <f t="shared" si="22"/>
        <v>2031</v>
      </c>
      <c r="K180" s="191">
        <f t="shared" si="22"/>
        <v>2032</v>
      </c>
      <c r="L180" s="191">
        <f t="shared" si="22"/>
        <v>2033</v>
      </c>
    </row>
    <row r="181" spans="1:13" ht="15.6" thickTop="1" thickBot="1">
      <c r="A181" s="193"/>
      <c r="B181" s="206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37"/>
    </row>
    <row r="182" spans="1:13" ht="15" thickBot="1">
      <c r="A182" s="193" t="s">
        <v>111</v>
      </c>
      <c r="B182" s="194">
        <f ca="1">IF($H$1="",
SUMIFS('Customer Scenario Forecast'!B$22:B$1183,'Customer Scenario Forecast'!$C$20:$C$1181,'Incremental Network SummerFcast'!$A179)+
SUMIFS('Customer Scenario Forecast'!B$22:B$1183,'Customer Scenario Forecast'!$D$20:$D$1181,'Incremental Network SummerFcast'!$A179)+
SUMIFS('Customer Scenario Forecast'!B$22:B$1183,'Customer Scenario Forecast'!$E$20:$E$1181,'Incremental Network SummerFcast'!$A179),
SUMIFS('Customer Scenario Forecast'!B$22:B$1183,'Customer Scenario Forecast'!$C$20:$C$1181,'Incremental Network SummerFcast'!$A179,'Customer Scenario Forecast'!$H$20:$H$1181,'Incremental Network SummerFcast'!$H$1)+
SUMIFS('Customer Scenario Forecast'!B$22:B$1183,'Customer Scenario Forecast'!$D$20:$D$1181,'Incremental Network SummerFcast'!$A179,'Customer Scenario Forecast'!$H$20:$H$1181,'Incremental Network SummerFcast'!$H$1)+
SUMIFS('Customer Scenario Forecast'!B$22:B$1183,'Customer Scenario Forecast'!$E$20:$E$1181,'Incremental Network SummerFcast'!$A179,'Customer Scenario Forecast'!$H$20:$H$1181,'Incremental Network SummerFcast'!$H$1))</f>
        <v>0</v>
      </c>
      <c r="C182" s="194">
        <f ca="1">IF($H$1="",
SUMIFS('Customer Scenario Forecast'!C$22:C$1183,'Customer Scenario Forecast'!$C$20:$C$1181,'Incremental Network SummerFcast'!$A179)+
SUMIFS('Customer Scenario Forecast'!C$22:C$1183,'Customer Scenario Forecast'!$D$20:$D$1181,'Incremental Network SummerFcast'!$A179)+
SUMIFS('Customer Scenario Forecast'!C$22:C$1183,'Customer Scenario Forecast'!$E$20:$E$1181,'Incremental Network SummerFcast'!$A179),
SUMIFS('Customer Scenario Forecast'!C$22:C$1183,'Customer Scenario Forecast'!$C$20:$C$1181,'Incremental Network SummerFcast'!$A179,'Customer Scenario Forecast'!$H$20:$H$1181,'Incremental Network SummerFcast'!$H$1)+
SUMIFS('Customer Scenario Forecast'!C$22:C$1183,'Customer Scenario Forecast'!$D$20:$D$1181,'Incremental Network SummerFcast'!$A179,'Customer Scenario Forecast'!$H$20:$H$1181,'Incremental Network SummerFcast'!$H$1)+
SUMIFS('Customer Scenario Forecast'!C$22:C$1183,'Customer Scenario Forecast'!$E$20:$E$1181,'Incremental Network SummerFcast'!$A179,'Customer Scenario Forecast'!$H$20:$H$1181,'Incremental Network SummerFcast'!$H$1))</f>
        <v>0</v>
      </c>
      <c r="D182" s="194">
        <f ca="1">IF($H$1="",
SUMIFS('Customer Scenario Forecast'!D$22:D$1183,'Customer Scenario Forecast'!$C$20:$C$1181,'Incremental Network SummerFcast'!$A179)+
SUMIFS('Customer Scenario Forecast'!D$22:D$1183,'Customer Scenario Forecast'!$D$20:$D$1181,'Incremental Network SummerFcast'!$A179)+
SUMIFS('Customer Scenario Forecast'!D$22:D$1183,'Customer Scenario Forecast'!$E$20:$E$1181,'Incremental Network SummerFcast'!$A179),
SUMIFS('Customer Scenario Forecast'!D$22:D$1183,'Customer Scenario Forecast'!$C$20:$C$1181,'Incremental Network SummerFcast'!$A179,'Customer Scenario Forecast'!$H$20:$H$1181,'Incremental Network SummerFcast'!$H$1)+
SUMIFS('Customer Scenario Forecast'!D$22:D$1183,'Customer Scenario Forecast'!$D$20:$D$1181,'Incremental Network SummerFcast'!$A179,'Customer Scenario Forecast'!$H$20:$H$1181,'Incremental Network SummerFcast'!$H$1)+
SUMIFS('Customer Scenario Forecast'!D$22:D$1183,'Customer Scenario Forecast'!$E$20:$E$1181,'Incremental Network SummerFcast'!$A179,'Customer Scenario Forecast'!$H$20:$H$1181,'Incremental Network SummerFcast'!$H$1))</f>
        <v>0</v>
      </c>
      <c r="E182" s="194">
        <f ca="1">IF($H$1="",
SUMIFS('Customer Scenario Forecast'!E$22:E$1183,'Customer Scenario Forecast'!$C$20:$C$1181,'Incremental Network SummerFcast'!$A179)+
SUMIFS('Customer Scenario Forecast'!E$22:E$1183,'Customer Scenario Forecast'!$D$20:$D$1181,'Incremental Network SummerFcast'!$A179)+
SUMIFS('Customer Scenario Forecast'!E$22:E$1183,'Customer Scenario Forecast'!$E$20:$E$1181,'Incremental Network SummerFcast'!$A179),
SUMIFS('Customer Scenario Forecast'!E$22:E$1183,'Customer Scenario Forecast'!$C$20:$C$1181,'Incremental Network SummerFcast'!$A179,'Customer Scenario Forecast'!$H$20:$H$1181,'Incremental Network SummerFcast'!$H$1)+
SUMIFS('Customer Scenario Forecast'!E$22:E$1183,'Customer Scenario Forecast'!$D$20:$D$1181,'Incremental Network SummerFcast'!$A179,'Customer Scenario Forecast'!$H$20:$H$1181,'Incremental Network SummerFcast'!$H$1)+
SUMIFS('Customer Scenario Forecast'!E$22:E$1183,'Customer Scenario Forecast'!$E$20:$E$1181,'Incremental Network SummerFcast'!$A179,'Customer Scenario Forecast'!$H$20:$H$1181,'Incremental Network SummerFcast'!$H$1))</f>
        <v>5.8500788222265641</v>
      </c>
      <c r="F182" s="194">
        <f ca="1">IF($H$1="",
SUMIFS('Customer Scenario Forecast'!F$22:F$1183,'Customer Scenario Forecast'!$C$20:$C$1181,'Incremental Network SummerFcast'!$A179)+
SUMIFS('Customer Scenario Forecast'!F$22:F$1183,'Customer Scenario Forecast'!$D$20:$D$1181,'Incremental Network SummerFcast'!$A179)+
SUMIFS('Customer Scenario Forecast'!F$22:F$1183,'Customer Scenario Forecast'!$E$20:$E$1181,'Incremental Network SummerFcast'!$A179),
SUMIFS('Customer Scenario Forecast'!F$22:F$1183,'Customer Scenario Forecast'!$C$20:$C$1181,'Incremental Network SummerFcast'!$A179,'Customer Scenario Forecast'!$H$20:$H$1181,'Incremental Network SummerFcast'!$H$1)+
SUMIFS('Customer Scenario Forecast'!F$22:F$1183,'Customer Scenario Forecast'!$D$20:$D$1181,'Incremental Network SummerFcast'!$A179,'Customer Scenario Forecast'!$H$20:$H$1181,'Incremental Network SummerFcast'!$H$1)+
SUMIFS('Customer Scenario Forecast'!F$22:F$1183,'Customer Scenario Forecast'!$E$20:$E$1181,'Incremental Network SummerFcast'!$A179,'Customer Scenario Forecast'!$H$20:$H$1181,'Incremental Network SummerFcast'!$H$1))</f>
        <v>8.3355550127027556</v>
      </c>
      <c r="G182" s="194">
        <f ca="1">IF($H$1="",
SUMIFS('Customer Scenario Forecast'!G$22:G$1183,'Customer Scenario Forecast'!$C$20:$C$1181,'Incremental Network SummerFcast'!$A179)+
SUMIFS('Customer Scenario Forecast'!G$22:G$1183,'Customer Scenario Forecast'!$D$20:$D$1181,'Incremental Network SummerFcast'!$A179)+
SUMIFS('Customer Scenario Forecast'!G$22:G$1183,'Customer Scenario Forecast'!$E$20:$E$1181,'Incremental Network SummerFcast'!$A179),
SUMIFS('Customer Scenario Forecast'!G$22:G$1183,'Customer Scenario Forecast'!$C$20:$C$1181,'Incremental Network SummerFcast'!$A179,'Customer Scenario Forecast'!$H$20:$H$1181,'Incremental Network SummerFcast'!$H$1)+
SUMIFS('Customer Scenario Forecast'!G$22:G$1183,'Customer Scenario Forecast'!$D$20:$D$1181,'Incremental Network SummerFcast'!$A179,'Customer Scenario Forecast'!$H$20:$H$1181,'Incremental Network SummerFcast'!$H$1)+
SUMIFS('Customer Scenario Forecast'!G$22:G$1183,'Customer Scenario Forecast'!$E$20:$E$1181,'Incremental Network SummerFcast'!$A179,'Customer Scenario Forecast'!$H$20:$H$1181,'Incremental Network SummerFcast'!$H$1))</f>
        <v>10.181269298417043</v>
      </c>
      <c r="H182" s="194">
        <f ca="1">IF($H$1="",
SUMIFS('Customer Scenario Forecast'!H$22:H$1183,'Customer Scenario Forecast'!$C$20:$C$1181,'Incremental Network SummerFcast'!$A179)+
SUMIFS('Customer Scenario Forecast'!H$22:H$1183,'Customer Scenario Forecast'!$D$20:$D$1181,'Incremental Network SummerFcast'!$A179)+
SUMIFS('Customer Scenario Forecast'!H$22:H$1183,'Customer Scenario Forecast'!$E$20:$E$1181,'Incremental Network SummerFcast'!$A179),
SUMIFS('Customer Scenario Forecast'!H$22:H$1183,'Customer Scenario Forecast'!$C$20:$C$1181,'Incremental Network SummerFcast'!$A179,'Customer Scenario Forecast'!$H$20:$H$1181,'Incremental Network SummerFcast'!$H$1)+
SUMIFS('Customer Scenario Forecast'!H$22:H$1183,'Customer Scenario Forecast'!$D$20:$D$1181,'Incremental Network SummerFcast'!$A179,'Customer Scenario Forecast'!$H$20:$H$1181,'Incremental Network SummerFcast'!$H$1)+
SUMIFS('Customer Scenario Forecast'!H$22:H$1183,'Customer Scenario Forecast'!$E$20:$E$1181,'Incremental Network SummerFcast'!$A179,'Customer Scenario Forecast'!$H$20:$H$1181,'Incremental Network SummerFcast'!$H$1))</f>
        <v>21.542014787310272</v>
      </c>
      <c r="I182" s="194">
        <f ca="1">IF($H$1="",
SUMIFS('Customer Scenario Forecast'!I$22:I$1183,'Customer Scenario Forecast'!$C$20:$C$1181,'Incremental Network SummerFcast'!$A179)+
SUMIFS('Customer Scenario Forecast'!I$22:I$1183,'Customer Scenario Forecast'!$D$20:$D$1181,'Incremental Network SummerFcast'!$A179)+
SUMIFS('Customer Scenario Forecast'!I$22:I$1183,'Customer Scenario Forecast'!$E$20:$E$1181,'Incremental Network SummerFcast'!$A179),
SUMIFS('Customer Scenario Forecast'!I$22:I$1183,'Customer Scenario Forecast'!$C$20:$C$1181,'Incremental Network SummerFcast'!$A179,'Customer Scenario Forecast'!$H$20:$H$1181,'Incremental Network SummerFcast'!$H$1)+
SUMIFS('Customer Scenario Forecast'!I$22:I$1183,'Customer Scenario Forecast'!$D$20:$D$1181,'Incremental Network SummerFcast'!$A179,'Customer Scenario Forecast'!$H$20:$H$1181,'Incremental Network SummerFcast'!$H$1)+
SUMIFS('Customer Scenario Forecast'!I$22:I$1183,'Customer Scenario Forecast'!$E$20:$E$1181,'Incremental Network SummerFcast'!$A179,'Customer Scenario Forecast'!$H$20:$H$1181,'Incremental Network SummerFcast'!$H$1))</f>
        <v>49.860647645104549</v>
      </c>
      <c r="J182" s="194">
        <f ca="1">IF($H$1="",
SUMIFS('Customer Scenario Forecast'!J$22:J$1183,'Customer Scenario Forecast'!$C$20:$C$1181,'Incremental Network SummerFcast'!$A179)+
SUMIFS('Customer Scenario Forecast'!J$22:J$1183,'Customer Scenario Forecast'!$D$20:$D$1181,'Incremental Network SummerFcast'!$A179)+
SUMIFS('Customer Scenario Forecast'!J$22:J$1183,'Customer Scenario Forecast'!$E$20:$E$1181,'Incremental Network SummerFcast'!$A179),
SUMIFS('Customer Scenario Forecast'!J$22:J$1183,'Customer Scenario Forecast'!$C$20:$C$1181,'Incremental Network SummerFcast'!$A179,'Customer Scenario Forecast'!$H$20:$H$1181,'Incremental Network SummerFcast'!$H$1)+
SUMIFS('Customer Scenario Forecast'!J$22:J$1183,'Customer Scenario Forecast'!$D$20:$D$1181,'Incremental Network SummerFcast'!$A179,'Customer Scenario Forecast'!$H$20:$H$1181,'Incremental Network SummerFcast'!$H$1)+
SUMIFS('Customer Scenario Forecast'!J$22:J$1183,'Customer Scenario Forecast'!$E$20:$E$1181,'Incremental Network SummerFcast'!$A179,'Customer Scenario Forecast'!$H$20:$H$1181,'Incremental Network SummerFcast'!$H$1))</f>
        <v>65.046565565761185</v>
      </c>
      <c r="K182" s="194">
        <f ca="1">IF($H$1="",
SUMIFS('Customer Scenario Forecast'!K$22:K$1183,'Customer Scenario Forecast'!$C$20:$C$1181,'Incremental Network SummerFcast'!$A179)+
SUMIFS('Customer Scenario Forecast'!K$22:K$1183,'Customer Scenario Forecast'!$D$20:$D$1181,'Incremental Network SummerFcast'!$A179)+
SUMIFS('Customer Scenario Forecast'!K$22:K$1183,'Customer Scenario Forecast'!$E$20:$E$1181,'Incremental Network SummerFcast'!$A179),
SUMIFS('Customer Scenario Forecast'!K$22:K$1183,'Customer Scenario Forecast'!$C$20:$C$1181,'Incremental Network SummerFcast'!$A179,'Customer Scenario Forecast'!$H$20:$H$1181,'Incremental Network SummerFcast'!$H$1)+
SUMIFS('Customer Scenario Forecast'!K$22:K$1183,'Customer Scenario Forecast'!$D$20:$D$1181,'Incremental Network SummerFcast'!$A179,'Customer Scenario Forecast'!$H$20:$H$1181,'Incremental Network SummerFcast'!$H$1)+
SUMIFS('Customer Scenario Forecast'!K$22:K$1183,'Customer Scenario Forecast'!$E$20:$E$1181,'Incremental Network SummerFcast'!$A179,'Customer Scenario Forecast'!$H$20:$H$1181,'Incremental Network SummerFcast'!$H$1))</f>
        <v>108.25252335352745</v>
      </c>
      <c r="L182" s="194">
        <f ca="1">IF($H$1="",
SUMIFS('Customer Scenario Forecast'!L$22:L$1183,'Customer Scenario Forecast'!$C$20:$C$1181,'Incremental Network SummerFcast'!$A179)+
SUMIFS('Customer Scenario Forecast'!L$22:L$1183,'Customer Scenario Forecast'!$D$20:$D$1181,'Incremental Network SummerFcast'!$A179)+
SUMIFS('Customer Scenario Forecast'!L$22:L$1183,'Customer Scenario Forecast'!$E$20:$E$1181,'Incremental Network SummerFcast'!$A179),
SUMIFS('Customer Scenario Forecast'!L$22:L$1183,'Customer Scenario Forecast'!$C$20:$C$1181,'Incremental Network SummerFcast'!$A179,'Customer Scenario Forecast'!$H$20:$H$1181,'Incremental Network SummerFcast'!$H$1)+
SUMIFS('Customer Scenario Forecast'!L$22:L$1183,'Customer Scenario Forecast'!$D$20:$D$1181,'Incremental Network SummerFcast'!$A179,'Customer Scenario Forecast'!$H$20:$H$1181,'Incremental Network SummerFcast'!$H$1)+
SUMIFS('Customer Scenario Forecast'!L$22:L$1183,'Customer Scenario Forecast'!$E$20:$E$1181,'Incremental Network SummerFcast'!$A179,'Customer Scenario Forecast'!$H$20:$H$1181,'Incremental Network SummerFcast'!$H$1))</f>
        <v>198.9312315614618</v>
      </c>
      <c r="M182" s="37"/>
    </row>
    <row r="183" spans="1:13" ht="15" thickBot="1">
      <c r="A183" s="195" t="s">
        <v>107</v>
      </c>
      <c r="B183" s="196">
        <f ca="1">IF($H$1="",
1*(
SUMIFS('Customer Scenario Forecast'!B$23:B$1184,'Customer Scenario Forecast'!$C$20:$C$1181,'Incremental Network SummerFcast'!$A179)+
SUMIFS('Customer Scenario Forecast'!B$23:B$1184,'Customer Scenario Forecast'!$D$20:$D$1181,'Incremental Network SummerFcast'!$A179)+
SUMIFS('Customer Scenario Forecast'!B$23:B$1184,'Customer Scenario Forecast'!$E$20:$E$1181,'Incremental Network SummerFcast'!$A179)+B181),
1*(
SUMIFS('Customer Scenario Forecast'!B$23:B$1184,'Customer Scenario Forecast'!$C$20:$C$1181,'Incremental Network SummerFcast'!$A179,'Customer Scenario Forecast'!$H$20:$H$1181,'Incremental Network SummerFcast'!$H$1)+
SUMIFS('Customer Scenario Forecast'!B$23:B$1184,'Customer Scenario Forecast'!$D$20:$D$1181,'Incremental Network SummerFcast'!$A179,'Customer Scenario Forecast'!$H$20:$H$1181,'Incremental Network SummerFcast'!$H$1)+
SUMIFS('Customer Scenario Forecast'!B$23:B$1184,'Customer Scenario Forecast'!$E$20:$E$1181,'Incremental Network SummerFcast'!$A179,'Customer Scenario Forecast'!$H$20:$H$1181,'Incremental Network SummerFcast'!$H$1)+B181))</f>
        <v>0</v>
      </c>
      <c r="C183" s="196">
        <f ca="1">IF($H$1="",
1*(
SUMIFS('Customer Scenario Forecast'!C$23:C$1184,'Customer Scenario Forecast'!$C$20:$C$1181,'Incremental Network SummerFcast'!$A179)+
SUMIFS('Customer Scenario Forecast'!C$23:C$1184,'Customer Scenario Forecast'!$D$20:$D$1181,'Incremental Network SummerFcast'!$A179)+
SUMIFS('Customer Scenario Forecast'!C$23:C$1184,'Customer Scenario Forecast'!$E$20:$E$1181,'Incremental Network SummerFcast'!$A179)+C181),
1*(
SUMIFS('Customer Scenario Forecast'!C$23:C$1184,'Customer Scenario Forecast'!$C$20:$C$1181,'Incremental Network SummerFcast'!$A179,'Customer Scenario Forecast'!$H$20:$H$1181,'Incremental Network SummerFcast'!$H$1)+
SUMIFS('Customer Scenario Forecast'!C$23:C$1184,'Customer Scenario Forecast'!$D$20:$D$1181,'Incremental Network SummerFcast'!$A179,'Customer Scenario Forecast'!$H$20:$H$1181,'Incremental Network SummerFcast'!$H$1)+
SUMIFS('Customer Scenario Forecast'!C$23:C$1184,'Customer Scenario Forecast'!$E$20:$E$1181,'Incremental Network SummerFcast'!$A179,'Customer Scenario Forecast'!$H$20:$H$1181,'Incremental Network SummerFcast'!$H$1)+C181))</f>
        <v>0</v>
      </c>
      <c r="D183" s="196">
        <f ca="1">IF($H$1="",
1*(
SUMIFS('Customer Scenario Forecast'!D$23:D$1184,'Customer Scenario Forecast'!$C$20:$C$1181,'Incremental Network SummerFcast'!$A179)+
SUMIFS('Customer Scenario Forecast'!D$23:D$1184,'Customer Scenario Forecast'!$D$20:$D$1181,'Incremental Network SummerFcast'!$A179)+
SUMIFS('Customer Scenario Forecast'!D$23:D$1184,'Customer Scenario Forecast'!$E$20:$E$1181,'Incremental Network SummerFcast'!$A179)+D181),
1*(
SUMIFS('Customer Scenario Forecast'!D$23:D$1184,'Customer Scenario Forecast'!$C$20:$C$1181,'Incremental Network SummerFcast'!$A179,'Customer Scenario Forecast'!$H$20:$H$1181,'Incremental Network SummerFcast'!$H$1)+
SUMIFS('Customer Scenario Forecast'!D$23:D$1184,'Customer Scenario Forecast'!$D$20:$D$1181,'Incremental Network SummerFcast'!$A179,'Customer Scenario Forecast'!$H$20:$H$1181,'Incremental Network SummerFcast'!$H$1)+
SUMIFS('Customer Scenario Forecast'!D$23:D$1184,'Customer Scenario Forecast'!$E$20:$E$1181,'Incremental Network SummerFcast'!$A179,'Customer Scenario Forecast'!$H$20:$H$1181,'Incremental Network SummerFcast'!$H$1)+D181))</f>
        <v>0</v>
      </c>
      <c r="E183" s="196">
        <f ca="1">IF($H$1="",
1*(
SUMIFS('Customer Scenario Forecast'!E$23:E$1184,'Customer Scenario Forecast'!$C$20:$C$1181,'Incremental Network SummerFcast'!$A179)+
SUMIFS('Customer Scenario Forecast'!E$23:E$1184,'Customer Scenario Forecast'!$D$20:$D$1181,'Incremental Network SummerFcast'!$A179)+
SUMIFS('Customer Scenario Forecast'!E$23:E$1184,'Customer Scenario Forecast'!$E$20:$E$1181,'Incremental Network SummerFcast'!$A179)+E181),
1*(
SUMIFS('Customer Scenario Forecast'!E$23:E$1184,'Customer Scenario Forecast'!$C$20:$C$1181,'Incremental Network SummerFcast'!$A179,'Customer Scenario Forecast'!$H$20:$H$1181,'Incremental Network SummerFcast'!$H$1)+
SUMIFS('Customer Scenario Forecast'!E$23:E$1184,'Customer Scenario Forecast'!$D$20:$D$1181,'Incremental Network SummerFcast'!$A179,'Customer Scenario Forecast'!$H$20:$H$1181,'Incremental Network SummerFcast'!$H$1)+
SUMIFS('Customer Scenario Forecast'!E$23:E$1184,'Customer Scenario Forecast'!$E$20:$E$1181,'Incremental Network SummerFcast'!$A179,'Customer Scenario Forecast'!$H$20:$H$1181,'Incremental Network SummerFcast'!$H$1)+E181))</f>
        <v>0</v>
      </c>
      <c r="F183" s="196">
        <f ca="1">IF($H$1="",
1*(
SUMIFS('Customer Scenario Forecast'!F$23:F$1184,'Customer Scenario Forecast'!$C$20:$C$1181,'Incremental Network SummerFcast'!$A179)+
SUMIFS('Customer Scenario Forecast'!F$23:F$1184,'Customer Scenario Forecast'!$D$20:$D$1181,'Incremental Network SummerFcast'!$A179)+
SUMIFS('Customer Scenario Forecast'!F$23:F$1184,'Customer Scenario Forecast'!$E$20:$E$1181,'Incremental Network SummerFcast'!$A179)+F181),
1*(
SUMIFS('Customer Scenario Forecast'!F$23:F$1184,'Customer Scenario Forecast'!$C$20:$C$1181,'Incremental Network SummerFcast'!$A179,'Customer Scenario Forecast'!$H$20:$H$1181,'Incremental Network SummerFcast'!$H$1)+
SUMIFS('Customer Scenario Forecast'!F$23:F$1184,'Customer Scenario Forecast'!$D$20:$D$1181,'Incremental Network SummerFcast'!$A179,'Customer Scenario Forecast'!$H$20:$H$1181,'Incremental Network SummerFcast'!$H$1)+
SUMIFS('Customer Scenario Forecast'!F$23:F$1184,'Customer Scenario Forecast'!$E$20:$E$1181,'Incremental Network SummerFcast'!$A179,'Customer Scenario Forecast'!$H$20:$H$1181,'Incremental Network SummerFcast'!$H$1)+F181))</f>
        <v>5.2650709400039082</v>
      </c>
      <c r="G183" s="196">
        <f ca="1">IF($H$1="",
1*(
SUMIFS('Customer Scenario Forecast'!G$23:G$1184,'Customer Scenario Forecast'!$C$20:$C$1181,'Incremental Network SummerFcast'!$A179)+
SUMIFS('Customer Scenario Forecast'!G$23:G$1184,'Customer Scenario Forecast'!$D$20:$D$1181,'Incremental Network SummerFcast'!$A179)+
SUMIFS('Customer Scenario Forecast'!G$23:G$1184,'Customer Scenario Forecast'!$E$20:$E$1181,'Incremental Network SummerFcast'!$A179)+G181),
1*(
SUMIFS('Customer Scenario Forecast'!G$23:G$1184,'Customer Scenario Forecast'!$C$20:$C$1181,'Incremental Network SummerFcast'!$A179,'Customer Scenario Forecast'!$H$20:$H$1181,'Incremental Network SummerFcast'!$H$1)+
SUMIFS('Customer Scenario Forecast'!G$23:G$1184,'Customer Scenario Forecast'!$D$20:$D$1181,'Incremental Network SummerFcast'!$A179,'Customer Scenario Forecast'!$H$20:$H$1181,'Incremental Network SummerFcast'!$H$1)+
SUMIFS('Customer Scenario Forecast'!G$23:G$1184,'Customer Scenario Forecast'!$E$20:$E$1181,'Incremental Network SummerFcast'!$A179,'Customer Scenario Forecast'!$H$20:$H$1181,'Incremental Network SummerFcast'!$H$1)+G181))</f>
        <v>7.50199951143248</v>
      </c>
      <c r="H183" s="196">
        <f ca="1">IF($H$1="",
1*(
SUMIFS('Customer Scenario Forecast'!H$23:H$1184,'Customer Scenario Forecast'!$C$20:$C$1181,'Incremental Network SummerFcast'!$A179)+
SUMIFS('Customer Scenario Forecast'!H$23:H$1184,'Customer Scenario Forecast'!$D$20:$D$1181,'Incremental Network SummerFcast'!$A179)+
SUMIFS('Customer Scenario Forecast'!H$23:H$1184,'Customer Scenario Forecast'!$E$20:$E$1181,'Incremental Network SummerFcast'!$A179)+H181),
1*(
SUMIFS('Customer Scenario Forecast'!H$23:H$1184,'Customer Scenario Forecast'!$C$20:$C$1181,'Incremental Network SummerFcast'!$A179,'Customer Scenario Forecast'!$H$20:$H$1181,'Incremental Network SummerFcast'!$H$1)+
SUMIFS('Customer Scenario Forecast'!H$23:H$1184,'Customer Scenario Forecast'!$D$20:$D$1181,'Incremental Network SummerFcast'!$A179,'Customer Scenario Forecast'!$H$20:$H$1181,'Incremental Network SummerFcast'!$H$1)+
SUMIFS('Customer Scenario Forecast'!H$23:H$1184,'Customer Scenario Forecast'!$E$20:$E$1181,'Incremental Network SummerFcast'!$A179,'Customer Scenario Forecast'!$H$20:$H$1181,'Incremental Network SummerFcast'!$H$1)+H181))</f>
        <v>9.1631423685753379</v>
      </c>
      <c r="I183" s="196">
        <f ca="1">IF($H$1="",
1*(
SUMIFS('Customer Scenario Forecast'!I$23:I$1184,'Customer Scenario Forecast'!$C$20:$C$1181,'Incremental Network SummerFcast'!$A179)+
SUMIFS('Customer Scenario Forecast'!I$23:I$1184,'Customer Scenario Forecast'!$D$20:$D$1181,'Incremental Network SummerFcast'!$A179)+
SUMIFS('Customer Scenario Forecast'!I$23:I$1184,'Customer Scenario Forecast'!$E$20:$E$1181,'Incremental Network SummerFcast'!$A179)+I181),
1*(
SUMIFS('Customer Scenario Forecast'!I$23:I$1184,'Customer Scenario Forecast'!$C$20:$C$1181,'Incremental Network SummerFcast'!$A179,'Customer Scenario Forecast'!$H$20:$H$1181,'Incremental Network SummerFcast'!$H$1)+
SUMIFS('Customer Scenario Forecast'!I$23:I$1184,'Customer Scenario Forecast'!$D$20:$D$1181,'Incremental Network SummerFcast'!$A179,'Customer Scenario Forecast'!$H$20:$H$1181,'Incremental Network SummerFcast'!$H$1)+
SUMIFS('Customer Scenario Forecast'!I$23:I$1184,'Customer Scenario Forecast'!$E$20:$E$1181,'Incremental Network SummerFcast'!$A179,'Customer Scenario Forecast'!$H$20:$H$1181,'Incremental Network SummerFcast'!$H$1)+I181))</f>
        <v>14.122742368575338</v>
      </c>
      <c r="J183" s="196">
        <f ca="1">IF($H$1="",
1*(
SUMIFS('Customer Scenario Forecast'!J$23:J$1184,'Customer Scenario Forecast'!$C$20:$C$1181,'Incremental Network SummerFcast'!$A179)+
SUMIFS('Customer Scenario Forecast'!J$23:J$1184,'Customer Scenario Forecast'!$D$20:$D$1181,'Incremental Network SummerFcast'!$A179)+
SUMIFS('Customer Scenario Forecast'!J$23:J$1184,'Customer Scenario Forecast'!$E$20:$E$1181,'Incremental Network SummerFcast'!$A179)+J181),
1*(
SUMIFS('Customer Scenario Forecast'!J$23:J$1184,'Customer Scenario Forecast'!$C$20:$C$1181,'Incremental Network SummerFcast'!$A179,'Customer Scenario Forecast'!$H$20:$H$1181,'Incremental Network SummerFcast'!$H$1)+
SUMIFS('Customer Scenario Forecast'!J$23:J$1184,'Customer Scenario Forecast'!$D$20:$D$1181,'Incremental Network SummerFcast'!$A179,'Customer Scenario Forecast'!$H$20:$H$1181,'Incremental Network SummerFcast'!$H$1)+
SUMIFS('Customer Scenario Forecast'!J$23:J$1184,'Customer Scenario Forecast'!$E$20:$E$1181,'Incremental Network SummerFcast'!$A179,'Customer Scenario Forecast'!$H$20:$H$1181,'Incremental Network SummerFcast'!$H$1)+J181))</f>
        <v>20.231852420037782</v>
      </c>
      <c r="K183" s="196">
        <f ca="1">IF($H$1="",
1*(
SUMIFS('Customer Scenario Forecast'!K$23:K$1184,'Customer Scenario Forecast'!$C$20:$C$1181,'Incremental Network SummerFcast'!$A179)+
SUMIFS('Customer Scenario Forecast'!K$23:K$1184,'Customer Scenario Forecast'!$D$20:$D$1181,'Incremental Network SummerFcast'!$A179)+
SUMIFS('Customer Scenario Forecast'!K$23:K$1184,'Customer Scenario Forecast'!$E$20:$E$1181,'Incremental Network SummerFcast'!$A179)+K181),
1*(
SUMIFS('Customer Scenario Forecast'!K$23:K$1184,'Customer Scenario Forecast'!$C$20:$C$1181,'Incremental Network SummerFcast'!$A179,'Customer Scenario Forecast'!$H$20:$H$1181,'Incremental Network SummerFcast'!$H$1)+
SUMIFS('Customer Scenario Forecast'!K$23:K$1184,'Customer Scenario Forecast'!$D$20:$D$1181,'Incremental Network SummerFcast'!$A179,'Customer Scenario Forecast'!$H$20:$H$1181,'Incremental Network SummerFcast'!$H$1)+
SUMIFS('Customer Scenario Forecast'!K$23:K$1184,'Customer Scenario Forecast'!$E$20:$E$1181,'Incremental Network SummerFcast'!$A179,'Customer Scenario Forecast'!$H$20:$H$1181,'Incremental Network SummerFcast'!$H$1)+K181))</f>
        <v>24.955590453390656</v>
      </c>
      <c r="L183" s="196">
        <f ca="1">IF($H$1="",
1*(
SUMIFS('Customer Scenario Forecast'!L$23:L$1184,'Customer Scenario Forecast'!$C$20:$C$1181,'Incremental Network SummerFcast'!$A179)+
SUMIFS('Customer Scenario Forecast'!L$23:L$1184,'Customer Scenario Forecast'!$D$20:$D$1181,'Incremental Network SummerFcast'!$A179)+
SUMIFS('Customer Scenario Forecast'!L$23:L$1184,'Customer Scenario Forecast'!$E$20:$E$1181,'Incremental Network SummerFcast'!$A179)+L181),
1*(
SUMIFS('Customer Scenario Forecast'!L$23:L$1184,'Customer Scenario Forecast'!$C$20:$C$1181,'Incremental Network SummerFcast'!$A179,'Customer Scenario Forecast'!$H$20:$H$1181,'Incremental Network SummerFcast'!$H$1)+
SUMIFS('Customer Scenario Forecast'!L$23:L$1184,'Customer Scenario Forecast'!$D$20:$D$1181,'Incremental Network SummerFcast'!$A179,'Customer Scenario Forecast'!$H$20:$H$1181,'Incremental Network SummerFcast'!$H$1)+
SUMIFS('Customer Scenario Forecast'!L$23:L$1184,'Customer Scenario Forecast'!$E$20:$E$1181,'Incremental Network SummerFcast'!$A179,'Customer Scenario Forecast'!$H$20:$H$1181,'Incremental Network SummerFcast'!$H$1)+L181))</f>
        <v>25.881284336525308</v>
      </c>
    </row>
    <row r="184" spans="1:13" ht="15" thickBot="1">
      <c r="A184" s="195" t="s">
        <v>108</v>
      </c>
      <c r="B184" s="196">
        <f ca="1">IF($H$1="",
1*(
SUMIFS('Customer Scenario Forecast'!B$24:B$1185,'Customer Scenario Forecast'!$C$20:$C$1181,'Incremental Network SummerFcast'!$A179)+
SUMIFS('Customer Scenario Forecast'!B$24:B$1185,'Customer Scenario Forecast'!$D$20:$D$1181,'Incremental Network SummerFcast'!$A179)+
SUMIFS('Customer Scenario Forecast'!B$24:B$1185,'Customer Scenario Forecast'!$E$20:$E$1181,'Incremental Network SummerFcast'!$A179)+B181),
1*(
SUMIFS('Customer Scenario Forecast'!B$24:B$1185,'Customer Scenario Forecast'!$C$20:$C$1181,'Incremental Network SummerFcast'!$A179,'Customer Scenario Forecast'!$H$20:$H$1181,'Incremental Network SummerFcast'!$H$1)+
SUMIFS('Customer Scenario Forecast'!B$24:B$1185,'Customer Scenario Forecast'!$D$20:$D$1181,'Incremental Network SummerFcast'!$A179,'Customer Scenario Forecast'!$H$20:$H$1181,'Incremental Network SummerFcast'!$H$1)+
SUMIFS('Customer Scenario Forecast'!B$24:B$1185,'Customer Scenario Forecast'!$E$20:$E$1181,'Incremental Network SummerFcast'!$A179,'Customer Scenario Forecast'!$H$20:$H$1181,'Incremental Network SummerFcast'!$H$1)+B181))</f>
        <v>0</v>
      </c>
      <c r="C184" s="196">
        <f ca="1">IF($H$1="",
1*(
SUMIFS('Customer Scenario Forecast'!C$24:C$1185,'Customer Scenario Forecast'!$C$20:$C$1181,'Incremental Network SummerFcast'!$A179)+
SUMIFS('Customer Scenario Forecast'!C$24:C$1185,'Customer Scenario Forecast'!$D$20:$D$1181,'Incremental Network SummerFcast'!$A179)+
SUMIFS('Customer Scenario Forecast'!C$24:C$1185,'Customer Scenario Forecast'!$E$20:$E$1181,'Incremental Network SummerFcast'!$A179)+C181),
1*(
SUMIFS('Customer Scenario Forecast'!C$24:C$1185,'Customer Scenario Forecast'!$C$20:$C$1181,'Incremental Network SummerFcast'!$A179,'Customer Scenario Forecast'!$H$20:$H$1181,'Incremental Network SummerFcast'!$H$1)+
SUMIFS('Customer Scenario Forecast'!C$24:C$1185,'Customer Scenario Forecast'!$D$20:$D$1181,'Incremental Network SummerFcast'!$A179,'Customer Scenario Forecast'!$H$20:$H$1181,'Incremental Network SummerFcast'!$H$1)+
SUMIFS('Customer Scenario Forecast'!C$24:C$1185,'Customer Scenario Forecast'!$E$20:$E$1181,'Incremental Network SummerFcast'!$A179,'Customer Scenario Forecast'!$H$20:$H$1181,'Incremental Network SummerFcast'!$H$1)+C181))</f>
        <v>0</v>
      </c>
      <c r="D184" s="196">
        <f ca="1">IF($H$1="",
1*(
SUMIFS('Customer Scenario Forecast'!D$24:D$1185,'Customer Scenario Forecast'!$C$20:$C$1181,'Incremental Network SummerFcast'!$A179)+
SUMIFS('Customer Scenario Forecast'!D$24:D$1185,'Customer Scenario Forecast'!$D$20:$D$1181,'Incremental Network SummerFcast'!$A179)+
SUMIFS('Customer Scenario Forecast'!D$24:D$1185,'Customer Scenario Forecast'!$E$20:$E$1181,'Incremental Network SummerFcast'!$A179)+D181),
1*(
SUMIFS('Customer Scenario Forecast'!D$24:D$1185,'Customer Scenario Forecast'!$C$20:$C$1181,'Incremental Network SummerFcast'!$A179,'Customer Scenario Forecast'!$H$20:$H$1181,'Incremental Network SummerFcast'!$H$1)+
SUMIFS('Customer Scenario Forecast'!D$24:D$1185,'Customer Scenario Forecast'!$D$20:$D$1181,'Incremental Network SummerFcast'!$A179,'Customer Scenario Forecast'!$H$20:$H$1181,'Incremental Network SummerFcast'!$H$1)+
SUMIFS('Customer Scenario Forecast'!D$24:D$1185,'Customer Scenario Forecast'!$E$20:$E$1181,'Incremental Network SummerFcast'!$A179,'Customer Scenario Forecast'!$H$20:$H$1181,'Incremental Network SummerFcast'!$H$1)+D181))</f>
        <v>0</v>
      </c>
      <c r="E184" s="196">
        <f ca="1">IF($H$1="",
1*(
SUMIFS('Customer Scenario Forecast'!E$24:E$1185,'Customer Scenario Forecast'!$C$20:$C$1181,'Incremental Network SummerFcast'!$A179)+
SUMIFS('Customer Scenario Forecast'!E$24:E$1185,'Customer Scenario Forecast'!$D$20:$D$1181,'Incremental Network SummerFcast'!$A179)+
SUMIFS('Customer Scenario Forecast'!E$24:E$1185,'Customer Scenario Forecast'!$E$20:$E$1181,'Incremental Network SummerFcast'!$A179)+E181),
1*(
SUMIFS('Customer Scenario Forecast'!E$24:E$1185,'Customer Scenario Forecast'!$C$20:$C$1181,'Incremental Network SummerFcast'!$A179,'Customer Scenario Forecast'!$H$20:$H$1181,'Incremental Network SummerFcast'!$H$1)+
SUMIFS('Customer Scenario Forecast'!E$24:E$1185,'Customer Scenario Forecast'!$D$20:$D$1181,'Incremental Network SummerFcast'!$A179,'Customer Scenario Forecast'!$H$20:$H$1181,'Incremental Network SummerFcast'!$H$1)+
SUMIFS('Customer Scenario Forecast'!E$24:E$1185,'Customer Scenario Forecast'!$E$20:$E$1181,'Incremental Network SummerFcast'!$A179,'Customer Scenario Forecast'!$H$20:$H$1181,'Incremental Network SummerFcast'!$H$1)+E181))</f>
        <v>0</v>
      </c>
      <c r="F184" s="196">
        <f ca="1">IF($H$1="",
1*(
SUMIFS('Customer Scenario Forecast'!F$24:F$1185,'Customer Scenario Forecast'!$C$20:$C$1181,'Incremental Network SummerFcast'!$A179)+
SUMIFS('Customer Scenario Forecast'!F$24:F$1185,'Customer Scenario Forecast'!$D$20:$D$1181,'Incremental Network SummerFcast'!$A179)+
SUMIFS('Customer Scenario Forecast'!F$24:F$1185,'Customer Scenario Forecast'!$E$20:$E$1181,'Incremental Network SummerFcast'!$A179)+F181),
1*(
SUMIFS('Customer Scenario Forecast'!F$24:F$1185,'Customer Scenario Forecast'!$C$20:$C$1181,'Incremental Network SummerFcast'!$A179,'Customer Scenario Forecast'!$H$20:$H$1181,'Incremental Network SummerFcast'!$H$1)+
SUMIFS('Customer Scenario Forecast'!F$24:F$1185,'Customer Scenario Forecast'!$D$20:$D$1181,'Incremental Network SummerFcast'!$A179,'Customer Scenario Forecast'!$H$20:$H$1181,'Incremental Network SummerFcast'!$H$1)+
SUMIFS('Customer Scenario Forecast'!F$24:F$1185,'Customer Scenario Forecast'!$E$20:$E$1181,'Incremental Network SummerFcast'!$A179,'Customer Scenario Forecast'!$H$20:$H$1181,'Incremental Network SummerFcast'!$H$1)+F181))</f>
        <v>0</v>
      </c>
      <c r="G184" s="196">
        <f ca="1">IF($H$1="",
1*(
SUMIFS('Customer Scenario Forecast'!G$24:G$1185,'Customer Scenario Forecast'!$C$20:$C$1181,'Incremental Network SummerFcast'!$A179)+
SUMIFS('Customer Scenario Forecast'!G$24:G$1185,'Customer Scenario Forecast'!$D$20:$D$1181,'Incremental Network SummerFcast'!$A179)+
SUMIFS('Customer Scenario Forecast'!G$24:G$1185,'Customer Scenario Forecast'!$E$20:$E$1181,'Incremental Network SummerFcast'!$A179)+G181),
1*(
SUMIFS('Customer Scenario Forecast'!G$24:G$1185,'Customer Scenario Forecast'!$C$20:$C$1181,'Incremental Network SummerFcast'!$A179,'Customer Scenario Forecast'!$H$20:$H$1181,'Incremental Network SummerFcast'!$H$1)+
SUMIFS('Customer Scenario Forecast'!G$24:G$1185,'Customer Scenario Forecast'!$D$20:$D$1181,'Incremental Network SummerFcast'!$A179,'Customer Scenario Forecast'!$H$20:$H$1181,'Incremental Network SummerFcast'!$H$1)+
SUMIFS('Customer Scenario Forecast'!G$24:G$1185,'Customer Scenario Forecast'!$E$20:$E$1181,'Incremental Network SummerFcast'!$A179,'Customer Scenario Forecast'!$H$20:$H$1181,'Incremental Network SummerFcast'!$H$1)+G181))</f>
        <v>3.5100472933359383</v>
      </c>
      <c r="H184" s="196">
        <f ca="1">IF($H$1="",
1*(
SUMIFS('Customer Scenario Forecast'!H$24:H$1185,'Customer Scenario Forecast'!$C$20:$C$1181,'Incremental Network SummerFcast'!$A179)+
SUMIFS('Customer Scenario Forecast'!H$24:H$1185,'Customer Scenario Forecast'!$D$20:$D$1181,'Incremental Network SummerFcast'!$A179)+
SUMIFS('Customer Scenario Forecast'!H$24:H$1185,'Customer Scenario Forecast'!$E$20:$E$1181,'Incremental Network SummerFcast'!$A179)+H181),
1*(
SUMIFS('Customer Scenario Forecast'!H$24:H$1185,'Customer Scenario Forecast'!$C$20:$C$1181,'Incremental Network SummerFcast'!$A179,'Customer Scenario Forecast'!$H$20:$H$1181,'Incremental Network SummerFcast'!$H$1)+
SUMIFS('Customer Scenario Forecast'!H$24:H$1185,'Customer Scenario Forecast'!$D$20:$D$1181,'Incremental Network SummerFcast'!$A179,'Customer Scenario Forecast'!$H$20:$H$1181,'Incremental Network SummerFcast'!$H$1)+
SUMIFS('Customer Scenario Forecast'!H$24:H$1185,'Customer Scenario Forecast'!$E$20:$E$1181,'Incremental Network SummerFcast'!$A179,'Customer Scenario Forecast'!$H$20:$H$1181,'Incremental Network SummerFcast'!$H$1)+H181))</f>
        <v>5.0013330076216533</v>
      </c>
      <c r="I184" s="196">
        <f ca="1">IF($H$1="",
1*(
SUMIFS('Customer Scenario Forecast'!I$24:I$1185,'Customer Scenario Forecast'!$C$20:$C$1181,'Incremental Network SummerFcast'!$A179)+
SUMIFS('Customer Scenario Forecast'!I$24:I$1185,'Customer Scenario Forecast'!$D$20:$D$1181,'Incremental Network SummerFcast'!$A179)+
SUMIFS('Customer Scenario Forecast'!I$24:I$1185,'Customer Scenario Forecast'!$E$20:$E$1181,'Incremental Network SummerFcast'!$A179)+I181),
1*(
SUMIFS('Customer Scenario Forecast'!I$24:I$1185,'Customer Scenario Forecast'!$C$20:$C$1181,'Incremental Network SummerFcast'!$A179,'Customer Scenario Forecast'!$H$20:$H$1181,'Incremental Network SummerFcast'!$H$1)+
SUMIFS('Customer Scenario Forecast'!I$24:I$1185,'Customer Scenario Forecast'!$D$20:$D$1181,'Incremental Network SummerFcast'!$A179,'Customer Scenario Forecast'!$H$20:$H$1181,'Incremental Network SummerFcast'!$H$1)+
SUMIFS('Customer Scenario Forecast'!I$24:I$1185,'Customer Scenario Forecast'!$E$20:$E$1181,'Incremental Network SummerFcast'!$A179,'Customer Scenario Forecast'!$H$20:$H$1181,'Incremental Network SummerFcast'!$H$1)+I181))</f>
        <v>6.108761579050225</v>
      </c>
      <c r="J184" s="196">
        <f ca="1">IF($H$1="",
1*(
SUMIFS('Customer Scenario Forecast'!J$24:J$1185,'Customer Scenario Forecast'!$C$20:$C$1181,'Incremental Network SummerFcast'!$A179)+
SUMIFS('Customer Scenario Forecast'!J$24:J$1185,'Customer Scenario Forecast'!$D$20:$D$1181,'Incremental Network SummerFcast'!$A179)+
SUMIFS('Customer Scenario Forecast'!J$24:J$1185,'Customer Scenario Forecast'!$E$20:$E$1181,'Incremental Network SummerFcast'!$A179)+J181),
1*(
SUMIFS('Customer Scenario Forecast'!J$24:J$1185,'Customer Scenario Forecast'!$C$20:$C$1181,'Incremental Network SummerFcast'!$A179,'Customer Scenario Forecast'!$H$20:$H$1181,'Incremental Network SummerFcast'!$H$1)+
SUMIFS('Customer Scenario Forecast'!J$24:J$1185,'Customer Scenario Forecast'!$D$20:$D$1181,'Incremental Network SummerFcast'!$A179,'Customer Scenario Forecast'!$H$20:$H$1181,'Incremental Network SummerFcast'!$H$1)+
SUMIFS('Customer Scenario Forecast'!J$24:J$1185,'Customer Scenario Forecast'!$E$20:$E$1181,'Incremental Network SummerFcast'!$A179,'Customer Scenario Forecast'!$H$20:$H$1181,'Incremental Network SummerFcast'!$H$1)+J181))</f>
        <v>9.4151615790502241</v>
      </c>
      <c r="K184" s="196">
        <f ca="1">IF($H$1="",
1*(
SUMIFS('Customer Scenario Forecast'!K$24:K$1185,'Customer Scenario Forecast'!$C$20:$C$1181,'Incremental Network SummerFcast'!$A179)+
SUMIFS('Customer Scenario Forecast'!K$24:K$1185,'Customer Scenario Forecast'!$D$20:$D$1181,'Incremental Network SummerFcast'!$A179)+
SUMIFS('Customer Scenario Forecast'!K$24:K$1185,'Customer Scenario Forecast'!$E$20:$E$1181,'Incremental Network SummerFcast'!$A179)+K181),
1*(
SUMIFS('Customer Scenario Forecast'!K$24:K$1185,'Customer Scenario Forecast'!$C$20:$C$1181,'Incremental Network SummerFcast'!$A179,'Customer Scenario Forecast'!$H$20:$H$1181,'Incremental Network SummerFcast'!$H$1)+
SUMIFS('Customer Scenario Forecast'!K$24:K$1185,'Customer Scenario Forecast'!$D$20:$D$1181,'Incremental Network SummerFcast'!$A179,'Customer Scenario Forecast'!$H$20:$H$1181,'Incremental Network SummerFcast'!$H$1)+
SUMIFS('Customer Scenario Forecast'!K$24:K$1185,'Customer Scenario Forecast'!$E$20:$E$1181,'Incremental Network SummerFcast'!$A179,'Customer Scenario Forecast'!$H$20:$H$1181,'Incremental Network SummerFcast'!$H$1)+K181))</f>
        <v>12.746891629209822</v>
      </c>
      <c r="L184" s="196">
        <f ca="1">IF($H$1="",
1*(
SUMIFS('Customer Scenario Forecast'!L$24:L$1185,'Customer Scenario Forecast'!$C$20:$C$1181,'Incremental Network SummerFcast'!$A179)+
SUMIFS('Customer Scenario Forecast'!L$24:L$1185,'Customer Scenario Forecast'!$D$20:$D$1181,'Incremental Network SummerFcast'!$A179)+
SUMIFS('Customer Scenario Forecast'!L$24:L$1185,'Customer Scenario Forecast'!$E$20:$E$1181,'Incremental Network SummerFcast'!$A179)+L181),
1*(
SUMIFS('Customer Scenario Forecast'!L$24:L$1185,'Customer Scenario Forecast'!$C$20:$C$1181,'Incremental Network SummerFcast'!$A179,'Customer Scenario Forecast'!$H$20:$H$1181,'Incremental Network SummerFcast'!$H$1)+
SUMIFS('Customer Scenario Forecast'!L$24:L$1185,'Customer Scenario Forecast'!$D$20:$D$1181,'Incremental Network SummerFcast'!$A179,'Customer Scenario Forecast'!$H$20:$H$1181,'Incremental Network SummerFcast'!$H$1)+
SUMIFS('Customer Scenario Forecast'!L$24:L$1185,'Customer Scenario Forecast'!$E$20:$E$1181,'Incremental Network SummerFcast'!$A179,'Customer Scenario Forecast'!$H$20:$H$1181,'Incremental Network SummerFcast'!$H$1)+L181))</f>
        <v>15.581223333984754</v>
      </c>
    </row>
    <row r="185" spans="1:13" ht="15" thickBot="1">
      <c r="A185" s="197" t="s">
        <v>109</v>
      </c>
      <c r="B185" s="198">
        <f ca="1">IF($H$1="",
1*(
SUMIFS('Customer Scenario Forecast'!B$25:B$1186,'Customer Scenario Forecast'!$C$20:$C$1181,'Incremental Network SummerFcast'!$A179)+
SUMIFS('Customer Scenario Forecast'!B$25:B$1186,'Customer Scenario Forecast'!$D$20:$D$1181,'Incremental Network SummerFcast'!$A179)+
SUMIFS('Customer Scenario Forecast'!B$25:B$1186,'Customer Scenario Forecast'!$E$20:$E$1181,'Incremental Network SummerFcast'!$A179)+B181),
1*(
SUMIFS('Customer Scenario Forecast'!B$25:B$1186,'Customer Scenario Forecast'!$C$20:$C$1181,'Incremental Network SummerFcast'!$A179,'Customer Scenario Forecast'!$H$20:$H$1181,'Incremental Network SummerFcast'!$H$1)+
SUMIFS('Customer Scenario Forecast'!B$25:B$1186,'Customer Scenario Forecast'!$D$20:$D$1181,'Incremental Network SummerFcast'!$A179,'Customer Scenario Forecast'!$H$20:$H$1181,'Incremental Network SummerFcast'!$H$1)+
SUMIFS('Customer Scenario Forecast'!B$25:B$1186,'Customer Scenario Forecast'!$E$20:$E$1181,'Incremental Network SummerFcast'!$A179,'Customer Scenario Forecast'!$H$20:$H$1181,'Incremental Network SummerFcast'!$H$1)+B181))</f>
        <v>0</v>
      </c>
      <c r="C185" s="198">
        <f ca="1">IF($H$1="",
1*(
SUMIFS('Customer Scenario Forecast'!C$25:C$1186,'Customer Scenario Forecast'!$C$20:$C$1181,'Incremental Network SummerFcast'!$A179)+
SUMIFS('Customer Scenario Forecast'!C$25:C$1186,'Customer Scenario Forecast'!$D$20:$D$1181,'Incremental Network SummerFcast'!$A179)+
SUMIFS('Customer Scenario Forecast'!C$25:C$1186,'Customer Scenario Forecast'!$E$20:$E$1181,'Incremental Network SummerFcast'!$A179)+C181),
1*(
SUMIFS('Customer Scenario Forecast'!C$25:C$1186,'Customer Scenario Forecast'!$C$20:$C$1181,'Incremental Network SummerFcast'!$A179,'Customer Scenario Forecast'!$H$20:$H$1181,'Incremental Network SummerFcast'!$H$1)+
SUMIFS('Customer Scenario Forecast'!C$25:C$1186,'Customer Scenario Forecast'!$D$20:$D$1181,'Incremental Network SummerFcast'!$A179,'Customer Scenario Forecast'!$H$20:$H$1181,'Incremental Network SummerFcast'!$H$1)+
SUMIFS('Customer Scenario Forecast'!C$25:C$1186,'Customer Scenario Forecast'!$E$20:$E$1181,'Incremental Network SummerFcast'!$A179,'Customer Scenario Forecast'!$H$20:$H$1181,'Incremental Network SummerFcast'!$H$1)+C181))</f>
        <v>0</v>
      </c>
      <c r="D185" s="198">
        <f ca="1">IF($H$1="",
1*(
SUMIFS('Customer Scenario Forecast'!D$25:D$1186,'Customer Scenario Forecast'!$C$20:$C$1181,'Incremental Network SummerFcast'!$A179)+
SUMIFS('Customer Scenario Forecast'!D$25:D$1186,'Customer Scenario Forecast'!$D$20:$D$1181,'Incremental Network SummerFcast'!$A179)+
SUMIFS('Customer Scenario Forecast'!D$25:D$1186,'Customer Scenario Forecast'!$E$20:$E$1181,'Incremental Network SummerFcast'!$A179)+D181),
1*(
SUMIFS('Customer Scenario Forecast'!D$25:D$1186,'Customer Scenario Forecast'!$C$20:$C$1181,'Incremental Network SummerFcast'!$A179,'Customer Scenario Forecast'!$H$20:$H$1181,'Incremental Network SummerFcast'!$H$1)+
SUMIFS('Customer Scenario Forecast'!D$25:D$1186,'Customer Scenario Forecast'!$D$20:$D$1181,'Incremental Network SummerFcast'!$A179,'Customer Scenario Forecast'!$H$20:$H$1181,'Incremental Network SummerFcast'!$H$1)+
SUMIFS('Customer Scenario Forecast'!D$25:D$1186,'Customer Scenario Forecast'!$E$20:$E$1181,'Incremental Network SummerFcast'!$A179,'Customer Scenario Forecast'!$H$20:$H$1181,'Incremental Network SummerFcast'!$H$1)+D181))</f>
        <v>0</v>
      </c>
      <c r="E185" s="198">
        <f ca="1">IF($H$1="",
1*(
SUMIFS('Customer Scenario Forecast'!E$25:E$1186,'Customer Scenario Forecast'!$C$20:$C$1181,'Incremental Network SummerFcast'!$A179)+
SUMIFS('Customer Scenario Forecast'!E$25:E$1186,'Customer Scenario Forecast'!$D$20:$D$1181,'Incremental Network SummerFcast'!$A179)+
SUMIFS('Customer Scenario Forecast'!E$25:E$1186,'Customer Scenario Forecast'!$E$20:$E$1181,'Incremental Network SummerFcast'!$A179)+E181),
1*(
SUMIFS('Customer Scenario Forecast'!E$25:E$1186,'Customer Scenario Forecast'!$C$20:$C$1181,'Incremental Network SummerFcast'!$A179,'Customer Scenario Forecast'!$H$20:$H$1181,'Incremental Network SummerFcast'!$H$1)+
SUMIFS('Customer Scenario Forecast'!E$25:E$1186,'Customer Scenario Forecast'!$D$20:$D$1181,'Incremental Network SummerFcast'!$A179,'Customer Scenario Forecast'!$H$20:$H$1181,'Incremental Network SummerFcast'!$H$1)+
SUMIFS('Customer Scenario Forecast'!E$25:E$1186,'Customer Scenario Forecast'!$E$20:$E$1181,'Incremental Network SummerFcast'!$A179,'Customer Scenario Forecast'!$H$20:$H$1181,'Incremental Network SummerFcast'!$H$1)+E181))</f>
        <v>5.8500788222265641</v>
      </c>
      <c r="F185" s="198">
        <f ca="1">IF($H$1="",
1*(
SUMIFS('Customer Scenario Forecast'!F$25:F$1186,'Customer Scenario Forecast'!$C$20:$C$1181,'Incremental Network SummerFcast'!$A179)+
SUMIFS('Customer Scenario Forecast'!F$25:F$1186,'Customer Scenario Forecast'!$D$20:$D$1181,'Incremental Network SummerFcast'!$A179)+
SUMIFS('Customer Scenario Forecast'!F$25:F$1186,'Customer Scenario Forecast'!$E$20:$E$1181,'Incremental Network SummerFcast'!$A179)+F181),
1*(
SUMIFS('Customer Scenario Forecast'!F$25:F$1186,'Customer Scenario Forecast'!$C$20:$C$1181,'Incremental Network SummerFcast'!$A179,'Customer Scenario Forecast'!$H$20:$H$1181,'Incremental Network SummerFcast'!$H$1)+
SUMIFS('Customer Scenario Forecast'!F$25:F$1186,'Customer Scenario Forecast'!$D$20:$D$1181,'Incremental Network SummerFcast'!$A179,'Customer Scenario Forecast'!$H$20:$H$1181,'Incremental Network SummerFcast'!$H$1)+
SUMIFS('Customer Scenario Forecast'!F$25:F$1186,'Customer Scenario Forecast'!$E$20:$E$1181,'Incremental Network SummerFcast'!$A179,'Customer Scenario Forecast'!$H$20:$H$1181,'Incremental Network SummerFcast'!$H$1)+F181))</f>
        <v>8.3355550127027556</v>
      </c>
      <c r="G185" s="198">
        <f ca="1">IF($H$1="",
1*(
SUMIFS('Customer Scenario Forecast'!G$25:G$1186,'Customer Scenario Forecast'!$C$20:$C$1181,'Incremental Network SummerFcast'!$A179)+
SUMIFS('Customer Scenario Forecast'!G$25:G$1186,'Customer Scenario Forecast'!$D$20:$D$1181,'Incremental Network SummerFcast'!$A179)+
SUMIFS('Customer Scenario Forecast'!G$25:G$1186,'Customer Scenario Forecast'!$E$20:$E$1181,'Incremental Network SummerFcast'!$A179)+G181),
1*(
SUMIFS('Customer Scenario Forecast'!G$25:G$1186,'Customer Scenario Forecast'!$C$20:$C$1181,'Incremental Network SummerFcast'!$A179,'Customer Scenario Forecast'!$H$20:$H$1181,'Incremental Network SummerFcast'!$H$1)+
SUMIFS('Customer Scenario Forecast'!G$25:G$1186,'Customer Scenario Forecast'!$D$20:$D$1181,'Incremental Network SummerFcast'!$A179,'Customer Scenario Forecast'!$H$20:$H$1181,'Incremental Network SummerFcast'!$H$1)+
SUMIFS('Customer Scenario Forecast'!G$25:G$1186,'Customer Scenario Forecast'!$E$20:$E$1181,'Incremental Network SummerFcast'!$A179,'Customer Scenario Forecast'!$H$20:$H$1181,'Incremental Network SummerFcast'!$H$1)+G181))</f>
        <v>10.181269298417043</v>
      </c>
      <c r="H185" s="198">
        <f ca="1">IF($H$1="",
1*(
SUMIFS('Customer Scenario Forecast'!H$25:H$1186,'Customer Scenario Forecast'!$C$20:$C$1181,'Incremental Network SummerFcast'!$A179)+
SUMIFS('Customer Scenario Forecast'!H$25:H$1186,'Customer Scenario Forecast'!$D$20:$D$1181,'Incremental Network SummerFcast'!$A179)+
SUMIFS('Customer Scenario Forecast'!H$25:H$1186,'Customer Scenario Forecast'!$E$20:$E$1181,'Incremental Network SummerFcast'!$A179)+H181),
1*(
SUMIFS('Customer Scenario Forecast'!H$25:H$1186,'Customer Scenario Forecast'!$C$20:$C$1181,'Incremental Network SummerFcast'!$A179,'Customer Scenario Forecast'!$H$20:$H$1181,'Incremental Network SummerFcast'!$H$1)+
SUMIFS('Customer Scenario Forecast'!H$25:H$1186,'Customer Scenario Forecast'!$D$20:$D$1181,'Incremental Network SummerFcast'!$A179,'Customer Scenario Forecast'!$H$20:$H$1181,'Incremental Network SummerFcast'!$H$1)+
SUMIFS('Customer Scenario Forecast'!H$25:H$1186,'Customer Scenario Forecast'!$E$20:$E$1181,'Incremental Network SummerFcast'!$A179,'Customer Scenario Forecast'!$H$20:$H$1181,'Incremental Network SummerFcast'!$H$1)+H181))</f>
        <v>15.691935965083708</v>
      </c>
      <c r="I185" s="198">
        <f ca="1">IF($H$1="",
1*(
SUMIFS('Customer Scenario Forecast'!I$25:I$1186,'Customer Scenario Forecast'!$C$20:$C$1181,'Incremental Network SummerFcast'!$A179)+
SUMIFS('Customer Scenario Forecast'!I$25:I$1186,'Customer Scenario Forecast'!$D$20:$D$1181,'Incremental Network SummerFcast'!$A179)+
SUMIFS('Customer Scenario Forecast'!I$25:I$1186,'Customer Scenario Forecast'!$E$20:$E$1181,'Incremental Network SummerFcast'!$A179)+I181),
1*(
SUMIFS('Customer Scenario Forecast'!I$25:I$1186,'Customer Scenario Forecast'!$C$20:$C$1181,'Incremental Network SummerFcast'!$A179,'Customer Scenario Forecast'!$H$20:$H$1181,'Incremental Network SummerFcast'!$H$1)+
SUMIFS('Customer Scenario Forecast'!I$25:I$1186,'Customer Scenario Forecast'!$D$20:$D$1181,'Incremental Network SummerFcast'!$A179,'Customer Scenario Forecast'!$H$20:$H$1181,'Incremental Network SummerFcast'!$H$1)+
SUMIFS('Customer Scenario Forecast'!I$25:I$1186,'Customer Scenario Forecast'!$E$20:$E$1181,'Incremental Network SummerFcast'!$A179,'Customer Scenario Forecast'!$H$20:$H$1181,'Incremental Network SummerFcast'!$H$1)+I181))</f>
        <v>23.506849859943973</v>
      </c>
      <c r="J185" s="198">
        <f ca="1">IF($H$1="",
1*(
SUMIFS('Customer Scenario Forecast'!J$25:J$1186,'Customer Scenario Forecast'!$C$20:$C$1181,'Incremental Network SummerFcast'!$A179)+
SUMIFS('Customer Scenario Forecast'!J$25:J$1186,'Customer Scenario Forecast'!$D$20:$D$1181,'Incremental Network SummerFcast'!$A179)+
SUMIFS('Customer Scenario Forecast'!J$25:J$1186,'Customer Scenario Forecast'!$E$20:$E$1181,'Incremental Network SummerFcast'!$A179)+J181),
1*(
SUMIFS('Customer Scenario Forecast'!J$25:J$1186,'Customer Scenario Forecast'!$C$20:$C$1181,'Incremental Network SummerFcast'!$A179,'Customer Scenario Forecast'!$H$20:$H$1181,'Incremental Network SummerFcast'!$H$1)+
SUMIFS('Customer Scenario Forecast'!J$25:J$1186,'Customer Scenario Forecast'!$D$20:$D$1181,'Incremental Network SummerFcast'!$A179,'Customer Scenario Forecast'!$H$20:$H$1181,'Incremental Network SummerFcast'!$H$1)+
SUMIFS('Customer Scenario Forecast'!J$25:J$1186,'Customer Scenario Forecast'!$E$20:$E$1181,'Incremental Network SummerFcast'!$A179,'Customer Scenario Forecast'!$H$20:$H$1181,'Incremental Network SummerFcast'!$H$1)+J181))</f>
        <v>29.191786828219655</v>
      </c>
      <c r="K185" s="198">
        <f ca="1">IF($H$1="",
1*(
SUMIFS('Customer Scenario Forecast'!K$25:K$1186,'Customer Scenario Forecast'!$C$20:$C$1181,'Incremental Network SummerFcast'!$A179)+
SUMIFS('Customer Scenario Forecast'!K$25:K$1186,'Customer Scenario Forecast'!$D$20:$D$1181,'Incremental Network SummerFcast'!$A179)+
SUMIFS('Customer Scenario Forecast'!K$25:K$1186,'Customer Scenario Forecast'!$E$20:$E$1181,'Incremental Network SummerFcast'!$A179)+K181),
1*(
SUMIFS('Customer Scenario Forecast'!K$25:K$1186,'Customer Scenario Forecast'!$C$20:$C$1181,'Incremental Network SummerFcast'!$A179,'Customer Scenario Forecast'!$H$20:$H$1181,'Incremental Network SummerFcast'!$H$1)+
SUMIFS('Customer Scenario Forecast'!K$25:K$1186,'Customer Scenario Forecast'!$D$20:$D$1181,'Incremental Network SummerFcast'!$A179,'Customer Scenario Forecast'!$H$20:$H$1181,'Incremental Network SummerFcast'!$H$1)+
SUMIFS('Customer Scenario Forecast'!K$25:K$1186,'Customer Scenario Forecast'!$E$20:$E$1181,'Incremental Network SummerFcast'!$A179,'Customer Scenario Forecast'!$H$20:$H$1181,'Incremental Network SummerFcast'!$H$1)+K181))</f>
        <v>34.876923249299722</v>
      </c>
      <c r="L185" s="198">
        <f ca="1">IF($H$1="",
1*(
SUMIFS('Customer Scenario Forecast'!L$25:L$1186,'Customer Scenario Forecast'!$C$20:$C$1181,'Incremental Network SummerFcast'!$A179)+
SUMIFS('Customer Scenario Forecast'!L$25:L$1186,'Customer Scenario Forecast'!$D$20:$D$1181,'Incremental Network SummerFcast'!$A179)+
SUMIFS('Customer Scenario Forecast'!L$25:L$1186,'Customer Scenario Forecast'!$E$20:$E$1181,'Incremental Network SummerFcast'!$A179)+L181),
1*(
SUMIFS('Customer Scenario Forecast'!L$25:L$1186,'Customer Scenario Forecast'!$C$20:$C$1181,'Incremental Network SummerFcast'!$A179,'Customer Scenario Forecast'!$H$20:$H$1181,'Incremental Network SummerFcast'!$H$1)+
SUMIFS('Customer Scenario Forecast'!L$25:L$1186,'Customer Scenario Forecast'!$D$20:$D$1181,'Incremental Network SummerFcast'!$A179,'Customer Scenario Forecast'!$H$20:$H$1181,'Incremental Network SummerFcast'!$H$1)+
SUMIFS('Customer Scenario Forecast'!L$25:L$1186,'Customer Scenario Forecast'!$E$20:$E$1181,'Incremental Network SummerFcast'!$A179,'Customer Scenario Forecast'!$H$20:$H$1181,'Incremental Network SummerFcast'!$H$1)+L181))</f>
        <v>42.491288942739878</v>
      </c>
    </row>
    <row r="186" spans="1:13" ht="15.6" thickTop="1" thickBot="1">
      <c r="A186" s="197" t="s">
        <v>148</v>
      </c>
      <c r="B186" s="198">
        <f ca="1">'Incremental Network SummerFcast'!$B$245*B183+'Incremental Network SummerFcast'!$B$246*B184+'Incremental Network SummerFcast'!$B$247*B185</f>
        <v>0</v>
      </c>
      <c r="C186" s="198">
        <f ca="1">'Incremental Network SummerFcast'!$B$245*C183+'Incremental Network SummerFcast'!$B$246*C184+'Incremental Network SummerFcast'!$B$247*C185</f>
        <v>0</v>
      </c>
      <c r="D186" s="198">
        <f ca="1">'Incremental Network SummerFcast'!$B$245*D183+'Incremental Network SummerFcast'!$B$246*D184+'Incremental Network SummerFcast'!$B$247*D185</f>
        <v>0</v>
      </c>
      <c r="E186" s="198">
        <f ca="1">'Incremental Network SummerFcast'!$B$245*E183+'Incremental Network SummerFcast'!$B$246*E184+'Incremental Network SummerFcast'!$B$247*E185</f>
        <v>1.462519705556641</v>
      </c>
      <c r="F186" s="198">
        <f ca="1">'Incremental Network SummerFcast'!$B$245*F183+'Incremental Network SummerFcast'!$B$246*F184+'Incremental Network SummerFcast'!$B$247*F185</f>
        <v>4.7164242231776434</v>
      </c>
      <c r="G186" s="198">
        <f ca="1">'Incremental Network SummerFcast'!$B$245*G183+'Incremental Network SummerFcast'!$B$246*G184+'Incremental Network SummerFcast'!$B$247*G185</f>
        <v>7.1738289036544849</v>
      </c>
      <c r="H186" s="198">
        <f ca="1">'Incremental Network SummerFcast'!$B$245*H183+'Incremental Network SummerFcast'!$B$246*H184+'Incremental Network SummerFcast'!$B$247*H185</f>
        <v>9.7548884274640102</v>
      </c>
      <c r="I186" s="198">
        <f ca="1">'Incremental Network SummerFcast'!$B$245*I183+'Incremental Network SummerFcast'!$B$246*I184+'Incremental Network SummerFcast'!$B$247*I185</f>
        <v>14.465274044036217</v>
      </c>
      <c r="J186" s="198">
        <f ca="1">'Incremental Network SummerFcast'!$B$245*J183+'Incremental Network SummerFcast'!$B$246*J184+'Incremental Network SummerFcast'!$B$247*J185</f>
        <v>19.767663311836358</v>
      </c>
      <c r="K186" s="198">
        <f ca="1">'Incremental Network SummerFcast'!$B$245*K183+'Incremental Network SummerFcast'!$B$246*K184+'Incremental Network SummerFcast'!$B$247*K185</f>
        <v>24.383748946322712</v>
      </c>
      <c r="L186" s="198">
        <f ca="1">'Incremental Network SummerFcast'!$B$245*L183+'Incremental Network SummerFcast'!$B$246*L184+'Incremental Network SummerFcast'!$B$247*L185</f>
        <v>27.458770237443815</v>
      </c>
    </row>
    <row r="187" spans="1:13" ht="15.6" thickTop="1" thickBot="1">
      <c r="A187" s="188" t="s">
        <v>134</v>
      </c>
      <c r="B187" s="216"/>
      <c r="C187" s="190"/>
      <c r="D187" s="190"/>
      <c r="E187" s="190"/>
      <c r="F187" s="190"/>
      <c r="G187" s="190"/>
      <c r="H187" s="190"/>
      <c r="I187" s="190"/>
      <c r="J187" s="190"/>
      <c r="K187" s="190"/>
      <c r="L187" s="190"/>
    </row>
    <row r="188" spans="1:13" ht="15" thickBot="1">
      <c r="A188" s="191" t="str">
        <f>A180</f>
        <v>Uptake Scenario</v>
      </c>
      <c r="B188" s="191">
        <f t="shared" ref="B188:L188" si="23">B180</f>
        <v>2023</v>
      </c>
      <c r="C188" s="191">
        <f t="shared" si="23"/>
        <v>2024</v>
      </c>
      <c r="D188" s="191">
        <f t="shared" si="23"/>
        <v>2025</v>
      </c>
      <c r="E188" s="191">
        <f t="shared" si="23"/>
        <v>2026</v>
      </c>
      <c r="F188" s="191">
        <f t="shared" si="23"/>
        <v>2027</v>
      </c>
      <c r="G188" s="191">
        <f t="shared" si="23"/>
        <v>2028</v>
      </c>
      <c r="H188" s="191">
        <f t="shared" si="23"/>
        <v>2029</v>
      </c>
      <c r="I188" s="191">
        <f t="shared" si="23"/>
        <v>2030</v>
      </c>
      <c r="J188" s="191">
        <f t="shared" si="23"/>
        <v>2031</v>
      </c>
      <c r="K188" s="191">
        <f t="shared" si="23"/>
        <v>2032</v>
      </c>
      <c r="L188" s="191">
        <f t="shared" si="23"/>
        <v>2033</v>
      </c>
    </row>
    <row r="189" spans="1:13" ht="15.6" thickTop="1" thickBot="1">
      <c r="A189" s="193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37"/>
    </row>
    <row r="190" spans="1:13" ht="15" thickBot="1">
      <c r="A190" s="193" t="s">
        <v>111</v>
      </c>
      <c r="B190" s="194">
        <f ca="1">IF($H$1="",
SUMIFS('Customer Scenario Forecast'!B$22:B$1183,'Customer Scenario Forecast'!$C$20:$C$1181,'Incremental Network SummerFcast'!$A187)+
SUMIFS('Customer Scenario Forecast'!B$22:B$1183,'Customer Scenario Forecast'!$D$20:$D$1181,'Incremental Network SummerFcast'!$A187)+
SUMIFS('Customer Scenario Forecast'!B$22:B$1183,'Customer Scenario Forecast'!$E$20:$E$1181,'Incremental Network SummerFcast'!$A187),
SUMIFS('Customer Scenario Forecast'!B$22:B$1183,'Customer Scenario Forecast'!$C$20:$C$1181,'Incremental Network SummerFcast'!$A187,'Customer Scenario Forecast'!$H$20:$H$1181,'Incremental Network SummerFcast'!$H$1)+
SUMIFS('Customer Scenario Forecast'!B$22:B$1183,'Customer Scenario Forecast'!$D$20:$D$1181,'Incremental Network SummerFcast'!$A187,'Customer Scenario Forecast'!$H$20:$H$1181,'Incremental Network SummerFcast'!$H$1)+
SUMIFS('Customer Scenario Forecast'!B$22:B$1183,'Customer Scenario Forecast'!$E$20:$E$1181,'Incremental Network SummerFcast'!$A187,'Customer Scenario Forecast'!$H$20:$H$1181,'Incremental Network SummerFcast'!$H$1))</f>
        <v>0</v>
      </c>
      <c r="C190" s="194">
        <f ca="1">IF($H$1="",
SUMIFS('Customer Scenario Forecast'!C$22:C$1183,'Customer Scenario Forecast'!$C$20:$C$1181,'Incremental Network SummerFcast'!$A187)+
SUMIFS('Customer Scenario Forecast'!C$22:C$1183,'Customer Scenario Forecast'!$D$20:$D$1181,'Incremental Network SummerFcast'!$A187)+
SUMIFS('Customer Scenario Forecast'!C$22:C$1183,'Customer Scenario Forecast'!$E$20:$E$1181,'Incremental Network SummerFcast'!$A187),
SUMIFS('Customer Scenario Forecast'!C$22:C$1183,'Customer Scenario Forecast'!$C$20:$C$1181,'Incremental Network SummerFcast'!$A187,'Customer Scenario Forecast'!$H$20:$H$1181,'Incremental Network SummerFcast'!$H$1)+
SUMIFS('Customer Scenario Forecast'!C$22:C$1183,'Customer Scenario Forecast'!$D$20:$D$1181,'Incremental Network SummerFcast'!$A187,'Customer Scenario Forecast'!$H$20:$H$1181,'Incremental Network SummerFcast'!$H$1)+
SUMIFS('Customer Scenario Forecast'!C$22:C$1183,'Customer Scenario Forecast'!$E$20:$E$1181,'Incremental Network SummerFcast'!$A187,'Customer Scenario Forecast'!$H$20:$H$1181,'Incremental Network SummerFcast'!$H$1))</f>
        <v>0</v>
      </c>
      <c r="D190" s="194">
        <f ca="1">IF($H$1="",
SUMIFS('Customer Scenario Forecast'!D$22:D$1183,'Customer Scenario Forecast'!$C$20:$C$1181,'Incremental Network SummerFcast'!$A187)+
SUMIFS('Customer Scenario Forecast'!D$22:D$1183,'Customer Scenario Forecast'!$D$20:$D$1181,'Incremental Network SummerFcast'!$A187)+
SUMIFS('Customer Scenario Forecast'!D$22:D$1183,'Customer Scenario Forecast'!$E$20:$E$1181,'Incremental Network SummerFcast'!$A187),
SUMIFS('Customer Scenario Forecast'!D$22:D$1183,'Customer Scenario Forecast'!$C$20:$C$1181,'Incremental Network SummerFcast'!$A187,'Customer Scenario Forecast'!$H$20:$H$1181,'Incremental Network SummerFcast'!$H$1)+
SUMIFS('Customer Scenario Forecast'!D$22:D$1183,'Customer Scenario Forecast'!$D$20:$D$1181,'Incremental Network SummerFcast'!$A187,'Customer Scenario Forecast'!$H$20:$H$1181,'Incremental Network SummerFcast'!$H$1)+
SUMIFS('Customer Scenario Forecast'!D$22:D$1183,'Customer Scenario Forecast'!$E$20:$E$1181,'Incremental Network SummerFcast'!$A187,'Customer Scenario Forecast'!$H$20:$H$1181,'Incremental Network SummerFcast'!$H$1))</f>
        <v>0</v>
      </c>
      <c r="E190" s="194">
        <f ca="1">IF($H$1="",
SUMIFS('Customer Scenario Forecast'!E$22:E$1183,'Customer Scenario Forecast'!$C$20:$C$1181,'Incremental Network SummerFcast'!$A187)+
SUMIFS('Customer Scenario Forecast'!E$22:E$1183,'Customer Scenario Forecast'!$D$20:$D$1181,'Incremental Network SummerFcast'!$A187)+
SUMIFS('Customer Scenario Forecast'!E$22:E$1183,'Customer Scenario Forecast'!$E$20:$E$1181,'Incremental Network SummerFcast'!$A187),
SUMIFS('Customer Scenario Forecast'!E$22:E$1183,'Customer Scenario Forecast'!$C$20:$C$1181,'Incremental Network SummerFcast'!$A187,'Customer Scenario Forecast'!$H$20:$H$1181,'Incremental Network SummerFcast'!$H$1)+
SUMIFS('Customer Scenario Forecast'!E$22:E$1183,'Customer Scenario Forecast'!$D$20:$D$1181,'Incremental Network SummerFcast'!$A187,'Customer Scenario Forecast'!$H$20:$H$1181,'Incremental Network SummerFcast'!$H$1)+
SUMIFS('Customer Scenario Forecast'!E$22:E$1183,'Customer Scenario Forecast'!$E$20:$E$1181,'Incremental Network SummerFcast'!$A187,'Customer Scenario Forecast'!$H$20:$H$1181,'Incremental Network SummerFcast'!$H$1))</f>
        <v>0</v>
      </c>
      <c r="F190" s="194">
        <f ca="1">IF($H$1="",
SUMIFS('Customer Scenario Forecast'!F$22:F$1183,'Customer Scenario Forecast'!$C$20:$C$1181,'Incremental Network SummerFcast'!$A187)+
SUMIFS('Customer Scenario Forecast'!F$22:F$1183,'Customer Scenario Forecast'!$D$20:$D$1181,'Incremental Network SummerFcast'!$A187)+
SUMIFS('Customer Scenario Forecast'!F$22:F$1183,'Customer Scenario Forecast'!$E$20:$E$1181,'Incremental Network SummerFcast'!$A187),
SUMIFS('Customer Scenario Forecast'!F$22:F$1183,'Customer Scenario Forecast'!$C$20:$C$1181,'Incremental Network SummerFcast'!$A187,'Customer Scenario Forecast'!$H$20:$H$1181,'Incremental Network SummerFcast'!$H$1)+
SUMIFS('Customer Scenario Forecast'!F$22:F$1183,'Customer Scenario Forecast'!$D$20:$D$1181,'Incremental Network SummerFcast'!$A187,'Customer Scenario Forecast'!$H$20:$H$1181,'Incremental Network SummerFcast'!$H$1)+
SUMIFS('Customer Scenario Forecast'!F$22:F$1183,'Customer Scenario Forecast'!$E$20:$E$1181,'Incremental Network SummerFcast'!$A187,'Customer Scenario Forecast'!$H$20:$H$1181,'Incremental Network SummerFcast'!$H$1))</f>
        <v>0</v>
      </c>
      <c r="G190" s="194">
        <f ca="1">IF($H$1="",
SUMIFS('Customer Scenario Forecast'!G$22:G$1183,'Customer Scenario Forecast'!$C$20:$C$1181,'Incremental Network SummerFcast'!$A187)+
SUMIFS('Customer Scenario Forecast'!G$22:G$1183,'Customer Scenario Forecast'!$D$20:$D$1181,'Incremental Network SummerFcast'!$A187)+
SUMIFS('Customer Scenario Forecast'!G$22:G$1183,'Customer Scenario Forecast'!$E$20:$E$1181,'Incremental Network SummerFcast'!$A187),
SUMIFS('Customer Scenario Forecast'!G$22:G$1183,'Customer Scenario Forecast'!$C$20:$C$1181,'Incremental Network SummerFcast'!$A187,'Customer Scenario Forecast'!$H$20:$H$1181,'Incremental Network SummerFcast'!$H$1)+
SUMIFS('Customer Scenario Forecast'!G$22:G$1183,'Customer Scenario Forecast'!$D$20:$D$1181,'Incremental Network SummerFcast'!$A187,'Customer Scenario Forecast'!$H$20:$H$1181,'Incremental Network SummerFcast'!$H$1)+
SUMIFS('Customer Scenario Forecast'!G$22:G$1183,'Customer Scenario Forecast'!$E$20:$E$1181,'Incremental Network SummerFcast'!$A187,'Customer Scenario Forecast'!$H$20:$H$1181,'Incremental Network SummerFcast'!$H$1))</f>
        <v>0</v>
      </c>
      <c r="H190" s="194">
        <f ca="1">IF($H$1="",
SUMIFS('Customer Scenario Forecast'!H$22:H$1183,'Customer Scenario Forecast'!$C$20:$C$1181,'Incremental Network SummerFcast'!$A187)+
SUMIFS('Customer Scenario Forecast'!H$22:H$1183,'Customer Scenario Forecast'!$D$20:$D$1181,'Incremental Network SummerFcast'!$A187)+
SUMIFS('Customer Scenario Forecast'!H$22:H$1183,'Customer Scenario Forecast'!$E$20:$E$1181,'Incremental Network SummerFcast'!$A187),
SUMIFS('Customer Scenario Forecast'!H$22:H$1183,'Customer Scenario Forecast'!$C$20:$C$1181,'Incremental Network SummerFcast'!$A187,'Customer Scenario Forecast'!$H$20:$H$1181,'Incremental Network SummerFcast'!$H$1)+
SUMIFS('Customer Scenario Forecast'!H$22:H$1183,'Customer Scenario Forecast'!$D$20:$D$1181,'Incremental Network SummerFcast'!$A187,'Customer Scenario Forecast'!$H$20:$H$1181,'Incremental Network SummerFcast'!$H$1)+
SUMIFS('Customer Scenario Forecast'!H$22:H$1183,'Customer Scenario Forecast'!$E$20:$E$1181,'Incremental Network SummerFcast'!$A187,'Customer Scenario Forecast'!$H$20:$H$1181,'Incremental Network SummerFcast'!$H$1))</f>
        <v>0</v>
      </c>
      <c r="I190" s="194">
        <f ca="1">IF($H$1="",
SUMIFS('Customer Scenario Forecast'!I$22:I$1183,'Customer Scenario Forecast'!$C$20:$C$1181,'Incremental Network SummerFcast'!$A187)+
SUMIFS('Customer Scenario Forecast'!I$22:I$1183,'Customer Scenario Forecast'!$D$20:$D$1181,'Incremental Network SummerFcast'!$A187)+
SUMIFS('Customer Scenario Forecast'!I$22:I$1183,'Customer Scenario Forecast'!$E$20:$E$1181,'Incremental Network SummerFcast'!$A187),
SUMIFS('Customer Scenario Forecast'!I$22:I$1183,'Customer Scenario Forecast'!$C$20:$C$1181,'Incremental Network SummerFcast'!$A187,'Customer Scenario Forecast'!$H$20:$H$1181,'Incremental Network SummerFcast'!$H$1)+
SUMIFS('Customer Scenario Forecast'!I$22:I$1183,'Customer Scenario Forecast'!$D$20:$D$1181,'Incremental Network SummerFcast'!$A187,'Customer Scenario Forecast'!$H$20:$H$1181,'Incremental Network SummerFcast'!$H$1)+
SUMIFS('Customer Scenario Forecast'!I$22:I$1183,'Customer Scenario Forecast'!$E$20:$E$1181,'Incremental Network SummerFcast'!$A187,'Customer Scenario Forecast'!$H$20:$H$1181,'Incremental Network SummerFcast'!$H$1))</f>
        <v>0</v>
      </c>
      <c r="J190" s="194">
        <f ca="1">IF($H$1="",
SUMIFS('Customer Scenario Forecast'!J$22:J$1183,'Customer Scenario Forecast'!$C$20:$C$1181,'Incremental Network SummerFcast'!$A187)+
SUMIFS('Customer Scenario Forecast'!J$22:J$1183,'Customer Scenario Forecast'!$D$20:$D$1181,'Incremental Network SummerFcast'!$A187)+
SUMIFS('Customer Scenario Forecast'!J$22:J$1183,'Customer Scenario Forecast'!$E$20:$E$1181,'Incremental Network SummerFcast'!$A187),
SUMIFS('Customer Scenario Forecast'!J$22:J$1183,'Customer Scenario Forecast'!$C$20:$C$1181,'Incremental Network SummerFcast'!$A187,'Customer Scenario Forecast'!$H$20:$H$1181,'Incremental Network SummerFcast'!$H$1)+
SUMIFS('Customer Scenario Forecast'!J$22:J$1183,'Customer Scenario Forecast'!$D$20:$D$1181,'Incremental Network SummerFcast'!$A187,'Customer Scenario Forecast'!$H$20:$H$1181,'Incremental Network SummerFcast'!$H$1)+
SUMIFS('Customer Scenario Forecast'!J$22:J$1183,'Customer Scenario Forecast'!$E$20:$E$1181,'Incremental Network SummerFcast'!$A187,'Customer Scenario Forecast'!$H$20:$H$1181,'Incremental Network SummerFcast'!$H$1))</f>
        <v>0</v>
      </c>
      <c r="K190" s="194">
        <f ca="1">IF($H$1="",
SUMIFS('Customer Scenario Forecast'!K$22:K$1183,'Customer Scenario Forecast'!$C$20:$C$1181,'Incremental Network SummerFcast'!$A187)+
SUMIFS('Customer Scenario Forecast'!K$22:K$1183,'Customer Scenario Forecast'!$D$20:$D$1181,'Incremental Network SummerFcast'!$A187)+
SUMIFS('Customer Scenario Forecast'!K$22:K$1183,'Customer Scenario Forecast'!$E$20:$E$1181,'Incremental Network SummerFcast'!$A187),
SUMIFS('Customer Scenario Forecast'!K$22:K$1183,'Customer Scenario Forecast'!$C$20:$C$1181,'Incremental Network SummerFcast'!$A187,'Customer Scenario Forecast'!$H$20:$H$1181,'Incremental Network SummerFcast'!$H$1)+
SUMIFS('Customer Scenario Forecast'!K$22:K$1183,'Customer Scenario Forecast'!$D$20:$D$1181,'Incremental Network SummerFcast'!$A187,'Customer Scenario Forecast'!$H$20:$H$1181,'Incremental Network SummerFcast'!$H$1)+
SUMIFS('Customer Scenario Forecast'!K$22:K$1183,'Customer Scenario Forecast'!$E$20:$E$1181,'Incremental Network SummerFcast'!$A187,'Customer Scenario Forecast'!$H$20:$H$1181,'Incremental Network SummerFcast'!$H$1))</f>
        <v>0</v>
      </c>
      <c r="L190" s="194">
        <f ca="1">IF($H$1="",
SUMIFS('Customer Scenario Forecast'!L$22:L$1183,'Customer Scenario Forecast'!$C$20:$C$1181,'Incremental Network SummerFcast'!$A187)+
SUMIFS('Customer Scenario Forecast'!L$22:L$1183,'Customer Scenario Forecast'!$D$20:$D$1181,'Incremental Network SummerFcast'!$A187)+
SUMIFS('Customer Scenario Forecast'!L$22:L$1183,'Customer Scenario Forecast'!$E$20:$E$1181,'Incremental Network SummerFcast'!$A187),
SUMIFS('Customer Scenario Forecast'!L$22:L$1183,'Customer Scenario Forecast'!$C$20:$C$1181,'Incremental Network SummerFcast'!$A187,'Customer Scenario Forecast'!$H$20:$H$1181,'Incremental Network SummerFcast'!$H$1)+
SUMIFS('Customer Scenario Forecast'!L$22:L$1183,'Customer Scenario Forecast'!$D$20:$D$1181,'Incremental Network SummerFcast'!$A187,'Customer Scenario Forecast'!$H$20:$H$1181,'Incremental Network SummerFcast'!$H$1)+
SUMIFS('Customer Scenario Forecast'!L$22:L$1183,'Customer Scenario Forecast'!$E$20:$E$1181,'Incremental Network SummerFcast'!$A187,'Customer Scenario Forecast'!$H$20:$H$1181,'Incremental Network SummerFcast'!$H$1))</f>
        <v>17.550236466679692</v>
      </c>
      <c r="M190" s="37"/>
    </row>
    <row r="191" spans="1:13" ht="15" thickBot="1">
      <c r="A191" s="195" t="s">
        <v>107</v>
      </c>
      <c r="B191" s="196">
        <f ca="1">IF($H$1="",
1*(
SUMIFS('Customer Scenario Forecast'!B$23:B$1184,'Customer Scenario Forecast'!$C$20:$C$1181,'Incremental Network SummerFcast'!$A187)+
SUMIFS('Customer Scenario Forecast'!B$23:B$1184,'Customer Scenario Forecast'!$D$20:$D$1181,'Incremental Network SummerFcast'!$A187)+
SUMIFS('Customer Scenario Forecast'!B$23:B$1184,'Customer Scenario Forecast'!$E$20:$E$1181,'Incremental Network SummerFcast'!$A187)+B189),
1*(
SUMIFS('Customer Scenario Forecast'!B$23:B$1184,'Customer Scenario Forecast'!$C$20:$C$1181,'Incremental Network SummerFcast'!$A187,'Customer Scenario Forecast'!$H$20:$H$1181,'Incremental Network SummerFcast'!$H$1)+
SUMIFS('Customer Scenario Forecast'!B$23:B$1184,'Customer Scenario Forecast'!$D$20:$D$1181,'Incremental Network SummerFcast'!$A187,'Customer Scenario Forecast'!$H$20:$H$1181,'Incremental Network SummerFcast'!$H$1)+
SUMIFS('Customer Scenario Forecast'!B$23:B$1184,'Customer Scenario Forecast'!$E$20:$E$1181,'Incremental Network SummerFcast'!$A187,'Customer Scenario Forecast'!$H$20:$H$1181,'Incremental Network SummerFcast'!$H$1)+B189))</f>
        <v>0</v>
      </c>
      <c r="C191" s="196">
        <f ca="1">IF($H$1="",
1*(
SUMIFS('Customer Scenario Forecast'!C$23:C$1184,'Customer Scenario Forecast'!$C$20:$C$1181,'Incremental Network SummerFcast'!$A187)+
SUMIFS('Customer Scenario Forecast'!C$23:C$1184,'Customer Scenario Forecast'!$D$20:$D$1181,'Incremental Network SummerFcast'!$A187)+
SUMIFS('Customer Scenario Forecast'!C$23:C$1184,'Customer Scenario Forecast'!$E$20:$E$1181,'Incremental Network SummerFcast'!$A187)+C189),
1*(
SUMIFS('Customer Scenario Forecast'!C$23:C$1184,'Customer Scenario Forecast'!$C$20:$C$1181,'Incremental Network SummerFcast'!$A187,'Customer Scenario Forecast'!$H$20:$H$1181,'Incremental Network SummerFcast'!$H$1)+
SUMIFS('Customer Scenario Forecast'!C$23:C$1184,'Customer Scenario Forecast'!$D$20:$D$1181,'Incremental Network SummerFcast'!$A187,'Customer Scenario Forecast'!$H$20:$H$1181,'Incremental Network SummerFcast'!$H$1)+
SUMIFS('Customer Scenario Forecast'!C$23:C$1184,'Customer Scenario Forecast'!$E$20:$E$1181,'Incremental Network SummerFcast'!$A187,'Customer Scenario Forecast'!$H$20:$H$1181,'Incremental Network SummerFcast'!$H$1)+C189))</f>
        <v>0</v>
      </c>
      <c r="D191" s="196">
        <f ca="1">IF($H$1="",
1*(
SUMIFS('Customer Scenario Forecast'!D$23:D$1184,'Customer Scenario Forecast'!$C$20:$C$1181,'Incremental Network SummerFcast'!$A187)+
SUMIFS('Customer Scenario Forecast'!D$23:D$1184,'Customer Scenario Forecast'!$D$20:$D$1181,'Incremental Network SummerFcast'!$A187)+
SUMIFS('Customer Scenario Forecast'!D$23:D$1184,'Customer Scenario Forecast'!$E$20:$E$1181,'Incremental Network SummerFcast'!$A187)+D189),
1*(
SUMIFS('Customer Scenario Forecast'!D$23:D$1184,'Customer Scenario Forecast'!$C$20:$C$1181,'Incremental Network SummerFcast'!$A187,'Customer Scenario Forecast'!$H$20:$H$1181,'Incremental Network SummerFcast'!$H$1)+
SUMIFS('Customer Scenario Forecast'!D$23:D$1184,'Customer Scenario Forecast'!$D$20:$D$1181,'Incremental Network SummerFcast'!$A187,'Customer Scenario Forecast'!$H$20:$H$1181,'Incremental Network SummerFcast'!$H$1)+
SUMIFS('Customer Scenario Forecast'!D$23:D$1184,'Customer Scenario Forecast'!$E$20:$E$1181,'Incremental Network SummerFcast'!$A187,'Customer Scenario Forecast'!$H$20:$H$1181,'Incremental Network SummerFcast'!$H$1)+D189))</f>
        <v>0</v>
      </c>
      <c r="E191" s="196">
        <f ca="1">IF($H$1="",
1*(
SUMIFS('Customer Scenario Forecast'!E$23:E$1184,'Customer Scenario Forecast'!$C$20:$C$1181,'Incremental Network SummerFcast'!$A187)+
SUMIFS('Customer Scenario Forecast'!E$23:E$1184,'Customer Scenario Forecast'!$D$20:$D$1181,'Incremental Network SummerFcast'!$A187)+
SUMIFS('Customer Scenario Forecast'!E$23:E$1184,'Customer Scenario Forecast'!$E$20:$E$1181,'Incremental Network SummerFcast'!$A187)+E189),
1*(
SUMIFS('Customer Scenario Forecast'!E$23:E$1184,'Customer Scenario Forecast'!$C$20:$C$1181,'Incremental Network SummerFcast'!$A187,'Customer Scenario Forecast'!$H$20:$H$1181,'Incremental Network SummerFcast'!$H$1)+
SUMIFS('Customer Scenario Forecast'!E$23:E$1184,'Customer Scenario Forecast'!$D$20:$D$1181,'Incremental Network SummerFcast'!$A187,'Customer Scenario Forecast'!$H$20:$H$1181,'Incremental Network SummerFcast'!$H$1)+
SUMIFS('Customer Scenario Forecast'!E$23:E$1184,'Customer Scenario Forecast'!$E$20:$E$1181,'Incremental Network SummerFcast'!$A187,'Customer Scenario Forecast'!$H$20:$H$1181,'Incremental Network SummerFcast'!$H$1)+E189))</f>
        <v>0</v>
      </c>
      <c r="F191" s="196">
        <f ca="1">IF($H$1="",
1*(
SUMIFS('Customer Scenario Forecast'!F$23:F$1184,'Customer Scenario Forecast'!$C$20:$C$1181,'Incremental Network SummerFcast'!$A187)+
SUMIFS('Customer Scenario Forecast'!F$23:F$1184,'Customer Scenario Forecast'!$D$20:$D$1181,'Incremental Network SummerFcast'!$A187)+
SUMIFS('Customer Scenario Forecast'!F$23:F$1184,'Customer Scenario Forecast'!$E$20:$E$1181,'Incremental Network SummerFcast'!$A187)+F189),
1*(
SUMIFS('Customer Scenario Forecast'!F$23:F$1184,'Customer Scenario Forecast'!$C$20:$C$1181,'Incremental Network SummerFcast'!$A187,'Customer Scenario Forecast'!$H$20:$H$1181,'Incremental Network SummerFcast'!$H$1)+
SUMIFS('Customer Scenario Forecast'!F$23:F$1184,'Customer Scenario Forecast'!$D$20:$D$1181,'Incremental Network SummerFcast'!$A187,'Customer Scenario Forecast'!$H$20:$H$1181,'Incremental Network SummerFcast'!$H$1)+
SUMIFS('Customer Scenario Forecast'!F$23:F$1184,'Customer Scenario Forecast'!$E$20:$E$1181,'Incremental Network SummerFcast'!$A187,'Customer Scenario Forecast'!$H$20:$H$1181,'Incremental Network SummerFcast'!$H$1)+F189))</f>
        <v>0</v>
      </c>
      <c r="G191" s="196">
        <f ca="1">IF($H$1="",
1*(
SUMIFS('Customer Scenario Forecast'!G$23:G$1184,'Customer Scenario Forecast'!$C$20:$C$1181,'Incremental Network SummerFcast'!$A187)+
SUMIFS('Customer Scenario Forecast'!G$23:G$1184,'Customer Scenario Forecast'!$D$20:$D$1181,'Incremental Network SummerFcast'!$A187)+
SUMIFS('Customer Scenario Forecast'!G$23:G$1184,'Customer Scenario Forecast'!$E$20:$E$1181,'Incremental Network SummerFcast'!$A187)+G189),
1*(
SUMIFS('Customer Scenario Forecast'!G$23:G$1184,'Customer Scenario Forecast'!$C$20:$C$1181,'Incremental Network SummerFcast'!$A187,'Customer Scenario Forecast'!$H$20:$H$1181,'Incremental Network SummerFcast'!$H$1)+
SUMIFS('Customer Scenario Forecast'!G$23:G$1184,'Customer Scenario Forecast'!$D$20:$D$1181,'Incremental Network SummerFcast'!$A187,'Customer Scenario Forecast'!$H$20:$H$1181,'Incremental Network SummerFcast'!$H$1)+
SUMIFS('Customer Scenario Forecast'!G$23:G$1184,'Customer Scenario Forecast'!$E$20:$E$1181,'Incremental Network SummerFcast'!$A187,'Customer Scenario Forecast'!$H$20:$H$1181,'Incremental Network SummerFcast'!$H$1)+G189))</f>
        <v>0</v>
      </c>
      <c r="H191" s="196">
        <f ca="1">IF($H$1="",
1*(
SUMIFS('Customer Scenario Forecast'!H$23:H$1184,'Customer Scenario Forecast'!$C$20:$C$1181,'Incremental Network SummerFcast'!$A187)+
SUMIFS('Customer Scenario Forecast'!H$23:H$1184,'Customer Scenario Forecast'!$D$20:$D$1181,'Incremental Network SummerFcast'!$A187)+
SUMIFS('Customer Scenario Forecast'!H$23:H$1184,'Customer Scenario Forecast'!$E$20:$E$1181,'Incremental Network SummerFcast'!$A187)+H189),
1*(
SUMIFS('Customer Scenario Forecast'!H$23:H$1184,'Customer Scenario Forecast'!$C$20:$C$1181,'Incremental Network SummerFcast'!$A187,'Customer Scenario Forecast'!$H$20:$H$1181,'Incremental Network SummerFcast'!$H$1)+
SUMIFS('Customer Scenario Forecast'!H$23:H$1184,'Customer Scenario Forecast'!$D$20:$D$1181,'Incremental Network SummerFcast'!$A187,'Customer Scenario Forecast'!$H$20:$H$1181,'Incremental Network SummerFcast'!$H$1)+
SUMIFS('Customer Scenario Forecast'!H$23:H$1184,'Customer Scenario Forecast'!$E$20:$E$1181,'Incremental Network SummerFcast'!$A187,'Customer Scenario Forecast'!$H$20:$H$1181,'Incremental Network SummerFcast'!$H$1)+H189))</f>
        <v>0</v>
      </c>
      <c r="I191" s="196">
        <f ca="1">IF($H$1="",
1*(
SUMIFS('Customer Scenario Forecast'!I$23:I$1184,'Customer Scenario Forecast'!$C$20:$C$1181,'Incremental Network SummerFcast'!$A187)+
SUMIFS('Customer Scenario Forecast'!I$23:I$1184,'Customer Scenario Forecast'!$D$20:$D$1181,'Incremental Network SummerFcast'!$A187)+
SUMIFS('Customer Scenario Forecast'!I$23:I$1184,'Customer Scenario Forecast'!$E$20:$E$1181,'Incremental Network SummerFcast'!$A187)+I189),
1*(
SUMIFS('Customer Scenario Forecast'!I$23:I$1184,'Customer Scenario Forecast'!$C$20:$C$1181,'Incremental Network SummerFcast'!$A187,'Customer Scenario Forecast'!$H$20:$H$1181,'Incremental Network SummerFcast'!$H$1)+
SUMIFS('Customer Scenario Forecast'!I$23:I$1184,'Customer Scenario Forecast'!$D$20:$D$1181,'Incremental Network SummerFcast'!$A187,'Customer Scenario Forecast'!$H$20:$H$1181,'Incremental Network SummerFcast'!$H$1)+
SUMIFS('Customer Scenario Forecast'!I$23:I$1184,'Customer Scenario Forecast'!$E$20:$E$1181,'Incremental Network SummerFcast'!$A187,'Customer Scenario Forecast'!$H$20:$H$1181,'Incremental Network SummerFcast'!$H$1)+I189))</f>
        <v>0</v>
      </c>
      <c r="J191" s="196">
        <f ca="1">IF($H$1="",
1*(
SUMIFS('Customer Scenario Forecast'!J$23:J$1184,'Customer Scenario Forecast'!$C$20:$C$1181,'Incremental Network SummerFcast'!$A187)+
SUMIFS('Customer Scenario Forecast'!J$23:J$1184,'Customer Scenario Forecast'!$D$20:$D$1181,'Incremental Network SummerFcast'!$A187)+
SUMIFS('Customer Scenario Forecast'!J$23:J$1184,'Customer Scenario Forecast'!$E$20:$E$1181,'Incremental Network SummerFcast'!$A187)+J189),
1*(
SUMIFS('Customer Scenario Forecast'!J$23:J$1184,'Customer Scenario Forecast'!$C$20:$C$1181,'Incremental Network SummerFcast'!$A187,'Customer Scenario Forecast'!$H$20:$H$1181,'Incremental Network SummerFcast'!$H$1)+
SUMIFS('Customer Scenario Forecast'!J$23:J$1184,'Customer Scenario Forecast'!$D$20:$D$1181,'Incremental Network SummerFcast'!$A187,'Customer Scenario Forecast'!$H$20:$H$1181,'Incremental Network SummerFcast'!$H$1)+
SUMIFS('Customer Scenario Forecast'!J$23:J$1184,'Customer Scenario Forecast'!$E$20:$E$1181,'Incremental Network SummerFcast'!$A187,'Customer Scenario Forecast'!$H$20:$H$1181,'Incremental Network SummerFcast'!$H$1)+J189))</f>
        <v>0</v>
      </c>
      <c r="K191" s="196">
        <f ca="1">IF($H$1="",
1*(
SUMIFS('Customer Scenario Forecast'!K$23:K$1184,'Customer Scenario Forecast'!$C$20:$C$1181,'Incremental Network SummerFcast'!$A187)+
SUMIFS('Customer Scenario Forecast'!K$23:K$1184,'Customer Scenario Forecast'!$D$20:$D$1181,'Incremental Network SummerFcast'!$A187)+
SUMIFS('Customer Scenario Forecast'!K$23:K$1184,'Customer Scenario Forecast'!$E$20:$E$1181,'Incremental Network SummerFcast'!$A187)+K189),
1*(
SUMIFS('Customer Scenario Forecast'!K$23:K$1184,'Customer Scenario Forecast'!$C$20:$C$1181,'Incremental Network SummerFcast'!$A187,'Customer Scenario Forecast'!$H$20:$H$1181,'Incremental Network SummerFcast'!$H$1)+
SUMIFS('Customer Scenario Forecast'!K$23:K$1184,'Customer Scenario Forecast'!$D$20:$D$1181,'Incremental Network SummerFcast'!$A187,'Customer Scenario Forecast'!$H$20:$H$1181,'Incremental Network SummerFcast'!$H$1)+
SUMIFS('Customer Scenario Forecast'!K$23:K$1184,'Customer Scenario Forecast'!$E$20:$E$1181,'Incremental Network SummerFcast'!$A187,'Customer Scenario Forecast'!$H$20:$H$1181,'Incremental Network SummerFcast'!$H$1)+K189))</f>
        <v>0</v>
      </c>
      <c r="L191" s="196">
        <f ca="1">IF($H$1="",
1*(
SUMIFS('Customer Scenario Forecast'!L$23:L$1184,'Customer Scenario Forecast'!$C$20:$C$1181,'Incremental Network SummerFcast'!$A187)+
SUMIFS('Customer Scenario Forecast'!L$23:L$1184,'Customer Scenario Forecast'!$D$20:$D$1181,'Incremental Network SummerFcast'!$A187)+
SUMIFS('Customer Scenario Forecast'!L$23:L$1184,'Customer Scenario Forecast'!$E$20:$E$1181,'Incremental Network SummerFcast'!$A187)+L189),
1*(
SUMIFS('Customer Scenario Forecast'!L$23:L$1184,'Customer Scenario Forecast'!$C$20:$C$1181,'Incremental Network SummerFcast'!$A187,'Customer Scenario Forecast'!$H$20:$H$1181,'Incremental Network SummerFcast'!$H$1)+
SUMIFS('Customer Scenario Forecast'!L$23:L$1184,'Customer Scenario Forecast'!$D$20:$D$1181,'Incremental Network SummerFcast'!$A187,'Customer Scenario Forecast'!$H$20:$H$1181,'Incremental Network SummerFcast'!$H$1)+
SUMIFS('Customer Scenario Forecast'!L$23:L$1184,'Customer Scenario Forecast'!$E$20:$E$1181,'Incremental Network SummerFcast'!$A187,'Customer Scenario Forecast'!$H$20:$H$1181,'Incremental Network SummerFcast'!$H$1)+L189))</f>
        <v>0</v>
      </c>
    </row>
    <row r="192" spans="1:13" ht="15" thickBot="1">
      <c r="A192" s="195" t="s">
        <v>108</v>
      </c>
      <c r="B192" s="196">
        <f ca="1">IF($H$1="",
1*(
SUMIFS('Customer Scenario Forecast'!B$24:B$1185,'Customer Scenario Forecast'!$C$20:$C$1181,'Incremental Network SummerFcast'!$A187)+
SUMIFS('Customer Scenario Forecast'!B$24:B$1185,'Customer Scenario Forecast'!$D$20:$D$1181,'Incremental Network SummerFcast'!$A187)+
SUMIFS('Customer Scenario Forecast'!B$24:B$1185,'Customer Scenario Forecast'!$E$20:$E$1181,'Incremental Network SummerFcast'!$A187)+B189),
1*(
SUMIFS('Customer Scenario Forecast'!B$24:B$1185,'Customer Scenario Forecast'!$C$20:$C$1181,'Incremental Network SummerFcast'!$A187,'Customer Scenario Forecast'!$H$20:$H$1181,'Incremental Network SummerFcast'!$H$1)+
SUMIFS('Customer Scenario Forecast'!B$24:B$1185,'Customer Scenario Forecast'!$D$20:$D$1181,'Incremental Network SummerFcast'!$A187,'Customer Scenario Forecast'!$H$20:$H$1181,'Incremental Network SummerFcast'!$H$1)+
SUMIFS('Customer Scenario Forecast'!B$24:B$1185,'Customer Scenario Forecast'!$E$20:$E$1181,'Incremental Network SummerFcast'!$A187,'Customer Scenario Forecast'!$H$20:$H$1181,'Incremental Network SummerFcast'!$H$1)+B189))</f>
        <v>0</v>
      </c>
      <c r="C192" s="196">
        <f ca="1">IF($H$1="",
1*(
SUMIFS('Customer Scenario Forecast'!C$24:C$1185,'Customer Scenario Forecast'!$C$20:$C$1181,'Incremental Network SummerFcast'!$A187)+
SUMIFS('Customer Scenario Forecast'!C$24:C$1185,'Customer Scenario Forecast'!$D$20:$D$1181,'Incremental Network SummerFcast'!$A187)+
SUMIFS('Customer Scenario Forecast'!C$24:C$1185,'Customer Scenario Forecast'!$E$20:$E$1181,'Incremental Network SummerFcast'!$A187)+C189),
1*(
SUMIFS('Customer Scenario Forecast'!C$24:C$1185,'Customer Scenario Forecast'!$C$20:$C$1181,'Incremental Network SummerFcast'!$A187,'Customer Scenario Forecast'!$H$20:$H$1181,'Incremental Network SummerFcast'!$H$1)+
SUMIFS('Customer Scenario Forecast'!C$24:C$1185,'Customer Scenario Forecast'!$D$20:$D$1181,'Incremental Network SummerFcast'!$A187,'Customer Scenario Forecast'!$H$20:$H$1181,'Incremental Network SummerFcast'!$H$1)+
SUMIFS('Customer Scenario Forecast'!C$24:C$1185,'Customer Scenario Forecast'!$E$20:$E$1181,'Incremental Network SummerFcast'!$A187,'Customer Scenario Forecast'!$H$20:$H$1181,'Incremental Network SummerFcast'!$H$1)+C189))</f>
        <v>0</v>
      </c>
      <c r="D192" s="196">
        <f ca="1">IF($H$1="",
1*(
SUMIFS('Customer Scenario Forecast'!D$24:D$1185,'Customer Scenario Forecast'!$C$20:$C$1181,'Incremental Network SummerFcast'!$A187)+
SUMIFS('Customer Scenario Forecast'!D$24:D$1185,'Customer Scenario Forecast'!$D$20:$D$1181,'Incremental Network SummerFcast'!$A187)+
SUMIFS('Customer Scenario Forecast'!D$24:D$1185,'Customer Scenario Forecast'!$E$20:$E$1181,'Incremental Network SummerFcast'!$A187)+D189),
1*(
SUMIFS('Customer Scenario Forecast'!D$24:D$1185,'Customer Scenario Forecast'!$C$20:$C$1181,'Incremental Network SummerFcast'!$A187,'Customer Scenario Forecast'!$H$20:$H$1181,'Incremental Network SummerFcast'!$H$1)+
SUMIFS('Customer Scenario Forecast'!D$24:D$1185,'Customer Scenario Forecast'!$D$20:$D$1181,'Incremental Network SummerFcast'!$A187,'Customer Scenario Forecast'!$H$20:$H$1181,'Incremental Network SummerFcast'!$H$1)+
SUMIFS('Customer Scenario Forecast'!D$24:D$1185,'Customer Scenario Forecast'!$E$20:$E$1181,'Incremental Network SummerFcast'!$A187,'Customer Scenario Forecast'!$H$20:$H$1181,'Incremental Network SummerFcast'!$H$1)+D189))</f>
        <v>0</v>
      </c>
      <c r="E192" s="196">
        <f ca="1">IF($H$1="",
1*(
SUMIFS('Customer Scenario Forecast'!E$24:E$1185,'Customer Scenario Forecast'!$C$20:$C$1181,'Incremental Network SummerFcast'!$A187)+
SUMIFS('Customer Scenario Forecast'!E$24:E$1185,'Customer Scenario Forecast'!$D$20:$D$1181,'Incremental Network SummerFcast'!$A187)+
SUMIFS('Customer Scenario Forecast'!E$24:E$1185,'Customer Scenario Forecast'!$E$20:$E$1181,'Incremental Network SummerFcast'!$A187)+E189),
1*(
SUMIFS('Customer Scenario Forecast'!E$24:E$1185,'Customer Scenario Forecast'!$C$20:$C$1181,'Incremental Network SummerFcast'!$A187,'Customer Scenario Forecast'!$H$20:$H$1181,'Incremental Network SummerFcast'!$H$1)+
SUMIFS('Customer Scenario Forecast'!E$24:E$1185,'Customer Scenario Forecast'!$D$20:$D$1181,'Incremental Network SummerFcast'!$A187,'Customer Scenario Forecast'!$H$20:$H$1181,'Incremental Network SummerFcast'!$H$1)+
SUMIFS('Customer Scenario Forecast'!E$24:E$1185,'Customer Scenario Forecast'!$E$20:$E$1181,'Incremental Network SummerFcast'!$A187,'Customer Scenario Forecast'!$H$20:$H$1181,'Incremental Network SummerFcast'!$H$1)+E189))</f>
        <v>0</v>
      </c>
      <c r="F192" s="196">
        <f ca="1">IF($H$1="",
1*(
SUMIFS('Customer Scenario Forecast'!F$24:F$1185,'Customer Scenario Forecast'!$C$20:$C$1181,'Incremental Network SummerFcast'!$A187)+
SUMIFS('Customer Scenario Forecast'!F$24:F$1185,'Customer Scenario Forecast'!$D$20:$D$1181,'Incremental Network SummerFcast'!$A187)+
SUMIFS('Customer Scenario Forecast'!F$24:F$1185,'Customer Scenario Forecast'!$E$20:$E$1181,'Incremental Network SummerFcast'!$A187)+F189),
1*(
SUMIFS('Customer Scenario Forecast'!F$24:F$1185,'Customer Scenario Forecast'!$C$20:$C$1181,'Incremental Network SummerFcast'!$A187,'Customer Scenario Forecast'!$H$20:$H$1181,'Incremental Network SummerFcast'!$H$1)+
SUMIFS('Customer Scenario Forecast'!F$24:F$1185,'Customer Scenario Forecast'!$D$20:$D$1181,'Incremental Network SummerFcast'!$A187,'Customer Scenario Forecast'!$H$20:$H$1181,'Incremental Network SummerFcast'!$H$1)+
SUMIFS('Customer Scenario Forecast'!F$24:F$1185,'Customer Scenario Forecast'!$E$20:$E$1181,'Incremental Network SummerFcast'!$A187,'Customer Scenario Forecast'!$H$20:$H$1181,'Incremental Network SummerFcast'!$H$1)+F189))</f>
        <v>0</v>
      </c>
      <c r="G192" s="196">
        <f ca="1">IF($H$1="",
1*(
SUMIFS('Customer Scenario Forecast'!G$24:G$1185,'Customer Scenario Forecast'!$C$20:$C$1181,'Incremental Network SummerFcast'!$A187)+
SUMIFS('Customer Scenario Forecast'!G$24:G$1185,'Customer Scenario Forecast'!$D$20:$D$1181,'Incremental Network SummerFcast'!$A187)+
SUMIFS('Customer Scenario Forecast'!G$24:G$1185,'Customer Scenario Forecast'!$E$20:$E$1181,'Incremental Network SummerFcast'!$A187)+G189),
1*(
SUMIFS('Customer Scenario Forecast'!G$24:G$1185,'Customer Scenario Forecast'!$C$20:$C$1181,'Incremental Network SummerFcast'!$A187,'Customer Scenario Forecast'!$H$20:$H$1181,'Incremental Network SummerFcast'!$H$1)+
SUMIFS('Customer Scenario Forecast'!G$24:G$1185,'Customer Scenario Forecast'!$D$20:$D$1181,'Incremental Network SummerFcast'!$A187,'Customer Scenario Forecast'!$H$20:$H$1181,'Incremental Network SummerFcast'!$H$1)+
SUMIFS('Customer Scenario Forecast'!G$24:G$1185,'Customer Scenario Forecast'!$E$20:$E$1181,'Incremental Network SummerFcast'!$A187,'Customer Scenario Forecast'!$H$20:$H$1181,'Incremental Network SummerFcast'!$H$1)+G189))</f>
        <v>0</v>
      </c>
      <c r="H192" s="196">
        <f ca="1">IF($H$1="",
1*(
SUMIFS('Customer Scenario Forecast'!H$24:H$1185,'Customer Scenario Forecast'!$C$20:$C$1181,'Incremental Network SummerFcast'!$A187)+
SUMIFS('Customer Scenario Forecast'!H$24:H$1185,'Customer Scenario Forecast'!$D$20:$D$1181,'Incremental Network SummerFcast'!$A187)+
SUMIFS('Customer Scenario Forecast'!H$24:H$1185,'Customer Scenario Forecast'!$E$20:$E$1181,'Incremental Network SummerFcast'!$A187)+H189),
1*(
SUMIFS('Customer Scenario Forecast'!H$24:H$1185,'Customer Scenario Forecast'!$C$20:$C$1181,'Incremental Network SummerFcast'!$A187,'Customer Scenario Forecast'!$H$20:$H$1181,'Incremental Network SummerFcast'!$H$1)+
SUMIFS('Customer Scenario Forecast'!H$24:H$1185,'Customer Scenario Forecast'!$D$20:$D$1181,'Incremental Network SummerFcast'!$A187,'Customer Scenario Forecast'!$H$20:$H$1181,'Incremental Network SummerFcast'!$H$1)+
SUMIFS('Customer Scenario Forecast'!H$24:H$1185,'Customer Scenario Forecast'!$E$20:$E$1181,'Incremental Network SummerFcast'!$A187,'Customer Scenario Forecast'!$H$20:$H$1181,'Incremental Network SummerFcast'!$H$1)+H189))</f>
        <v>0</v>
      </c>
      <c r="I192" s="196">
        <f ca="1">IF($H$1="",
1*(
SUMIFS('Customer Scenario Forecast'!I$24:I$1185,'Customer Scenario Forecast'!$C$20:$C$1181,'Incremental Network SummerFcast'!$A187)+
SUMIFS('Customer Scenario Forecast'!I$24:I$1185,'Customer Scenario Forecast'!$D$20:$D$1181,'Incremental Network SummerFcast'!$A187)+
SUMIFS('Customer Scenario Forecast'!I$24:I$1185,'Customer Scenario Forecast'!$E$20:$E$1181,'Incremental Network SummerFcast'!$A187)+I189),
1*(
SUMIFS('Customer Scenario Forecast'!I$24:I$1185,'Customer Scenario Forecast'!$C$20:$C$1181,'Incremental Network SummerFcast'!$A187,'Customer Scenario Forecast'!$H$20:$H$1181,'Incremental Network SummerFcast'!$H$1)+
SUMIFS('Customer Scenario Forecast'!I$24:I$1185,'Customer Scenario Forecast'!$D$20:$D$1181,'Incremental Network SummerFcast'!$A187,'Customer Scenario Forecast'!$H$20:$H$1181,'Incremental Network SummerFcast'!$H$1)+
SUMIFS('Customer Scenario Forecast'!I$24:I$1185,'Customer Scenario Forecast'!$E$20:$E$1181,'Incremental Network SummerFcast'!$A187,'Customer Scenario Forecast'!$H$20:$H$1181,'Incremental Network SummerFcast'!$H$1)+I189))</f>
        <v>0</v>
      </c>
      <c r="J192" s="196">
        <f ca="1">IF($H$1="",
1*(
SUMIFS('Customer Scenario Forecast'!J$24:J$1185,'Customer Scenario Forecast'!$C$20:$C$1181,'Incremental Network SummerFcast'!$A187)+
SUMIFS('Customer Scenario Forecast'!J$24:J$1185,'Customer Scenario Forecast'!$D$20:$D$1181,'Incremental Network SummerFcast'!$A187)+
SUMIFS('Customer Scenario Forecast'!J$24:J$1185,'Customer Scenario Forecast'!$E$20:$E$1181,'Incremental Network SummerFcast'!$A187)+J189),
1*(
SUMIFS('Customer Scenario Forecast'!J$24:J$1185,'Customer Scenario Forecast'!$C$20:$C$1181,'Incremental Network SummerFcast'!$A187,'Customer Scenario Forecast'!$H$20:$H$1181,'Incremental Network SummerFcast'!$H$1)+
SUMIFS('Customer Scenario Forecast'!J$24:J$1185,'Customer Scenario Forecast'!$D$20:$D$1181,'Incremental Network SummerFcast'!$A187,'Customer Scenario Forecast'!$H$20:$H$1181,'Incremental Network SummerFcast'!$H$1)+
SUMIFS('Customer Scenario Forecast'!J$24:J$1185,'Customer Scenario Forecast'!$E$20:$E$1181,'Incremental Network SummerFcast'!$A187,'Customer Scenario Forecast'!$H$20:$H$1181,'Incremental Network SummerFcast'!$H$1)+J189))</f>
        <v>0</v>
      </c>
      <c r="K192" s="196">
        <f ca="1">IF($H$1="",
1*(
SUMIFS('Customer Scenario Forecast'!K$24:K$1185,'Customer Scenario Forecast'!$C$20:$C$1181,'Incremental Network SummerFcast'!$A187)+
SUMIFS('Customer Scenario Forecast'!K$24:K$1185,'Customer Scenario Forecast'!$D$20:$D$1181,'Incremental Network SummerFcast'!$A187)+
SUMIFS('Customer Scenario Forecast'!K$24:K$1185,'Customer Scenario Forecast'!$E$20:$E$1181,'Incremental Network SummerFcast'!$A187)+K189),
1*(
SUMIFS('Customer Scenario Forecast'!K$24:K$1185,'Customer Scenario Forecast'!$C$20:$C$1181,'Incremental Network SummerFcast'!$A187,'Customer Scenario Forecast'!$H$20:$H$1181,'Incremental Network SummerFcast'!$H$1)+
SUMIFS('Customer Scenario Forecast'!K$24:K$1185,'Customer Scenario Forecast'!$D$20:$D$1181,'Incremental Network SummerFcast'!$A187,'Customer Scenario Forecast'!$H$20:$H$1181,'Incremental Network SummerFcast'!$H$1)+
SUMIFS('Customer Scenario Forecast'!K$24:K$1185,'Customer Scenario Forecast'!$E$20:$E$1181,'Incremental Network SummerFcast'!$A187,'Customer Scenario Forecast'!$H$20:$H$1181,'Incremental Network SummerFcast'!$H$1)+K189))</f>
        <v>0</v>
      </c>
      <c r="L192" s="196">
        <f ca="1">IF($H$1="",
1*(
SUMIFS('Customer Scenario Forecast'!L$24:L$1185,'Customer Scenario Forecast'!$C$20:$C$1181,'Incremental Network SummerFcast'!$A187)+
SUMIFS('Customer Scenario Forecast'!L$24:L$1185,'Customer Scenario Forecast'!$D$20:$D$1181,'Incremental Network SummerFcast'!$A187)+
SUMIFS('Customer Scenario Forecast'!L$24:L$1185,'Customer Scenario Forecast'!$E$20:$E$1181,'Incremental Network SummerFcast'!$A187)+L189),
1*(
SUMIFS('Customer Scenario Forecast'!L$24:L$1185,'Customer Scenario Forecast'!$C$20:$C$1181,'Incremental Network SummerFcast'!$A187,'Customer Scenario Forecast'!$H$20:$H$1181,'Incremental Network SummerFcast'!$H$1)+
SUMIFS('Customer Scenario Forecast'!L$24:L$1185,'Customer Scenario Forecast'!$D$20:$D$1181,'Incremental Network SummerFcast'!$A187,'Customer Scenario Forecast'!$H$20:$H$1181,'Incremental Network SummerFcast'!$H$1)+
SUMIFS('Customer Scenario Forecast'!L$24:L$1185,'Customer Scenario Forecast'!$E$20:$E$1181,'Incremental Network SummerFcast'!$A187,'Customer Scenario Forecast'!$H$20:$H$1181,'Incremental Network SummerFcast'!$H$1)+L189))</f>
        <v>0</v>
      </c>
    </row>
    <row r="193" spans="1:13" ht="15" thickBot="1">
      <c r="A193" s="197" t="s">
        <v>109</v>
      </c>
      <c r="B193" s="198">
        <f ca="1">IF($H$1="",
1*(
SUMIFS('Customer Scenario Forecast'!B$25:B$1186,'Customer Scenario Forecast'!$C$20:$C$1181,'Incremental Network SummerFcast'!$A187)+
SUMIFS('Customer Scenario Forecast'!B$25:B$1186,'Customer Scenario Forecast'!$D$20:$D$1181,'Incremental Network SummerFcast'!$A187)+
SUMIFS('Customer Scenario Forecast'!B$25:B$1186,'Customer Scenario Forecast'!$E$20:$E$1181,'Incremental Network SummerFcast'!$A187)+B189),
1*(
SUMIFS('Customer Scenario Forecast'!B$25:B$1186,'Customer Scenario Forecast'!$C$20:$C$1181,'Incremental Network SummerFcast'!$A187,'Customer Scenario Forecast'!$H$20:$H$1181,'Incremental Network SummerFcast'!$H$1)+
SUMIFS('Customer Scenario Forecast'!B$25:B$1186,'Customer Scenario Forecast'!$D$20:$D$1181,'Incremental Network SummerFcast'!$A187,'Customer Scenario Forecast'!$H$20:$H$1181,'Incremental Network SummerFcast'!$H$1)+
SUMIFS('Customer Scenario Forecast'!B$25:B$1186,'Customer Scenario Forecast'!$E$20:$E$1181,'Incremental Network SummerFcast'!$A187,'Customer Scenario Forecast'!$H$20:$H$1181,'Incremental Network SummerFcast'!$H$1)+B189))</f>
        <v>0</v>
      </c>
      <c r="C193" s="198">
        <f ca="1">IF($H$1="",
1*(
SUMIFS('Customer Scenario Forecast'!C$25:C$1186,'Customer Scenario Forecast'!$C$20:$C$1181,'Incremental Network SummerFcast'!$A187)+
SUMIFS('Customer Scenario Forecast'!C$25:C$1186,'Customer Scenario Forecast'!$D$20:$D$1181,'Incremental Network SummerFcast'!$A187)+
SUMIFS('Customer Scenario Forecast'!C$25:C$1186,'Customer Scenario Forecast'!$E$20:$E$1181,'Incremental Network SummerFcast'!$A187)+C189),
1*(
SUMIFS('Customer Scenario Forecast'!C$25:C$1186,'Customer Scenario Forecast'!$C$20:$C$1181,'Incremental Network SummerFcast'!$A187,'Customer Scenario Forecast'!$H$20:$H$1181,'Incremental Network SummerFcast'!$H$1)+
SUMIFS('Customer Scenario Forecast'!C$25:C$1186,'Customer Scenario Forecast'!$D$20:$D$1181,'Incremental Network SummerFcast'!$A187,'Customer Scenario Forecast'!$H$20:$H$1181,'Incremental Network SummerFcast'!$H$1)+
SUMIFS('Customer Scenario Forecast'!C$25:C$1186,'Customer Scenario Forecast'!$E$20:$E$1181,'Incremental Network SummerFcast'!$A187,'Customer Scenario Forecast'!$H$20:$H$1181,'Incremental Network SummerFcast'!$H$1)+C189))</f>
        <v>0</v>
      </c>
      <c r="D193" s="198">
        <f ca="1">IF($H$1="",
1*(
SUMIFS('Customer Scenario Forecast'!D$25:D$1186,'Customer Scenario Forecast'!$C$20:$C$1181,'Incremental Network SummerFcast'!$A187)+
SUMIFS('Customer Scenario Forecast'!D$25:D$1186,'Customer Scenario Forecast'!$D$20:$D$1181,'Incremental Network SummerFcast'!$A187)+
SUMIFS('Customer Scenario Forecast'!D$25:D$1186,'Customer Scenario Forecast'!$E$20:$E$1181,'Incremental Network SummerFcast'!$A187)+D189),
1*(
SUMIFS('Customer Scenario Forecast'!D$25:D$1186,'Customer Scenario Forecast'!$C$20:$C$1181,'Incremental Network SummerFcast'!$A187,'Customer Scenario Forecast'!$H$20:$H$1181,'Incremental Network SummerFcast'!$H$1)+
SUMIFS('Customer Scenario Forecast'!D$25:D$1186,'Customer Scenario Forecast'!$D$20:$D$1181,'Incremental Network SummerFcast'!$A187,'Customer Scenario Forecast'!$H$20:$H$1181,'Incremental Network SummerFcast'!$H$1)+
SUMIFS('Customer Scenario Forecast'!D$25:D$1186,'Customer Scenario Forecast'!$E$20:$E$1181,'Incremental Network SummerFcast'!$A187,'Customer Scenario Forecast'!$H$20:$H$1181,'Incremental Network SummerFcast'!$H$1)+D189))</f>
        <v>0</v>
      </c>
      <c r="E193" s="198">
        <f ca="1">IF($H$1="",
1*(
SUMIFS('Customer Scenario Forecast'!E$25:E$1186,'Customer Scenario Forecast'!$C$20:$C$1181,'Incremental Network SummerFcast'!$A187)+
SUMIFS('Customer Scenario Forecast'!E$25:E$1186,'Customer Scenario Forecast'!$D$20:$D$1181,'Incremental Network SummerFcast'!$A187)+
SUMIFS('Customer Scenario Forecast'!E$25:E$1186,'Customer Scenario Forecast'!$E$20:$E$1181,'Incremental Network SummerFcast'!$A187)+E189),
1*(
SUMIFS('Customer Scenario Forecast'!E$25:E$1186,'Customer Scenario Forecast'!$C$20:$C$1181,'Incremental Network SummerFcast'!$A187,'Customer Scenario Forecast'!$H$20:$H$1181,'Incremental Network SummerFcast'!$H$1)+
SUMIFS('Customer Scenario Forecast'!E$25:E$1186,'Customer Scenario Forecast'!$D$20:$D$1181,'Incremental Network SummerFcast'!$A187,'Customer Scenario Forecast'!$H$20:$H$1181,'Incremental Network SummerFcast'!$H$1)+
SUMIFS('Customer Scenario Forecast'!E$25:E$1186,'Customer Scenario Forecast'!$E$20:$E$1181,'Incremental Network SummerFcast'!$A187,'Customer Scenario Forecast'!$H$20:$H$1181,'Incremental Network SummerFcast'!$H$1)+E189))</f>
        <v>0</v>
      </c>
      <c r="F193" s="198">
        <f ca="1">IF($H$1="",
1*(
SUMIFS('Customer Scenario Forecast'!F$25:F$1186,'Customer Scenario Forecast'!$C$20:$C$1181,'Incremental Network SummerFcast'!$A187)+
SUMIFS('Customer Scenario Forecast'!F$25:F$1186,'Customer Scenario Forecast'!$D$20:$D$1181,'Incremental Network SummerFcast'!$A187)+
SUMIFS('Customer Scenario Forecast'!F$25:F$1186,'Customer Scenario Forecast'!$E$20:$E$1181,'Incremental Network SummerFcast'!$A187)+F189),
1*(
SUMIFS('Customer Scenario Forecast'!F$25:F$1186,'Customer Scenario Forecast'!$C$20:$C$1181,'Incremental Network SummerFcast'!$A187,'Customer Scenario Forecast'!$H$20:$H$1181,'Incremental Network SummerFcast'!$H$1)+
SUMIFS('Customer Scenario Forecast'!F$25:F$1186,'Customer Scenario Forecast'!$D$20:$D$1181,'Incremental Network SummerFcast'!$A187,'Customer Scenario Forecast'!$H$20:$H$1181,'Incremental Network SummerFcast'!$H$1)+
SUMIFS('Customer Scenario Forecast'!F$25:F$1186,'Customer Scenario Forecast'!$E$20:$E$1181,'Incremental Network SummerFcast'!$A187,'Customer Scenario Forecast'!$H$20:$H$1181,'Incremental Network SummerFcast'!$H$1)+F189))</f>
        <v>0</v>
      </c>
      <c r="G193" s="198">
        <f ca="1">IF($H$1="",
1*(
SUMIFS('Customer Scenario Forecast'!G$25:G$1186,'Customer Scenario Forecast'!$C$20:$C$1181,'Incremental Network SummerFcast'!$A187)+
SUMIFS('Customer Scenario Forecast'!G$25:G$1186,'Customer Scenario Forecast'!$D$20:$D$1181,'Incremental Network SummerFcast'!$A187)+
SUMIFS('Customer Scenario Forecast'!G$25:G$1186,'Customer Scenario Forecast'!$E$20:$E$1181,'Incremental Network SummerFcast'!$A187)+G189),
1*(
SUMIFS('Customer Scenario Forecast'!G$25:G$1186,'Customer Scenario Forecast'!$C$20:$C$1181,'Incremental Network SummerFcast'!$A187,'Customer Scenario Forecast'!$H$20:$H$1181,'Incremental Network SummerFcast'!$H$1)+
SUMIFS('Customer Scenario Forecast'!G$25:G$1186,'Customer Scenario Forecast'!$D$20:$D$1181,'Incremental Network SummerFcast'!$A187,'Customer Scenario Forecast'!$H$20:$H$1181,'Incremental Network SummerFcast'!$H$1)+
SUMIFS('Customer Scenario Forecast'!G$25:G$1186,'Customer Scenario Forecast'!$E$20:$E$1181,'Incremental Network SummerFcast'!$A187,'Customer Scenario Forecast'!$H$20:$H$1181,'Incremental Network SummerFcast'!$H$1)+G189))</f>
        <v>0</v>
      </c>
      <c r="H193" s="198">
        <f ca="1">IF($H$1="",
1*(
SUMIFS('Customer Scenario Forecast'!H$25:H$1186,'Customer Scenario Forecast'!$C$20:$C$1181,'Incremental Network SummerFcast'!$A187)+
SUMIFS('Customer Scenario Forecast'!H$25:H$1186,'Customer Scenario Forecast'!$D$20:$D$1181,'Incremental Network SummerFcast'!$A187)+
SUMIFS('Customer Scenario Forecast'!H$25:H$1186,'Customer Scenario Forecast'!$E$20:$E$1181,'Incremental Network SummerFcast'!$A187)+H189),
1*(
SUMIFS('Customer Scenario Forecast'!H$25:H$1186,'Customer Scenario Forecast'!$C$20:$C$1181,'Incremental Network SummerFcast'!$A187,'Customer Scenario Forecast'!$H$20:$H$1181,'Incremental Network SummerFcast'!$H$1)+
SUMIFS('Customer Scenario Forecast'!H$25:H$1186,'Customer Scenario Forecast'!$D$20:$D$1181,'Incremental Network SummerFcast'!$A187,'Customer Scenario Forecast'!$H$20:$H$1181,'Incremental Network SummerFcast'!$H$1)+
SUMIFS('Customer Scenario Forecast'!H$25:H$1186,'Customer Scenario Forecast'!$E$20:$E$1181,'Incremental Network SummerFcast'!$A187,'Customer Scenario Forecast'!$H$20:$H$1181,'Incremental Network SummerFcast'!$H$1)+H189))</f>
        <v>0</v>
      </c>
      <c r="I193" s="198">
        <f ca="1">IF($H$1="",
1*(
SUMIFS('Customer Scenario Forecast'!I$25:I$1186,'Customer Scenario Forecast'!$C$20:$C$1181,'Incremental Network SummerFcast'!$A187)+
SUMIFS('Customer Scenario Forecast'!I$25:I$1186,'Customer Scenario Forecast'!$D$20:$D$1181,'Incremental Network SummerFcast'!$A187)+
SUMIFS('Customer Scenario Forecast'!I$25:I$1186,'Customer Scenario Forecast'!$E$20:$E$1181,'Incremental Network SummerFcast'!$A187)+I189),
1*(
SUMIFS('Customer Scenario Forecast'!I$25:I$1186,'Customer Scenario Forecast'!$C$20:$C$1181,'Incremental Network SummerFcast'!$A187,'Customer Scenario Forecast'!$H$20:$H$1181,'Incremental Network SummerFcast'!$H$1)+
SUMIFS('Customer Scenario Forecast'!I$25:I$1186,'Customer Scenario Forecast'!$D$20:$D$1181,'Incremental Network SummerFcast'!$A187,'Customer Scenario Forecast'!$H$20:$H$1181,'Incremental Network SummerFcast'!$H$1)+
SUMIFS('Customer Scenario Forecast'!I$25:I$1186,'Customer Scenario Forecast'!$E$20:$E$1181,'Incremental Network SummerFcast'!$A187,'Customer Scenario Forecast'!$H$20:$H$1181,'Incremental Network SummerFcast'!$H$1)+I189))</f>
        <v>0</v>
      </c>
      <c r="J193" s="198">
        <f ca="1">IF($H$1="",
1*(
SUMIFS('Customer Scenario Forecast'!J$25:J$1186,'Customer Scenario Forecast'!$C$20:$C$1181,'Incremental Network SummerFcast'!$A187)+
SUMIFS('Customer Scenario Forecast'!J$25:J$1186,'Customer Scenario Forecast'!$D$20:$D$1181,'Incremental Network SummerFcast'!$A187)+
SUMIFS('Customer Scenario Forecast'!J$25:J$1186,'Customer Scenario Forecast'!$E$20:$E$1181,'Incremental Network SummerFcast'!$A187)+J189),
1*(
SUMIFS('Customer Scenario Forecast'!J$25:J$1186,'Customer Scenario Forecast'!$C$20:$C$1181,'Incremental Network SummerFcast'!$A187,'Customer Scenario Forecast'!$H$20:$H$1181,'Incremental Network SummerFcast'!$H$1)+
SUMIFS('Customer Scenario Forecast'!J$25:J$1186,'Customer Scenario Forecast'!$D$20:$D$1181,'Incremental Network SummerFcast'!$A187,'Customer Scenario Forecast'!$H$20:$H$1181,'Incremental Network SummerFcast'!$H$1)+
SUMIFS('Customer Scenario Forecast'!J$25:J$1186,'Customer Scenario Forecast'!$E$20:$E$1181,'Incremental Network SummerFcast'!$A187,'Customer Scenario Forecast'!$H$20:$H$1181,'Incremental Network SummerFcast'!$H$1)+J189))</f>
        <v>0</v>
      </c>
      <c r="K193" s="198">
        <f ca="1">IF($H$1="",
1*(
SUMIFS('Customer Scenario Forecast'!K$25:K$1186,'Customer Scenario Forecast'!$C$20:$C$1181,'Incremental Network SummerFcast'!$A187)+
SUMIFS('Customer Scenario Forecast'!K$25:K$1186,'Customer Scenario Forecast'!$D$20:$D$1181,'Incremental Network SummerFcast'!$A187)+
SUMIFS('Customer Scenario Forecast'!K$25:K$1186,'Customer Scenario Forecast'!$E$20:$E$1181,'Incremental Network SummerFcast'!$A187)+K189),
1*(
SUMIFS('Customer Scenario Forecast'!K$25:K$1186,'Customer Scenario Forecast'!$C$20:$C$1181,'Incremental Network SummerFcast'!$A187,'Customer Scenario Forecast'!$H$20:$H$1181,'Incremental Network SummerFcast'!$H$1)+
SUMIFS('Customer Scenario Forecast'!K$25:K$1186,'Customer Scenario Forecast'!$D$20:$D$1181,'Incremental Network SummerFcast'!$A187,'Customer Scenario Forecast'!$H$20:$H$1181,'Incremental Network SummerFcast'!$H$1)+
SUMIFS('Customer Scenario Forecast'!K$25:K$1186,'Customer Scenario Forecast'!$E$20:$E$1181,'Incremental Network SummerFcast'!$A187,'Customer Scenario Forecast'!$H$20:$H$1181,'Incremental Network SummerFcast'!$H$1)+K189))</f>
        <v>0</v>
      </c>
      <c r="L193" s="198">
        <f ca="1">IF($H$1="",
1*(
SUMIFS('Customer Scenario Forecast'!L$25:L$1186,'Customer Scenario Forecast'!$C$20:$C$1181,'Incremental Network SummerFcast'!$A187)+
SUMIFS('Customer Scenario Forecast'!L$25:L$1186,'Customer Scenario Forecast'!$D$20:$D$1181,'Incremental Network SummerFcast'!$A187)+
SUMIFS('Customer Scenario Forecast'!L$25:L$1186,'Customer Scenario Forecast'!$E$20:$E$1181,'Incremental Network SummerFcast'!$A187)+L189),
1*(
SUMIFS('Customer Scenario Forecast'!L$25:L$1186,'Customer Scenario Forecast'!$C$20:$C$1181,'Incremental Network SummerFcast'!$A187,'Customer Scenario Forecast'!$H$20:$H$1181,'Incremental Network SummerFcast'!$H$1)+
SUMIFS('Customer Scenario Forecast'!L$25:L$1186,'Customer Scenario Forecast'!$D$20:$D$1181,'Incremental Network SummerFcast'!$A187,'Customer Scenario Forecast'!$H$20:$H$1181,'Incremental Network SummerFcast'!$H$1)+
SUMIFS('Customer Scenario Forecast'!L$25:L$1186,'Customer Scenario Forecast'!$E$20:$E$1181,'Incremental Network SummerFcast'!$A187,'Customer Scenario Forecast'!$H$20:$H$1181,'Incremental Network SummerFcast'!$H$1)+L189))</f>
        <v>0</v>
      </c>
    </row>
    <row r="194" spans="1:13" ht="15.6" thickTop="1" thickBot="1">
      <c r="A194" s="197" t="s">
        <v>148</v>
      </c>
      <c r="B194" s="198">
        <f ca="1">'Incremental Network SummerFcast'!$B$245*B191+'Incremental Network SummerFcast'!$B$246*B192+'Incremental Network SummerFcast'!$B$247*B193</f>
        <v>0</v>
      </c>
      <c r="C194" s="198">
        <f ca="1">'Incremental Network SummerFcast'!$B$245*C191+'Incremental Network SummerFcast'!$B$246*C192+'Incremental Network SummerFcast'!$B$247*C193</f>
        <v>0</v>
      </c>
      <c r="D194" s="198">
        <f ca="1">'Incremental Network SummerFcast'!$B$245*D191+'Incremental Network SummerFcast'!$B$246*D192+'Incremental Network SummerFcast'!$B$247*D193</f>
        <v>0</v>
      </c>
      <c r="E194" s="198">
        <f ca="1">'Incremental Network SummerFcast'!$B$245*E191+'Incremental Network SummerFcast'!$B$246*E192+'Incremental Network SummerFcast'!$B$247*E193</f>
        <v>0</v>
      </c>
      <c r="F194" s="198">
        <f ca="1">'Incremental Network SummerFcast'!$B$245*F191+'Incremental Network SummerFcast'!$B$246*F192+'Incremental Network SummerFcast'!$B$247*F193</f>
        <v>0</v>
      </c>
      <c r="G194" s="198">
        <f ca="1">'Incremental Network SummerFcast'!$B$245*G191+'Incremental Network SummerFcast'!$B$246*G192+'Incremental Network SummerFcast'!$B$247*G193</f>
        <v>0</v>
      </c>
      <c r="H194" s="198">
        <f ca="1">'Incremental Network SummerFcast'!$B$245*H191+'Incremental Network SummerFcast'!$B$246*H192+'Incremental Network SummerFcast'!$B$247*H193</f>
        <v>0</v>
      </c>
      <c r="I194" s="198">
        <f ca="1">'Incremental Network SummerFcast'!$B$245*I191+'Incremental Network SummerFcast'!$B$246*I192+'Incremental Network SummerFcast'!$B$247*I193</f>
        <v>0</v>
      </c>
      <c r="J194" s="198">
        <f ca="1">'Incremental Network SummerFcast'!$B$245*J191+'Incremental Network SummerFcast'!$B$246*J192+'Incremental Network SummerFcast'!$B$247*J193</f>
        <v>0</v>
      </c>
      <c r="K194" s="198">
        <f ca="1">'Incremental Network SummerFcast'!$B$245*K191+'Incremental Network SummerFcast'!$B$246*K192+'Incremental Network SummerFcast'!$B$247*K193</f>
        <v>0</v>
      </c>
      <c r="L194" s="198">
        <f ca="1">'Incremental Network SummerFcast'!$B$245*L191+'Incremental Network SummerFcast'!$B$246*L192+'Incremental Network SummerFcast'!$B$247*L193</f>
        <v>0</v>
      </c>
    </row>
    <row r="195" spans="1:13" ht="15.6" thickTop="1" thickBot="1">
      <c r="A195" s="188" t="s">
        <v>120</v>
      </c>
      <c r="B195" s="216"/>
      <c r="C195" s="190"/>
      <c r="D195" s="190"/>
      <c r="E195" s="190"/>
      <c r="F195" s="190"/>
      <c r="G195" s="190"/>
      <c r="H195" s="190"/>
      <c r="I195" s="190"/>
      <c r="J195" s="190"/>
      <c r="K195" s="190"/>
      <c r="L195" s="190"/>
    </row>
    <row r="196" spans="1:13" ht="15" thickBot="1">
      <c r="A196" s="191" t="str">
        <f>A188</f>
        <v>Uptake Scenario</v>
      </c>
      <c r="B196" s="191">
        <f t="shared" ref="B196:L196" si="24">B188</f>
        <v>2023</v>
      </c>
      <c r="C196" s="191">
        <f t="shared" si="24"/>
        <v>2024</v>
      </c>
      <c r="D196" s="191">
        <f t="shared" si="24"/>
        <v>2025</v>
      </c>
      <c r="E196" s="191">
        <f t="shared" si="24"/>
        <v>2026</v>
      </c>
      <c r="F196" s="191">
        <f t="shared" si="24"/>
        <v>2027</v>
      </c>
      <c r="G196" s="191">
        <f t="shared" si="24"/>
        <v>2028</v>
      </c>
      <c r="H196" s="191">
        <f t="shared" si="24"/>
        <v>2029</v>
      </c>
      <c r="I196" s="191">
        <f t="shared" si="24"/>
        <v>2030</v>
      </c>
      <c r="J196" s="191">
        <f t="shared" si="24"/>
        <v>2031</v>
      </c>
      <c r="K196" s="191">
        <f t="shared" si="24"/>
        <v>2032</v>
      </c>
      <c r="L196" s="191">
        <f t="shared" si="24"/>
        <v>2033</v>
      </c>
    </row>
    <row r="197" spans="1:13" ht="15.6" thickTop="1" thickBot="1">
      <c r="A197" s="193"/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37"/>
    </row>
    <row r="198" spans="1:13" ht="15" thickBot="1">
      <c r="A198" s="193" t="s">
        <v>111</v>
      </c>
      <c r="B198" s="194">
        <f ca="1">IF($H$1="",
SUMIFS('Customer Scenario Forecast'!B$22:B$1183,'Customer Scenario Forecast'!$C$20:$C$1181,'Incremental Network SummerFcast'!$A195)+
SUMIFS('Customer Scenario Forecast'!B$22:B$1183,'Customer Scenario Forecast'!$D$20:$D$1181,'Incremental Network SummerFcast'!$A195)+
SUMIFS('Customer Scenario Forecast'!B$22:B$1183,'Customer Scenario Forecast'!$E$20:$E$1181,'Incremental Network SummerFcast'!$A195),
SUMIFS('Customer Scenario Forecast'!B$22:B$1183,'Customer Scenario Forecast'!$C$20:$C$1181,'Incremental Network SummerFcast'!$A195,'Customer Scenario Forecast'!$H$20:$H$1181,'Incremental Network SummerFcast'!$H$1)+
SUMIFS('Customer Scenario Forecast'!B$22:B$1183,'Customer Scenario Forecast'!$D$20:$D$1181,'Incremental Network SummerFcast'!$A195,'Customer Scenario Forecast'!$H$20:$H$1181,'Incremental Network SummerFcast'!$H$1)+
SUMIFS('Customer Scenario Forecast'!B$22:B$1183,'Customer Scenario Forecast'!$E$20:$E$1181,'Incremental Network SummerFcast'!$A195,'Customer Scenario Forecast'!$H$20:$H$1181,'Incremental Network SummerFcast'!$H$1))</f>
        <v>-2</v>
      </c>
      <c r="C198" s="194">
        <f ca="1">IF($H$1="",
SUMIFS('Customer Scenario Forecast'!C$22:C$1183,'Customer Scenario Forecast'!$C$20:$C$1181,'Incremental Network SummerFcast'!$A195)+
SUMIFS('Customer Scenario Forecast'!C$22:C$1183,'Customer Scenario Forecast'!$D$20:$D$1181,'Incremental Network SummerFcast'!$A195)+
SUMIFS('Customer Scenario Forecast'!C$22:C$1183,'Customer Scenario Forecast'!$E$20:$E$1181,'Incremental Network SummerFcast'!$A195),
SUMIFS('Customer Scenario Forecast'!C$22:C$1183,'Customer Scenario Forecast'!$C$20:$C$1181,'Incremental Network SummerFcast'!$A195,'Customer Scenario Forecast'!$H$20:$H$1181,'Incremental Network SummerFcast'!$H$1)+
SUMIFS('Customer Scenario Forecast'!C$22:C$1183,'Customer Scenario Forecast'!$D$20:$D$1181,'Incremental Network SummerFcast'!$A195,'Customer Scenario Forecast'!$H$20:$H$1181,'Incremental Network SummerFcast'!$H$1)+
SUMIFS('Customer Scenario Forecast'!C$22:C$1183,'Customer Scenario Forecast'!$E$20:$E$1181,'Incremental Network SummerFcast'!$A195,'Customer Scenario Forecast'!$H$20:$H$1181,'Incremental Network SummerFcast'!$H$1))</f>
        <v>1.75</v>
      </c>
      <c r="D198" s="194">
        <f ca="1">IF($H$1="",
SUMIFS('Customer Scenario Forecast'!D$22:D$1183,'Customer Scenario Forecast'!$C$20:$C$1181,'Incremental Network SummerFcast'!$A195)+
SUMIFS('Customer Scenario Forecast'!D$22:D$1183,'Customer Scenario Forecast'!$D$20:$D$1181,'Incremental Network SummerFcast'!$A195)+
SUMIFS('Customer Scenario Forecast'!D$22:D$1183,'Customer Scenario Forecast'!$E$20:$E$1181,'Incremental Network SummerFcast'!$A195),
SUMIFS('Customer Scenario Forecast'!D$22:D$1183,'Customer Scenario Forecast'!$C$20:$C$1181,'Incremental Network SummerFcast'!$A195,'Customer Scenario Forecast'!$H$20:$H$1181,'Incremental Network SummerFcast'!$H$1)+
SUMIFS('Customer Scenario Forecast'!D$22:D$1183,'Customer Scenario Forecast'!$D$20:$D$1181,'Incremental Network SummerFcast'!$A195,'Customer Scenario Forecast'!$H$20:$H$1181,'Incremental Network SummerFcast'!$H$1)+
SUMIFS('Customer Scenario Forecast'!D$22:D$1183,'Customer Scenario Forecast'!$E$20:$E$1181,'Incremental Network SummerFcast'!$A195,'Customer Scenario Forecast'!$H$20:$H$1181,'Incremental Network SummerFcast'!$H$1))</f>
        <v>16.861052022669533</v>
      </c>
      <c r="E198" s="194">
        <f ca="1">IF($H$1="",
SUMIFS('Customer Scenario Forecast'!E$22:E$1183,'Customer Scenario Forecast'!$C$20:$C$1181,'Incremental Network SummerFcast'!$A195)+
SUMIFS('Customer Scenario Forecast'!E$22:E$1183,'Customer Scenario Forecast'!$D$20:$D$1181,'Incremental Network SummerFcast'!$A195)+
SUMIFS('Customer Scenario Forecast'!E$22:E$1183,'Customer Scenario Forecast'!$E$20:$E$1181,'Incremental Network SummerFcast'!$A195),
SUMIFS('Customer Scenario Forecast'!E$22:E$1183,'Customer Scenario Forecast'!$C$20:$C$1181,'Incremental Network SummerFcast'!$A195,'Customer Scenario Forecast'!$H$20:$H$1181,'Incremental Network SummerFcast'!$H$1)+
SUMIFS('Customer Scenario Forecast'!E$22:E$1183,'Customer Scenario Forecast'!$D$20:$D$1181,'Incremental Network SummerFcast'!$A195,'Customer Scenario Forecast'!$H$20:$H$1181,'Incremental Network SummerFcast'!$H$1)+
SUMIFS('Customer Scenario Forecast'!E$22:E$1183,'Customer Scenario Forecast'!$E$20:$E$1181,'Incremental Network SummerFcast'!$A195,'Customer Scenario Forecast'!$H$20:$H$1181,'Incremental Network SummerFcast'!$H$1))</f>
        <v>23.501466308383819</v>
      </c>
      <c r="F198" s="194">
        <f ca="1">IF($H$1="",
SUMIFS('Customer Scenario Forecast'!F$22:F$1183,'Customer Scenario Forecast'!$C$20:$C$1181,'Incremental Network SummerFcast'!$A195)+
SUMIFS('Customer Scenario Forecast'!F$22:F$1183,'Customer Scenario Forecast'!$D$20:$D$1181,'Incremental Network SummerFcast'!$A195)+
SUMIFS('Customer Scenario Forecast'!F$22:F$1183,'Customer Scenario Forecast'!$E$20:$E$1181,'Incremental Network SummerFcast'!$A195),
SUMIFS('Customer Scenario Forecast'!F$22:F$1183,'Customer Scenario Forecast'!$C$20:$C$1181,'Incremental Network SummerFcast'!$A195,'Customer Scenario Forecast'!$H$20:$H$1181,'Incremental Network SummerFcast'!$H$1)+
SUMIFS('Customer Scenario Forecast'!F$22:F$1183,'Customer Scenario Forecast'!$D$20:$D$1181,'Incremental Network SummerFcast'!$A195,'Customer Scenario Forecast'!$H$20:$H$1181,'Incremental Network SummerFcast'!$H$1)+
SUMIFS('Customer Scenario Forecast'!F$22:F$1183,'Customer Scenario Forecast'!$E$20:$E$1181,'Incremental Network SummerFcast'!$A195,'Customer Scenario Forecast'!$H$20:$H$1181,'Incremental Network SummerFcast'!$H$1))</f>
        <v>38.408822180965409</v>
      </c>
      <c r="G198" s="194">
        <f ca="1">IF($H$1="",
SUMIFS('Customer Scenario Forecast'!G$22:G$1183,'Customer Scenario Forecast'!$C$20:$C$1181,'Incremental Network SummerFcast'!$A195)+
SUMIFS('Customer Scenario Forecast'!G$22:G$1183,'Customer Scenario Forecast'!$D$20:$D$1181,'Incremental Network SummerFcast'!$A195)+
SUMIFS('Customer Scenario Forecast'!G$22:G$1183,'Customer Scenario Forecast'!$E$20:$E$1181,'Incremental Network SummerFcast'!$A195),
SUMIFS('Customer Scenario Forecast'!G$22:G$1183,'Customer Scenario Forecast'!$C$20:$C$1181,'Incremental Network SummerFcast'!$A195,'Customer Scenario Forecast'!$H$20:$H$1181,'Incremental Network SummerFcast'!$H$1)+
SUMIFS('Customer Scenario Forecast'!G$22:G$1183,'Customer Scenario Forecast'!$D$20:$D$1181,'Incremental Network SummerFcast'!$A195,'Customer Scenario Forecast'!$H$20:$H$1181,'Incremental Network SummerFcast'!$H$1)+
SUMIFS('Customer Scenario Forecast'!G$22:G$1183,'Customer Scenario Forecast'!$E$20:$E$1181,'Incremental Network SummerFcast'!$A195,'Customer Scenario Forecast'!$H$20:$H$1181,'Incremental Network SummerFcast'!$H$1))</f>
        <v>53.71195528890626</v>
      </c>
      <c r="H198" s="194">
        <f ca="1">IF($H$1="",
SUMIFS('Customer Scenario Forecast'!H$22:H$1183,'Customer Scenario Forecast'!$C$20:$C$1181,'Incremental Network SummerFcast'!$A195)+
SUMIFS('Customer Scenario Forecast'!H$22:H$1183,'Customer Scenario Forecast'!$D$20:$D$1181,'Incremental Network SummerFcast'!$A195)+
SUMIFS('Customer Scenario Forecast'!H$22:H$1183,'Customer Scenario Forecast'!$E$20:$E$1181,'Incremental Network SummerFcast'!$A195),
SUMIFS('Customer Scenario Forecast'!H$22:H$1183,'Customer Scenario Forecast'!$C$20:$C$1181,'Incremental Network SummerFcast'!$A195,'Customer Scenario Forecast'!$H$20:$H$1181,'Incremental Network SummerFcast'!$H$1)+
SUMIFS('Customer Scenario Forecast'!H$22:H$1183,'Customer Scenario Forecast'!$D$20:$D$1181,'Incremental Network SummerFcast'!$A195,'Customer Scenario Forecast'!$H$20:$H$1181,'Incremental Network SummerFcast'!$H$1)+
SUMIFS('Customer Scenario Forecast'!H$22:H$1183,'Customer Scenario Forecast'!$E$20:$E$1181,'Incremental Network SummerFcast'!$A195,'Customer Scenario Forecast'!$H$20:$H$1181,'Incremental Network SummerFcast'!$H$1))</f>
        <v>64.8942886222396</v>
      </c>
      <c r="I198" s="194">
        <f ca="1">IF($H$1="",
SUMIFS('Customer Scenario Forecast'!I$22:I$1183,'Customer Scenario Forecast'!$C$20:$C$1181,'Incremental Network SummerFcast'!$A195)+
SUMIFS('Customer Scenario Forecast'!I$22:I$1183,'Customer Scenario Forecast'!$D$20:$D$1181,'Incremental Network SummerFcast'!$A195)+
SUMIFS('Customer Scenario Forecast'!I$22:I$1183,'Customer Scenario Forecast'!$E$20:$E$1181,'Incremental Network SummerFcast'!$A195),
SUMIFS('Customer Scenario Forecast'!I$22:I$1183,'Customer Scenario Forecast'!$C$20:$C$1181,'Incremental Network SummerFcast'!$A195,'Customer Scenario Forecast'!$H$20:$H$1181,'Incremental Network SummerFcast'!$H$1)+
SUMIFS('Customer Scenario Forecast'!I$22:I$1183,'Customer Scenario Forecast'!$D$20:$D$1181,'Incremental Network SummerFcast'!$A195,'Customer Scenario Forecast'!$H$20:$H$1181,'Incremental Network SummerFcast'!$H$1)+
SUMIFS('Customer Scenario Forecast'!I$22:I$1183,'Customer Scenario Forecast'!$E$20:$E$1181,'Incremental Network SummerFcast'!$A195,'Customer Scenario Forecast'!$H$20:$H$1181,'Incremental Network SummerFcast'!$H$1))</f>
        <v>111.45631713243435</v>
      </c>
      <c r="J198" s="194">
        <f ca="1">IF($H$1="",
SUMIFS('Customer Scenario Forecast'!J$22:J$1183,'Customer Scenario Forecast'!$C$20:$C$1181,'Incremental Network SummerFcast'!$A195)+
SUMIFS('Customer Scenario Forecast'!J$22:J$1183,'Customer Scenario Forecast'!$D$20:$D$1181,'Incremental Network SummerFcast'!$A195)+
SUMIFS('Customer Scenario Forecast'!J$22:J$1183,'Customer Scenario Forecast'!$E$20:$E$1181,'Incremental Network SummerFcast'!$A195),
SUMIFS('Customer Scenario Forecast'!J$22:J$1183,'Customer Scenario Forecast'!$C$20:$C$1181,'Incremental Network SummerFcast'!$A195,'Customer Scenario Forecast'!$H$20:$H$1181,'Incremental Network SummerFcast'!$H$1)+
SUMIFS('Customer Scenario Forecast'!J$22:J$1183,'Customer Scenario Forecast'!$D$20:$D$1181,'Incremental Network SummerFcast'!$A195,'Customer Scenario Forecast'!$H$20:$H$1181,'Incremental Network SummerFcast'!$H$1)+
SUMIFS('Customer Scenario Forecast'!J$22:J$1183,'Customer Scenario Forecast'!$E$20:$E$1181,'Incremental Network SummerFcast'!$A195,'Customer Scenario Forecast'!$H$20:$H$1181,'Incremental Network SummerFcast'!$H$1))</f>
        <v>175.80063000846849</v>
      </c>
      <c r="K198" s="194">
        <f ca="1">IF($H$1="",
SUMIFS('Customer Scenario Forecast'!K$22:K$1183,'Customer Scenario Forecast'!$C$20:$C$1181,'Incremental Network SummerFcast'!$A195)+
SUMIFS('Customer Scenario Forecast'!K$22:K$1183,'Customer Scenario Forecast'!$D$20:$D$1181,'Incremental Network SummerFcast'!$A195)+
SUMIFS('Customer Scenario Forecast'!K$22:K$1183,'Customer Scenario Forecast'!$E$20:$E$1181,'Incremental Network SummerFcast'!$A195),
SUMIFS('Customer Scenario Forecast'!K$22:K$1183,'Customer Scenario Forecast'!$C$20:$C$1181,'Incremental Network SummerFcast'!$A195,'Customer Scenario Forecast'!$H$20:$H$1181,'Incremental Network SummerFcast'!$H$1)+
SUMIFS('Customer Scenario Forecast'!K$22:K$1183,'Customer Scenario Forecast'!$D$20:$D$1181,'Incremental Network SummerFcast'!$A195,'Customer Scenario Forecast'!$H$20:$H$1181,'Incremental Network SummerFcast'!$H$1)+
SUMIFS('Customer Scenario Forecast'!K$22:K$1183,'Customer Scenario Forecast'!$E$20:$E$1181,'Incremental Network SummerFcast'!$A195,'Customer Scenario Forecast'!$H$20:$H$1181,'Incremental Network SummerFcast'!$H$1))</f>
        <v>214.17811515601593</v>
      </c>
      <c r="L198" s="194">
        <f ca="1">IF($H$1="",
SUMIFS('Customer Scenario Forecast'!L$22:L$1183,'Customer Scenario Forecast'!$C$20:$C$1181,'Incremental Network SummerFcast'!$A195)+
SUMIFS('Customer Scenario Forecast'!L$22:L$1183,'Customer Scenario Forecast'!$D$20:$D$1181,'Incremental Network SummerFcast'!$A195)+
SUMIFS('Customer Scenario Forecast'!L$22:L$1183,'Customer Scenario Forecast'!$E$20:$E$1181,'Incremental Network SummerFcast'!$A195),
SUMIFS('Customer Scenario Forecast'!L$22:L$1183,'Customer Scenario Forecast'!$C$20:$C$1181,'Incremental Network SummerFcast'!$A195,'Customer Scenario Forecast'!$H$20:$H$1181,'Incremental Network SummerFcast'!$H$1)+
SUMIFS('Customer Scenario Forecast'!L$22:L$1183,'Customer Scenario Forecast'!$D$20:$D$1181,'Incremental Network SummerFcast'!$A195,'Customer Scenario Forecast'!$H$20:$H$1181,'Incremental Network SummerFcast'!$H$1)+
SUMIFS('Customer Scenario Forecast'!L$22:L$1183,'Customer Scenario Forecast'!$E$20:$E$1181,'Incremental Network SummerFcast'!$A195,'Customer Scenario Forecast'!$H$20:$H$1181,'Incremental Network SummerFcast'!$H$1))</f>
        <v>312.77441607712848</v>
      </c>
      <c r="M198" s="37"/>
    </row>
    <row r="199" spans="1:13" ht="15" thickBot="1">
      <c r="A199" s="195" t="s">
        <v>107</v>
      </c>
      <c r="B199" s="196">
        <f ca="1">IF($H$1="",
1*(
SUMIFS('Customer Scenario Forecast'!B$23:B$1184,'Customer Scenario Forecast'!$C$20:$C$1181,'Incremental Network SummerFcast'!$A195)+
SUMIFS('Customer Scenario Forecast'!B$23:B$1184,'Customer Scenario Forecast'!$D$20:$D$1181,'Incremental Network SummerFcast'!$A195)+
SUMIFS('Customer Scenario Forecast'!B$23:B$1184,'Customer Scenario Forecast'!$E$20:$E$1181,'Incremental Network SummerFcast'!$A195)+B197),
1*(
SUMIFS('Customer Scenario Forecast'!B$23:B$1184,'Customer Scenario Forecast'!$C$20:$C$1181,'Incremental Network SummerFcast'!$A195,'Customer Scenario Forecast'!$H$20:$H$1181,'Incremental Network SummerFcast'!$H$1)+
SUMIFS('Customer Scenario Forecast'!B$23:B$1184,'Customer Scenario Forecast'!$D$20:$D$1181,'Incremental Network SummerFcast'!$A195,'Customer Scenario Forecast'!$H$20:$H$1181,'Incremental Network SummerFcast'!$H$1)+
SUMIFS('Customer Scenario Forecast'!B$23:B$1184,'Customer Scenario Forecast'!$E$20:$E$1181,'Incremental Network SummerFcast'!$A195,'Customer Scenario Forecast'!$H$20:$H$1181,'Incremental Network SummerFcast'!$H$1)+B197))</f>
        <v>-2</v>
      </c>
      <c r="C199" s="196">
        <f ca="1">IF($H$1="",
1*(
SUMIFS('Customer Scenario Forecast'!C$23:C$1184,'Customer Scenario Forecast'!$C$20:$C$1181,'Incremental Network SummerFcast'!$A195)+
SUMIFS('Customer Scenario Forecast'!C$23:C$1184,'Customer Scenario Forecast'!$D$20:$D$1181,'Incremental Network SummerFcast'!$A195)+
SUMIFS('Customer Scenario Forecast'!C$23:C$1184,'Customer Scenario Forecast'!$E$20:$E$1181,'Incremental Network SummerFcast'!$A195)+C197),
1*(
SUMIFS('Customer Scenario Forecast'!C$23:C$1184,'Customer Scenario Forecast'!$C$20:$C$1181,'Incremental Network SummerFcast'!$A195,'Customer Scenario Forecast'!$H$20:$H$1181,'Incremental Network SummerFcast'!$H$1)+
SUMIFS('Customer Scenario Forecast'!C$23:C$1184,'Customer Scenario Forecast'!$D$20:$D$1181,'Incremental Network SummerFcast'!$A195,'Customer Scenario Forecast'!$H$20:$H$1181,'Incremental Network SummerFcast'!$H$1)+
SUMIFS('Customer Scenario Forecast'!C$23:C$1184,'Customer Scenario Forecast'!$E$20:$E$1181,'Incremental Network SummerFcast'!$A195,'Customer Scenario Forecast'!$H$20:$H$1181,'Incremental Network SummerFcast'!$H$1)+C197))</f>
        <v>1.75</v>
      </c>
      <c r="D199" s="196">
        <f ca="1">IF($H$1="",
1*(
SUMIFS('Customer Scenario Forecast'!D$23:D$1184,'Customer Scenario Forecast'!$C$20:$C$1181,'Incremental Network SummerFcast'!$A195)+
SUMIFS('Customer Scenario Forecast'!D$23:D$1184,'Customer Scenario Forecast'!$D$20:$D$1181,'Incremental Network SummerFcast'!$A195)+
SUMIFS('Customer Scenario Forecast'!D$23:D$1184,'Customer Scenario Forecast'!$E$20:$E$1181,'Incremental Network SummerFcast'!$A195)+D197),
1*(
SUMIFS('Customer Scenario Forecast'!D$23:D$1184,'Customer Scenario Forecast'!$C$20:$C$1181,'Incremental Network SummerFcast'!$A195,'Customer Scenario Forecast'!$H$20:$H$1181,'Incremental Network SummerFcast'!$H$1)+
SUMIFS('Customer Scenario Forecast'!D$23:D$1184,'Customer Scenario Forecast'!$D$20:$D$1181,'Incremental Network SummerFcast'!$A195,'Customer Scenario Forecast'!$H$20:$H$1181,'Incremental Network SummerFcast'!$H$1)+
SUMIFS('Customer Scenario Forecast'!D$23:D$1184,'Customer Scenario Forecast'!$E$20:$E$1181,'Incremental Network SummerFcast'!$A195,'Customer Scenario Forecast'!$H$20:$H$1181,'Incremental Network SummerFcast'!$H$1)+D197))</f>
        <v>16.861052022669533</v>
      </c>
      <c r="E199" s="196">
        <f ca="1">IF($H$1="",
1*(
SUMIFS('Customer Scenario Forecast'!E$23:E$1184,'Customer Scenario Forecast'!$C$20:$C$1181,'Incremental Network SummerFcast'!$A195)+
SUMIFS('Customer Scenario Forecast'!E$23:E$1184,'Customer Scenario Forecast'!$D$20:$D$1181,'Incremental Network SummerFcast'!$A195)+
SUMIFS('Customer Scenario Forecast'!E$23:E$1184,'Customer Scenario Forecast'!$E$20:$E$1181,'Incremental Network SummerFcast'!$A195)+E197),
1*(
SUMIFS('Customer Scenario Forecast'!E$23:E$1184,'Customer Scenario Forecast'!$C$20:$C$1181,'Incremental Network SummerFcast'!$A195,'Customer Scenario Forecast'!$H$20:$H$1181,'Incremental Network SummerFcast'!$H$1)+
SUMIFS('Customer Scenario Forecast'!E$23:E$1184,'Customer Scenario Forecast'!$D$20:$D$1181,'Incremental Network SummerFcast'!$A195,'Customer Scenario Forecast'!$H$20:$H$1181,'Incremental Network SummerFcast'!$H$1)+
SUMIFS('Customer Scenario Forecast'!E$23:E$1184,'Customer Scenario Forecast'!$E$20:$E$1181,'Incremental Network SummerFcast'!$A195,'Customer Scenario Forecast'!$H$20:$H$1181,'Incremental Network SummerFcast'!$H$1)+E197))</f>
        <v>23.501466308383819</v>
      </c>
      <c r="F199" s="196">
        <f ca="1">IF($H$1="",
1*(
SUMIFS('Customer Scenario Forecast'!F$23:F$1184,'Customer Scenario Forecast'!$C$20:$C$1181,'Incremental Network SummerFcast'!$A195)+
SUMIFS('Customer Scenario Forecast'!F$23:F$1184,'Customer Scenario Forecast'!$D$20:$D$1181,'Incremental Network SummerFcast'!$A195)+
SUMIFS('Customer Scenario Forecast'!F$23:F$1184,'Customer Scenario Forecast'!$E$20:$E$1181,'Incremental Network SummerFcast'!$A195)+F197),
1*(
SUMIFS('Customer Scenario Forecast'!F$23:F$1184,'Customer Scenario Forecast'!$C$20:$C$1181,'Incremental Network SummerFcast'!$A195,'Customer Scenario Forecast'!$H$20:$H$1181,'Incremental Network SummerFcast'!$H$1)+
SUMIFS('Customer Scenario Forecast'!F$23:F$1184,'Customer Scenario Forecast'!$D$20:$D$1181,'Incremental Network SummerFcast'!$A195,'Customer Scenario Forecast'!$H$20:$H$1181,'Incremental Network SummerFcast'!$H$1)+
SUMIFS('Customer Scenario Forecast'!F$23:F$1184,'Customer Scenario Forecast'!$E$20:$E$1181,'Incremental Network SummerFcast'!$A195,'Customer Scenario Forecast'!$H$20:$H$1181,'Incremental Network SummerFcast'!$H$1)+F197))</f>
        <v>24.719637736955249</v>
      </c>
      <c r="G199" s="196">
        <f ca="1">IF($H$1="",
1*(
SUMIFS('Customer Scenario Forecast'!G$23:G$1184,'Customer Scenario Forecast'!$C$20:$C$1181,'Incremental Network SummerFcast'!$A195)+
SUMIFS('Customer Scenario Forecast'!G$23:G$1184,'Customer Scenario Forecast'!$D$20:$D$1181,'Incremental Network SummerFcast'!$A195)+
SUMIFS('Customer Scenario Forecast'!G$23:G$1184,'Customer Scenario Forecast'!$E$20:$E$1181,'Incremental Network SummerFcast'!$A195)+G197),
1*(
SUMIFS('Customer Scenario Forecast'!G$23:G$1184,'Customer Scenario Forecast'!$C$20:$C$1181,'Incremental Network SummerFcast'!$A195,'Customer Scenario Forecast'!$H$20:$H$1181,'Incremental Network SummerFcast'!$H$1)+
SUMIFS('Customer Scenario Forecast'!G$23:G$1184,'Customer Scenario Forecast'!$D$20:$D$1181,'Incremental Network SummerFcast'!$A195,'Customer Scenario Forecast'!$H$20:$H$1181,'Incremental Network SummerFcast'!$H$1)+
SUMIFS('Customer Scenario Forecast'!G$23:G$1184,'Customer Scenario Forecast'!$E$20:$E$1181,'Incremental Network SummerFcast'!$A195,'Customer Scenario Forecast'!$H$20:$H$1181,'Incremental Network SummerFcast'!$H$1)+G197))</f>
        <v>28.356677736955248</v>
      </c>
      <c r="H199" s="196">
        <f ca="1">IF($H$1="",
1*(
SUMIFS('Customer Scenario Forecast'!H$23:H$1184,'Customer Scenario Forecast'!$C$20:$C$1181,'Incremental Network SummerFcast'!$A195)+
SUMIFS('Customer Scenario Forecast'!H$23:H$1184,'Customer Scenario Forecast'!$D$20:$D$1181,'Incremental Network SummerFcast'!$A195)+
SUMIFS('Customer Scenario Forecast'!H$23:H$1184,'Customer Scenario Forecast'!$E$20:$E$1181,'Incremental Network SummerFcast'!$A195)+H197),
1*(
SUMIFS('Customer Scenario Forecast'!H$23:H$1184,'Customer Scenario Forecast'!$C$20:$C$1181,'Incremental Network SummerFcast'!$A195,'Customer Scenario Forecast'!$H$20:$H$1181,'Incremental Network SummerFcast'!$H$1)+
SUMIFS('Customer Scenario Forecast'!H$23:H$1184,'Customer Scenario Forecast'!$D$20:$D$1181,'Incremental Network SummerFcast'!$A195,'Customer Scenario Forecast'!$H$20:$H$1181,'Incremental Network SummerFcast'!$H$1)+
SUMIFS('Customer Scenario Forecast'!H$23:H$1184,'Customer Scenario Forecast'!$E$20:$E$1181,'Incremental Network SummerFcast'!$A195,'Customer Scenario Forecast'!$H$20:$H$1181,'Incremental Network SummerFcast'!$H$1)+H197))</f>
        <v>30.734563451240962</v>
      </c>
      <c r="I199" s="196">
        <f ca="1">IF($H$1="",
1*(
SUMIFS('Customer Scenario Forecast'!I$23:I$1184,'Customer Scenario Forecast'!$C$20:$C$1181,'Incremental Network SummerFcast'!$A195)+
SUMIFS('Customer Scenario Forecast'!I$23:I$1184,'Customer Scenario Forecast'!$D$20:$D$1181,'Incremental Network SummerFcast'!$A195)+
SUMIFS('Customer Scenario Forecast'!I$23:I$1184,'Customer Scenario Forecast'!$E$20:$E$1181,'Incremental Network SummerFcast'!$A195)+I197),
1*(
SUMIFS('Customer Scenario Forecast'!I$23:I$1184,'Customer Scenario Forecast'!$C$20:$C$1181,'Incremental Network SummerFcast'!$A195,'Customer Scenario Forecast'!$H$20:$H$1181,'Incremental Network SummerFcast'!$H$1)+
SUMIFS('Customer Scenario Forecast'!I$23:I$1184,'Customer Scenario Forecast'!$D$20:$D$1181,'Incremental Network SummerFcast'!$A195,'Customer Scenario Forecast'!$H$20:$H$1181,'Incremental Network SummerFcast'!$H$1)+
SUMIFS('Customer Scenario Forecast'!I$23:I$1184,'Customer Scenario Forecast'!$E$20:$E$1181,'Incremental Network SummerFcast'!$A195,'Customer Scenario Forecast'!$H$20:$H$1181,'Incremental Network SummerFcast'!$H$1)+I197))</f>
        <v>36.172062187479639</v>
      </c>
      <c r="J199" s="196">
        <f ca="1">IF($H$1="",
1*(
SUMIFS('Customer Scenario Forecast'!J$23:J$1184,'Customer Scenario Forecast'!$C$20:$C$1181,'Incremental Network SummerFcast'!$A195)+
SUMIFS('Customer Scenario Forecast'!J$23:J$1184,'Customer Scenario Forecast'!$D$20:$D$1181,'Incremental Network SummerFcast'!$A195)+
SUMIFS('Customer Scenario Forecast'!J$23:J$1184,'Customer Scenario Forecast'!$E$20:$E$1181,'Incremental Network SummerFcast'!$A195)+J197),
1*(
SUMIFS('Customer Scenario Forecast'!J$23:J$1184,'Customer Scenario Forecast'!$C$20:$C$1181,'Incremental Network SummerFcast'!$A195,'Customer Scenario Forecast'!$H$20:$H$1181,'Incremental Network SummerFcast'!$H$1)+
SUMIFS('Customer Scenario Forecast'!J$23:J$1184,'Customer Scenario Forecast'!$D$20:$D$1181,'Incremental Network SummerFcast'!$A195,'Customer Scenario Forecast'!$H$20:$H$1181,'Incremental Network SummerFcast'!$H$1)+
SUMIFS('Customer Scenario Forecast'!J$23:J$1184,'Customer Scenario Forecast'!$E$20:$E$1181,'Incremental Network SummerFcast'!$A195,'Customer Scenario Forecast'!$H$20:$H$1181,'Incremental Network SummerFcast'!$H$1)+J197))</f>
        <v>40.265052130154388</v>
      </c>
      <c r="K199" s="196">
        <f ca="1">IF($H$1="",
1*(
SUMIFS('Customer Scenario Forecast'!K$23:K$1184,'Customer Scenario Forecast'!$C$20:$C$1181,'Incremental Network SummerFcast'!$A195)+
SUMIFS('Customer Scenario Forecast'!K$23:K$1184,'Customer Scenario Forecast'!$D$20:$D$1181,'Incremental Network SummerFcast'!$A195)+
SUMIFS('Customer Scenario Forecast'!K$23:K$1184,'Customer Scenario Forecast'!$E$20:$E$1181,'Incremental Network SummerFcast'!$A195)+K197),
1*(
SUMIFS('Customer Scenario Forecast'!K$23:K$1184,'Customer Scenario Forecast'!$C$20:$C$1181,'Incremental Network SummerFcast'!$A195,'Customer Scenario Forecast'!$H$20:$H$1181,'Incremental Network SummerFcast'!$H$1)+
SUMIFS('Customer Scenario Forecast'!K$23:K$1184,'Customer Scenario Forecast'!$D$20:$D$1181,'Incremental Network SummerFcast'!$A195,'Customer Scenario Forecast'!$H$20:$H$1181,'Incremental Network SummerFcast'!$H$1)+
SUMIFS('Customer Scenario Forecast'!K$23:K$1184,'Customer Scenario Forecast'!$E$20:$E$1181,'Incremental Network SummerFcast'!$A195,'Customer Scenario Forecast'!$H$20:$H$1181,'Incremental Network SummerFcast'!$H$1)+K197))</f>
        <v>45.562158076607389</v>
      </c>
      <c r="L199" s="196">
        <f ca="1">IF($H$1="",
1*(
SUMIFS('Customer Scenario Forecast'!L$23:L$1184,'Customer Scenario Forecast'!$C$20:$C$1181,'Incremental Network SummerFcast'!$A195)+
SUMIFS('Customer Scenario Forecast'!L$23:L$1184,'Customer Scenario Forecast'!$D$20:$D$1181,'Incremental Network SummerFcast'!$A195)+
SUMIFS('Customer Scenario Forecast'!L$23:L$1184,'Customer Scenario Forecast'!$E$20:$E$1181,'Incremental Network SummerFcast'!$A195)+L197),
1*(
SUMIFS('Customer Scenario Forecast'!L$23:L$1184,'Customer Scenario Forecast'!$C$20:$C$1181,'Incremental Network SummerFcast'!$A195,'Customer Scenario Forecast'!$H$20:$H$1181,'Incremental Network SummerFcast'!$H$1)+
SUMIFS('Customer Scenario Forecast'!L$23:L$1184,'Customer Scenario Forecast'!$D$20:$D$1181,'Incremental Network SummerFcast'!$A195,'Customer Scenario Forecast'!$H$20:$H$1181,'Incremental Network SummerFcast'!$H$1)+
SUMIFS('Customer Scenario Forecast'!L$23:L$1184,'Customer Scenario Forecast'!$E$20:$E$1181,'Incremental Network SummerFcast'!$A195,'Customer Scenario Forecast'!$H$20:$H$1181,'Incremental Network SummerFcast'!$H$1)+L197))</f>
        <v>56.358057951078102</v>
      </c>
    </row>
    <row r="200" spans="1:13" ht="15" thickBot="1">
      <c r="A200" s="195" t="s">
        <v>108</v>
      </c>
      <c r="B200" s="196">
        <f ca="1">IF($H$1="",
1*(
SUMIFS('Customer Scenario Forecast'!B$24:B$1185,'Customer Scenario Forecast'!$C$20:$C$1181,'Incremental Network SummerFcast'!$A195)+
SUMIFS('Customer Scenario Forecast'!B$24:B$1185,'Customer Scenario Forecast'!$D$20:$D$1181,'Incremental Network SummerFcast'!$A195)+
SUMIFS('Customer Scenario Forecast'!B$24:B$1185,'Customer Scenario Forecast'!$E$20:$E$1181,'Incremental Network SummerFcast'!$A195)+B197),
1*(
SUMIFS('Customer Scenario Forecast'!B$24:B$1185,'Customer Scenario Forecast'!$C$20:$C$1181,'Incremental Network SummerFcast'!$A195,'Customer Scenario Forecast'!$H$20:$H$1181,'Incremental Network SummerFcast'!$H$1)+
SUMIFS('Customer Scenario Forecast'!B$24:B$1185,'Customer Scenario Forecast'!$D$20:$D$1181,'Incremental Network SummerFcast'!$A195,'Customer Scenario Forecast'!$H$20:$H$1181,'Incremental Network SummerFcast'!$H$1)+
SUMIFS('Customer Scenario Forecast'!B$24:B$1185,'Customer Scenario Forecast'!$E$20:$E$1181,'Incremental Network SummerFcast'!$A195,'Customer Scenario Forecast'!$H$20:$H$1181,'Incremental Network SummerFcast'!$H$1)+B197))</f>
        <v>-2</v>
      </c>
      <c r="C200" s="196">
        <f ca="1">IF($H$1="",
1*(
SUMIFS('Customer Scenario Forecast'!C$24:C$1185,'Customer Scenario Forecast'!$C$20:$C$1181,'Incremental Network SummerFcast'!$A195)+
SUMIFS('Customer Scenario Forecast'!C$24:C$1185,'Customer Scenario Forecast'!$D$20:$D$1181,'Incremental Network SummerFcast'!$A195)+
SUMIFS('Customer Scenario Forecast'!C$24:C$1185,'Customer Scenario Forecast'!$E$20:$E$1181,'Incremental Network SummerFcast'!$A195)+C197),
1*(
SUMIFS('Customer Scenario Forecast'!C$24:C$1185,'Customer Scenario Forecast'!$C$20:$C$1181,'Incremental Network SummerFcast'!$A195,'Customer Scenario Forecast'!$H$20:$H$1181,'Incremental Network SummerFcast'!$H$1)+
SUMIFS('Customer Scenario Forecast'!C$24:C$1185,'Customer Scenario Forecast'!$D$20:$D$1181,'Incremental Network SummerFcast'!$A195,'Customer Scenario Forecast'!$H$20:$H$1181,'Incremental Network SummerFcast'!$H$1)+
SUMIFS('Customer Scenario Forecast'!C$24:C$1185,'Customer Scenario Forecast'!$E$20:$E$1181,'Incremental Network SummerFcast'!$A195,'Customer Scenario Forecast'!$H$20:$H$1181,'Incremental Network SummerFcast'!$H$1)+C197))</f>
        <v>1.75</v>
      </c>
      <c r="D200" s="196">
        <f ca="1">IF($H$1="",
1*(
SUMIFS('Customer Scenario Forecast'!D$24:D$1185,'Customer Scenario Forecast'!$C$20:$C$1181,'Incremental Network SummerFcast'!$A195)+
SUMIFS('Customer Scenario Forecast'!D$24:D$1185,'Customer Scenario Forecast'!$D$20:$D$1181,'Incremental Network SummerFcast'!$A195)+
SUMIFS('Customer Scenario Forecast'!D$24:D$1185,'Customer Scenario Forecast'!$E$20:$E$1181,'Incremental Network SummerFcast'!$A195)+D197),
1*(
SUMIFS('Customer Scenario Forecast'!D$24:D$1185,'Customer Scenario Forecast'!$C$20:$C$1181,'Incremental Network SummerFcast'!$A195,'Customer Scenario Forecast'!$H$20:$H$1181,'Incremental Network SummerFcast'!$H$1)+
SUMIFS('Customer Scenario Forecast'!D$24:D$1185,'Customer Scenario Forecast'!$D$20:$D$1181,'Incremental Network SummerFcast'!$A195,'Customer Scenario Forecast'!$H$20:$H$1181,'Incremental Network SummerFcast'!$H$1)+
SUMIFS('Customer Scenario Forecast'!D$24:D$1185,'Customer Scenario Forecast'!$E$20:$E$1181,'Incremental Network SummerFcast'!$A195,'Customer Scenario Forecast'!$H$20:$H$1181,'Incremental Network SummerFcast'!$H$1)+D197))</f>
        <v>16.861052022669533</v>
      </c>
      <c r="E200" s="196">
        <f ca="1">IF($H$1="",
1*(
SUMIFS('Customer Scenario Forecast'!E$24:E$1185,'Customer Scenario Forecast'!$C$20:$C$1181,'Incremental Network SummerFcast'!$A195)+
SUMIFS('Customer Scenario Forecast'!E$24:E$1185,'Customer Scenario Forecast'!$D$20:$D$1181,'Incremental Network SummerFcast'!$A195)+
SUMIFS('Customer Scenario Forecast'!E$24:E$1185,'Customer Scenario Forecast'!$E$20:$E$1181,'Incremental Network SummerFcast'!$A195)+E197),
1*(
SUMIFS('Customer Scenario Forecast'!E$24:E$1185,'Customer Scenario Forecast'!$C$20:$C$1181,'Incremental Network SummerFcast'!$A195,'Customer Scenario Forecast'!$H$20:$H$1181,'Incremental Network SummerFcast'!$H$1)+
SUMIFS('Customer Scenario Forecast'!E$24:E$1185,'Customer Scenario Forecast'!$D$20:$D$1181,'Incremental Network SummerFcast'!$A195,'Customer Scenario Forecast'!$H$20:$H$1181,'Incremental Network SummerFcast'!$H$1)+
SUMIFS('Customer Scenario Forecast'!E$24:E$1185,'Customer Scenario Forecast'!$E$20:$E$1181,'Incremental Network SummerFcast'!$A195,'Customer Scenario Forecast'!$H$20:$H$1181,'Incremental Network SummerFcast'!$H$1)+E197))</f>
        <v>23.501466308383819</v>
      </c>
      <c r="F200" s="196">
        <f ca="1">IF($H$1="",
1*(
SUMIFS('Customer Scenario Forecast'!F$24:F$1185,'Customer Scenario Forecast'!$C$20:$C$1181,'Incremental Network SummerFcast'!$A195)+
SUMIFS('Customer Scenario Forecast'!F$24:F$1185,'Customer Scenario Forecast'!$D$20:$D$1181,'Incremental Network SummerFcast'!$A195)+
SUMIFS('Customer Scenario Forecast'!F$24:F$1185,'Customer Scenario Forecast'!$E$20:$E$1181,'Incremental Network SummerFcast'!$A195)+F197),
1*(
SUMIFS('Customer Scenario Forecast'!F$24:F$1185,'Customer Scenario Forecast'!$C$20:$C$1181,'Incremental Network SummerFcast'!$A195,'Customer Scenario Forecast'!$H$20:$H$1181,'Incremental Network SummerFcast'!$H$1)+
SUMIFS('Customer Scenario Forecast'!F$24:F$1185,'Customer Scenario Forecast'!$D$20:$D$1181,'Incremental Network SummerFcast'!$A195,'Customer Scenario Forecast'!$H$20:$H$1181,'Incremental Network SummerFcast'!$H$1)+
SUMIFS('Customer Scenario Forecast'!F$24:F$1185,'Customer Scenario Forecast'!$E$20:$E$1181,'Incremental Network SummerFcast'!$A195,'Customer Scenario Forecast'!$H$20:$H$1181,'Incremental Network SummerFcast'!$H$1)+F197))</f>
        <v>24.719637736955249</v>
      </c>
      <c r="G200" s="196">
        <f ca="1">IF($H$1="",
1*(
SUMIFS('Customer Scenario Forecast'!G$24:G$1185,'Customer Scenario Forecast'!$C$20:$C$1181,'Incremental Network SummerFcast'!$A195)+
SUMIFS('Customer Scenario Forecast'!G$24:G$1185,'Customer Scenario Forecast'!$D$20:$D$1181,'Incremental Network SummerFcast'!$A195)+
SUMIFS('Customer Scenario Forecast'!G$24:G$1185,'Customer Scenario Forecast'!$E$20:$E$1181,'Incremental Network SummerFcast'!$A195)+G197),
1*(
SUMIFS('Customer Scenario Forecast'!G$24:G$1185,'Customer Scenario Forecast'!$C$20:$C$1181,'Incremental Network SummerFcast'!$A195,'Customer Scenario Forecast'!$H$20:$H$1181,'Incremental Network SummerFcast'!$H$1)+
SUMIFS('Customer Scenario Forecast'!G$24:G$1185,'Customer Scenario Forecast'!$D$20:$D$1181,'Incremental Network SummerFcast'!$A195,'Customer Scenario Forecast'!$H$20:$H$1181,'Incremental Network SummerFcast'!$H$1)+
SUMIFS('Customer Scenario Forecast'!G$24:G$1185,'Customer Scenario Forecast'!$E$20:$E$1181,'Incremental Network SummerFcast'!$A195,'Customer Scenario Forecast'!$H$20:$H$1181,'Incremental Network SummerFcast'!$H$1)+G197))</f>
        <v>28.356677736955248</v>
      </c>
      <c r="H200" s="196">
        <f ca="1">IF($H$1="",
1*(
SUMIFS('Customer Scenario Forecast'!H$24:H$1185,'Customer Scenario Forecast'!$C$20:$C$1181,'Incremental Network SummerFcast'!$A195)+
SUMIFS('Customer Scenario Forecast'!H$24:H$1185,'Customer Scenario Forecast'!$D$20:$D$1181,'Incremental Network SummerFcast'!$A195)+
SUMIFS('Customer Scenario Forecast'!H$24:H$1185,'Customer Scenario Forecast'!$E$20:$E$1181,'Incremental Network SummerFcast'!$A195)+H197),
1*(
SUMIFS('Customer Scenario Forecast'!H$24:H$1185,'Customer Scenario Forecast'!$C$20:$C$1181,'Incremental Network SummerFcast'!$A195,'Customer Scenario Forecast'!$H$20:$H$1181,'Incremental Network SummerFcast'!$H$1)+
SUMIFS('Customer Scenario Forecast'!H$24:H$1185,'Customer Scenario Forecast'!$D$20:$D$1181,'Incremental Network SummerFcast'!$A195,'Customer Scenario Forecast'!$H$20:$H$1181,'Incremental Network SummerFcast'!$H$1)+
SUMIFS('Customer Scenario Forecast'!H$24:H$1185,'Customer Scenario Forecast'!$E$20:$E$1181,'Incremental Network SummerFcast'!$A195,'Customer Scenario Forecast'!$H$20:$H$1181,'Incremental Network SummerFcast'!$H$1)+H197))</f>
        <v>30.734563451240962</v>
      </c>
      <c r="I200" s="196">
        <f ca="1">IF($H$1="",
1*(
SUMIFS('Customer Scenario Forecast'!I$24:I$1185,'Customer Scenario Forecast'!$C$20:$C$1181,'Incremental Network SummerFcast'!$A195)+
SUMIFS('Customer Scenario Forecast'!I$24:I$1185,'Customer Scenario Forecast'!$D$20:$D$1181,'Incremental Network SummerFcast'!$A195)+
SUMIFS('Customer Scenario Forecast'!I$24:I$1185,'Customer Scenario Forecast'!$E$20:$E$1181,'Incremental Network SummerFcast'!$A195)+I197),
1*(
SUMIFS('Customer Scenario Forecast'!I$24:I$1185,'Customer Scenario Forecast'!$C$20:$C$1181,'Incremental Network SummerFcast'!$A195,'Customer Scenario Forecast'!$H$20:$H$1181,'Incremental Network SummerFcast'!$H$1)+
SUMIFS('Customer Scenario Forecast'!I$24:I$1185,'Customer Scenario Forecast'!$D$20:$D$1181,'Incremental Network SummerFcast'!$A195,'Customer Scenario Forecast'!$H$20:$H$1181,'Incremental Network SummerFcast'!$H$1)+
SUMIFS('Customer Scenario Forecast'!I$24:I$1185,'Customer Scenario Forecast'!$E$20:$E$1181,'Incremental Network SummerFcast'!$A195,'Customer Scenario Forecast'!$H$20:$H$1181,'Incremental Network SummerFcast'!$H$1)+I197))</f>
        <v>33.305523564588626</v>
      </c>
      <c r="J200" s="196">
        <f ca="1">IF($H$1="",
1*(
SUMIFS('Customer Scenario Forecast'!J$24:J$1185,'Customer Scenario Forecast'!$C$20:$C$1181,'Incremental Network SummerFcast'!$A195)+
SUMIFS('Customer Scenario Forecast'!J$24:J$1185,'Customer Scenario Forecast'!$D$20:$D$1181,'Incremental Network SummerFcast'!$A195)+
SUMIFS('Customer Scenario Forecast'!J$24:J$1185,'Customer Scenario Forecast'!$E$20:$E$1181,'Incremental Network SummerFcast'!$A195)+J197),
1*(
SUMIFS('Customer Scenario Forecast'!J$24:J$1185,'Customer Scenario Forecast'!$C$20:$C$1181,'Incremental Network SummerFcast'!$A195,'Customer Scenario Forecast'!$H$20:$H$1181,'Incremental Network SummerFcast'!$H$1)+
SUMIFS('Customer Scenario Forecast'!J$24:J$1185,'Customer Scenario Forecast'!$D$20:$D$1181,'Incremental Network SummerFcast'!$A195,'Customer Scenario Forecast'!$H$20:$H$1181,'Incremental Network SummerFcast'!$H$1)+
SUMIFS('Customer Scenario Forecast'!J$24:J$1185,'Customer Scenario Forecast'!$E$20:$E$1181,'Incremental Network SummerFcast'!$A195,'Customer Scenario Forecast'!$H$20:$H$1181,'Incremental Network SummerFcast'!$H$1)+J197))</f>
        <v>37.350645938375351</v>
      </c>
      <c r="K200" s="196">
        <f ca="1">IF($H$1="",
1*(
SUMIFS('Customer Scenario Forecast'!K$24:K$1185,'Customer Scenario Forecast'!$C$20:$C$1181,'Incremental Network SummerFcast'!$A195)+
SUMIFS('Customer Scenario Forecast'!K$24:K$1185,'Customer Scenario Forecast'!$D$20:$D$1181,'Incremental Network SummerFcast'!$A195)+
SUMIFS('Customer Scenario Forecast'!K$24:K$1185,'Customer Scenario Forecast'!$E$20:$E$1181,'Incremental Network SummerFcast'!$A195)+K197),
1*(
SUMIFS('Customer Scenario Forecast'!K$24:K$1185,'Customer Scenario Forecast'!$C$20:$C$1181,'Incremental Network SummerFcast'!$A195,'Customer Scenario Forecast'!$H$20:$H$1181,'Incremental Network SummerFcast'!$H$1)+
SUMIFS('Customer Scenario Forecast'!K$24:K$1185,'Customer Scenario Forecast'!$D$20:$D$1181,'Incremental Network SummerFcast'!$A195,'Customer Scenario Forecast'!$H$20:$H$1181,'Incremental Network SummerFcast'!$H$1)+
SUMIFS('Customer Scenario Forecast'!K$24:K$1185,'Customer Scenario Forecast'!$E$20:$E$1181,'Incremental Network SummerFcast'!$A195,'Customer Scenario Forecast'!$H$20:$H$1181,'Incremental Network SummerFcast'!$H$1)+K197))</f>
        <v>39.365718389681462</v>
      </c>
      <c r="L200" s="196">
        <f ca="1">IF($H$1="",
1*(
SUMIFS('Customer Scenario Forecast'!L$24:L$1185,'Customer Scenario Forecast'!$C$20:$C$1181,'Incremental Network SummerFcast'!$A195)+
SUMIFS('Customer Scenario Forecast'!L$24:L$1185,'Customer Scenario Forecast'!$D$20:$D$1181,'Incremental Network SummerFcast'!$A195)+
SUMIFS('Customer Scenario Forecast'!L$24:L$1185,'Customer Scenario Forecast'!$E$20:$E$1181,'Incremental Network SummerFcast'!$A195)+L197),
1*(
SUMIFS('Customer Scenario Forecast'!L$24:L$1185,'Customer Scenario Forecast'!$C$20:$C$1181,'Incremental Network SummerFcast'!$A195,'Customer Scenario Forecast'!$H$20:$H$1181,'Incremental Network SummerFcast'!$H$1)+
SUMIFS('Customer Scenario Forecast'!L$24:L$1185,'Customer Scenario Forecast'!$D$20:$D$1181,'Incremental Network SummerFcast'!$A195,'Customer Scenario Forecast'!$H$20:$H$1181,'Incremental Network SummerFcast'!$H$1)+
SUMIFS('Customer Scenario Forecast'!L$24:L$1185,'Customer Scenario Forecast'!$E$20:$E$1181,'Incremental Network SummerFcast'!$A195,'Customer Scenario Forecast'!$H$20:$H$1181,'Incremental Network SummerFcast'!$H$1)+L197))</f>
        <v>41.738998045729922</v>
      </c>
    </row>
    <row r="201" spans="1:13" ht="15" thickBot="1">
      <c r="A201" s="197" t="s">
        <v>109</v>
      </c>
      <c r="B201" s="198">
        <f ca="1">IF($H$1="",
1*(
SUMIFS('Customer Scenario Forecast'!B$25:B$1186,'Customer Scenario Forecast'!$C$20:$C$1181,'Incremental Network SummerFcast'!$A195)+
SUMIFS('Customer Scenario Forecast'!B$25:B$1186,'Customer Scenario Forecast'!$D$20:$D$1181,'Incremental Network SummerFcast'!$A195)+
SUMIFS('Customer Scenario Forecast'!B$25:B$1186,'Customer Scenario Forecast'!$E$20:$E$1181,'Incremental Network SummerFcast'!$A195)+B197),
1*(
SUMIFS('Customer Scenario Forecast'!B$25:B$1186,'Customer Scenario Forecast'!$C$20:$C$1181,'Incremental Network SummerFcast'!$A195,'Customer Scenario Forecast'!$H$20:$H$1181,'Incremental Network SummerFcast'!$H$1)+
SUMIFS('Customer Scenario Forecast'!B$25:B$1186,'Customer Scenario Forecast'!$D$20:$D$1181,'Incremental Network SummerFcast'!$A195,'Customer Scenario Forecast'!$H$20:$H$1181,'Incremental Network SummerFcast'!$H$1)+
SUMIFS('Customer Scenario Forecast'!B$25:B$1186,'Customer Scenario Forecast'!$E$20:$E$1181,'Incremental Network SummerFcast'!$A195,'Customer Scenario Forecast'!$H$20:$H$1181,'Incremental Network SummerFcast'!$H$1)+B197))</f>
        <v>-2</v>
      </c>
      <c r="C201" s="198">
        <f ca="1">IF($H$1="",
1*(
SUMIFS('Customer Scenario Forecast'!C$25:C$1186,'Customer Scenario Forecast'!$C$20:$C$1181,'Incremental Network SummerFcast'!$A195)+
SUMIFS('Customer Scenario Forecast'!C$25:C$1186,'Customer Scenario Forecast'!$D$20:$D$1181,'Incremental Network SummerFcast'!$A195)+
SUMIFS('Customer Scenario Forecast'!C$25:C$1186,'Customer Scenario Forecast'!$E$20:$E$1181,'Incremental Network SummerFcast'!$A195)+C197),
1*(
SUMIFS('Customer Scenario Forecast'!C$25:C$1186,'Customer Scenario Forecast'!$C$20:$C$1181,'Incremental Network SummerFcast'!$A195,'Customer Scenario Forecast'!$H$20:$H$1181,'Incremental Network SummerFcast'!$H$1)+
SUMIFS('Customer Scenario Forecast'!C$25:C$1186,'Customer Scenario Forecast'!$D$20:$D$1181,'Incremental Network SummerFcast'!$A195,'Customer Scenario Forecast'!$H$20:$H$1181,'Incremental Network SummerFcast'!$H$1)+
SUMIFS('Customer Scenario Forecast'!C$25:C$1186,'Customer Scenario Forecast'!$E$20:$E$1181,'Incremental Network SummerFcast'!$A195,'Customer Scenario Forecast'!$H$20:$H$1181,'Incremental Network SummerFcast'!$H$1)+C197))</f>
        <v>1.75</v>
      </c>
      <c r="D201" s="198">
        <f ca="1">IF($H$1="",
1*(
SUMIFS('Customer Scenario Forecast'!D$25:D$1186,'Customer Scenario Forecast'!$C$20:$C$1181,'Incremental Network SummerFcast'!$A195)+
SUMIFS('Customer Scenario Forecast'!D$25:D$1186,'Customer Scenario Forecast'!$D$20:$D$1181,'Incremental Network SummerFcast'!$A195)+
SUMIFS('Customer Scenario Forecast'!D$25:D$1186,'Customer Scenario Forecast'!$E$20:$E$1181,'Incremental Network SummerFcast'!$A195)+D197),
1*(
SUMIFS('Customer Scenario Forecast'!D$25:D$1186,'Customer Scenario Forecast'!$C$20:$C$1181,'Incremental Network SummerFcast'!$A195,'Customer Scenario Forecast'!$H$20:$H$1181,'Incremental Network SummerFcast'!$H$1)+
SUMIFS('Customer Scenario Forecast'!D$25:D$1186,'Customer Scenario Forecast'!$D$20:$D$1181,'Incremental Network SummerFcast'!$A195,'Customer Scenario Forecast'!$H$20:$H$1181,'Incremental Network SummerFcast'!$H$1)+
SUMIFS('Customer Scenario Forecast'!D$25:D$1186,'Customer Scenario Forecast'!$E$20:$E$1181,'Incremental Network SummerFcast'!$A195,'Customer Scenario Forecast'!$H$20:$H$1181,'Incremental Network SummerFcast'!$H$1)+D197))</f>
        <v>16.861052022669533</v>
      </c>
      <c r="E201" s="198">
        <f ca="1">IF($H$1="",
1*(
SUMIFS('Customer Scenario Forecast'!E$25:E$1186,'Customer Scenario Forecast'!$C$20:$C$1181,'Incremental Network SummerFcast'!$A195)+
SUMIFS('Customer Scenario Forecast'!E$25:E$1186,'Customer Scenario Forecast'!$D$20:$D$1181,'Incremental Network SummerFcast'!$A195)+
SUMIFS('Customer Scenario Forecast'!E$25:E$1186,'Customer Scenario Forecast'!$E$20:$E$1181,'Incremental Network SummerFcast'!$A195)+E197),
1*(
SUMIFS('Customer Scenario Forecast'!E$25:E$1186,'Customer Scenario Forecast'!$C$20:$C$1181,'Incremental Network SummerFcast'!$A195,'Customer Scenario Forecast'!$H$20:$H$1181,'Incremental Network SummerFcast'!$H$1)+
SUMIFS('Customer Scenario Forecast'!E$25:E$1186,'Customer Scenario Forecast'!$D$20:$D$1181,'Incremental Network SummerFcast'!$A195,'Customer Scenario Forecast'!$H$20:$H$1181,'Incremental Network SummerFcast'!$H$1)+
SUMIFS('Customer Scenario Forecast'!E$25:E$1186,'Customer Scenario Forecast'!$E$20:$E$1181,'Incremental Network SummerFcast'!$A195,'Customer Scenario Forecast'!$H$20:$H$1181,'Incremental Network SummerFcast'!$H$1)+E197))</f>
        <v>23.501466308383819</v>
      </c>
      <c r="F201" s="198">
        <f ca="1">IF($H$1="",
1*(
SUMIFS('Customer Scenario Forecast'!F$25:F$1186,'Customer Scenario Forecast'!$C$20:$C$1181,'Incremental Network SummerFcast'!$A195)+
SUMIFS('Customer Scenario Forecast'!F$25:F$1186,'Customer Scenario Forecast'!$D$20:$D$1181,'Incremental Network SummerFcast'!$A195)+
SUMIFS('Customer Scenario Forecast'!F$25:F$1186,'Customer Scenario Forecast'!$E$20:$E$1181,'Incremental Network SummerFcast'!$A195)+F197),
1*(
SUMIFS('Customer Scenario Forecast'!F$25:F$1186,'Customer Scenario Forecast'!$C$20:$C$1181,'Incremental Network SummerFcast'!$A195,'Customer Scenario Forecast'!$H$20:$H$1181,'Incremental Network SummerFcast'!$H$1)+
SUMIFS('Customer Scenario Forecast'!F$25:F$1186,'Customer Scenario Forecast'!$D$20:$D$1181,'Incremental Network SummerFcast'!$A195,'Customer Scenario Forecast'!$H$20:$H$1181,'Incremental Network SummerFcast'!$H$1)+
SUMIFS('Customer Scenario Forecast'!F$25:F$1186,'Customer Scenario Forecast'!$E$20:$E$1181,'Incremental Network SummerFcast'!$A195,'Customer Scenario Forecast'!$H$20:$H$1181,'Incremental Network SummerFcast'!$H$1)+F197))</f>
        <v>24.719637736955249</v>
      </c>
      <c r="G201" s="198">
        <f ca="1">IF($H$1="",
1*(
SUMIFS('Customer Scenario Forecast'!G$25:G$1186,'Customer Scenario Forecast'!$C$20:$C$1181,'Incremental Network SummerFcast'!$A195)+
SUMIFS('Customer Scenario Forecast'!G$25:G$1186,'Customer Scenario Forecast'!$D$20:$D$1181,'Incremental Network SummerFcast'!$A195)+
SUMIFS('Customer Scenario Forecast'!G$25:G$1186,'Customer Scenario Forecast'!$E$20:$E$1181,'Incremental Network SummerFcast'!$A195)+G197),
1*(
SUMIFS('Customer Scenario Forecast'!G$25:G$1186,'Customer Scenario Forecast'!$C$20:$C$1181,'Incremental Network SummerFcast'!$A195,'Customer Scenario Forecast'!$H$20:$H$1181,'Incremental Network SummerFcast'!$H$1)+
SUMIFS('Customer Scenario Forecast'!G$25:G$1186,'Customer Scenario Forecast'!$D$20:$D$1181,'Incremental Network SummerFcast'!$A195,'Customer Scenario Forecast'!$H$20:$H$1181,'Incremental Network SummerFcast'!$H$1)+
SUMIFS('Customer Scenario Forecast'!G$25:G$1186,'Customer Scenario Forecast'!$E$20:$E$1181,'Incremental Network SummerFcast'!$A195,'Customer Scenario Forecast'!$H$20:$H$1181,'Incremental Network SummerFcast'!$H$1)+G197))</f>
        <v>28.356677736955248</v>
      </c>
      <c r="H201" s="198">
        <f ca="1">IF($H$1="",
1*(
SUMIFS('Customer Scenario Forecast'!H$25:H$1186,'Customer Scenario Forecast'!$C$20:$C$1181,'Incremental Network SummerFcast'!$A195)+
SUMIFS('Customer Scenario Forecast'!H$25:H$1186,'Customer Scenario Forecast'!$D$20:$D$1181,'Incremental Network SummerFcast'!$A195)+
SUMIFS('Customer Scenario Forecast'!H$25:H$1186,'Customer Scenario Forecast'!$E$20:$E$1181,'Incremental Network SummerFcast'!$A195)+H197),
1*(
SUMIFS('Customer Scenario Forecast'!H$25:H$1186,'Customer Scenario Forecast'!$C$20:$C$1181,'Incremental Network SummerFcast'!$A195,'Customer Scenario Forecast'!$H$20:$H$1181,'Incremental Network SummerFcast'!$H$1)+
SUMIFS('Customer Scenario Forecast'!H$25:H$1186,'Customer Scenario Forecast'!$D$20:$D$1181,'Incremental Network SummerFcast'!$A195,'Customer Scenario Forecast'!$H$20:$H$1181,'Incremental Network SummerFcast'!$H$1)+
SUMIFS('Customer Scenario Forecast'!H$25:H$1186,'Customer Scenario Forecast'!$E$20:$E$1181,'Incremental Network SummerFcast'!$A195,'Customer Scenario Forecast'!$H$20:$H$1181,'Incremental Network SummerFcast'!$H$1)+H197))</f>
        <v>34.946620203244088</v>
      </c>
      <c r="I201" s="198">
        <f ca="1">IF($H$1="",
1*(
SUMIFS('Customer Scenario Forecast'!I$25:I$1186,'Customer Scenario Forecast'!$C$20:$C$1181,'Incremental Network SummerFcast'!$A195)+
SUMIFS('Customer Scenario Forecast'!I$25:I$1186,'Customer Scenario Forecast'!$D$20:$D$1181,'Incremental Network SummerFcast'!$A195)+
SUMIFS('Customer Scenario Forecast'!I$25:I$1186,'Customer Scenario Forecast'!$E$20:$E$1181,'Incremental Network SummerFcast'!$A195)+I197),
1*(
SUMIFS('Customer Scenario Forecast'!I$25:I$1186,'Customer Scenario Forecast'!$C$20:$C$1181,'Incremental Network SummerFcast'!$A195,'Customer Scenario Forecast'!$H$20:$H$1181,'Incremental Network SummerFcast'!$H$1)+
SUMIFS('Customer Scenario Forecast'!I$25:I$1186,'Customer Scenario Forecast'!$D$20:$D$1181,'Incremental Network SummerFcast'!$A195,'Customer Scenario Forecast'!$H$20:$H$1181,'Incremental Network SummerFcast'!$H$1)+
SUMIFS('Customer Scenario Forecast'!I$25:I$1186,'Customer Scenario Forecast'!$E$20:$E$1181,'Incremental Network SummerFcast'!$A195,'Customer Scenario Forecast'!$H$20:$H$1181,'Incremental Network SummerFcast'!$H$1)+I197))</f>
        <v>44.235229573578266</v>
      </c>
      <c r="J201" s="198">
        <f ca="1">IF($H$1="",
1*(
SUMIFS('Customer Scenario Forecast'!J$25:J$1186,'Customer Scenario Forecast'!$C$20:$C$1181,'Incremental Network SummerFcast'!$A195)+
SUMIFS('Customer Scenario Forecast'!J$25:J$1186,'Customer Scenario Forecast'!$D$20:$D$1181,'Incremental Network SummerFcast'!$A195)+
SUMIFS('Customer Scenario Forecast'!J$25:J$1186,'Customer Scenario Forecast'!$E$20:$E$1181,'Incremental Network SummerFcast'!$A195)+J197),
1*(
SUMIFS('Customer Scenario Forecast'!J$25:J$1186,'Customer Scenario Forecast'!$C$20:$C$1181,'Incremental Network SummerFcast'!$A195,'Customer Scenario Forecast'!$H$20:$H$1181,'Incremental Network SummerFcast'!$H$1)+
SUMIFS('Customer Scenario Forecast'!J$25:J$1186,'Customer Scenario Forecast'!$D$20:$D$1181,'Incremental Network SummerFcast'!$A195,'Customer Scenario Forecast'!$H$20:$H$1181,'Incremental Network SummerFcast'!$H$1)+
SUMIFS('Customer Scenario Forecast'!J$25:J$1186,'Customer Scenario Forecast'!$E$20:$E$1181,'Incremental Network SummerFcast'!$A195,'Customer Scenario Forecast'!$H$20:$H$1181,'Incremental Network SummerFcast'!$H$1)+J197))</f>
        <v>50.533015611491109</v>
      </c>
      <c r="K201" s="198">
        <f ca="1">IF($H$1="",
1*(
SUMIFS('Customer Scenario Forecast'!K$25:K$1186,'Customer Scenario Forecast'!$C$20:$C$1181,'Incremental Network SummerFcast'!$A195)+
SUMIFS('Customer Scenario Forecast'!K$25:K$1186,'Customer Scenario Forecast'!$D$20:$D$1181,'Incremental Network SummerFcast'!$A195)+
SUMIFS('Customer Scenario Forecast'!K$25:K$1186,'Customer Scenario Forecast'!$E$20:$E$1181,'Incremental Network SummerFcast'!$A195)+K197),
1*(
SUMIFS('Customer Scenario Forecast'!K$25:K$1186,'Customer Scenario Forecast'!$C$20:$C$1181,'Incremental Network SummerFcast'!$A195,'Customer Scenario Forecast'!$H$20:$H$1181,'Incremental Network SummerFcast'!$H$1)+
SUMIFS('Customer Scenario Forecast'!K$25:K$1186,'Customer Scenario Forecast'!$D$20:$D$1181,'Incremental Network SummerFcast'!$A195,'Customer Scenario Forecast'!$H$20:$H$1181,'Incremental Network SummerFcast'!$H$1)+
SUMIFS('Customer Scenario Forecast'!K$25:K$1186,'Customer Scenario Forecast'!$E$20:$E$1181,'Incremental Network SummerFcast'!$A195,'Customer Scenario Forecast'!$H$20:$H$1181,'Incremental Network SummerFcast'!$H$1)+K197))</f>
        <v>68.421729547000197</v>
      </c>
      <c r="L201" s="198">
        <f ca="1">IF($H$1="",
1*(
SUMIFS('Customer Scenario Forecast'!L$25:L$1186,'Customer Scenario Forecast'!$C$20:$C$1181,'Incremental Network SummerFcast'!$A195)+
SUMIFS('Customer Scenario Forecast'!L$25:L$1186,'Customer Scenario Forecast'!$D$20:$D$1181,'Incremental Network SummerFcast'!$A195)+
SUMIFS('Customer Scenario Forecast'!L$25:L$1186,'Customer Scenario Forecast'!$E$20:$E$1181,'Incremental Network SummerFcast'!$A195)+L197),
1*(
SUMIFS('Customer Scenario Forecast'!L$25:L$1186,'Customer Scenario Forecast'!$C$20:$C$1181,'Incremental Network SummerFcast'!$A195,'Customer Scenario Forecast'!$H$20:$H$1181,'Incremental Network SummerFcast'!$H$1)+
SUMIFS('Customer Scenario Forecast'!L$25:L$1186,'Customer Scenario Forecast'!$D$20:$D$1181,'Incremental Network SummerFcast'!$A195,'Customer Scenario Forecast'!$H$20:$H$1181,'Incremental Network SummerFcast'!$H$1)+
SUMIFS('Customer Scenario Forecast'!L$25:L$1186,'Customer Scenario Forecast'!$E$20:$E$1181,'Incremental Network SummerFcast'!$A195,'Customer Scenario Forecast'!$H$20:$H$1181,'Incremental Network SummerFcast'!$H$1)+L197))</f>
        <v>84.820280517334382</v>
      </c>
    </row>
    <row r="202" spans="1:13" ht="15.6" thickTop="1" thickBot="1">
      <c r="A202" s="197" t="s">
        <v>148</v>
      </c>
      <c r="B202" s="198">
        <f ca="1">'Incremental Network SummerFcast'!$B$245*B199+'Incremental Network SummerFcast'!$B$246*B200+'Incremental Network SummerFcast'!$B$247*B201</f>
        <v>-2</v>
      </c>
      <c r="C202" s="198">
        <f ca="1">'Incremental Network SummerFcast'!$B$245*C199+'Incremental Network SummerFcast'!$B$246*C200+'Incremental Network SummerFcast'!$B$247*C201</f>
        <v>1.75</v>
      </c>
      <c r="D202" s="198">
        <f ca="1">'Incremental Network SummerFcast'!$B$245*D199+'Incremental Network SummerFcast'!$B$246*D200+'Incremental Network SummerFcast'!$B$247*D201</f>
        <v>16.861052022669533</v>
      </c>
      <c r="E202" s="198">
        <f ca="1">'Incremental Network SummerFcast'!$B$245*E199+'Incremental Network SummerFcast'!$B$246*E200+'Incremental Network SummerFcast'!$B$247*E201</f>
        <v>23.501466308383819</v>
      </c>
      <c r="F202" s="198">
        <f ca="1">'Incremental Network SummerFcast'!$B$245*F199+'Incremental Network SummerFcast'!$B$246*F200+'Incremental Network SummerFcast'!$B$247*F201</f>
        <v>24.719637736955249</v>
      </c>
      <c r="G202" s="198">
        <f ca="1">'Incremental Network SummerFcast'!$B$245*G199+'Incremental Network SummerFcast'!$B$246*G200+'Incremental Network SummerFcast'!$B$247*G201</f>
        <v>28.356677736955248</v>
      </c>
      <c r="H202" s="198">
        <f ca="1">'Incremental Network SummerFcast'!$B$245*H199+'Incremental Network SummerFcast'!$B$246*H200+'Incremental Network SummerFcast'!$B$247*H201</f>
        <v>31.787577639241746</v>
      </c>
      <c r="I202" s="198">
        <f ca="1">'Incremental Network SummerFcast'!$B$245*I199+'Incremental Network SummerFcast'!$B$246*I200+'Incremental Network SummerFcast'!$B$247*I201</f>
        <v>37.471219378281546</v>
      </c>
      <c r="J202" s="198">
        <f ca="1">'Incremental Network SummerFcast'!$B$245*J199+'Incremental Network SummerFcast'!$B$246*J200+'Incremental Network SummerFcast'!$B$247*J201</f>
        <v>42.103441452543805</v>
      </c>
      <c r="K202" s="198">
        <f ca="1">'Incremental Network SummerFcast'!$B$245*K199+'Incremental Network SummerFcast'!$B$246*K200+'Incremental Network SummerFcast'!$B$247*K201</f>
        <v>49.727941022474113</v>
      </c>
      <c r="L202" s="198">
        <f ca="1">'Incremental Network SummerFcast'!$B$245*L199+'Incremental Network SummerFcast'!$B$246*L200+'Incremental Network SummerFcast'!$B$247*L201</f>
        <v>59.818848616305132</v>
      </c>
    </row>
    <row r="203" spans="1:13" ht="15.6" thickTop="1" thickBot="1">
      <c r="A203" s="188" t="s">
        <v>130</v>
      </c>
      <c r="B203" s="216"/>
      <c r="C203" s="190"/>
      <c r="D203" s="190"/>
      <c r="E203" s="190"/>
      <c r="F203" s="190"/>
      <c r="G203" s="190"/>
      <c r="H203" s="190"/>
      <c r="I203" s="190"/>
      <c r="J203" s="190"/>
      <c r="K203" s="190"/>
      <c r="L203" s="190"/>
    </row>
    <row r="204" spans="1:13" ht="15" thickBot="1">
      <c r="A204" s="191" t="str">
        <f>A196</f>
        <v>Uptake Scenario</v>
      </c>
      <c r="B204" s="191">
        <f t="shared" ref="B204:L204" si="25">B196</f>
        <v>2023</v>
      </c>
      <c r="C204" s="191">
        <f t="shared" si="25"/>
        <v>2024</v>
      </c>
      <c r="D204" s="191">
        <f t="shared" si="25"/>
        <v>2025</v>
      </c>
      <c r="E204" s="191">
        <f t="shared" si="25"/>
        <v>2026</v>
      </c>
      <c r="F204" s="191">
        <f t="shared" si="25"/>
        <v>2027</v>
      </c>
      <c r="G204" s="191">
        <f t="shared" si="25"/>
        <v>2028</v>
      </c>
      <c r="H204" s="191">
        <f t="shared" si="25"/>
        <v>2029</v>
      </c>
      <c r="I204" s="191">
        <f t="shared" si="25"/>
        <v>2030</v>
      </c>
      <c r="J204" s="191">
        <f t="shared" si="25"/>
        <v>2031</v>
      </c>
      <c r="K204" s="191">
        <f t="shared" si="25"/>
        <v>2032</v>
      </c>
      <c r="L204" s="191">
        <f t="shared" si="25"/>
        <v>2033</v>
      </c>
    </row>
    <row r="205" spans="1:13" ht="15.6" thickTop="1" thickBot="1">
      <c r="A205" s="193"/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37"/>
    </row>
    <row r="206" spans="1:13" ht="15" thickBot="1">
      <c r="A206" s="193" t="s">
        <v>111</v>
      </c>
      <c r="B206" s="194">
        <f ca="1">IF($H$1="",
SUMIFS('Customer Scenario Forecast'!B$22:B$1183,'Customer Scenario Forecast'!$C$20:$C$1181,'Incremental Network SummerFcast'!$A203)+
SUMIFS('Customer Scenario Forecast'!B$22:B$1183,'Customer Scenario Forecast'!$D$20:$D$1181,'Incremental Network SummerFcast'!$A203)+
SUMIFS('Customer Scenario Forecast'!B$22:B$1183,'Customer Scenario Forecast'!$E$20:$E$1181,'Incremental Network SummerFcast'!$A203),
SUMIFS('Customer Scenario Forecast'!B$22:B$1183,'Customer Scenario Forecast'!$C$20:$C$1181,'Incremental Network SummerFcast'!$A203,'Customer Scenario Forecast'!$H$20:$H$1181,'Incremental Network SummerFcast'!$H$1)+
SUMIFS('Customer Scenario Forecast'!B$22:B$1183,'Customer Scenario Forecast'!$D$20:$D$1181,'Incremental Network SummerFcast'!$A203,'Customer Scenario Forecast'!$H$20:$H$1181,'Incremental Network SummerFcast'!$H$1)+
SUMIFS('Customer Scenario Forecast'!B$22:B$1183,'Customer Scenario Forecast'!$E$20:$E$1181,'Incremental Network SummerFcast'!$A203,'Customer Scenario Forecast'!$H$20:$H$1181,'Incremental Network SummerFcast'!$H$1))</f>
        <v>0</v>
      </c>
      <c r="C206" s="194">
        <f ca="1">IF($H$1="",
SUMIFS('Customer Scenario Forecast'!C$22:C$1183,'Customer Scenario Forecast'!$C$20:$C$1181,'Incremental Network SummerFcast'!$A203)+
SUMIFS('Customer Scenario Forecast'!C$22:C$1183,'Customer Scenario Forecast'!$D$20:$D$1181,'Incremental Network SummerFcast'!$A203)+
SUMIFS('Customer Scenario Forecast'!C$22:C$1183,'Customer Scenario Forecast'!$E$20:$E$1181,'Incremental Network SummerFcast'!$A203),
SUMIFS('Customer Scenario Forecast'!C$22:C$1183,'Customer Scenario Forecast'!$C$20:$C$1181,'Incremental Network SummerFcast'!$A203,'Customer Scenario Forecast'!$H$20:$H$1181,'Incremental Network SummerFcast'!$H$1)+
SUMIFS('Customer Scenario Forecast'!C$22:C$1183,'Customer Scenario Forecast'!$D$20:$D$1181,'Incremental Network SummerFcast'!$A203,'Customer Scenario Forecast'!$H$20:$H$1181,'Incremental Network SummerFcast'!$H$1)+
SUMIFS('Customer Scenario Forecast'!C$22:C$1183,'Customer Scenario Forecast'!$E$20:$E$1181,'Incremental Network SummerFcast'!$A203,'Customer Scenario Forecast'!$H$20:$H$1181,'Incremental Network SummerFcast'!$H$1))</f>
        <v>0</v>
      </c>
      <c r="D206" s="194">
        <f ca="1">IF($H$1="",
SUMIFS('Customer Scenario Forecast'!D$22:D$1183,'Customer Scenario Forecast'!$C$20:$C$1181,'Incremental Network SummerFcast'!$A203)+
SUMIFS('Customer Scenario Forecast'!D$22:D$1183,'Customer Scenario Forecast'!$D$20:$D$1181,'Incremental Network SummerFcast'!$A203)+
SUMIFS('Customer Scenario Forecast'!D$22:D$1183,'Customer Scenario Forecast'!$E$20:$E$1181,'Incremental Network SummerFcast'!$A203),
SUMIFS('Customer Scenario Forecast'!D$22:D$1183,'Customer Scenario Forecast'!$C$20:$C$1181,'Incremental Network SummerFcast'!$A203,'Customer Scenario Forecast'!$H$20:$H$1181,'Incremental Network SummerFcast'!$H$1)+
SUMIFS('Customer Scenario Forecast'!D$22:D$1183,'Customer Scenario Forecast'!$D$20:$D$1181,'Incremental Network SummerFcast'!$A203,'Customer Scenario Forecast'!$H$20:$H$1181,'Incremental Network SummerFcast'!$H$1)+
SUMIFS('Customer Scenario Forecast'!D$22:D$1183,'Customer Scenario Forecast'!$E$20:$E$1181,'Incremental Network SummerFcast'!$A203,'Customer Scenario Forecast'!$H$20:$H$1181,'Incremental Network SummerFcast'!$H$1))</f>
        <v>0</v>
      </c>
      <c r="E206" s="194">
        <f ca="1">IF($H$1="",
SUMIFS('Customer Scenario Forecast'!E$22:E$1183,'Customer Scenario Forecast'!$C$20:$C$1181,'Incremental Network SummerFcast'!$A203)+
SUMIFS('Customer Scenario Forecast'!E$22:E$1183,'Customer Scenario Forecast'!$D$20:$D$1181,'Incremental Network SummerFcast'!$A203)+
SUMIFS('Customer Scenario Forecast'!E$22:E$1183,'Customer Scenario Forecast'!$E$20:$E$1181,'Incremental Network SummerFcast'!$A203),
SUMIFS('Customer Scenario Forecast'!E$22:E$1183,'Customer Scenario Forecast'!$C$20:$C$1181,'Incremental Network SummerFcast'!$A203,'Customer Scenario Forecast'!$H$20:$H$1181,'Incremental Network SummerFcast'!$H$1)+
SUMIFS('Customer Scenario Forecast'!E$22:E$1183,'Customer Scenario Forecast'!$D$20:$D$1181,'Incremental Network SummerFcast'!$A203,'Customer Scenario Forecast'!$H$20:$H$1181,'Incremental Network SummerFcast'!$H$1)+
SUMIFS('Customer Scenario Forecast'!E$22:E$1183,'Customer Scenario Forecast'!$E$20:$E$1181,'Incremental Network SummerFcast'!$A203,'Customer Scenario Forecast'!$H$20:$H$1181,'Incremental Network SummerFcast'!$H$1))</f>
        <v>0</v>
      </c>
      <c r="F206" s="194">
        <f ca="1">IF($H$1="",
SUMIFS('Customer Scenario Forecast'!F$22:F$1183,'Customer Scenario Forecast'!$C$20:$C$1181,'Incremental Network SummerFcast'!$A203)+
SUMIFS('Customer Scenario Forecast'!F$22:F$1183,'Customer Scenario Forecast'!$D$20:$D$1181,'Incremental Network SummerFcast'!$A203)+
SUMIFS('Customer Scenario Forecast'!F$22:F$1183,'Customer Scenario Forecast'!$E$20:$E$1181,'Incremental Network SummerFcast'!$A203),
SUMIFS('Customer Scenario Forecast'!F$22:F$1183,'Customer Scenario Forecast'!$C$20:$C$1181,'Incremental Network SummerFcast'!$A203,'Customer Scenario Forecast'!$H$20:$H$1181,'Incremental Network SummerFcast'!$H$1)+
SUMIFS('Customer Scenario Forecast'!F$22:F$1183,'Customer Scenario Forecast'!$D$20:$D$1181,'Incremental Network SummerFcast'!$A203,'Customer Scenario Forecast'!$H$20:$H$1181,'Incremental Network SummerFcast'!$H$1)+
SUMIFS('Customer Scenario Forecast'!F$22:F$1183,'Customer Scenario Forecast'!$E$20:$E$1181,'Incremental Network SummerFcast'!$A203,'Customer Scenario Forecast'!$H$20:$H$1181,'Incremental Network SummerFcast'!$H$1))</f>
        <v>0</v>
      </c>
      <c r="G206" s="194">
        <f ca="1">IF($H$1="",
SUMIFS('Customer Scenario Forecast'!G$22:G$1183,'Customer Scenario Forecast'!$C$20:$C$1181,'Incremental Network SummerFcast'!$A203)+
SUMIFS('Customer Scenario Forecast'!G$22:G$1183,'Customer Scenario Forecast'!$D$20:$D$1181,'Incremental Network SummerFcast'!$A203)+
SUMIFS('Customer Scenario Forecast'!G$22:G$1183,'Customer Scenario Forecast'!$E$20:$E$1181,'Incremental Network SummerFcast'!$A203),
SUMIFS('Customer Scenario Forecast'!G$22:G$1183,'Customer Scenario Forecast'!$C$20:$C$1181,'Incremental Network SummerFcast'!$A203,'Customer Scenario Forecast'!$H$20:$H$1181,'Incremental Network SummerFcast'!$H$1)+
SUMIFS('Customer Scenario Forecast'!G$22:G$1183,'Customer Scenario Forecast'!$D$20:$D$1181,'Incremental Network SummerFcast'!$A203,'Customer Scenario Forecast'!$H$20:$H$1181,'Incremental Network SummerFcast'!$H$1)+
SUMIFS('Customer Scenario Forecast'!G$22:G$1183,'Customer Scenario Forecast'!$E$20:$E$1181,'Incremental Network SummerFcast'!$A203,'Customer Scenario Forecast'!$H$20:$H$1181,'Incremental Network SummerFcast'!$H$1))</f>
        <v>0</v>
      </c>
      <c r="H206" s="194">
        <f ca="1">IF($H$1="",
SUMIFS('Customer Scenario Forecast'!H$22:H$1183,'Customer Scenario Forecast'!$C$20:$C$1181,'Incremental Network SummerFcast'!$A203)+
SUMIFS('Customer Scenario Forecast'!H$22:H$1183,'Customer Scenario Forecast'!$D$20:$D$1181,'Incremental Network SummerFcast'!$A203)+
SUMIFS('Customer Scenario Forecast'!H$22:H$1183,'Customer Scenario Forecast'!$E$20:$E$1181,'Incremental Network SummerFcast'!$A203),
SUMIFS('Customer Scenario Forecast'!H$22:H$1183,'Customer Scenario Forecast'!$C$20:$C$1181,'Incremental Network SummerFcast'!$A203,'Customer Scenario Forecast'!$H$20:$H$1181,'Incremental Network SummerFcast'!$H$1)+
SUMIFS('Customer Scenario Forecast'!H$22:H$1183,'Customer Scenario Forecast'!$D$20:$D$1181,'Incremental Network SummerFcast'!$A203,'Customer Scenario Forecast'!$H$20:$H$1181,'Incremental Network SummerFcast'!$H$1)+
SUMIFS('Customer Scenario Forecast'!H$22:H$1183,'Customer Scenario Forecast'!$E$20:$E$1181,'Incremental Network SummerFcast'!$A203,'Customer Scenario Forecast'!$H$20:$H$1181,'Incremental Network SummerFcast'!$H$1))</f>
        <v>10</v>
      </c>
      <c r="I206" s="194">
        <f ca="1">IF($H$1="",
SUMIFS('Customer Scenario Forecast'!I$22:I$1183,'Customer Scenario Forecast'!$C$20:$C$1181,'Incremental Network SummerFcast'!$A203)+
SUMIFS('Customer Scenario Forecast'!I$22:I$1183,'Customer Scenario Forecast'!$D$20:$D$1181,'Incremental Network SummerFcast'!$A203)+
SUMIFS('Customer Scenario Forecast'!I$22:I$1183,'Customer Scenario Forecast'!$E$20:$E$1181,'Incremental Network SummerFcast'!$A203),
SUMIFS('Customer Scenario Forecast'!I$22:I$1183,'Customer Scenario Forecast'!$C$20:$C$1181,'Incremental Network SummerFcast'!$A203,'Customer Scenario Forecast'!$H$20:$H$1181,'Incremental Network SummerFcast'!$H$1)+
SUMIFS('Customer Scenario Forecast'!I$22:I$1183,'Customer Scenario Forecast'!$D$20:$D$1181,'Incremental Network SummerFcast'!$A203,'Customer Scenario Forecast'!$H$20:$H$1181,'Incremental Network SummerFcast'!$H$1)+
SUMIFS('Customer Scenario Forecast'!I$22:I$1183,'Customer Scenario Forecast'!$E$20:$E$1181,'Incremental Network SummerFcast'!$A203,'Customer Scenario Forecast'!$H$20:$H$1181,'Incremental Network SummerFcast'!$H$1))</f>
        <v>41.250236466679695</v>
      </c>
      <c r="J206" s="194">
        <f ca="1">IF($H$1="",
SUMIFS('Customer Scenario Forecast'!J$22:J$1183,'Customer Scenario Forecast'!$C$20:$C$1181,'Incremental Network SummerFcast'!$A203)+
SUMIFS('Customer Scenario Forecast'!J$22:J$1183,'Customer Scenario Forecast'!$D$20:$D$1181,'Incremental Network SummerFcast'!$A203)+
SUMIFS('Customer Scenario Forecast'!J$22:J$1183,'Customer Scenario Forecast'!$E$20:$E$1181,'Incremental Network SummerFcast'!$A203),
SUMIFS('Customer Scenario Forecast'!J$22:J$1183,'Customer Scenario Forecast'!$C$20:$C$1181,'Incremental Network SummerFcast'!$A203,'Customer Scenario Forecast'!$H$20:$H$1181,'Incremental Network SummerFcast'!$H$1)+
SUMIFS('Customer Scenario Forecast'!J$22:J$1183,'Customer Scenario Forecast'!$D$20:$D$1181,'Incremental Network SummerFcast'!$A203,'Customer Scenario Forecast'!$H$20:$H$1181,'Incremental Network SummerFcast'!$H$1)+
SUMIFS('Customer Scenario Forecast'!J$22:J$1183,'Customer Scenario Forecast'!$E$20:$E$1181,'Incremental Network SummerFcast'!$A203,'Customer Scenario Forecast'!$H$20:$H$1181,'Incremental Network SummerFcast'!$H$1))</f>
        <v>67.106665038108261</v>
      </c>
      <c r="K206" s="194">
        <f ca="1">IF($H$1="",
SUMIFS('Customer Scenario Forecast'!K$22:K$1183,'Customer Scenario Forecast'!$C$20:$C$1181,'Incremental Network SummerFcast'!$A203)+
SUMIFS('Customer Scenario Forecast'!K$22:K$1183,'Customer Scenario Forecast'!$D$20:$D$1181,'Incremental Network SummerFcast'!$A203)+
SUMIFS('Customer Scenario Forecast'!K$22:K$1183,'Customer Scenario Forecast'!$E$20:$E$1181,'Incremental Network SummerFcast'!$A203),
SUMIFS('Customer Scenario Forecast'!K$22:K$1183,'Customer Scenario Forecast'!$C$20:$C$1181,'Incremental Network SummerFcast'!$A203,'Customer Scenario Forecast'!$H$20:$H$1181,'Incremental Network SummerFcast'!$H$1)+
SUMIFS('Customer Scenario Forecast'!K$22:K$1183,'Customer Scenario Forecast'!$D$20:$D$1181,'Incremental Network SummerFcast'!$A203,'Customer Scenario Forecast'!$H$20:$H$1181,'Incremental Network SummerFcast'!$H$1)+
SUMIFS('Customer Scenario Forecast'!K$22:K$1183,'Customer Scenario Forecast'!$E$20:$E$1181,'Incremental Network SummerFcast'!$A203,'Customer Scenario Forecast'!$H$20:$H$1181,'Incremental Network SummerFcast'!$H$1))</f>
        <v>95.643807895251115</v>
      </c>
      <c r="L206" s="194">
        <f ca="1">IF($H$1="",
SUMIFS('Customer Scenario Forecast'!L$22:L$1183,'Customer Scenario Forecast'!$C$20:$C$1181,'Incremental Network SummerFcast'!$A203)+
SUMIFS('Customer Scenario Forecast'!L$22:L$1183,'Customer Scenario Forecast'!$D$20:$D$1181,'Incremental Network SummerFcast'!$A203)+
SUMIFS('Customer Scenario Forecast'!L$22:L$1183,'Customer Scenario Forecast'!$E$20:$E$1181,'Incremental Network SummerFcast'!$A203),
SUMIFS('Customer Scenario Forecast'!L$22:L$1183,'Customer Scenario Forecast'!$C$20:$C$1181,'Incremental Network SummerFcast'!$A203,'Customer Scenario Forecast'!$H$20:$H$1181,'Incremental Network SummerFcast'!$H$1)+
SUMIFS('Customer Scenario Forecast'!L$22:L$1183,'Customer Scenario Forecast'!$D$20:$D$1181,'Incremental Network SummerFcast'!$A203,'Customer Scenario Forecast'!$H$20:$H$1181,'Incremental Network SummerFcast'!$H$1)+
SUMIFS('Customer Scenario Forecast'!L$22:L$1183,'Customer Scenario Forecast'!$E$20:$E$1181,'Incremental Network SummerFcast'!$A203,'Customer Scenario Forecast'!$H$20:$H$1181,'Incremental Network SummerFcast'!$H$1))</f>
        <v>122.07580789525113</v>
      </c>
      <c r="M206" s="37"/>
    </row>
    <row r="207" spans="1:13" ht="15" thickBot="1">
      <c r="A207" s="195" t="s">
        <v>107</v>
      </c>
      <c r="B207" s="196">
        <f ca="1">IF($H$1="",
1*(
SUMIFS('Customer Scenario Forecast'!B$23:B$1184,'Customer Scenario Forecast'!$C$20:$C$1181,'Incremental Network SummerFcast'!$A203)+
SUMIFS('Customer Scenario Forecast'!B$23:B$1184,'Customer Scenario Forecast'!$D$20:$D$1181,'Incremental Network SummerFcast'!$A203)+
SUMIFS('Customer Scenario Forecast'!B$23:B$1184,'Customer Scenario Forecast'!$E$20:$E$1181,'Incremental Network SummerFcast'!$A203)+B205),
1*(
SUMIFS('Customer Scenario Forecast'!B$23:B$1184,'Customer Scenario Forecast'!$C$20:$C$1181,'Incremental Network SummerFcast'!$A203,'Customer Scenario Forecast'!$H$20:$H$1181,'Incremental Network SummerFcast'!$H$1)+
SUMIFS('Customer Scenario Forecast'!B$23:B$1184,'Customer Scenario Forecast'!$D$20:$D$1181,'Incremental Network SummerFcast'!$A203,'Customer Scenario Forecast'!$H$20:$H$1181,'Incremental Network SummerFcast'!$H$1)+
SUMIFS('Customer Scenario Forecast'!B$23:B$1184,'Customer Scenario Forecast'!$E$20:$E$1181,'Incremental Network SummerFcast'!$A203,'Customer Scenario Forecast'!$H$20:$H$1181,'Incremental Network SummerFcast'!$H$1)+B205))</f>
        <v>0</v>
      </c>
      <c r="C207" s="196">
        <f ca="1">IF($H$1="",
1*(
SUMIFS('Customer Scenario Forecast'!C$23:C$1184,'Customer Scenario Forecast'!$C$20:$C$1181,'Incremental Network SummerFcast'!$A203)+
SUMIFS('Customer Scenario Forecast'!C$23:C$1184,'Customer Scenario Forecast'!$D$20:$D$1181,'Incremental Network SummerFcast'!$A203)+
SUMIFS('Customer Scenario Forecast'!C$23:C$1184,'Customer Scenario Forecast'!$E$20:$E$1181,'Incremental Network SummerFcast'!$A203)+C205),
1*(
SUMIFS('Customer Scenario Forecast'!C$23:C$1184,'Customer Scenario Forecast'!$C$20:$C$1181,'Incremental Network SummerFcast'!$A203,'Customer Scenario Forecast'!$H$20:$H$1181,'Incremental Network SummerFcast'!$H$1)+
SUMIFS('Customer Scenario Forecast'!C$23:C$1184,'Customer Scenario Forecast'!$D$20:$D$1181,'Incremental Network SummerFcast'!$A203,'Customer Scenario Forecast'!$H$20:$H$1181,'Incremental Network SummerFcast'!$H$1)+
SUMIFS('Customer Scenario Forecast'!C$23:C$1184,'Customer Scenario Forecast'!$E$20:$E$1181,'Incremental Network SummerFcast'!$A203,'Customer Scenario Forecast'!$H$20:$H$1181,'Incremental Network SummerFcast'!$H$1)+C205))</f>
        <v>0</v>
      </c>
      <c r="D207" s="196">
        <f ca="1">IF($H$1="",
1*(
SUMIFS('Customer Scenario Forecast'!D$23:D$1184,'Customer Scenario Forecast'!$C$20:$C$1181,'Incremental Network SummerFcast'!$A203)+
SUMIFS('Customer Scenario Forecast'!D$23:D$1184,'Customer Scenario Forecast'!$D$20:$D$1181,'Incremental Network SummerFcast'!$A203)+
SUMIFS('Customer Scenario Forecast'!D$23:D$1184,'Customer Scenario Forecast'!$E$20:$E$1181,'Incremental Network SummerFcast'!$A203)+D205),
1*(
SUMIFS('Customer Scenario Forecast'!D$23:D$1184,'Customer Scenario Forecast'!$C$20:$C$1181,'Incremental Network SummerFcast'!$A203,'Customer Scenario Forecast'!$H$20:$H$1181,'Incremental Network SummerFcast'!$H$1)+
SUMIFS('Customer Scenario Forecast'!D$23:D$1184,'Customer Scenario Forecast'!$D$20:$D$1181,'Incremental Network SummerFcast'!$A203,'Customer Scenario Forecast'!$H$20:$H$1181,'Incremental Network SummerFcast'!$H$1)+
SUMIFS('Customer Scenario Forecast'!D$23:D$1184,'Customer Scenario Forecast'!$E$20:$E$1181,'Incremental Network SummerFcast'!$A203,'Customer Scenario Forecast'!$H$20:$H$1181,'Incremental Network SummerFcast'!$H$1)+D205))</f>
        <v>0</v>
      </c>
      <c r="E207" s="196">
        <f ca="1">IF($H$1="",
1*(
SUMIFS('Customer Scenario Forecast'!E$23:E$1184,'Customer Scenario Forecast'!$C$20:$C$1181,'Incremental Network SummerFcast'!$A203)+
SUMIFS('Customer Scenario Forecast'!E$23:E$1184,'Customer Scenario Forecast'!$D$20:$D$1181,'Incremental Network SummerFcast'!$A203)+
SUMIFS('Customer Scenario Forecast'!E$23:E$1184,'Customer Scenario Forecast'!$E$20:$E$1181,'Incremental Network SummerFcast'!$A203)+E205),
1*(
SUMIFS('Customer Scenario Forecast'!E$23:E$1184,'Customer Scenario Forecast'!$C$20:$C$1181,'Incremental Network SummerFcast'!$A203,'Customer Scenario Forecast'!$H$20:$H$1181,'Incremental Network SummerFcast'!$H$1)+
SUMIFS('Customer Scenario Forecast'!E$23:E$1184,'Customer Scenario Forecast'!$D$20:$D$1181,'Incremental Network SummerFcast'!$A203,'Customer Scenario Forecast'!$H$20:$H$1181,'Incremental Network SummerFcast'!$H$1)+
SUMIFS('Customer Scenario Forecast'!E$23:E$1184,'Customer Scenario Forecast'!$E$20:$E$1181,'Incremental Network SummerFcast'!$A203,'Customer Scenario Forecast'!$H$20:$H$1181,'Incremental Network SummerFcast'!$H$1)+E205))</f>
        <v>0</v>
      </c>
      <c r="F207" s="196">
        <f ca="1">IF($H$1="",
1*(
SUMIFS('Customer Scenario Forecast'!F$23:F$1184,'Customer Scenario Forecast'!$C$20:$C$1181,'Incremental Network SummerFcast'!$A203)+
SUMIFS('Customer Scenario Forecast'!F$23:F$1184,'Customer Scenario Forecast'!$D$20:$D$1181,'Incremental Network SummerFcast'!$A203)+
SUMIFS('Customer Scenario Forecast'!F$23:F$1184,'Customer Scenario Forecast'!$E$20:$E$1181,'Incremental Network SummerFcast'!$A203)+F205),
1*(
SUMIFS('Customer Scenario Forecast'!F$23:F$1184,'Customer Scenario Forecast'!$C$20:$C$1181,'Incremental Network SummerFcast'!$A203,'Customer Scenario Forecast'!$H$20:$H$1181,'Incremental Network SummerFcast'!$H$1)+
SUMIFS('Customer Scenario Forecast'!F$23:F$1184,'Customer Scenario Forecast'!$D$20:$D$1181,'Incremental Network SummerFcast'!$A203,'Customer Scenario Forecast'!$H$20:$H$1181,'Incremental Network SummerFcast'!$H$1)+
SUMIFS('Customer Scenario Forecast'!F$23:F$1184,'Customer Scenario Forecast'!$E$20:$E$1181,'Incremental Network SummerFcast'!$A203,'Customer Scenario Forecast'!$H$20:$H$1181,'Incremental Network SummerFcast'!$H$1)+F205))</f>
        <v>0</v>
      </c>
      <c r="G207" s="196">
        <f ca="1">IF($H$1="",
1*(
SUMIFS('Customer Scenario Forecast'!G$23:G$1184,'Customer Scenario Forecast'!$C$20:$C$1181,'Incremental Network SummerFcast'!$A203)+
SUMIFS('Customer Scenario Forecast'!G$23:G$1184,'Customer Scenario Forecast'!$D$20:$D$1181,'Incremental Network SummerFcast'!$A203)+
SUMIFS('Customer Scenario Forecast'!G$23:G$1184,'Customer Scenario Forecast'!$E$20:$E$1181,'Incremental Network SummerFcast'!$A203)+G205),
1*(
SUMIFS('Customer Scenario Forecast'!G$23:G$1184,'Customer Scenario Forecast'!$C$20:$C$1181,'Incremental Network SummerFcast'!$A203,'Customer Scenario Forecast'!$H$20:$H$1181,'Incremental Network SummerFcast'!$H$1)+
SUMIFS('Customer Scenario Forecast'!G$23:G$1184,'Customer Scenario Forecast'!$D$20:$D$1181,'Incremental Network SummerFcast'!$A203,'Customer Scenario Forecast'!$H$20:$H$1181,'Incremental Network SummerFcast'!$H$1)+
SUMIFS('Customer Scenario Forecast'!G$23:G$1184,'Customer Scenario Forecast'!$E$20:$E$1181,'Incremental Network SummerFcast'!$A203,'Customer Scenario Forecast'!$H$20:$H$1181,'Incremental Network SummerFcast'!$H$1)+G205))</f>
        <v>0</v>
      </c>
      <c r="H207" s="196">
        <f ca="1">IF($H$1="",
1*(
SUMIFS('Customer Scenario Forecast'!H$23:H$1184,'Customer Scenario Forecast'!$C$20:$C$1181,'Incremental Network SummerFcast'!$A203)+
SUMIFS('Customer Scenario Forecast'!H$23:H$1184,'Customer Scenario Forecast'!$D$20:$D$1181,'Incremental Network SummerFcast'!$A203)+
SUMIFS('Customer Scenario Forecast'!H$23:H$1184,'Customer Scenario Forecast'!$E$20:$E$1181,'Incremental Network SummerFcast'!$A203)+H205),
1*(
SUMIFS('Customer Scenario Forecast'!H$23:H$1184,'Customer Scenario Forecast'!$C$20:$C$1181,'Incremental Network SummerFcast'!$A203,'Customer Scenario Forecast'!$H$20:$H$1181,'Incremental Network SummerFcast'!$H$1)+
SUMIFS('Customer Scenario Forecast'!H$23:H$1184,'Customer Scenario Forecast'!$D$20:$D$1181,'Incremental Network SummerFcast'!$A203,'Customer Scenario Forecast'!$H$20:$H$1181,'Incremental Network SummerFcast'!$H$1)+
SUMIFS('Customer Scenario Forecast'!H$23:H$1184,'Customer Scenario Forecast'!$E$20:$E$1181,'Incremental Network SummerFcast'!$A203,'Customer Scenario Forecast'!$H$20:$H$1181,'Incremental Network SummerFcast'!$H$1)+H205))</f>
        <v>0</v>
      </c>
      <c r="I207" s="196">
        <f ca="1">IF($H$1="",
1*(
SUMIFS('Customer Scenario Forecast'!I$23:I$1184,'Customer Scenario Forecast'!$C$20:$C$1181,'Incremental Network SummerFcast'!$A203)+
SUMIFS('Customer Scenario Forecast'!I$23:I$1184,'Customer Scenario Forecast'!$D$20:$D$1181,'Incremental Network SummerFcast'!$A203)+
SUMIFS('Customer Scenario Forecast'!I$23:I$1184,'Customer Scenario Forecast'!$E$20:$E$1181,'Incremental Network SummerFcast'!$A203)+I205),
1*(
SUMIFS('Customer Scenario Forecast'!I$23:I$1184,'Customer Scenario Forecast'!$C$20:$C$1181,'Incremental Network SummerFcast'!$A203,'Customer Scenario Forecast'!$H$20:$H$1181,'Incremental Network SummerFcast'!$H$1)+
SUMIFS('Customer Scenario Forecast'!I$23:I$1184,'Customer Scenario Forecast'!$D$20:$D$1181,'Incremental Network SummerFcast'!$A203,'Customer Scenario Forecast'!$H$20:$H$1181,'Incremental Network SummerFcast'!$H$1)+
SUMIFS('Customer Scenario Forecast'!I$23:I$1184,'Customer Scenario Forecast'!$E$20:$E$1181,'Incremental Network SummerFcast'!$A203,'Customer Scenario Forecast'!$H$20:$H$1181,'Incremental Network SummerFcast'!$H$1)+I205))</f>
        <v>0</v>
      </c>
      <c r="J207" s="196">
        <f ca="1">IF($H$1="",
1*(
SUMIFS('Customer Scenario Forecast'!J$23:J$1184,'Customer Scenario Forecast'!$C$20:$C$1181,'Incremental Network SummerFcast'!$A203)+
SUMIFS('Customer Scenario Forecast'!J$23:J$1184,'Customer Scenario Forecast'!$D$20:$D$1181,'Incremental Network SummerFcast'!$A203)+
SUMIFS('Customer Scenario Forecast'!J$23:J$1184,'Customer Scenario Forecast'!$E$20:$E$1181,'Incremental Network SummerFcast'!$A203)+J205),
1*(
SUMIFS('Customer Scenario Forecast'!J$23:J$1184,'Customer Scenario Forecast'!$C$20:$C$1181,'Incremental Network SummerFcast'!$A203,'Customer Scenario Forecast'!$H$20:$H$1181,'Incremental Network SummerFcast'!$H$1)+
SUMIFS('Customer Scenario Forecast'!J$23:J$1184,'Customer Scenario Forecast'!$D$20:$D$1181,'Incremental Network SummerFcast'!$A203,'Customer Scenario Forecast'!$H$20:$H$1181,'Incremental Network SummerFcast'!$H$1)+
SUMIFS('Customer Scenario Forecast'!J$23:J$1184,'Customer Scenario Forecast'!$E$20:$E$1181,'Incremental Network SummerFcast'!$A203,'Customer Scenario Forecast'!$H$20:$H$1181,'Incremental Network SummerFcast'!$H$1)+J205))</f>
        <v>4.8999999999999995</v>
      </c>
      <c r="K207" s="196">
        <f ca="1">IF($H$1="",
1*(
SUMIFS('Customer Scenario Forecast'!K$23:K$1184,'Customer Scenario Forecast'!$C$20:$C$1181,'Incremental Network SummerFcast'!$A203)+
SUMIFS('Customer Scenario Forecast'!K$23:K$1184,'Customer Scenario Forecast'!$D$20:$D$1181,'Incremental Network SummerFcast'!$A203)+
SUMIFS('Customer Scenario Forecast'!K$23:K$1184,'Customer Scenario Forecast'!$E$20:$E$1181,'Incremental Network SummerFcast'!$A203)+K205),
1*(
SUMIFS('Customer Scenario Forecast'!K$23:K$1184,'Customer Scenario Forecast'!$C$20:$C$1181,'Incremental Network SummerFcast'!$A203,'Customer Scenario Forecast'!$H$20:$H$1181,'Incremental Network SummerFcast'!$H$1)+
SUMIFS('Customer Scenario Forecast'!K$23:K$1184,'Customer Scenario Forecast'!$D$20:$D$1181,'Incremental Network SummerFcast'!$A203,'Customer Scenario Forecast'!$H$20:$H$1181,'Incremental Network SummerFcast'!$H$1)+
SUMIFS('Customer Scenario Forecast'!K$23:K$1184,'Customer Scenario Forecast'!$E$20:$E$1181,'Incremental Network SummerFcast'!$A203,'Customer Scenario Forecast'!$H$20:$H$1181,'Incremental Network SummerFcast'!$H$1)+K205))</f>
        <v>11.613</v>
      </c>
      <c r="L207" s="196">
        <f ca="1">IF($H$1="",
1*(
SUMIFS('Customer Scenario Forecast'!L$23:L$1184,'Customer Scenario Forecast'!$C$20:$C$1181,'Incremental Network SummerFcast'!$A203)+
SUMIFS('Customer Scenario Forecast'!L$23:L$1184,'Customer Scenario Forecast'!$D$20:$D$1181,'Incremental Network SummerFcast'!$A203)+
SUMIFS('Customer Scenario Forecast'!L$23:L$1184,'Customer Scenario Forecast'!$E$20:$E$1181,'Incremental Network SummerFcast'!$A203)+L205),
1*(
SUMIFS('Customer Scenario Forecast'!L$23:L$1184,'Customer Scenario Forecast'!$C$20:$C$1181,'Incremental Network SummerFcast'!$A203,'Customer Scenario Forecast'!$H$20:$H$1181,'Incremental Network SummerFcast'!$H$1)+
SUMIFS('Customer Scenario Forecast'!L$23:L$1184,'Customer Scenario Forecast'!$D$20:$D$1181,'Incremental Network SummerFcast'!$A203,'Customer Scenario Forecast'!$H$20:$H$1181,'Incremental Network SummerFcast'!$H$1)+
SUMIFS('Customer Scenario Forecast'!L$23:L$1184,'Customer Scenario Forecast'!$E$20:$E$1181,'Incremental Network SummerFcast'!$A203,'Customer Scenario Forecast'!$H$20:$H$1181,'Incremental Network SummerFcast'!$H$1)+L205))</f>
        <v>20.628999999999994</v>
      </c>
    </row>
    <row r="208" spans="1:13" ht="15" thickBot="1">
      <c r="A208" s="195" t="s">
        <v>108</v>
      </c>
      <c r="B208" s="196">
        <f ca="1">IF($H$1="",
1*(
SUMIFS('Customer Scenario Forecast'!B$24:B$1185,'Customer Scenario Forecast'!$C$20:$C$1181,'Incremental Network SummerFcast'!$A203)+
SUMIFS('Customer Scenario Forecast'!B$24:B$1185,'Customer Scenario Forecast'!$D$20:$D$1181,'Incremental Network SummerFcast'!$A203)+
SUMIFS('Customer Scenario Forecast'!B$24:B$1185,'Customer Scenario Forecast'!$E$20:$E$1181,'Incremental Network SummerFcast'!$A203)+B205),
1*(
SUMIFS('Customer Scenario Forecast'!B$24:B$1185,'Customer Scenario Forecast'!$C$20:$C$1181,'Incremental Network SummerFcast'!$A203,'Customer Scenario Forecast'!$H$20:$H$1181,'Incremental Network SummerFcast'!$H$1)+
SUMIFS('Customer Scenario Forecast'!B$24:B$1185,'Customer Scenario Forecast'!$D$20:$D$1181,'Incremental Network SummerFcast'!$A203,'Customer Scenario Forecast'!$H$20:$H$1181,'Incremental Network SummerFcast'!$H$1)+
SUMIFS('Customer Scenario Forecast'!B$24:B$1185,'Customer Scenario Forecast'!$E$20:$E$1181,'Incremental Network SummerFcast'!$A203,'Customer Scenario Forecast'!$H$20:$H$1181,'Incremental Network SummerFcast'!$H$1)+B205))</f>
        <v>0</v>
      </c>
      <c r="C208" s="196">
        <f ca="1">IF($H$1="",
1*(
SUMIFS('Customer Scenario Forecast'!C$24:C$1185,'Customer Scenario Forecast'!$C$20:$C$1181,'Incremental Network SummerFcast'!$A203)+
SUMIFS('Customer Scenario Forecast'!C$24:C$1185,'Customer Scenario Forecast'!$D$20:$D$1181,'Incremental Network SummerFcast'!$A203)+
SUMIFS('Customer Scenario Forecast'!C$24:C$1185,'Customer Scenario Forecast'!$E$20:$E$1181,'Incremental Network SummerFcast'!$A203)+C205),
1*(
SUMIFS('Customer Scenario Forecast'!C$24:C$1185,'Customer Scenario Forecast'!$C$20:$C$1181,'Incremental Network SummerFcast'!$A203,'Customer Scenario Forecast'!$H$20:$H$1181,'Incremental Network SummerFcast'!$H$1)+
SUMIFS('Customer Scenario Forecast'!C$24:C$1185,'Customer Scenario Forecast'!$D$20:$D$1181,'Incremental Network SummerFcast'!$A203,'Customer Scenario Forecast'!$H$20:$H$1181,'Incremental Network SummerFcast'!$H$1)+
SUMIFS('Customer Scenario Forecast'!C$24:C$1185,'Customer Scenario Forecast'!$E$20:$E$1181,'Incremental Network SummerFcast'!$A203,'Customer Scenario Forecast'!$H$20:$H$1181,'Incremental Network SummerFcast'!$H$1)+C205))</f>
        <v>0</v>
      </c>
      <c r="D208" s="196">
        <f ca="1">IF($H$1="",
1*(
SUMIFS('Customer Scenario Forecast'!D$24:D$1185,'Customer Scenario Forecast'!$C$20:$C$1181,'Incremental Network SummerFcast'!$A203)+
SUMIFS('Customer Scenario Forecast'!D$24:D$1185,'Customer Scenario Forecast'!$D$20:$D$1181,'Incremental Network SummerFcast'!$A203)+
SUMIFS('Customer Scenario Forecast'!D$24:D$1185,'Customer Scenario Forecast'!$E$20:$E$1181,'Incremental Network SummerFcast'!$A203)+D205),
1*(
SUMIFS('Customer Scenario Forecast'!D$24:D$1185,'Customer Scenario Forecast'!$C$20:$C$1181,'Incremental Network SummerFcast'!$A203,'Customer Scenario Forecast'!$H$20:$H$1181,'Incremental Network SummerFcast'!$H$1)+
SUMIFS('Customer Scenario Forecast'!D$24:D$1185,'Customer Scenario Forecast'!$D$20:$D$1181,'Incremental Network SummerFcast'!$A203,'Customer Scenario Forecast'!$H$20:$H$1181,'Incremental Network SummerFcast'!$H$1)+
SUMIFS('Customer Scenario Forecast'!D$24:D$1185,'Customer Scenario Forecast'!$E$20:$E$1181,'Incremental Network SummerFcast'!$A203,'Customer Scenario Forecast'!$H$20:$H$1181,'Incremental Network SummerFcast'!$H$1)+D205))</f>
        <v>0</v>
      </c>
      <c r="E208" s="196">
        <f ca="1">IF($H$1="",
1*(
SUMIFS('Customer Scenario Forecast'!E$24:E$1185,'Customer Scenario Forecast'!$C$20:$C$1181,'Incremental Network SummerFcast'!$A203)+
SUMIFS('Customer Scenario Forecast'!E$24:E$1185,'Customer Scenario Forecast'!$D$20:$D$1181,'Incremental Network SummerFcast'!$A203)+
SUMIFS('Customer Scenario Forecast'!E$24:E$1185,'Customer Scenario Forecast'!$E$20:$E$1181,'Incremental Network SummerFcast'!$A203)+E205),
1*(
SUMIFS('Customer Scenario Forecast'!E$24:E$1185,'Customer Scenario Forecast'!$C$20:$C$1181,'Incremental Network SummerFcast'!$A203,'Customer Scenario Forecast'!$H$20:$H$1181,'Incremental Network SummerFcast'!$H$1)+
SUMIFS('Customer Scenario Forecast'!E$24:E$1185,'Customer Scenario Forecast'!$D$20:$D$1181,'Incremental Network SummerFcast'!$A203,'Customer Scenario Forecast'!$H$20:$H$1181,'Incremental Network SummerFcast'!$H$1)+
SUMIFS('Customer Scenario Forecast'!E$24:E$1185,'Customer Scenario Forecast'!$E$20:$E$1181,'Incremental Network SummerFcast'!$A203,'Customer Scenario Forecast'!$H$20:$H$1181,'Incremental Network SummerFcast'!$H$1)+E205))</f>
        <v>0</v>
      </c>
      <c r="F208" s="196">
        <f ca="1">IF($H$1="",
1*(
SUMIFS('Customer Scenario Forecast'!F$24:F$1185,'Customer Scenario Forecast'!$C$20:$C$1181,'Incremental Network SummerFcast'!$A203)+
SUMIFS('Customer Scenario Forecast'!F$24:F$1185,'Customer Scenario Forecast'!$D$20:$D$1181,'Incremental Network SummerFcast'!$A203)+
SUMIFS('Customer Scenario Forecast'!F$24:F$1185,'Customer Scenario Forecast'!$E$20:$E$1181,'Incremental Network SummerFcast'!$A203)+F205),
1*(
SUMIFS('Customer Scenario Forecast'!F$24:F$1185,'Customer Scenario Forecast'!$C$20:$C$1181,'Incremental Network SummerFcast'!$A203,'Customer Scenario Forecast'!$H$20:$H$1181,'Incremental Network SummerFcast'!$H$1)+
SUMIFS('Customer Scenario Forecast'!F$24:F$1185,'Customer Scenario Forecast'!$D$20:$D$1181,'Incremental Network SummerFcast'!$A203,'Customer Scenario Forecast'!$H$20:$H$1181,'Incremental Network SummerFcast'!$H$1)+
SUMIFS('Customer Scenario Forecast'!F$24:F$1185,'Customer Scenario Forecast'!$E$20:$E$1181,'Incremental Network SummerFcast'!$A203,'Customer Scenario Forecast'!$H$20:$H$1181,'Incremental Network SummerFcast'!$H$1)+F205))</f>
        <v>0</v>
      </c>
      <c r="G208" s="196">
        <f ca="1">IF($H$1="",
1*(
SUMIFS('Customer Scenario Forecast'!G$24:G$1185,'Customer Scenario Forecast'!$C$20:$C$1181,'Incremental Network SummerFcast'!$A203)+
SUMIFS('Customer Scenario Forecast'!G$24:G$1185,'Customer Scenario Forecast'!$D$20:$D$1181,'Incremental Network SummerFcast'!$A203)+
SUMIFS('Customer Scenario Forecast'!G$24:G$1185,'Customer Scenario Forecast'!$E$20:$E$1181,'Incremental Network SummerFcast'!$A203)+G205),
1*(
SUMIFS('Customer Scenario Forecast'!G$24:G$1185,'Customer Scenario Forecast'!$C$20:$C$1181,'Incremental Network SummerFcast'!$A203,'Customer Scenario Forecast'!$H$20:$H$1181,'Incremental Network SummerFcast'!$H$1)+
SUMIFS('Customer Scenario Forecast'!G$24:G$1185,'Customer Scenario Forecast'!$D$20:$D$1181,'Incremental Network SummerFcast'!$A203,'Customer Scenario Forecast'!$H$20:$H$1181,'Incremental Network SummerFcast'!$H$1)+
SUMIFS('Customer Scenario Forecast'!G$24:G$1185,'Customer Scenario Forecast'!$E$20:$E$1181,'Incremental Network SummerFcast'!$A203,'Customer Scenario Forecast'!$H$20:$H$1181,'Incremental Network SummerFcast'!$H$1)+G205))</f>
        <v>0</v>
      </c>
      <c r="H208" s="196">
        <f ca="1">IF($H$1="",
1*(
SUMIFS('Customer Scenario Forecast'!H$24:H$1185,'Customer Scenario Forecast'!$C$20:$C$1181,'Incremental Network SummerFcast'!$A203)+
SUMIFS('Customer Scenario Forecast'!H$24:H$1185,'Customer Scenario Forecast'!$D$20:$D$1181,'Incremental Network SummerFcast'!$A203)+
SUMIFS('Customer Scenario Forecast'!H$24:H$1185,'Customer Scenario Forecast'!$E$20:$E$1181,'Incremental Network SummerFcast'!$A203)+H205),
1*(
SUMIFS('Customer Scenario Forecast'!H$24:H$1185,'Customer Scenario Forecast'!$C$20:$C$1181,'Incremental Network SummerFcast'!$A203,'Customer Scenario Forecast'!$H$20:$H$1181,'Incremental Network SummerFcast'!$H$1)+
SUMIFS('Customer Scenario Forecast'!H$24:H$1185,'Customer Scenario Forecast'!$D$20:$D$1181,'Incremental Network SummerFcast'!$A203,'Customer Scenario Forecast'!$H$20:$H$1181,'Incremental Network SummerFcast'!$H$1)+
SUMIFS('Customer Scenario Forecast'!H$24:H$1185,'Customer Scenario Forecast'!$E$20:$E$1181,'Incremental Network SummerFcast'!$A203,'Customer Scenario Forecast'!$H$20:$H$1181,'Incremental Network SummerFcast'!$H$1)+H205))</f>
        <v>0</v>
      </c>
      <c r="I208" s="196">
        <f ca="1">IF($H$1="",
1*(
SUMIFS('Customer Scenario Forecast'!I$24:I$1185,'Customer Scenario Forecast'!$C$20:$C$1181,'Incremental Network SummerFcast'!$A203)+
SUMIFS('Customer Scenario Forecast'!I$24:I$1185,'Customer Scenario Forecast'!$D$20:$D$1181,'Incremental Network SummerFcast'!$A203)+
SUMIFS('Customer Scenario Forecast'!I$24:I$1185,'Customer Scenario Forecast'!$E$20:$E$1181,'Incremental Network SummerFcast'!$A203)+I205),
1*(
SUMIFS('Customer Scenario Forecast'!I$24:I$1185,'Customer Scenario Forecast'!$C$20:$C$1181,'Incremental Network SummerFcast'!$A203,'Customer Scenario Forecast'!$H$20:$H$1181,'Incremental Network SummerFcast'!$H$1)+
SUMIFS('Customer Scenario Forecast'!I$24:I$1185,'Customer Scenario Forecast'!$D$20:$D$1181,'Incremental Network SummerFcast'!$A203,'Customer Scenario Forecast'!$H$20:$H$1181,'Incremental Network SummerFcast'!$H$1)+
SUMIFS('Customer Scenario Forecast'!I$24:I$1185,'Customer Scenario Forecast'!$E$20:$E$1181,'Incremental Network SummerFcast'!$A203,'Customer Scenario Forecast'!$H$20:$H$1181,'Incremental Network SummerFcast'!$H$1)+I205))</f>
        <v>0</v>
      </c>
      <c r="J208" s="196">
        <f ca="1">IF($H$1="",
1*(
SUMIFS('Customer Scenario Forecast'!J$24:J$1185,'Customer Scenario Forecast'!$C$20:$C$1181,'Incremental Network SummerFcast'!$A203)+
SUMIFS('Customer Scenario Forecast'!J$24:J$1185,'Customer Scenario Forecast'!$D$20:$D$1181,'Incremental Network SummerFcast'!$A203)+
SUMIFS('Customer Scenario Forecast'!J$24:J$1185,'Customer Scenario Forecast'!$E$20:$E$1181,'Incremental Network SummerFcast'!$A203)+J205),
1*(
SUMIFS('Customer Scenario Forecast'!J$24:J$1185,'Customer Scenario Forecast'!$C$20:$C$1181,'Incremental Network SummerFcast'!$A203,'Customer Scenario Forecast'!$H$20:$H$1181,'Incremental Network SummerFcast'!$H$1)+
SUMIFS('Customer Scenario Forecast'!J$24:J$1185,'Customer Scenario Forecast'!$D$20:$D$1181,'Incremental Network SummerFcast'!$A203,'Customer Scenario Forecast'!$H$20:$H$1181,'Incremental Network SummerFcast'!$H$1)+
SUMIFS('Customer Scenario Forecast'!J$24:J$1185,'Customer Scenario Forecast'!$E$20:$E$1181,'Incremental Network SummerFcast'!$A203,'Customer Scenario Forecast'!$H$20:$H$1181,'Incremental Network SummerFcast'!$H$1)+J205))</f>
        <v>0</v>
      </c>
      <c r="K208" s="196">
        <f ca="1">IF($H$1="",
1*(
SUMIFS('Customer Scenario Forecast'!K$24:K$1185,'Customer Scenario Forecast'!$C$20:$C$1181,'Incremental Network SummerFcast'!$A203)+
SUMIFS('Customer Scenario Forecast'!K$24:K$1185,'Customer Scenario Forecast'!$D$20:$D$1181,'Incremental Network SummerFcast'!$A203)+
SUMIFS('Customer Scenario Forecast'!K$24:K$1185,'Customer Scenario Forecast'!$E$20:$E$1181,'Incremental Network SummerFcast'!$A203)+K205),
1*(
SUMIFS('Customer Scenario Forecast'!K$24:K$1185,'Customer Scenario Forecast'!$C$20:$C$1181,'Incremental Network SummerFcast'!$A203,'Customer Scenario Forecast'!$H$20:$H$1181,'Incremental Network SummerFcast'!$H$1)+
SUMIFS('Customer Scenario Forecast'!K$24:K$1185,'Customer Scenario Forecast'!$D$20:$D$1181,'Incremental Network SummerFcast'!$A203,'Customer Scenario Forecast'!$H$20:$H$1181,'Incremental Network SummerFcast'!$H$1)+
SUMIFS('Customer Scenario Forecast'!K$24:K$1185,'Customer Scenario Forecast'!$E$20:$E$1181,'Incremental Network SummerFcast'!$A203,'Customer Scenario Forecast'!$H$20:$H$1181,'Incremental Network SummerFcast'!$H$1)+K205))</f>
        <v>2</v>
      </c>
      <c r="L208" s="196">
        <f ca="1">IF($H$1="",
1*(
SUMIFS('Customer Scenario Forecast'!L$24:L$1185,'Customer Scenario Forecast'!$C$20:$C$1181,'Incremental Network SummerFcast'!$A203)+
SUMIFS('Customer Scenario Forecast'!L$24:L$1185,'Customer Scenario Forecast'!$D$20:$D$1181,'Incremental Network SummerFcast'!$A203)+
SUMIFS('Customer Scenario Forecast'!L$24:L$1185,'Customer Scenario Forecast'!$E$20:$E$1181,'Incremental Network SummerFcast'!$A203)+L205),
1*(
SUMIFS('Customer Scenario Forecast'!L$24:L$1185,'Customer Scenario Forecast'!$C$20:$C$1181,'Incremental Network SummerFcast'!$A203,'Customer Scenario Forecast'!$H$20:$H$1181,'Incremental Network SummerFcast'!$H$1)+
SUMIFS('Customer Scenario Forecast'!L$24:L$1185,'Customer Scenario Forecast'!$D$20:$D$1181,'Incremental Network SummerFcast'!$A203,'Customer Scenario Forecast'!$H$20:$H$1181,'Incremental Network SummerFcast'!$H$1)+
SUMIFS('Customer Scenario Forecast'!L$24:L$1185,'Customer Scenario Forecast'!$E$20:$E$1181,'Incremental Network SummerFcast'!$A203,'Customer Scenario Forecast'!$H$20:$H$1181,'Incremental Network SummerFcast'!$H$1)+L205))</f>
        <v>4.74</v>
      </c>
    </row>
    <row r="209" spans="1:13" ht="15" thickBot="1">
      <c r="A209" s="197" t="s">
        <v>109</v>
      </c>
      <c r="B209" s="198">
        <f ca="1">IF($H$1="",
1*(
SUMIFS('Customer Scenario Forecast'!B$25:B$1186,'Customer Scenario Forecast'!$C$20:$C$1181,'Incremental Network SummerFcast'!$A203)+
SUMIFS('Customer Scenario Forecast'!B$25:B$1186,'Customer Scenario Forecast'!$D$20:$D$1181,'Incremental Network SummerFcast'!$A203)+
SUMIFS('Customer Scenario Forecast'!B$25:B$1186,'Customer Scenario Forecast'!$E$20:$E$1181,'Incremental Network SummerFcast'!$A203)+B205),
1*(
SUMIFS('Customer Scenario Forecast'!B$25:B$1186,'Customer Scenario Forecast'!$C$20:$C$1181,'Incremental Network SummerFcast'!$A203,'Customer Scenario Forecast'!$H$20:$H$1181,'Incremental Network SummerFcast'!$H$1)+
SUMIFS('Customer Scenario Forecast'!B$25:B$1186,'Customer Scenario Forecast'!$D$20:$D$1181,'Incremental Network SummerFcast'!$A203,'Customer Scenario Forecast'!$H$20:$H$1181,'Incremental Network SummerFcast'!$H$1)+
SUMIFS('Customer Scenario Forecast'!B$25:B$1186,'Customer Scenario Forecast'!$E$20:$E$1181,'Incremental Network SummerFcast'!$A203,'Customer Scenario Forecast'!$H$20:$H$1181,'Incremental Network SummerFcast'!$H$1)+B205))</f>
        <v>0</v>
      </c>
      <c r="C209" s="198">
        <f ca="1">IF($H$1="",
1*(
SUMIFS('Customer Scenario Forecast'!C$25:C$1186,'Customer Scenario Forecast'!$C$20:$C$1181,'Incremental Network SummerFcast'!$A203)+
SUMIFS('Customer Scenario Forecast'!C$25:C$1186,'Customer Scenario Forecast'!$D$20:$D$1181,'Incremental Network SummerFcast'!$A203)+
SUMIFS('Customer Scenario Forecast'!C$25:C$1186,'Customer Scenario Forecast'!$E$20:$E$1181,'Incremental Network SummerFcast'!$A203)+C205),
1*(
SUMIFS('Customer Scenario Forecast'!C$25:C$1186,'Customer Scenario Forecast'!$C$20:$C$1181,'Incremental Network SummerFcast'!$A203,'Customer Scenario Forecast'!$H$20:$H$1181,'Incremental Network SummerFcast'!$H$1)+
SUMIFS('Customer Scenario Forecast'!C$25:C$1186,'Customer Scenario Forecast'!$D$20:$D$1181,'Incremental Network SummerFcast'!$A203,'Customer Scenario Forecast'!$H$20:$H$1181,'Incremental Network SummerFcast'!$H$1)+
SUMIFS('Customer Scenario Forecast'!C$25:C$1186,'Customer Scenario Forecast'!$E$20:$E$1181,'Incremental Network SummerFcast'!$A203,'Customer Scenario Forecast'!$H$20:$H$1181,'Incremental Network SummerFcast'!$H$1)+C205))</f>
        <v>0</v>
      </c>
      <c r="D209" s="198">
        <f ca="1">IF($H$1="",
1*(
SUMIFS('Customer Scenario Forecast'!D$25:D$1186,'Customer Scenario Forecast'!$C$20:$C$1181,'Incremental Network SummerFcast'!$A203)+
SUMIFS('Customer Scenario Forecast'!D$25:D$1186,'Customer Scenario Forecast'!$D$20:$D$1181,'Incremental Network SummerFcast'!$A203)+
SUMIFS('Customer Scenario Forecast'!D$25:D$1186,'Customer Scenario Forecast'!$E$20:$E$1181,'Incremental Network SummerFcast'!$A203)+D205),
1*(
SUMIFS('Customer Scenario Forecast'!D$25:D$1186,'Customer Scenario Forecast'!$C$20:$C$1181,'Incremental Network SummerFcast'!$A203,'Customer Scenario Forecast'!$H$20:$H$1181,'Incremental Network SummerFcast'!$H$1)+
SUMIFS('Customer Scenario Forecast'!D$25:D$1186,'Customer Scenario Forecast'!$D$20:$D$1181,'Incremental Network SummerFcast'!$A203,'Customer Scenario Forecast'!$H$20:$H$1181,'Incremental Network SummerFcast'!$H$1)+
SUMIFS('Customer Scenario Forecast'!D$25:D$1186,'Customer Scenario Forecast'!$E$20:$E$1181,'Incremental Network SummerFcast'!$A203,'Customer Scenario Forecast'!$H$20:$H$1181,'Incremental Network SummerFcast'!$H$1)+D205))</f>
        <v>0</v>
      </c>
      <c r="E209" s="198">
        <f ca="1">IF($H$1="",
1*(
SUMIFS('Customer Scenario Forecast'!E$25:E$1186,'Customer Scenario Forecast'!$C$20:$C$1181,'Incremental Network SummerFcast'!$A203)+
SUMIFS('Customer Scenario Forecast'!E$25:E$1186,'Customer Scenario Forecast'!$D$20:$D$1181,'Incremental Network SummerFcast'!$A203)+
SUMIFS('Customer Scenario Forecast'!E$25:E$1186,'Customer Scenario Forecast'!$E$20:$E$1181,'Incremental Network SummerFcast'!$A203)+E205),
1*(
SUMIFS('Customer Scenario Forecast'!E$25:E$1186,'Customer Scenario Forecast'!$C$20:$C$1181,'Incremental Network SummerFcast'!$A203,'Customer Scenario Forecast'!$H$20:$H$1181,'Incremental Network SummerFcast'!$H$1)+
SUMIFS('Customer Scenario Forecast'!E$25:E$1186,'Customer Scenario Forecast'!$D$20:$D$1181,'Incremental Network SummerFcast'!$A203,'Customer Scenario Forecast'!$H$20:$H$1181,'Incremental Network SummerFcast'!$H$1)+
SUMIFS('Customer Scenario Forecast'!E$25:E$1186,'Customer Scenario Forecast'!$E$20:$E$1181,'Incremental Network SummerFcast'!$A203,'Customer Scenario Forecast'!$H$20:$H$1181,'Incremental Network SummerFcast'!$H$1)+E205))</f>
        <v>0</v>
      </c>
      <c r="F209" s="198">
        <f ca="1">IF($H$1="",
1*(
SUMIFS('Customer Scenario Forecast'!F$25:F$1186,'Customer Scenario Forecast'!$C$20:$C$1181,'Incremental Network SummerFcast'!$A203)+
SUMIFS('Customer Scenario Forecast'!F$25:F$1186,'Customer Scenario Forecast'!$D$20:$D$1181,'Incremental Network SummerFcast'!$A203)+
SUMIFS('Customer Scenario Forecast'!F$25:F$1186,'Customer Scenario Forecast'!$E$20:$E$1181,'Incremental Network SummerFcast'!$A203)+F205),
1*(
SUMIFS('Customer Scenario Forecast'!F$25:F$1186,'Customer Scenario Forecast'!$C$20:$C$1181,'Incremental Network SummerFcast'!$A203,'Customer Scenario Forecast'!$H$20:$H$1181,'Incremental Network SummerFcast'!$H$1)+
SUMIFS('Customer Scenario Forecast'!F$25:F$1186,'Customer Scenario Forecast'!$D$20:$D$1181,'Incremental Network SummerFcast'!$A203,'Customer Scenario Forecast'!$H$20:$H$1181,'Incremental Network SummerFcast'!$H$1)+
SUMIFS('Customer Scenario Forecast'!F$25:F$1186,'Customer Scenario Forecast'!$E$20:$E$1181,'Incremental Network SummerFcast'!$A203,'Customer Scenario Forecast'!$H$20:$H$1181,'Incremental Network SummerFcast'!$H$1)+F205))</f>
        <v>0</v>
      </c>
      <c r="G209" s="198">
        <f ca="1">IF($H$1="",
1*(
SUMIFS('Customer Scenario Forecast'!G$25:G$1186,'Customer Scenario Forecast'!$C$20:$C$1181,'Incremental Network SummerFcast'!$A203)+
SUMIFS('Customer Scenario Forecast'!G$25:G$1186,'Customer Scenario Forecast'!$D$20:$D$1181,'Incremental Network SummerFcast'!$A203)+
SUMIFS('Customer Scenario Forecast'!G$25:G$1186,'Customer Scenario Forecast'!$E$20:$E$1181,'Incremental Network SummerFcast'!$A203)+G205),
1*(
SUMIFS('Customer Scenario Forecast'!G$25:G$1186,'Customer Scenario Forecast'!$C$20:$C$1181,'Incremental Network SummerFcast'!$A203,'Customer Scenario Forecast'!$H$20:$H$1181,'Incremental Network SummerFcast'!$H$1)+
SUMIFS('Customer Scenario Forecast'!G$25:G$1186,'Customer Scenario Forecast'!$D$20:$D$1181,'Incremental Network SummerFcast'!$A203,'Customer Scenario Forecast'!$H$20:$H$1181,'Incremental Network SummerFcast'!$H$1)+
SUMIFS('Customer Scenario Forecast'!G$25:G$1186,'Customer Scenario Forecast'!$E$20:$E$1181,'Incremental Network SummerFcast'!$A203,'Customer Scenario Forecast'!$H$20:$H$1181,'Incremental Network SummerFcast'!$H$1)+G205))</f>
        <v>0</v>
      </c>
      <c r="H209" s="198">
        <f ca="1">IF($H$1="",
1*(
SUMIFS('Customer Scenario Forecast'!H$25:H$1186,'Customer Scenario Forecast'!$C$20:$C$1181,'Incremental Network SummerFcast'!$A203)+
SUMIFS('Customer Scenario Forecast'!H$25:H$1186,'Customer Scenario Forecast'!$D$20:$D$1181,'Incremental Network SummerFcast'!$A203)+
SUMIFS('Customer Scenario Forecast'!H$25:H$1186,'Customer Scenario Forecast'!$E$20:$E$1181,'Incremental Network SummerFcast'!$A203)+H205),
1*(
SUMIFS('Customer Scenario Forecast'!H$25:H$1186,'Customer Scenario Forecast'!$C$20:$C$1181,'Incremental Network SummerFcast'!$A203,'Customer Scenario Forecast'!$H$20:$H$1181,'Incremental Network SummerFcast'!$H$1)+
SUMIFS('Customer Scenario Forecast'!H$25:H$1186,'Customer Scenario Forecast'!$D$20:$D$1181,'Incremental Network SummerFcast'!$A203,'Customer Scenario Forecast'!$H$20:$H$1181,'Incremental Network SummerFcast'!$H$1)+
SUMIFS('Customer Scenario Forecast'!H$25:H$1186,'Customer Scenario Forecast'!$E$20:$E$1181,'Incremental Network SummerFcast'!$A203,'Customer Scenario Forecast'!$H$20:$H$1181,'Incremental Network SummerFcast'!$H$1)+H205))</f>
        <v>0</v>
      </c>
      <c r="I209" s="198">
        <f ca="1">IF($H$1="",
1*(
SUMIFS('Customer Scenario Forecast'!I$25:I$1186,'Customer Scenario Forecast'!$C$20:$C$1181,'Incremental Network SummerFcast'!$A203)+
SUMIFS('Customer Scenario Forecast'!I$25:I$1186,'Customer Scenario Forecast'!$D$20:$D$1181,'Incremental Network SummerFcast'!$A203)+
SUMIFS('Customer Scenario Forecast'!I$25:I$1186,'Customer Scenario Forecast'!$E$20:$E$1181,'Incremental Network SummerFcast'!$A203)+I205),
1*(
SUMIFS('Customer Scenario Forecast'!I$25:I$1186,'Customer Scenario Forecast'!$C$20:$C$1181,'Incremental Network SummerFcast'!$A203,'Customer Scenario Forecast'!$H$20:$H$1181,'Incremental Network SummerFcast'!$H$1)+
SUMIFS('Customer Scenario Forecast'!I$25:I$1186,'Customer Scenario Forecast'!$D$20:$D$1181,'Incremental Network SummerFcast'!$A203,'Customer Scenario Forecast'!$H$20:$H$1181,'Incremental Network SummerFcast'!$H$1)+
SUMIFS('Customer Scenario Forecast'!I$25:I$1186,'Customer Scenario Forecast'!$E$20:$E$1181,'Incremental Network SummerFcast'!$A203,'Customer Scenario Forecast'!$H$20:$H$1181,'Incremental Network SummerFcast'!$H$1)+I205))</f>
        <v>7.2</v>
      </c>
      <c r="J209" s="198">
        <f ca="1">IF($H$1="",
1*(
SUMIFS('Customer Scenario Forecast'!J$25:J$1186,'Customer Scenario Forecast'!$C$20:$C$1181,'Incremental Network SummerFcast'!$A203)+
SUMIFS('Customer Scenario Forecast'!J$25:J$1186,'Customer Scenario Forecast'!$D$20:$D$1181,'Incremental Network SummerFcast'!$A203)+
SUMIFS('Customer Scenario Forecast'!J$25:J$1186,'Customer Scenario Forecast'!$E$20:$E$1181,'Incremental Network SummerFcast'!$A203)+J205),
1*(
SUMIFS('Customer Scenario Forecast'!J$25:J$1186,'Customer Scenario Forecast'!$C$20:$C$1181,'Incremental Network SummerFcast'!$A203,'Customer Scenario Forecast'!$H$20:$H$1181,'Incremental Network SummerFcast'!$H$1)+
SUMIFS('Customer Scenario Forecast'!J$25:J$1186,'Customer Scenario Forecast'!$D$20:$D$1181,'Incremental Network SummerFcast'!$A203,'Customer Scenario Forecast'!$H$20:$H$1181,'Incremental Network SummerFcast'!$H$1)+
SUMIFS('Customer Scenario Forecast'!J$25:J$1186,'Customer Scenario Forecast'!$E$20:$E$1181,'Incremental Network SummerFcast'!$A203,'Customer Scenario Forecast'!$H$20:$H$1181,'Incremental Network SummerFcast'!$H$1)+J205))</f>
        <v>17.064</v>
      </c>
      <c r="K209" s="198">
        <f ca="1">IF($H$1="",
1*(
SUMIFS('Customer Scenario Forecast'!K$25:K$1186,'Customer Scenario Forecast'!$C$20:$C$1181,'Incremental Network SummerFcast'!$A203)+
SUMIFS('Customer Scenario Forecast'!K$25:K$1186,'Customer Scenario Forecast'!$D$20:$D$1181,'Incremental Network SummerFcast'!$A203)+
SUMIFS('Customer Scenario Forecast'!K$25:K$1186,'Customer Scenario Forecast'!$E$20:$E$1181,'Incremental Network SummerFcast'!$A203)+K205),
1*(
SUMIFS('Customer Scenario Forecast'!K$25:K$1186,'Customer Scenario Forecast'!$C$20:$C$1181,'Incremental Network SummerFcast'!$A203,'Customer Scenario Forecast'!$H$20:$H$1181,'Incremental Network SummerFcast'!$H$1)+
SUMIFS('Customer Scenario Forecast'!K$25:K$1186,'Customer Scenario Forecast'!$D$20:$D$1181,'Incremental Network SummerFcast'!$A203,'Customer Scenario Forecast'!$H$20:$H$1181,'Incremental Network SummerFcast'!$H$1)+
SUMIFS('Customer Scenario Forecast'!K$25:K$1186,'Customer Scenario Forecast'!$E$20:$E$1181,'Incremental Network SummerFcast'!$A203,'Customer Scenario Forecast'!$H$20:$H$1181,'Incremental Network SummerFcast'!$H$1)+K205))</f>
        <v>30.312000000000001</v>
      </c>
      <c r="L209" s="198">
        <f ca="1">IF($H$1="",
1*(
SUMIFS('Customer Scenario Forecast'!L$25:L$1186,'Customer Scenario Forecast'!$C$20:$C$1181,'Incremental Network SummerFcast'!$A203)+
SUMIFS('Customer Scenario Forecast'!L$25:L$1186,'Customer Scenario Forecast'!$D$20:$D$1181,'Incremental Network SummerFcast'!$A203)+
SUMIFS('Customer Scenario Forecast'!L$25:L$1186,'Customer Scenario Forecast'!$E$20:$E$1181,'Incremental Network SummerFcast'!$A203)+L205),
1*(
SUMIFS('Customer Scenario Forecast'!L$25:L$1186,'Customer Scenario Forecast'!$C$20:$C$1181,'Incremental Network SummerFcast'!$A203,'Customer Scenario Forecast'!$H$20:$H$1181,'Incremental Network SummerFcast'!$H$1)+
SUMIFS('Customer Scenario Forecast'!L$25:L$1186,'Customer Scenario Forecast'!$D$20:$D$1181,'Incremental Network SummerFcast'!$A203,'Customer Scenario Forecast'!$H$20:$H$1181,'Incremental Network SummerFcast'!$H$1)+
SUMIFS('Customer Scenario Forecast'!L$25:L$1186,'Customer Scenario Forecast'!$E$20:$E$1181,'Incremental Network SummerFcast'!$A203,'Customer Scenario Forecast'!$H$20:$H$1181,'Incremental Network SummerFcast'!$H$1)+L205))</f>
        <v>53.190085128004689</v>
      </c>
    </row>
    <row r="210" spans="1:13" ht="15.6" thickTop="1" thickBot="1">
      <c r="A210" s="197" t="s">
        <v>148</v>
      </c>
      <c r="B210" s="198">
        <f ca="1">'Incremental Network SummerFcast'!$B$245*B207+'Incremental Network SummerFcast'!$B$246*B208+'Incremental Network SummerFcast'!$B$247*B209</f>
        <v>0</v>
      </c>
      <c r="C210" s="198">
        <f ca="1">'Incremental Network SummerFcast'!$B$245*C207+'Incremental Network SummerFcast'!$B$246*C208+'Incremental Network SummerFcast'!$B$247*C209</f>
        <v>0</v>
      </c>
      <c r="D210" s="198">
        <f ca="1">'Incremental Network SummerFcast'!$B$245*D207+'Incremental Network SummerFcast'!$B$246*D208+'Incremental Network SummerFcast'!$B$247*D209</f>
        <v>0</v>
      </c>
      <c r="E210" s="198">
        <f ca="1">'Incremental Network SummerFcast'!$B$245*E207+'Incremental Network SummerFcast'!$B$246*E208+'Incremental Network SummerFcast'!$B$247*E209</f>
        <v>0</v>
      </c>
      <c r="F210" s="198">
        <f ca="1">'Incremental Network SummerFcast'!$B$245*F207+'Incremental Network SummerFcast'!$B$246*F208+'Incremental Network SummerFcast'!$B$247*F209</f>
        <v>0</v>
      </c>
      <c r="G210" s="198">
        <f ca="1">'Incremental Network SummerFcast'!$B$245*G207+'Incremental Network SummerFcast'!$B$246*G208+'Incremental Network SummerFcast'!$B$247*G209</f>
        <v>0</v>
      </c>
      <c r="H210" s="198">
        <f ca="1">'Incremental Network SummerFcast'!$B$245*H207+'Incremental Network SummerFcast'!$B$246*H208+'Incremental Network SummerFcast'!$B$247*H209</f>
        <v>0</v>
      </c>
      <c r="I210" s="198">
        <f ca="1">'Incremental Network SummerFcast'!$B$245*I207+'Incremental Network SummerFcast'!$B$246*I208+'Incremental Network SummerFcast'!$B$247*I209</f>
        <v>1.8</v>
      </c>
      <c r="J210" s="198">
        <f ca="1">'Incremental Network SummerFcast'!$B$245*J207+'Incremental Network SummerFcast'!$B$246*J208+'Incremental Network SummerFcast'!$B$247*J209</f>
        <v>6.7159999999999993</v>
      </c>
      <c r="K210" s="198">
        <f ca="1">'Incremental Network SummerFcast'!$B$245*K207+'Incremental Network SummerFcast'!$B$246*K208+'Incremental Network SummerFcast'!$B$247*K209</f>
        <v>13.884499999999999</v>
      </c>
      <c r="L210" s="198">
        <f ca="1">'Incremental Network SummerFcast'!$B$245*L207+'Incremental Network SummerFcast'!$B$246*L208+'Incremental Network SummerFcast'!$B$247*L209</f>
        <v>24.797021282001168</v>
      </c>
    </row>
    <row r="211" spans="1:13" ht="15.6" thickTop="1" thickBot="1">
      <c r="A211" s="188" t="s">
        <v>155</v>
      </c>
      <c r="B211" s="188" t="s">
        <v>110</v>
      </c>
      <c r="C211" s="190"/>
      <c r="D211" s="190"/>
      <c r="E211" s="190"/>
      <c r="F211" s="190"/>
      <c r="G211" s="190"/>
      <c r="H211" s="190"/>
      <c r="I211" s="190"/>
      <c r="J211" s="190"/>
      <c r="K211" s="190"/>
      <c r="L211" s="190"/>
    </row>
    <row r="212" spans="1:13" ht="15" thickBot="1">
      <c r="A212" s="191" t="str">
        <f>A204</f>
        <v>Uptake Scenario</v>
      </c>
      <c r="B212" s="191">
        <f t="shared" ref="B212:L212" si="26">B204</f>
        <v>2023</v>
      </c>
      <c r="C212" s="191">
        <f t="shared" si="26"/>
        <v>2024</v>
      </c>
      <c r="D212" s="191">
        <f t="shared" si="26"/>
        <v>2025</v>
      </c>
      <c r="E212" s="191">
        <f t="shared" si="26"/>
        <v>2026</v>
      </c>
      <c r="F212" s="191">
        <f t="shared" si="26"/>
        <v>2027</v>
      </c>
      <c r="G212" s="191">
        <f t="shared" si="26"/>
        <v>2028</v>
      </c>
      <c r="H212" s="191">
        <f t="shared" si="26"/>
        <v>2029</v>
      </c>
      <c r="I212" s="191">
        <f t="shared" si="26"/>
        <v>2030</v>
      </c>
      <c r="J212" s="191">
        <f t="shared" si="26"/>
        <v>2031</v>
      </c>
      <c r="K212" s="191">
        <f t="shared" si="26"/>
        <v>2032</v>
      </c>
      <c r="L212" s="191">
        <f t="shared" si="26"/>
        <v>2033</v>
      </c>
    </row>
    <row r="213" spans="1:13" ht="15.6" thickTop="1" thickBot="1">
      <c r="A213" s="193"/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37"/>
    </row>
    <row r="214" spans="1:13" s="48" customFormat="1" ht="15" thickBot="1">
      <c r="A214" s="207" t="s">
        <v>111</v>
      </c>
      <c r="B214" s="208">
        <f ca="1">SUMIF('Customer Scenario Forecast'!$C$20:$C$1181,'Incremental Network SummerFcast'!$B211,'Customer Scenario Forecast'!B$22:B$1183)</f>
        <v>0</v>
      </c>
      <c r="C214" s="208">
        <f ca="1">SUMIF('Customer Scenario Forecast'!$C$20:$C$1181,'Incremental Network SummerFcast'!$B211,'Customer Scenario Forecast'!C$22:C$1183)</f>
        <v>40</v>
      </c>
      <c r="D214" s="208">
        <f ca="1">SUMIF('Customer Scenario Forecast'!$C$20:$C$1181,'Incremental Network SummerFcast'!$B211,'Customer Scenario Forecast'!D$22:D$1183)</f>
        <v>96.3</v>
      </c>
      <c r="E214" s="208">
        <f ca="1">SUMIF('Customer Scenario Forecast'!$C$20:$C$1181,'Incremental Network SummerFcast'!$B211,'Customer Scenario Forecast'!E$22:E$1183)</f>
        <v>101.3</v>
      </c>
      <c r="F214" s="208">
        <f ca="1">SUMIF('Customer Scenario Forecast'!$C$20:$C$1181,'Incremental Network SummerFcast'!$B211,'Customer Scenario Forecast'!F$22:F$1183)</f>
        <v>107.3</v>
      </c>
      <c r="G214" s="208">
        <f ca="1">SUMIF('Customer Scenario Forecast'!$C$20:$C$1181,'Incremental Network SummerFcast'!$B211,'Customer Scenario Forecast'!G$22:G$1183)</f>
        <v>121.3</v>
      </c>
      <c r="H214" s="208">
        <f ca="1">SUMIF('Customer Scenario Forecast'!$C$20:$C$1181,'Incremental Network SummerFcast'!$B211,'Customer Scenario Forecast'!H$22:H$1183)</f>
        <v>121.3</v>
      </c>
      <c r="I214" s="208">
        <f ca="1">SUMIF('Customer Scenario Forecast'!$C$20:$C$1181,'Incremental Network SummerFcast'!$B211,'Customer Scenario Forecast'!I$22:I$1183)</f>
        <v>121.3</v>
      </c>
      <c r="J214" s="208">
        <f ca="1">SUMIF('Customer Scenario Forecast'!$C$20:$C$1181,'Incremental Network SummerFcast'!$B211,'Customer Scenario Forecast'!J$22:J$1183)</f>
        <v>107.3</v>
      </c>
      <c r="K214" s="208">
        <f ca="1">SUMIF('Customer Scenario Forecast'!$C$20:$C$1181,'Incremental Network SummerFcast'!$B211,'Customer Scenario Forecast'!K$22:K$1183)</f>
        <v>107.3</v>
      </c>
      <c r="L214" s="208">
        <f ca="1">SUMIF('Customer Scenario Forecast'!$C$20:$C$1181,'Incremental Network SummerFcast'!$B211,'Customer Scenario Forecast'!L$22:L$1183)</f>
        <v>107.3</v>
      </c>
      <c r="M214" s="37"/>
    </row>
    <row r="215" spans="1:13" ht="15" thickBot="1">
      <c r="A215" s="205" t="s">
        <v>136</v>
      </c>
      <c r="B215" s="206">
        <f ca="1">SUMIFS('Customer Scenario Forecast'!B$22:B$1183,'Customer Scenario Forecast'!$C$20:$C$1181,$B$211,'Customer Scenario Forecast'!$H$20:$H$1181,"Data Centre")</f>
        <v>0</v>
      </c>
      <c r="C215" s="206">
        <f ca="1">SUMIFS('Customer Scenario Forecast'!C$22:C$1183,'Customer Scenario Forecast'!$C$20:$C$1181,$B$211,'Customer Scenario Forecast'!$H$20:$H$1181,"Data Centre")</f>
        <v>15</v>
      </c>
      <c r="D215" s="206">
        <f ca="1">SUMIFS('Customer Scenario Forecast'!D$22:D$1183,'Customer Scenario Forecast'!$C$20:$C$1181,$B$211,'Customer Scenario Forecast'!$H$20:$H$1181,"Data Centre")</f>
        <v>15</v>
      </c>
      <c r="E215" s="206">
        <f ca="1">SUMIFS('Customer Scenario Forecast'!E$22:E$1183,'Customer Scenario Forecast'!$C$20:$C$1181,$B$211,'Customer Scenario Forecast'!$H$20:$H$1181,"Data Centre")</f>
        <v>15</v>
      </c>
      <c r="F215" s="206">
        <f ca="1">SUMIFS('Customer Scenario Forecast'!F$22:F$1183,'Customer Scenario Forecast'!$C$20:$C$1181,$B$211,'Customer Scenario Forecast'!$H$20:$H$1181,"Data Centre")</f>
        <v>15</v>
      </c>
      <c r="G215" s="206">
        <f ca="1">SUMIFS('Customer Scenario Forecast'!G$22:G$1183,'Customer Scenario Forecast'!$C$20:$C$1181,$B$211,'Customer Scenario Forecast'!$H$20:$H$1181,"Data Centre")</f>
        <v>15</v>
      </c>
      <c r="H215" s="206">
        <f ca="1">SUMIFS('Customer Scenario Forecast'!H$22:H$1183,'Customer Scenario Forecast'!$C$20:$C$1181,$B$211,'Customer Scenario Forecast'!$H$20:$H$1181,"Data Centre")</f>
        <v>15</v>
      </c>
      <c r="I215" s="206">
        <f ca="1">SUMIFS('Customer Scenario Forecast'!I$22:I$1183,'Customer Scenario Forecast'!$C$20:$C$1181,$B$211,'Customer Scenario Forecast'!$H$20:$H$1181,"Data Centre")</f>
        <v>15</v>
      </c>
      <c r="J215" s="206">
        <f ca="1">SUMIFS('Customer Scenario Forecast'!J$22:J$1183,'Customer Scenario Forecast'!$C$20:$C$1181,$B$211,'Customer Scenario Forecast'!$H$20:$H$1181,"Data Centre")</f>
        <v>15</v>
      </c>
      <c r="K215" s="206">
        <f ca="1">SUMIFS('Customer Scenario Forecast'!K$22:K$1183,'Customer Scenario Forecast'!$C$20:$C$1181,$B$211,'Customer Scenario Forecast'!$H$20:$H$1181,"Data Centre")</f>
        <v>15</v>
      </c>
      <c r="L215" s="206">
        <f ca="1">SUMIFS('Customer Scenario Forecast'!L$22:L$1183,'Customer Scenario Forecast'!$C$20:$C$1181,$B$211,'Customer Scenario Forecast'!$H$20:$H$1181,"Data Centre")</f>
        <v>15</v>
      </c>
      <c r="M215" s="37"/>
    </row>
    <row r="216" spans="1:13" ht="15" thickBot="1">
      <c r="A216" s="205" t="s">
        <v>137</v>
      </c>
      <c r="B216" s="206">
        <f ca="1">B214-B215</f>
        <v>0</v>
      </c>
      <c r="C216" s="206">
        <f t="shared" ref="C216:L216" ca="1" si="27">C214-C215</f>
        <v>25</v>
      </c>
      <c r="D216" s="206">
        <f t="shared" ca="1" si="27"/>
        <v>81.3</v>
      </c>
      <c r="E216" s="206">
        <f t="shared" ca="1" si="27"/>
        <v>86.3</v>
      </c>
      <c r="F216" s="206">
        <f t="shared" ca="1" si="27"/>
        <v>92.3</v>
      </c>
      <c r="G216" s="206">
        <f t="shared" ca="1" si="27"/>
        <v>106.3</v>
      </c>
      <c r="H216" s="206">
        <f t="shared" ca="1" si="27"/>
        <v>106.3</v>
      </c>
      <c r="I216" s="206">
        <f t="shared" ca="1" si="27"/>
        <v>106.3</v>
      </c>
      <c r="J216" s="206">
        <f t="shared" ca="1" si="27"/>
        <v>92.3</v>
      </c>
      <c r="K216" s="206">
        <f t="shared" ca="1" si="27"/>
        <v>92.3</v>
      </c>
      <c r="L216" s="206">
        <f t="shared" ca="1" si="27"/>
        <v>92.3</v>
      </c>
      <c r="M216" s="37"/>
    </row>
    <row r="217" spans="1:13" s="48" customFormat="1" ht="15" thickBot="1">
      <c r="A217" s="207" t="s">
        <v>107</v>
      </c>
      <c r="B217" s="208">
        <f ca="1">1*(SUMIF('Customer Scenario Forecast'!$C$20:$C$1181,'Incremental Network SummerFcast'!$B211,'Customer Scenario Forecast'!B$23:B$1184)+
SUMIF('Customer Scenario Forecast'!$D$20:$D$1181,'Incremental Network SummerFcast'!$B211,'Customer Scenario Forecast'!B$23:B$1184)+
SUMIF('Customer Scenario Forecast'!$E$20:$E$1181,'Incremental Network SummerFcast'!$B211,'Customer Scenario Forecast'!B$23:B$1184)+B213)</f>
        <v>0</v>
      </c>
      <c r="C217" s="208">
        <f ca="1">1*(SUMIF('Customer Scenario Forecast'!$C$20:$C$1181,'Incremental Network SummerFcast'!$B211,'Customer Scenario Forecast'!C$23:C$1184)+
SUMIF('Customer Scenario Forecast'!$D$20:$D$1181,'Incremental Network SummerFcast'!$B211,'Customer Scenario Forecast'!C$23:C$1184)+
SUMIF('Customer Scenario Forecast'!$E$20:$E$1181,'Incremental Network SummerFcast'!$B211,'Customer Scenario Forecast'!C$23:C$1184)+C213)</f>
        <v>0</v>
      </c>
      <c r="D217" s="208">
        <f ca="1">1*(SUMIF('Customer Scenario Forecast'!$C$20:$C$1181,'Incremental Network SummerFcast'!$B211,'Customer Scenario Forecast'!D$23:D$1184)+
SUMIF('Customer Scenario Forecast'!$D$20:$D$1181,'Incremental Network SummerFcast'!$B211,'Customer Scenario Forecast'!D$23:D$1184)+
SUMIF('Customer Scenario Forecast'!$E$20:$E$1181,'Incremental Network SummerFcast'!$B211,'Customer Scenario Forecast'!D$23:D$1184)+D213)</f>
        <v>28.4</v>
      </c>
      <c r="E217" s="208">
        <f ca="1">1*(SUMIF('Customer Scenario Forecast'!$C$20:$C$1181,'Incremental Network SummerFcast'!$B211,'Customer Scenario Forecast'!E$23:E$1184)+
SUMIF('Customer Scenario Forecast'!$D$20:$D$1181,'Incremental Network SummerFcast'!$B211,'Customer Scenario Forecast'!E$23:E$1184)+
SUMIF('Customer Scenario Forecast'!$E$20:$E$1181,'Incremental Network SummerFcast'!$B211,'Customer Scenario Forecast'!E$23:E$1184)+E213)</f>
        <v>54.669999999999995</v>
      </c>
      <c r="F217" s="208">
        <f ca="1">1*(SUMIF('Customer Scenario Forecast'!$C$20:$C$1181,'Incremental Network SummerFcast'!$B211,'Customer Scenario Forecast'!F$23:F$1184)+
SUMIF('Customer Scenario Forecast'!$D$20:$D$1181,'Incremental Network SummerFcast'!$B211,'Customer Scenario Forecast'!F$23:F$1184)+
SUMIF('Customer Scenario Forecast'!$E$20:$E$1181,'Incremental Network SummerFcast'!$B211,'Customer Scenario Forecast'!F$23:F$1184)+F213)</f>
        <v>59.329999999999991</v>
      </c>
      <c r="G217" s="208">
        <f ca="1">1*(SUMIF('Customer Scenario Forecast'!$C$20:$C$1181,'Incremental Network SummerFcast'!$B211,'Customer Scenario Forecast'!G$23:G$1184)+
SUMIF('Customer Scenario Forecast'!$D$20:$D$1181,'Incremental Network SummerFcast'!$B211,'Customer Scenario Forecast'!G$23:G$1184)+
SUMIF('Customer Scenario Forecast'!$E$20:$E$1181,'Incremental Network SummerFcast'!$B211,'Customer Scenario Forecast'!G$23:G$1184)+G213)</f>
        <v>60.689999999999991</v>
      </c>
      <c r="H217" s="208">
        <f ca="1">1*(SUMIF('Customer Scenario Forecast'!$C$20:$C$1181,'Incremental Network SummerFcast'!$B211,'Customer Scenario Forecast'!H$23:H$1184)+
SUMIF('Customer Scenario Forecast'!$D$20:$D$1181,'Incremental Network SummerFcast'!$B211,'Customer Scenario Forecast'!H$23:H$1184)+
SUMIF('Customer Scenario Forecast'!$E$20:$E$1181,'Incremental Network SummerFcast'!$B211,'Customer Scenario Forecast'!H$23:H$1184)+H213)</f>
        <v>69.13</v>
      </c>
      <c r="I217" s="208">
        <f ca="1">1*(SUMIF('Customer Scenario Forecast'!$C$20:$C$1181,'Incremental Network SummerFcast'!$B211,'Customer Scenario Forecast'!I$23:I$1184)+
SUMIF('Customer Scenario Forecast'!$D$20:$D$1181,'Incremental Network SummerFcast'!$B211,'Customer Scenario Forecast'!I$23:I$1184)+
SUMIF('Customer Scenario Forecast'!$E$20:$E$1181,'Incremental Network SummerFcast'!$B211,'Customer Scenario Forecast'!I$23:I$1184)+I213)</f>
        <v>70.853999999999999</v>
      </c>
      <c r="J217" s="208">
        <f ca="1">1*(SUMIF('Customer Scenario Forecast'!$C$20:$C$1181,'Incremental Network SummerFcast'!$B211,'Customer Scenario Forecast'!J$23:J$1184)+
SUMIF('Customer Scenario Forecast'!$D$20:$D$1181,'Incremental Network SummerFcast'!$B211,'Customer Scenario Forecast'!J$23:J$1184)+
SUMIF('Customer Scenario Forecast'!$E$20:$E$1181,'Incremental Network SummerFcast'!$B211,'Customer Scenario Forecast'!J$23:J$1184)+J213)</f>
        <v>61.11</v>
      </c>
      <c r="K217" s="208">
        <f ca="1">1*(SUMIF('Customer Scenario Forecast'!$C$20:$C$1181,'Incremental Network SummerFcast'!$B211,'Customer Scenario Forecast'!K$23:K$1184)+
SUMIF('Customer Scenario Forecast'!$D$20:$D$1181,'Incremental Network SummerFcast'!$B211,'Customer Scenario Forecast'!K$23:K$1184)+
SUMIF('Customer Scenario Forecast'!$E$20:$E$1181,'Incremental Network SummerFcast'!$B211,'Customer Scenario Forecast'!K$23:K$1184)+K213)</f>
        <v>62.51</v>
      </c>
      <c r="L217" s="208">
        <f ca="1">1*(SUMIF('Customer Scenario Forecast'!$C$20:$C$1181,'Incremental Network SummerFcast'!$B211,'Customer Scenario Forecast'!L$23:L$1184)+
SUMIF('Customer Scenario Forecast'!$D$20:$D$1181,'Incremental Network SummerFcast'!$B211,'Customer Scenario Forecast'!L$23:L$1184)+
SUMIF('Customer Scenario Forecast'!$E$20:$E$1181,'Incremental Network SummerFcast'!$B211,'Customer Scenario Forecast'!L$23:L$1184)+L213)</f>
        <v>62.51</v>
      </c>
    </row>
    <row r="218" spans="1:13" s="54" customFormat="1" ht="15" thickBot="1">
      <c r="A218" s="205" t="s">
        <v>136</v>
      </c>
      <c r="B218" s="206">
        <f ca="1">SUMIFS('Customer Scenario Forecast'!B$23:B$1184,'Customer Scenario Forecast'!$C$20:$C$1181,$B$211,'Customer Scenario Forecast'!$H$20:$H$1181,"Data Centre")</f>
        <v>0</v>
      </c>
      <c r="C218" s="206">
        <f ca="1">SUMIFS('Customer Scenario Forecast'!C$23:C$1184,'Customer Scenario Forecast'!$C$20:$C$1181,$B$211,'Customer Scenario Forecast'!$H$20:$H$1181,"Data Centre")</f>
        <v>0</v>
      </c>
      <c r="D218" s="206">
        <f ca="1">SUMIFS('Customer Scenario Forecast'!D$23:D$1184,'Customer Scenario Forecast'!$C$20:$C$1181,$B$211,'Customer Scenario Forecast'!$H$20:$H$1181,"Data Centre")</f>
        <v>10.5</v>
      </c>
      <c r="E218" s="206">
        <f ca="1">SUMIFS('Customer Scenario Forecast'!E$23:E$1184,'Customer Scenario Forecast'!$C$20:$C$1181,$B$211,'Customer Scenario Forecast'!$H$20:$H$1181,"Data Centre")</f>
        <v>10.5</v>
      </c>
      <c r="F218" s="206">
        <f ca="1">SUMIFS('Customer Scenario Forecast'!F$23:F$1184,'Customer Scenario Forecast'!$C$20:$C$1181,$B$211,'Customer Scenario Forecast'!$H$20:$H$1181,"Data Centre")</f>
        <v>10.5</v>
      </c>
      <c r="G218" s="206">
        <f ca="1">SUMIFS('Customer Scenario Forecast'!G$23:G$1184,'Customer Scenario Forecast'!$C$20:$C$1181,$B$211,'Customer Scenario Forecast'!$H$20:$H$1181,"Data Centre")</f>
        <v>10.5</v>
      </c>
      <c r="H218" s="206">
        <f ca="1">SUMIFS('Customer Scenario Forecast'!H$23:H$1184,'Customer Scenario Forecast'!$C$20:$C$1181,$B$211,'Customer Scenario Forecast'!$H$20:$H$1181,"Data Centre")</f>
        <v>10.5</v>
      </c>
      <c r="I218" s="206">
        <f ca="1">SUMIFS('Customer Scenario Forecast'!I$23:I$1184,'Customer Scenario Forecast'!$C$20:$C$1181,$B$211,'Customer Scenario Forecast'!$H$20:$H$1181,"Data Centre")</f>
        <v>10.5</v>
      </c>
      <c r="J218" s="206">
        <f ca="1">SUMIFS('Customer Scenario Forecast'!J$23:J$1184,'Customer Scenario Forecast'!$C$20:$C$1181,$B$211,'Customer Scenario Forecast'!$H$20:$H$1181,"Data Centre")</f>
        <v>10.5</v>
      </c>
      <c r="K218" s="206">
        <f ca="1">SUMIFS('Customer Scenario Forecast'!K$23:K$1184,'Customer Scenario Forecast'!$C$20:$C$1181,$B$211,'Customer Scenario Forecast'!$H$20:$H$1181,"Data Centre")</f>
        <v>10.5</v>
      </c>
      <c r="L218" s="206">
        <f ca="1">SUMIFS('Customer Scenario Forecast'!L$23:L$1184,'Customer Scenario Forecast'!$C$20:$C$1181,$B$211,'Customer Scenario Forecast'!$H$20:$H$1181,"Data Centre")</f>
        <v>10.5</v>
      </c>
    </row>
    <row r="219" spans="1:13" s="54" customFormat="1" ht="15" thickBot="1">
      <c r="A219" s="205" t="s">
        <v>137</v>
      </c>
      <c r="B219" s="206">
        <f t="shared" ref="B219:L219" ca="1" si="28">B217-B218</f>
        <v>0</v>
      </c>
      <c r="C219" s="206">
        <f t="shared" ca="1" si="28"/>
        <v>0</v>
      </c>
      <c r="D219" s="206">
        <f t="shared" ca="1" si="28"/>
        <v>17.899999999999999</v>
      </c>
      <c r="E219" s="206">
        <f t="shared" ca="1" si="28"/>
        <v>44.169999999999995</v>
      </c>
      <c r="F219" s="206">
        <f t="shared" ca="1" si="28"/>
        <v>48.829999999999991</v>
      </c>
      <c r="G219" s="206">
        <f t="shared" ca="1" si="28"/>
        <v>50.189999999999991</v>
      </c>
      <c r="H219" s="206">
        <f t="shared" ca="1" si="28"/>
        <v>58.629999999999995</v>
      </c>
      <c r="I219" s="206">
        <f t="shared" ca="1" si="28"/>
        <v>60.353999999999999</v>
      </c>
      <c r="J219" s="206">
        <f t="shared" ca="1" si="28"/>
        <v>50.61</v>
      </c>
      <c r="K219" s="206">
        <f t="shared" ca="1" si="28"/>
        <v>52.01</v>
      </c>
      <c r="L219" s="206">
        <f t="shared" ca="1" si="28"/>
        <v>52.01</v>
      </c>
    </row>
    <row r="220" spans="1:13" s="48" customFormat="1" ht="15" thickBot="1">
      <c r="A220" s="207" t="s">
        <v>108</v>
      </c>
      <c r="B220" s="208">
        <f ca="1">1*(SUMIF('Customer Scenario Forecast'!$C$20:$C$1181,'Incremental Network SummerFcast'!$B211,'Customer Scenario Forecast'!B$24:B$1185)+
SUMIF('Customer Scenario Forecast'!$D$20:$D$1181,'Incremental Network SummerFcast'!$B211,'Customer Scenario Forecast'!B$24:B$1185)+
SUMIF('Customer Scenario Forecast'!$E$20:$E$1181,'Incremental Network SummerFcast'!$B211,'Customer Scenario Forecast'!B$24:B$1185)+B213)</f>
        <v>0</v>
      </c>
      <c r="C220" s="208">
        <f ca="1">1*(SUMIF('Customer Scenario Forecast'!$C$20:$C$1181,'Incremental Network SummerFcast'!$B211,'Customer Scenario Forecast'!C$24:C$1185)+
SUMIF('Customer Scenario Forecast'!$D$20:$D$1181,'Incremental Network SummerFcast'!$B211,'Customer Scenario Forecast'!C$24:C$1185)+
SUMIF('Customer Scenario Forecast'!$E$20:$E$1181,'Incremental Network SummerFcast'!$B211,'Customer Scenario Forecast'!C$24:C$1185)+C213)</f>
        <v>0</v>
      </c>
      <c r="D220" s="208">
        <f ca="1">1*(SUMIF('Customer Scenario Forecast'!$C$20:$C$1181,'Incremental Network SummerFcast'!$B211,'Customer Scenario Forecast'!D$24:D$1185)+
SUMIF('Customer Scenario Forecast'!$D$20:$D$1181,'Incremental Network SummerFcast'!$B211,'Customer Scenario Forecast'!D$24:D$1185)+
SUMIF('Customer Scenario Forecast'!$E$20:$E$1181,'Incremental Network SummerFcast'!$B211,'Customer Scenario Forecast'!D$24:D$1185)+D213)</f>
        <v>0</v>
      </c>
      <c r="E220" s="208">
        <f ca="1">1*(SUMIF('Customer Scenario Forecast'!$C$20:$C$1181,'Incremental Network SummerFcast'!$B211,'Customer Scenario Forecast'!E$24:E$1185)+
SUMIF('Customer Scenario Forecast'!$D$20:$D$1181,'Incremental Network SummerFcast'!$B211,'Customer Scenario Forecast'!E$24:E$1185)+
SUMIF('Customer Scenario Forecast'!$E$20:$E$1181,'Incremental Network SummerFcast'!$B211,'Customer Scenario Forecast'!E$24:E$1185)+E213)</f>
        <v>24</v>
      </c>
      <c r="F220" s="208">
        <f ca="1">1*(SUMIF('Customer Scenario Forecast'!$C$20:$C$1181,'Incremental Network SummerFcast'!$B211,'Customer Scenario Forecast'!F$24:F$1185)+
SUMIF('Customer Scenario Forecast'!$D$20:$D$1181,'Incremental Network SummerFcast'!$B211,'Customer Scenario Forecast'!F$24:F$1185)+
SUMIF('Customer Scenario Forecast'!$E$20:$E$1181,'Incremental Network SummerFcast'!$B211,'Customer Scenario Forecast'!F$24:F$1185)+F213)</f>
        <v>45.78</v>
      </c>
      <c r="G220" s="208">
        <f ca="1">1*(SUMIF('Customer Scenario Forecast'!$C$20:$C$1181,'Incremental Network SummerFcast'!$B211,'Customer Scenario Forecast'!G$24:G$1185)+
SUMIF('Customer Scenario Forecast'!$D$20:$D$1181,'Incremental Network SummerFcast'!$B211,'Customer Scenario Forecast'!G$24:G$1185)+
SUMIF('Customer Scenario Forecast'!$E$20:$E$1181,'Incremental Network SummerFcast'!$B211,'Customer Scenario Forecast'!G$24:G$1185)+G213)</f>
        <v>48.38</v>
      </c>
      <c r="H220" s="208">
        <f ca="1">1*(SUMIF('Customer Scenario Forecast'!$C$20:$C$1181,'Incremental Network SummerFcast'!$B211,'Customer Scenario Forecast'!H$24:H$1185)+
SUMIF('Customer Scenario Forecast'!$D$20:$D$1181,'Incremental Network SummerFcast'!$B211,'Customer Scenario Forecast'!H$24:H$1185)+
SUMIF('Customer Scenario Forecast'!$E$20:$E$1181,'Incremental Network SummerFcast'!$B211,'Customer Scenario Forecast'!H$24:H$1185)+H213)</f>
        <v>48.580000000000005</v>
      </c>
      <c r="I220" s="208">
        <f ca="1">1*(SUMIF('Customer Scenario Forecast'!$C$20:$C$1181,'Incremental Network SummerFcast'!$B211,'Customer Scenario Forecast'!I$24:I$1185)+
SUMIF('Customer Scenario Forecast'!$D$20:$D$1181,'Incremental Network SummerFcast'!$B211,'Customer Scenario Forecast'!I$24:I$1185)+
SUMIF('Customer Scenario Forecast'!$E$20:$E$1181,'Incremental Network SummerFcast'!$B211,'Customer Scenario Forecast'!I$24:I$1185)+I213)</f>
        <v>56.78</v>
      </c>
      <c r="J220" s="208">
        <f ca="1">1*(SUMIF('Customer Scenario Forecast'!$C$20:$C$1181,'Incremental Network SummerFcast'!$B211,'Customer Scenario Forecast'!J$24:J$1185)+
SUMIF('Customer Scenario Forecast'!$D$20:$D$1181,'Incremental Network SummerFcast'!$B211,'Customer Scenario Forecast'!J$24:J$1185)+
SUMIF('Customer Scenario Forecast'!$E$20:$E$1181,'Incremental Network SummerFcast'!$B211,'Customer Scenario Forecast'!J$24:J$1185)+J213)</f>
        <v>48.38</v>
      </c>
      <c r="K220" s="208">
        <f ca="1">1*(SUMIF('Customer Scenario Forecast'!$C$20:$C$1181,'Incremental Network SummerFcast'!$B211,'Customer Scenario Forecast'!K$24:K$1185)+
SUMIF('Customer Scenario Forecast'!$D$20:$D$1181,'Incremental Network SummerFcast'!$B211,'Customer Scenario Forecast'!K$24:K$1185)+
SUMIF('Customer Scenario Forecast'!$E$20:$E$1181,'Incremental Network SummerFcast'!$B211,'Customer Scenario Forecast'!K$24:K$1185)+K213)</f>
        <v>49.58</v>
      </c>
      <c r="L220" s="208">
        <f ca="1">1*(SUMIF('Customer Scenario Forecast'!$C$20:$C$1181,'Incremental Network SummerFcast'!$B211,'Customer Scenario Forecast'!L$24:L$1185)+
SUMIF('Customer Scenario Forecast'!$D$20:$D$1181,'Incremental Network SummerFcast'!$B211,'Customer Scenario Forecast'!L$24:L$1185)+
SUMIF('Customer Scenario Forecast'!$E$20:$E$1181,'Incremental Network SummerFcast'!$B211,'Customer Scenario Forecast'!L$24:L$1185)+L213)</f>
        <v>49.58</v>
      </c>
    </row>
    <row r="221" spans="1:13" s="54" customFormat="1" ht="15" thickBot="1">
      <c r="A221" s="205" t="s">
        <v>136</v>
      </c>
      <c r="B221" s="206">
        <f ca="1">SUMIFS('Customer Scenario Forecast'!B$24:B$1185,'Customer Scenario Forecast'!$C$20:$C$1181,$B$211,'Customer Scenario Forecast'!$H$20:$H$1181,"Data Centre")</f>
        <v>0</v>
      </c>
      <c r="C221" s="206">
        <f ca="1">SUMIFS('Customer Scenario Forecast'!C$24:C$1185,'Customer Scenario Forecast'!$C$20:$C$1181,$B$211,'Customer Scenario Forecast'!$H$20:$H$1181,"Data Centre")</f>
        <v>0</v>
      </c>
      <c r="D221" s="206">
        <f ca="1">SUMIFS('Customer Scenario Forecast'!D$24:D$1185,'Customer Scenario Forecast'!$C$20:$C$1181,$B$211,'Customer Scenario Forecast'!$H$20:$H$1181,"Data Centre")</f>
        <v>0</v>
      </c>
      <c r="E221" s="206">
        <f ca="1">SUMIFS('Customer Scenario Forecast'!E$24:E$1185,'Customer Scenario Forecast'!$C$20:$C$1181,$B$211,'Customer Scenario Forecast'!$H$20:$H$1181,"Data Centre")</f>
        <v>9</v>
      </c>
      <c r="F221" s="206">
        <f ca="1">SUMIFS('Customer Scenario Forecast'!F$24:F$1185,'Customer Scenario Forecast'!$C$20:$C$1181,$B$211,'Customer Scenario Forecast'!$H$20:$H$1181,"Data Centre")</f>
        <v>9</v>
      </c>
      <c r="G221" s="206">
        <f ca="1">SUMIFS('Customer Scenario Forecast'!G$24:G$1185,'Customer Scenario Forecast'!$C$20:$C$1181,$B$211,'Customer Scenario Forecast'!$H$20:$H$1181,"Data Centre")</f>
        <v>9</v>
      </c>
      <c r="H221" s="206">
        <f ca="1">SUMIFS('Customer Scenario Forecast'!H$24:H$1185,'Customer Scenario Forecast'!$C$20:$C$1181,$B$211,'Customer Scenario Forecast'!$H$20:$H$1181,"Data Centre")</f>
        <v>9</v>
      </c>
      <c r="I221" s="206">
        <f ca="1">SUMIFS('Customer Scenario Forecast'!I$24:I$1185,'Customer Scenario Forecast'!$C$20:$C$1181,$B$211,'Customer Scenario Forecast'!$H$20:$H$1181,"Data Centre")</f>
        <v>9</v>
      </c>
      <c r="J221" s="206">
        <f ca="1">SUMIFS('Customer Scenario Forecast'!J$24:J$1185,'Customer Scenario Forecast'!$C$20:$C$1181,$B$211,'Customer Scenario Forecast'!$H$20:$H$1181,"Data Centre")</f>
        <v>9</v>
      </c>
      <c r="K221" s="206">
        <f ca="1">SUMIFS('Customer Scenario Forecast'!K$24:K$1185,'Customer Scenario Forecast'!$C$20:$C$1181,$B$211,'Customer Scenario Forecast'!$H$20:$H$1181,"Data Centre")</f>
        <v>9</v>
      </c>
      <c r="L221" s="206">
        <f ca="1">SUMIFS('Customer Scenario Forecast'!L$24:L$1185,'Customer Scenario Forecast'!$C$20:$C$1181,$B$211,'Customer Scenario Forecast'!$H$20:$H$1181,"Data Centre")</f>
        <v>9</v>
      </c>
    </row>
    <row r="222" spans="1:13" s="54" customFormat="1" ht="15" thickBot="1">
      <c r="A222" s="205" t="s">
        <v>137</v>
      </c>
      <c r="B222" s="206">
        <f t="shared" ref="B222:L222" ca="1" si="29">B220-B221</f>
        <v>0</v>
      </c>
      <c r="C222" s="206">
        <f t="shared" ca="1" si="29"/>
        <v>0</v>
      </c>
      <c r="D222" s="206">
        <f t="shared" ca="1" si="29"/>
        <v>0</v>
      </c>
      <c r="E222" s="206">
        <f t="shared" ca="1" si="29"/>
        <v>15</v>
      </c>
      <c r="F222" s="206">
        <f t="shared" ca="1" si="29"/>
        <v>36.78</v>
      </c>
      <c r="G222" s="206">
        <f t="shared" ca="1" si="29"/>
        <v>39.380000000000003</v>
      </c>
      <c r="H222" s="206">
        <f t="shared" ca="1" si="29"/>
        <v>39.580000000000005</v>
      </c>
      <c r="I222" s="206">
        <f t="shared" ca="1" si="29"/>
        <v>47.78</v>
      </c>
      <c r="J222" s="206">
        <f t="shared" ca="1" si="29"/>
        <v>39.380000000000003</v>
      </c>
      <c r="K222" s="206">
        <f t="shared" ca="1" si="29"/>
        <v>40.58</v>
      </c>
      <c r="L222" s="206">
        <f t="shared" ca="1" si="29"/>
        <v>40.58</v>
      </c>
    </row>
    <row r="223" spans="1:13" s="48" customFormat="1" ht="15" thickBot="1">
      <c r="A223" s="207" t="s">
        <v>109</v>
      </c>
      <c r="B223" s="208">
        <f ca="1">1*(SUMIF('Customer Scenario Forecast'!$C$20:$C$1181,'Incremental Network SummerFcast'!$B211,'Customer Scenario Forecast'!B$25:B$1186)+
SUMIF('Customer Scenario Forecast'!$D$20:$D$1181,'Incremental Network SummerFcast'!$B211,'Customer Scenario Forecast'!B$25:B$1186)+
SUMIF('Customer Scenario Forecast'!$E$20:$E$1181,'Incremental Network SummerFcast'!$B211,'Customer Scenario Forecast'!B$25:B$1186)+B213)</f>
        <v>0</v>
      </c>
      <c r="C223" s="208">
        <f ca="1">1*(SUMIF('Customer Scenario Forecast'!$C$20:$C$1181,'Incremental Network SummerFcast'!$B211,'Customer Scenario Forecast'!C$25:C$1186)+
SUMIF('Customer Scenario Forecast'!$D$20:$D$1181,'Incremental Network SummerFcast'!$B211,'Customer Scenario Forecast'!C$25:C$1186)+
SUMIF('Customer Scenario Forecast'!$E$20:$E$1181,'Incremental Network SummerFcast'!$B211,'Customer Scenario Forecast'!C$25:C$1186)+C213)</f>
        <v>40</v>
      </c>
      <c r="D223" s="208">
        <f ca="1">1*(SUMIF('Customer Scenario Forecast'!$C$20:$C$1181,'Incremental Network SummerFcast'!$B211,'Customer Scenario Forecast'!D$25:D$1186)+
SUMIF('Customer Scenario Forecast'!$D$20:$D$1181,'Incremental Network SummerFcast'!$B211,'Customer Scenario Forecast'!D$25:D$1186)+
SUMIF('Customer Scenario Forecast'!$E$20:$E$1181,'Incremental Network SummerFcast'!$B211,'Customer Scenario Forecast'!D$25:D$1186)+D213)</f>
        <v>76.3</v>
      </c>
      <c r="E223" s="208">
        <f ca="1">1*(SUMIF('Customer Scenario Forecast'!$C$20:$C$1181,'Incremental Network SummerFcast'!$B211,'Customer Scenario Forecast'!E$25:E$1186)+
SUMIF('Customer Scenario Forecast'!$D$20:$D$1181,'Incremental Network SummerFcast'!$B211,'Customer Scenario Forecast'!E$25:E$1186)+
SUMIF('Customer Scenario Forecast'!$E$20:$E$1181,'Incremental Network SummerFcast'!$B211,'Customer Scenario Forecast'!E$25:E$1186)+E213)</f>
        <v>84.5</v>
      </c>
      <c r="F223" s="208">
        <f ca="1">1*(SUMIF('Customer Scenario Forecast'!$C$20:$C$1181,'Incremental Network SummerFcast'!$B211,'Customer Scenario Forecast'!F$25:F$1186)+
SUMIF('Customer Scenario Forecast'!$D$20:$D$1181,'Incremental Network SummerFcast'!$B211,'Customer Scenario Forecast'!F$25:F$1186)+
SUMIF('Customer Scenario Forecast'!$E$20:$E$1181,'Incremental Network SummerFcast'!$B211,'Customer Scenario Forecast'!F$25:F$1186)+F213)</f>
        <v>86.38</v>
      </c>
      <c r="G223" s="208">
        <f ca="1">1*(SUMIF('Customer Scenario Forecast'!$C$20:$C$1181,'Incremental Network SummerFcast'!$B211,'Customer Scenario Forecast'!G$25:G$1186)+
SUMIF('Customer Scenario Forecast'!$D$20:$D$1181,'Incremental Network SummerFcast'!$B211,'Customer Scenario Forecast'!G$25:G$1186)+
SUMIF('Customer Scenario Forecast'!$E$20:$E$1181,'Incremental Network SummerFcast'!$B211,'Customer Scenario Forecast'!G$25:G$1186)+G213)</f>
        <v>102.10000000000001</v>
      </c>
      <c r="H223" s="208">
        <f ca="1">1*(SUMIF('Customer Scenario Forecast'!$C$20:$C$1181,'Incremental Network SummerFcast'!$B211,'Customer Scenario Forecast'!H$25:H$1186)+
SUMIF('Customer Scenario Forecast'!$D$20:$D$1181,'Incremental Network SummerFcast'!$B211,'Customer Scenario Forecast'!H$25:H$1186)+
SUMIF('Customer Scenario Forecast'!$E$20:$E$1181,'Incremental Network SummerFcast'!$B211,'Customer Scenario Forecast'!H$25:H$1186)+H213)</f>
        <v>106.98</v>
      </c>
      <c r="I223" s="208">
        <f ca="1">1*(SUMIF('Customer Scenario Forecast'!$C$20:$C$1181,'Incremental Network SummerFcast'!$B211,'Customer Scenario Forecast'!I$25:I$1186)+
SUMIF('Customer Scenario Forecast'!$D$20:$D$1181,'Incremental Network SummerFcast'!$B211,'Customer Scenario Forecast'!I$25:I$1186)+
SUMIF('Customer Scenario Forecast'!$E$20:$E$1181,'Incremental Network SummerFcast'!$B211,'Customer Scenario Forecast'!I$25:I$1186)+I213)</f>
        <v>109.86</v>
      </c>
      <c r="J223" s="208">
        <f ca="1">1*(SUMIF('Customer Scenario Forecast'!$C$20:$C$1181,'Incremental Network SummerFcast'!$B211,'Customer Scenario Forecast'!J$25:J$1186)+
SUMIF('Customer Scenario Forecast'!$D$20:$D$1181,'Incremental Network SummerFcast'!$B211,'Customer Scenario Forecast'!J$25:J$1186)+
SUMIF('Customer Scenario Forecast'!$E$20:$E$1181,'Incremental Network SummerFcast'!$B211,'Customer Scenario Forecast'!J$25:J$1186)+J213)</f>
        <v>95.86</v>
      </c>
      <c r="K223" s="208">
        <f ca="1">1*(SUMIF('Customer Scenario Forecast'!$C$20:$C$1181,'Incremental Network SummerFcast'!$B211,'Customer Scenario Forecast'!K$25:K$1186)+
SUMIF('Customer Scenario Forecast'!$D$20:$D$1181,'Incremental Network SummerFcast'!$B211,'Customer Scenario Forecast'!K$25:K$1186)+
SUMIF('Customer Scenario Forecast'!$E$20:$E$1181,'Incremental Network SummerFcast'!$B211,'Customer Scenario Forecast'!K$25:K$1186)+K213)</f>
        <v>95.86</v>
      </c>
      <c r="L223" s="208">
        <f ca="1">1*(SUMIF('Customer Scenario Forecast'!$C$20:$C$1181,'Incremental Network SummerFcast'!$B211,'Customer Scenario Forecast'!L$25:L$1186)+
SUMIF('Customer Scenario Forecast'!$D$20:$D$1181,'Incremental Network SummerFcast'!$B211,'Customer Scenario Forecast'!L$25:L$1186)+
SUMIF('Customer Scenario Forecast'!$E$20:$E$1181,'Incremental Network SummerFcast'!$B211,'Customer Scenario Forecast'!L$25:L$1186)+L213)</f>
        <v>95.86</v>
      </c>
    </row>
    <row r="224" spans="1:13" s="54" customFormat="1" ht="15" thickBot="1">
      <c r="A224" s="205" t="s">
        <v>136</v>
      </c>
      <c r="B224" s="206">
        <f ca="1">SUMIFS('Customer Scenario Forecast'!B$25:B$1186,'Customer Scenario Forecast'!$C$20:$C$1181,$B$211,'Customer Scenario Forecast'!$H$20:$H$1181,"Data Centre")</f>
        <v>0</v>
      </c>
      <c r="C224" s="206">
        <f ca="1">SUMIFS('Customer Scenario Forecast'!C$25:C$1186,'Customer Scenario Forecast'!$C$20:$C$1181,$B$211,'Customer Scenario Forecast'!$H$20:$H$1181,"Data Centre")</f>
        <v>15</v>
      </c>
      <c r="D224" s="206">
        <f ca="1">SUMIFS('Customer Scenario Forecast'!D$25:D$1186,'Customer Scenario Forecast'!$C$20:$C$1181,$B$211,'Customer Scenario Forecast'!$H$20:$H$1181,"Data Centre")</f>
        <v>15</v>
      </c>
      <c r="E224" s="206">
        <f ca="1">SUMIFS('Customer Scenario Forecast'!E$25:E$1186,'Customer Scenario Forecast'!$C$20:$C$1181,$B$211,'Customer Scenario Forecast'!$H$20:$H$1181,"Data Centre")</f>
        <v>15</v>
      </c>
      <c r="F224" s="206">
        <f ca="1">SUMIFS('Customer Scenario Forecast'!F$25:F$1186,'Customer Scenario Forecast'!$C$20:$C$1181,$B$211,'Customer Scenario Forecast'!$H$20:$H$1181,"Data Centre")</f>
        <v>15</v>
      </c>
      <c r="G224" s="206">
        <f ca="1">SUMIFS('Customer Scenario Forecast'!G$25:G$1186,'Customer Scenario Forecast'!$C$20:$C$1181,$B$211,'Customer Scenario Forecast'!$H$20:$H$1181,"Data Centre")</f>
        <v>15</v>
      </c>
      <c r="H224" s="206">
        <f ca="1">SUMIFS('Customer Scenario Forecast'!H$25:H$1186,'Customer Scenario Forecast'!$C$20:$C$1181,$B$211,'Customer Scenario Forecast'!$H$20:$H$1181,"Data Centre")</f>
        <v>15</v>
      </c>
      <c r="I224" s="206">
        <f ca="1">SUMIFS('Customer Scenario Forecast'!I$25:I$1186,'Customer Scenario Forecast'!$C$20:$C$1181,$B$211,'Customer Scenario Forecast'!$H$20:$H$1181,"Data Centre")</f>
        <v>15</v>
      </c>
      <c r="J224" s="206">
        <f ca="1">SUMIFS('Customer Scenario Forecast'!J$25:J$1186,'Customer Scenario Forecast'!$C$20:$C$1181,$B$211,'Customer Scenario Forecast'!$H$20:$H$1181,"Data Centre")</f>
        <v>15</v>
      </c>
      <c r="K224" s="206">
        <f ca="1">SUMIFS('Customer Scenario Forecast'!K$25:K$1186,'Customer Scenario Forecast'!$C$20:$C$1181,$B$211,'Customer Scenario Forecast'!$H$20:$H$1181,"Data Centre")</f>
        <v>15</v>
      </c>
      <c r="L224" s="206">
        <f ca="1">SUMIFS('Customer Scenario Forecast'!L$25:L$1186,'Customer Scenario Forecast'!$C$20:$C$1181,$B$211,'Customer Scenario Forecast'!$H$20:$H$1181,"Data Centre")</f>
        <v>15</v>
      </c>
    </row>
    <row r="225" spans="1:13" s="54" customFormat="1" ht="15" thickBot="1">
      <c r="A225" s="209" t="s">
        <v>137</v>
      </c>
      <c r="B225" s="210">
        <f t="shared" ref="B225:L225" ca="1" si="30">B223-B224</f>
        <v>0</v>
      </c>
      <c r="C225" s="210">
        <f t="shared" ca="1" si="30"/>
        <v>25</v>
      </c>
      <c r="D225" s="210">
        <f t="shared" ca="1" si="30"/>
        <v>61.3</v>
      </c>
      <c r="E225" s="210">
        <f t="shared" ca="1" si="30"/>
        <v>69.5</v>
      </c>
      <c r="F225" s="210">
        <f t="shared" ca="1" si="30"/>
        <v>71.38</v>
      </c>
      <c r="G225" s="210">
        <f t="shared" ca="1" si="30"/>
        <v>87.100000000000009</v>
      </c>
      <c r="H225" s="210">
        <f t="shared" ca="1" si="30"/>
        <v>91.98</v>
      </c>
      <c r="I225" s="210">
        <f t="shared" ca="1" si="30"/>
        <v>94.86</v>
      </c>
      <c r="J225" s="210">
        <f t="shared" ca="1" si="30"/>
        <v>80.86</v>
      </c>
      <c r="K225" s="210">
        <f t="shared" ca="1" si="30"/>
        <v>80.86</v>
      </c>
      <c r="L225" s="210">
        <f t="shared" ca="1" si="30"/>
        <v>80.86</v>
      </c>
    </row>
    <row r="227" spans="1:13" ht="15" thickBot="1">
      <c r="A227" s="218" t="s">
        <v>156</v>
      </c>
      <c r="B227" s="216"/>
      <c r="C227" s="219"/>
      <c r="D227" s="190"/>
      <c r="E227" s="214"/>
      <c r="F227" s="190"/>
      <c r="G227" s="190"/>
      <c r="H227" s="190"/>
      <c r="I227" s="190"/>
      <c r="J227" s="190"/>
      <c r="K227" s="190"/>
      <c r="L227" s="190"/>
    </row>
    <row r="228" spans="1:13" ht="15" thickBot="1">
      <c r="A228" s="191" t="str">
        <f>A212</f>
        <v>Uptake Scenario</v>
      </c>
      <c r="B228" s="192">
        <f t="shared" ref="B228:L228" si="31">B212</f>
        <v>2023</v>
      </c>
      <c r="C228" s="192">
        <f t="shared" si="31"/>
        <v>2024</v>
      </c>
      <c r="D228" s="192">
        <f t="shared" si="31"/>
        <v>2025</v>
      </c>
      <c r="E228" s="192">
        <f t="shared" si="31"/>
        <v>2026</v>
      </c>
      <c r="F228" s="192">
        <f t="shared" si="31"/>
        <v>2027</v>
      </c>
      <c r="G228" s="192">
        <f t="shared" si="31"/>
        <v>2028</v>
      </c>
      <c r="H228" s="192">
        <f t="shared" si="31"/>
        <v>2029</v>
      </c>
      <c r="I228" s="192">
        <f t="shared" si="31"/>
        <v>2030</v>
      </c>
      <c r="J228" s="192">
        <f t="shared" si="31"/>
        <v>2031</v>
      </c>
      <c r="K228" s="192">
        <f t="shared" si="31"/>
        <v>2032</v>
      </c>
      <c r="L228" s="192">
        <f t="shared" si="31"/>
        <v>2033</v>
      </c>
    </row>
    <row r="229" spans="1:13" s="48" customFormat="1" ht="15.6" thickTop="1" thickBot="1">
      <c r="A229" s="207" t="s">
        <v>111</v>
      </c>
      <c r="B229" s="208">
        <f ca="1">B230+B231</f>
        <v>-33</v>
      </c>
      <c r="C229" s="208">
        <f t="shared" ref="C229:L229" ca="1" si="32">C230+C231</f>
        <v>6.75</v>
      </c>
      <c r="D229" s="208">
        <f t="shared" ca="1" si="32"/>
        <v>56.221178138232027</v>
      </c>
      <c r="E229" s="208">
        <f t="shared" ca="1" si="32"/>
        <v>120.97843315093479</v>
      </c>
      <c r="F229" s="208">
        <f t="shared" ca="1" si="32"/>
        <v>170.37952630447529</v>
      </c>
      <c r="G229" s="208">
        <f t="shared" ca="1" si="32"/>
        <v>349.19923609630638</v>
      </c>
      <c r="H229" s="208">
        <f t="shared" ca="1" si="32"/>
        <v>575.05698282927483</v>
      </c>
      <c r="I229" s="208">
        <f t="shared" ca="1" si="32"/>
        <v>859.24975782589536</v>
      </c>
      <c r="J229" s="208">
        <f t="shared" ca="1" si="32"/>
        <v>1187.4483721350844</v>
      </c>
      <c r="K229" s="208">
        <f t="shared" ca="1" si="32"/>
        <v>1521.3752396694156</v>
      </c>
      <c r="L229" s="208">
        <f t="shared" ca="1" si="32"/>
        <v>1934.5907680161417</v>
      </c>
      <c r="M229" s="37"/>
    </row>
    <row r="230" spans="1:13" s="54" customFormat="1" ht="15" thickBot="1">
      <c r="A230" s="205" t="s">
        <v>136</v>
      </c>
      <c r="B230" s="206">
        <f ca="1">'Customer Scenario Forecast'!B366-'Incremental Network SummerFcast'!B215+'Customer Scenario Forecast'!B394</f>
        <v>-8</v>
      </c>
      <c r="C230" s="206">
        <f ca="1">'Customer Scenario Forecast'!C366-'Incremental Network SummerFcast'!C215+'Customer Scenario Forecast'!C394</f>
        <v>1.75</v>
      </c>
      <c r="D230" s="206">
        <f ca="1">'Customer Scenario Forecast'!D366-'Incremental Network SummerFcast'!D215+'Customer Scenario Forecast'!D394</f>
        <v>20.861052022669533</v>
      </c>
      <c r="E230" s="206">
        <f ca="1">'Customer Scenario Forecast'!E366-'Incremental Network SummerFcast'!E215+'Customer Scenario Forecast'!E394</f>
        <v>67.641545130610368</v>
      </c>
      <c r="F230" s="206">
        <f ca="1">'Customer Scenario Forecast'!F366-'Incremental Network SummerFcast'!F215+'Customer Scenario Forecast'!F394</f>
        <v>114.08949542700799</v>
      </c>
      <c r="G230" s="206">
        <f ca="1">'Customer Scenario Forecast'!G366-'Incremental Network SummerFcast'!G215+'Customer Scenario Forecast'!G394</f>
        <v>247.54712149790896</v>
      </c>
      <c r="H230" s="206">
        <f ca="1">'Customer Scenario Forecast'!H366-'Incremental Network SummerFcast'!H215+'Customer Scenario Forecast'!H394</f>
        <v>435.70902548447657</v>
      </c>
      <c r="I230" s="206">
        <f ca="1">'Customer Scenario Forecast'!I366-'Incremental Network SummerFcast'!I215+'Customer Scenario Forecast'!I394</f>
        <v>676.35164432188913</v>
      </c>
      <c r="J230" s="206">
        <f ca="1">'Customer Scenario Forecast'!J366-'Incremental Network SummerFcast'!J215+'Customer Scenario Forecast'!J394</f>
        <v>939.07652336953151</v>
      </c>
      <c r="K230" s="206">
        <f ca="1">'Customer Scenario Forecast'!K366-'Incremental Network SummerFcast'!K215+'Customer Scenario Forecast'!K394</f>
        <v>1219.4334120360368</v>
      </c>
      <c r="L230" s="206">
        <f ca="1">'Customer Scenario Forecast'!L366-'Incremental Network SummerFcast'!L215+'Customer Scenario Forecast'!L394</f>
        <v>1572.5141385587776</v>
      </c>
      <c r="M230" s="55"/>
    </row>
    <row r="231" spans="1:13" s="54" customFormat="1" ht="15" thickBot="1">
      <c r="A231" s="205" t="s">
        <v>137</v>
      </c>
      <c r="B231" s="206">
        <f ca="1">'Customer Scenario Forecast'!B367-'Incremental Network SummerFcast'!B216+'Customer Scenario Forecast'!B380</f>
        <v>-25</v>
      </c>
      <c r="C231" s="206">
        <f ca="1">'Customer Scenario Forecast'!C367-'Incremental Network SummerFcast'!C216+'Customer Scenario Forecast'!C380</f>
        <v>5</v>
      </c>
      <c r="D231" s="206">
        <f ca="1">'Customer Scenario Forecast'!D367-'Incremental Network SummerFcast'!D216+'Customer Scenario Forecast'!D380</f>
        <v>35.360126115562494</v>
      </c>
      <c r="E231" s="206">
        <f ca="1">'Customer Scenario Forecast'!E367-'Incremental Network SummerFcast'!E216+'Customer Scenario Forecast'!E380</f>
        <v>53.336888020324423</v>
      </c>
      <c r="F231" s="206">
        <f ca="1">'Customer Scenario Forecast'!F367-'Incremental Network SummerFcast'!F216+'Customer Scenario Forecast'!F380</f>
        <v>56.290030877467316</v>
      </c>
      <c r="G231" s="206">
        <f ca="1">'Customer Scenario Forecast'!G367-'Incremental Network SummerFcast'!G216+'Customer Scenario Forecast'!G380</f>
        <v>101.65211459839743</v>
      </c>
      <c r="H231" s="206">
        <f ca="1">'Customer Scenario Forecast'!H367-'Incremental Network SummerFcast'!H216+'Customer Scenario Forecast'!H380</f>
        <v>139.34795734479832</v>
      </c>
      <c r="I231" s="206">
        <f ca="1">'Customer Scenario Forecast'!I367-'Incremental Network SummerFcast'!I216+'Customer Scenario Forecast'!I380</f>
        <v>182.89811350400629</v>
      </c>
      <c r="J231" s="206">
        <f ca="1">'Customer Scenario Forecast'!J367-'Incremental Network SummerFcast'!J216+'Customer Scenario Forecast'!J380</f>
        <v>248.37184876555278</v>
      </c>
      <c r="K231" s="206">
        <f ca="1">'Customer Scenario Forecast'!K367-'Incremental Network SummerFcast'!K216+'Customer Scenario Forecast'!K380</f>
        <v>301.94182763337875</v>
      </c>
      <c r="L231" s="206">
        <f ca="1">'Customer Scenario Forecast'!L367-'Incremental Network SummerFcast'!L216+'Customer Scenario Forecast'!L380</f>
        <v>362.07662945736405</v>
      </c>
      <c r="M231" s="55"/>
    </row>
    <row r="232" spans="1:13" s="48" customFormat="1" ht="15" thickBot="1">
      <c r="A232" s="207" t="s">
        <v>107</v>
      </c>
      <c r="B232" s="208">
        <f t="shared" ref="B232:L232" ca="1" si="33">B233+B234</f>
        <v>-33</v>
      </c>
      <c r="C232" s="208">
        <f t="shared" ca="1" si="33"/>
        <v>1.75</v>
      </c>
      <c r="D232" s="208">
        <f t="shared" ca="1" si="33"/>
        <v>25.361052022669533</v>
      </c>
      <c r="E232" s="208">
        <f t="shared" ca="1" si="33"/>
        <v>60.551466308383816</v>
      </c>
      <c r="F232" s="208">
        <f t="shared" ca="1" si="33"/>
        <v>76.671170473584766</v>
      </c>
      <c r="G232" s="208">
        <f t="shared" ca="1" si="33"/>
        <v>167.7838619922918</v>
      </c>
      <c r="H232" s="208">
        <f t="shared" ca="1" si="33"/>
        <v>239.32200612291746</v>
      </c>
      <c r="I232" s="208">
        <f t="shared" ca="1" si="33"/>
        <v>305.75532169922099</v>
      </c>
      <c r="J232" s="208">
        <f t="shared" ca="1" si="33"/>
        <v>404.58723483516121</v>
      </c>
      <c r="K232" s="208">
        <f t="shared" ca="1" si="33"/>
        <v>480.70681343620089</v>
      </c>
      <c r="L232" s="208">
        <f t="shared" ca="1" si="33"/>
        <v>532.26456088042664</v>
      </c>
    </row>
    <row r="233" spans="1:13" s="54" customFormat="1" ht="15" thickBot="1">
      <c r="A233" s="205" t="s">
        <v>136</v>
      </c>
      <c r="B233" s="206">
        <f ca="1">'Customer Scenario Forecast'!B369-'Incremental Network SummerFcast'!B218+'Customer Scenario Forecast'!B395</f>
        <v>-8</v>
      </c>
      <c r="C233" s="206">
        <f ca="1">'Customer Scenario Forecast'!C369-'Incremental Network SummerFcast'!C218+'Customer Scenario Forecast'!C395</f>
        <v>1.75</v>
      </c>
      <c r="D233" s="206">
        <f ca="1">'Customer Scenario Forecast'!D369-'Incremental Network SummerFcast'!D218+'Customer Scenario Forecast'!D395</f>
        <v>20.861052022669533</v>
      </c>
      <c r="E233" s="206">
        <f ca="1">'Customer Scenario Forecast'!E369-'Incremental Network SummerFcast'!E218+'Customer Scenario Forecast'!E395</f>
        <v>47.051466308383816</v>
      </c>
      <c r="F233" s="206">
        <f ca="1">'Customer Scenario Forecast'!F369-'Incremental Network SummerFcast'!F218+'Customer Scenario Forecast'!F395</f>
        <v>58.584708676959153</v>
      </c>
      <c r="G233" s="206">
        <f ca="1">'Customer Scenario Forecast'!G369-'Incremental Network SummerFcast'!G218+'Customer Scenario Forecast'!G395</f>
        <v>135.33715601245086</v>
      </c>
      <c r="H233" s="206">
        <f ca="1">'Customer Scenario Forecast'!H369-'Incremental Network SummerFcast'!H218+'Customer Scenario Forecast'!H395</f>
        <v>193.34710936729704</v>
      </c>
      <c r="I233" s="206">
        <f ca="1">'Customer Scenario Forecast'!I369-'Incremental Network SummerFcast'!I218+'Customer Scenario Forecast'!I395</f>
        <v>241.2092901832462</v>
      </c>
      <c r="J233" s="206">
        <f ca="1">'Customer Scenario Forecast'!J369-'Incremental Network SummerFcast'!J218+'Customer Scenario Forecast'!J395</f>
        <v>303.95158631635547</v>
      </c>
      <c r="K233" s="206">
        <f ca="1">'Customer Scenario Forecast'!K369-'Incremental Network SummerFcast'!K218+'Customer Scenario Forecast'!K395</f>
        <v>356.83864026304877</v>
      </c>
      <c r="L233" s="206">
        <f ca="1">'Customer Scenario Forecast'!L369-'Incremental Network SummerFcast'!L218+'Customer Scenario Forecast'!L395</f>
        <v>394.06292968881905</v>
      </c>
    </row>
    <row r="234" spans="1:13" s="54" customFormat="1" ht="15" thickBot="1">
      <c r="A234" s="205" t="s">
        <v>137</v>
      </c>
      <c r="B234" s="206">
        <f ca="1">'Customer Scenario Forecast'!B370-'Incremental Network SummerFcast'!B219+'Customer Scenario Forecast'!B381</f>
        <v>-25</v>
      </c>
      <c r="C234" s="206">
        <f ca="1">'Customer Scenario Forecast'!C370-'Incremental Network SummerFcast'!C219+'Customer Scenario Forecast'!C381</f>
        <v>0</v>
      </c>
      <c r="D234" s="206">
        <f ca="1">'Customer Scenario Forecast'!D370-'Incremental Network SummerFcast'!D219+'Customer Scenario Forecast'!D381</f>
        <v>4.5</v>
      </c>
      <c r="E234" s="206">
        <f ca="1">'Customer Scenario Forecast'!E370-'Incremental Network SummerFcast'!E219+'Customer Scenario Forecast'!E381</f>
        <v>13.5</v>
      </c>
      <c r="F234" s="206">
        <f ca="1">'Customer Scenario Forecast'!F370-'Incremental Network SummerFcast'!F219+'Customer Scenario Forecast'!F381</f>
        <v>18.086461796625606</v>
      </c>
      <c r="G234" s="206">
        <f ca="1">'Customer Scenario Forecast'!G370-'Incremental Network SummerFcast'!G219+'Customer Scenario Forecast'!G381</f>
        <v>32.446705979840957</v>
      </c>
      <c r="H234" s="206">
        <f ca="1">'Customer Scenario Forecast'!H370-'Incremental Network SummerFcast'!H219+'Customer Scenario Forecast'!H381</f>
        <v>45.974896755620414</v>
      </c>
      <c r="I234" s="206">
        <f ca="1">'Customer Scenario Forecast'!I370-'Incremental Network SummerFcast'!I219+'Customer Scenario Forecast'!I381</f>
        <v>64.546031515974818</v>
      </c>
      <c r="J234" s="206">
        <f ca="1">'Customer Scenario Forecast'!J370-'Incremental Network SummerFcast'!J219+'Customer Scenario Forecast'!J381</f>
        <v>100.63564851880572</v>
      </c>
      <c r="K234" s="206">
        <f ca="1">'Customer Scenario Forecast'!K370-'Incremental Network SummerFcast'!K219+'Customer Scenario Forecast'!K381</f>
        <v>123.86817317315212</v>
      </c>
      <c r="L234" s="206">
        <f ca="1">'Customer Scenario Forecast'!L370-'Incremental Network SummerFcast'!L219+'Customer Scenario Forecast'!L381</f>
        <v>138.20163119160753</v>
      </c>
    </row>
    <row r="235" spans="1:13" s="48" customFormat="1" ht="15" thickBot="1">
      <c r="A235" s="207" t="s">
        <v>108</v>
      </c>
      <c r="B235" s="208">
        <f t="shared" ref="B235:L235" ca="1" si="34">B236+B237</f>
        <v>-33</v>
      </c>
      <c r="C235" s="208">
        <f t="shared" ca="1" si="34"/>
        <v>1.75</v>
      </c>
      <c r="D235" s="208">
        <f t="shared" ca="1" si="34"/>
        <v>20.861052022669533</v>
      </c>
      <c r="E235" s="208">
        <f t="shared" ca="1" si="34"/>
        <v>50.051466308383823</v>
      </c>
      <c r="F235" s="208">
        <f t="shared" ca="1" si="34"/>
        <v>62.319637736955244</v>
      </c>
      <c r="G235" s="208">
        <f t="shared" ca="1" si="34"/>
        <v>122.34390793167506</v>
      </c>
      <c r="H235" s="208">
        <f t="shared" ca="1" si="34"/>
        <v>192.2584373570846</v>
      </c>
      <c r="I235" s="208">
        <f t="shared" ca="1" si="34"/>
        <v>241.57742473580942</v>
      </c>
      <c r="J235" s="208">
        <f t="shared" ca="1" si="34"/>
        <v>295.73981392217428</v>
      </c>
      <c r="K235" s="208">
        <f t="shared" ca="1" si="34"/>
        <v>325.42212765433516</v>
      </c>
      <c r="L235" s="208">
        <f t="shared" ca="1" si="34"/>
        <v>367.77838555316788</v>
      </c>
    </row>
    <row r="236" spans="1:13" s="54" customFormat="1" ht="15" thickBot="1">
      <c r="A236" s="205" t="s">
        <v>136</v>
      </c>
      <c r="B236" s="206">
        <f ca="1">'Customer Scenario Forecast'!B372-'Incremental Network SummerFcast'!B221+'Customer Scenario Forecast'!B396</f>
        <v>-8</v>
      </c>
      <c r="C236" s="206">
        <f ca="1">'Customer Scenario Forecast'!C372-'Incremental Network SummerFcast'!C221+'Customer Scenario Forecast'!C396</f>
        <v>1.75</v>
      </c>
      <c r="D236" s="206">
        <f ca="1">'Customer Scenario Forecast'!D372-'Incremental Network SummerFcast'!D221+'Customer Scenario Forecast'!D396</f>
        <v>20.861052022669533</v>
      </c>
      <c r="E236" s="206">
        <f ca="1">'Customer Scenario Forecast'!E372-'Incremental Network SummerFcast'!E221+'Customer Scenario Forecast'!E396</f>
        <v>47.051466308383816</v>
      </c>
      <c r="F236" s="206">
        <f ca="1">'Customer Scenario Forecast'!F372-'Incremental Network SummerFcast'!F221+'Customer Scenario Forecast'!F396</f>
        <v>53.319637736955251</v>
      </c>
      <c r="G236" s="206">
        <f ca="1">'Customer Scenario Forecast'!G372-'Incremental Network SummerFcast'!G221+'Customer Scenario Forecast'!G396</f>
        <v>105.66373079424552</v>
      </c>
      <c r="H236" s="206">
        <f ca="1">'Customer Scenario Forecast'!H372-'Incremental Network SummerFcast'!H221+'Customer Scenario Forecast'!H396</f>
        <v>167.99146738768806</v>
      </c>
      <c r="I236" s="206">
        <f ca="1">'Customer Scenario Forecast'!I372-'Incremental Network SummerFcast'!I221+'Customer Scenario Forecast'!I396</f>
        <v>204.51754337307847</v>
      </c>
      <c r="J236" s="206">
        <f ca="1">'Customer Scenario Forecast'!J372-'Incremental Network SummerFcast'!J221+'Customer Scenario Forecast'!J396</f>
        <v>238.66965196608928</v>
      </c>
      <c r="K236" s="206">
        <f ca="1">'Customer Scenario Forecast'!K372-'Incremental Network SummerFcast'!K221+'Customer Scenario Forecast'!K396</f>
        <v>255.42605446755499</v>
      </c>
      <c r="L236" s="206">
        <f ca="1">'Customer Scenario Forecast'!L372-'Incremental Network SummerFcast'!L221+'Customer Scenario Forecast'!L396</f>
        <v>272.59023725694982</v>
      </c>
    </row>
    <row r="237" spans="1:13" s="54" customFormat="1" ht="15" thickBot="1">
      <c r="A237" s="205" t="s">
        <v>137</v>
      </c>
      <c r="B237" s="206">
        <f ca="1">'Customer Scenario Forecast'!B373-'Incremental Network SummerFcast'!B222+'Customer Scenario Forecast'!B382</f>
        <v>-25</v>
      </c>
      <c r="C237" s="206">
        <f ca="1">'Customer Scenario Forecast'!C373-'Incremental Network SummerFcast'!C222+'Customer Scenario Forecast'!C382</f>
        <v>0</v>
      </c>
      <c r="D237" s="206">
        <f ca="1">'Customer Scenario Forecast'!D373-'Incremental Network SummerFcast'!D222+'Customer Scenario Forecast'!D382</f>
        <v>0</v>
      </c>
      <c r="E237" s="206">
        <f ca="1">'Customer Scenario Forecast'!E373-'Incremental Network SummerFcast'!E222+'Customer Scenario Forecast'!E382</f>
        <v>3.0000000000000071</v>
      </c>
      <c r="F237" s="206">
        <f ca="1">'Customer Scenario Forecast'!F373-'Incremental Network SummerFcast'!F222+'Customer Scenario Forecast'!F382</f>
        <v>8.9999999999999929</v>
      </c>
      <c r="G237" s="206">
        <f ca="1">'Customer Scenario Forecast'!G373-'Incremental Network SummerFcast'!G222+'Customer Scenario Forecast'!G382</f>
        <v>16.680177137429531</v>
      </c>
      <c r="H237" s="206">
        <f ca="1">'Customer Scenario Forecast'!H373-'Incremental Network SummerFcast'!H222+'Customer Scenario Forecast'!H382</f>
        <v>24.266969969396534</v>
      </c>
      <c r="I237" s="206">
        <f ca="1">'Customer Scenario Forecast'!I373-'Incremental Network SummerFcast'!I222+'Customer Scenario Forecast'!I382</f>
        <v>37.059881362730962</v>
      </c>
      <c r="J237" s="206">
        <f ca="1">'Customer Scenario Forecast'!J373-'Incremental Network SummerFcast'!J222+'Customer Scenario Forecast'!J382</f>
        <v>57.070161956085009</v>
      </c>
      <c r="K237" s="206">
        <f ca="1">'Customer Scenario Forecast'!K373-'Incremental Network SummerFcast'!K222+'Customer Scenario Forecast'!K382</f>
        <v>69.996073186780151</v>
      </c>
      <c r="L237" s="206">
        <f ca="1">'Customer Scenario Forecast'!L373-'Incremental Network SummerFcast'!L222+'Customer Scenario Forecast'!L382</f>
        <v>95.188148296218046</v>
      </c>
    </row>
    <row r="238" spans="1:13" s="48" customFormat="1" ht="15" thickBot="1">
      <c r="A238" s="207" t="s">
        <v>109</v>
      </c>
      <c r="B238" s="208">
        <f t="shared" ref="B238:L238" ca="1" si="35">B239+B240</f>
        <v>-33</v>
      </c>
      <c r="C238" s="208">
        <f t="shared" ca="1" si="35"/>
        <v>6.75</v>
      </c>
      <c r="D238" s="208">
        <f t="shared" ca="1" si="35"/>
        <v>35.861052022669519</v>
      </c>
      <c r="E238" s="208">
        <f t="shared" ca="1" si="35"/>
        <v>74.640835933815367</v>
      </c>
      <c r="F238" s="208">
        <f t="shared" ca="1" si="35"/>
        <v>111.58567035763144</v>
      </c>
      <c r="G238" s="208">
        <f t="shared" ca="1" si="35"/>
        <v>200.29958236433734</v>
      </c>
      <c r="H238" s="208">
        <f t="shared" ca="1" si="35"/>
        <v>298.26902182486754</v>
      </c>
      <c r="I238" s="208">
        <f t="shared" ca="1" si="35"/>
        <v>452.7302288039906</v>
      </c>
      <c r="J238" s="208">
        <f t="shared" ca="1" si="35"/>
        <v>606.83109674820025</v>
      </c>
      <c r="K238" s="208">
        <f t="shared" ca="1" si="35"/>
        <v>712.0501405978398</v>
      </c>
      <c r="L238" s="208">
        <f t="shared" ca="1" si="35"/>
        <v>809.9341403583777</v>
      </c>
    </row>
    <row r="239" spans="1:13" s="54" customFormat="1" ht="15" thickBot="1">
      <c r="A239" s="205" t="s">
        <v>136</v>
      </c>
      <c r="B239" s="206">
        <f ca="1">'Customer Scenario Forecast'!B375-'Incremental Network SummerFcast'!B224+'Customer Scenario Forecast'!B397</f>
        <v>-8</v>
      </c>
      <c r="C239" s="206">
        <f ca="1">'Customer Scenario Forecast'!C375-'Incremental Network SummerFcast'!C224+'Customer Scenario Forecast'!C397</f>
        <v>1.75</v>
      </c>
      <c r="D239" s="206">
        <f ca="1">'Customer Scenario Forecast'!D375-'Incremental Network SummerFcast'!D224+'Customer Scenario Forecast'!D397</f>
        <v>20.861052022669533</v>
      </c>
      <c r="E239" s="206">
        <f ca="1">'Customer Scenario Forecast'!E375-'Incremental Network SummerFcast'!E224+'Customer Scenario Forecast'!E397</f>
        <v>52.901545130610373</v>
      </c>
      <c r="F239" s="206">
        <f ca="1">'Customer Scenario Forecast'!F375-'Incremental Network SummerFcast'!F224+'Customer Scenario Forecast'!F397</f>
        <v>81.04311098299786</v>
      </c>
      <c r="G239" s="206">
        <f ca="1">'Customer Scenario Forecast'!G375-'Incremental Network SummerFcast'!G224+'Customer Scenario Forecast'!G397</f>
        <v>153.78782522531179</v>
      </c>
      <c r="H239" s="206">
        <f ca="1">'Customer Scenario Forecast'!H375-'Incremental Network SummerFcast'!H224+'Customer Scenario Forecast'!H397</f>
        <v>227.04518673960558</v>
      </c>
      <c r="I239" s="206">
        <f ca="1">'Customer Scenario Forecast'!I375-'Incremental Network SummerFcast'!I224+'Customer Scenario Forecast'!I397</f>
        <v>338.4288144417618</v>
      </c>
      <c r="J239" s="206">
        <f ca="1">'Customer Scenario Forecast'!J375-'Incremental Network SummerFcast'!J224+'Customer Scenario Forecast'!J397</f>
        <v>433.95914757581011</v>
      </c>
      <c r="K239" s="206">
        <f ca="1">'Customer Scenario Forecast'!K375-'Incremental Network SummerFcast'!K224+'Customer Scenario Forecast'!K397</f>
        <v>509.49247078624228</v>
      </c>
      <c r="L239" s="206">
        <f ca="1">'Customer Scenario Forecast'!L375-'Incremental Network SummerFcast'!L224+'Customer Scenario Forecast'!L397</f>
        <v>570.28647016332525</v>
      </c>
    </row>
    <row r="240" spans="1:13" s="54" customFormat="1" ht="15" thickBot="1">
      <c r="A240" s="209" t="s">
        <v>137</v>
      </c>
      <c r="B240" s="210">
        <f ca="1">'Customer Scenario Forecast'!B376-'Incremental Network SummerFcast'!B225+'Customer Scenario Forecast'!B383</f>
        <v>-25</v>
      </c>
      <c r="C240" s="210">
        <f ca="1">'Customer Scenario Forecast'!C376-'Incremental Network SummerFcast'!C225+'Customer Scenario Forecast'!C383</f>
        <v>5</v>
      </c>
      <c r="D240" s="210">
        <f ca="1">'Customer Scenario Forecast'!D376-'Incremental Network SummerFcast'!D225+'Customer Scenario Forecast'!D383</f>
        <v>14.999999999999986</v>
      </c>
      <c r="E240" s="210">
        <f ca="1">'Customer Scenario Forecast'!E376-'Incremental Network SummerFcast'!E225+'Customer Scenario Forecast'!E383</f>
        <v>21.739290803204995</v>
      </c>
      <c r="F240" s="210">
        <f ca="1">'Customer Scenario Forecast'!F376-'Incremental Network SummerFcast'!F225+'Customer Scenario Forecast'!F383</f>
        <v>30.542559374633584</v>
      </c>
      <c r="G240" s="210">
        <f ca="1">'Customer Scenario Forecast'!G376-'Incremental Network SummerFcast'!G225+'Customer Scenario Forecast'!G383</f>
        <v>46.511757139025555</v>
      </c>
      <c r="H240" s="210">
        <f ca="1">'Customer Scenario Forecast'!H376-'Incremental Network SummerFcast'!H225+'Customer Scenario Forecast'!H383</f>
        <v>71.223835085261953</v>
      </c>
      <c r="I240" s="210">
        <f ca="1">'Customer Scenario Forecast'!I376-'Incremental Network SummerFcast'!I225+'Customer Scenario Forecast'!I383</f>
        <v>114.30141436222877</v>
      </c>
      <c r="J240" s="210">
        <f ca="1">'Customer Scenario Forecast'!J376-'Incremental Network SummerFcast'!J225+'Customer Scenario Forecast'!J383</f>
        <v>172.87194917239015</v>
      </c>
      <c r="K240" s="210">
        <f ca="1">'Customer Scenario Forecast'!K376-'Incremental Network SummerFcast'!K225+'Customer Scenario Forecast'!K383</f>
        <v>202.55766981159749</v>
      </c>
      <c r="L240" s="210">
        <f ca="1">'Customer Scenario Forecast'!L376-'Incremental Network SummerFcast'!L225+'Customer Scenario Forecast'!L383</f>
        <v>239.64767019505246</v>
      </c>
    </row>
    <row r="241" spans="1:13" ht="15" thickTop="1"/>
    <row r="242" spans="1:13" ht="15" thickBot="1">
      <c r="A242" s="218" t="s">
        <v>157</v>
      </c>
      <c r="B242" s="216"/>
      <c r="C242" s="219"/>
      <c r="D242" s="190"/>
      <c r="E242" s="214"/>
      <c r="F242" s="190"/>
      <c r="G242" s="190"/>
      <c r="H242" s="190"/>
      <c r="I242" s="190"/>
      <c r="J242" s="190"/>
      <c r="K242" s="190"/>
      <c r="L242" s="190"/>
    </row>
    <row r="243" spans="1:13" ht="15" thickBot="1">
      <c r="A243" s="191" t="str">
        <f t="shared" ref="A243:L243" si="36">A228</f>
        <v>Uptake Scenario</v>
      </c>
      <c r="B243" s="192" t="s">
        <v>158</v>
      </c>
      <c r="C243" s="192">
        <f t="shared" si="36"/>
        <v>2024</v>
      </c>
      <c r="D243" s="192">
        <f t="shared" si="36"/>
        <v>2025</v>
      </c>
      <c r="E243" s="192">
        <f t="shared" si="36"/>
        <v>2026</v>
      </c>
      <c r="F243" s="192">
        <f t="shared" si="36"/>
        <v>2027</v>
      </c>
      <c r="G243" s="192">
        <f t="shared" si="36"/>
        <v>2028</v>
      </c>
      <c r="H243" s="192">
        <f t="shared" si="36"/>
        <v>2029</v>
      </c>
      <c r="I243" s="192">
        <f t="shared" si="36"/>
        <v>2030</v>
      </c>
      <c r="J243" s="192">
        <f t="shared" si="36"/>
        <v>2031</v>
      </c>
      <c r="K243" s="192">
        <f t="shared" si="36"/>
        <v>2032</v>
      </c>
      <c r="L243" s="192">
        <f t="shared" si="36"/>
        <v>2033</v>
      </c>
    </row>
    <row r="244" spans="1:13" s="48" customFormat="1" ht="15.6" thickTop="1" thickBot="1">
      <c r="A244" s="207" t="str">
        <f t="shared" ref="A244:L244" si="37">A229</f>
        <v>Customer forecast</v>
      </c>
      <c r="B244" s="208"/>
      <c r="C244" s="208">
        <f t="shared" ca="1" si="37"/>
        <v>6.75</v>
      </c>
      <c r="D244" s="208">
        <f t="shared" ca="1" si="37"/>
        <v>56.221178138232027</v>
      </c>
      <c r="E244" s="208">
        <f t="shared" ca="1" si="37"/>
        <v>120.97843315093479</v>
      </c>
      <c r="F244" s="208">
        <f t="shared" ca="1" si="37"/>
        <v>170.37952630447529</v>
      </c>
      <c r="G244" s="208">
        <f t="shared" ca="1" si="37"/>
        <v>349.19923609630638</v>
      </c>
      <c r="H244" s="208">
        <f t="shared" ca="1" si="37"/>
        <v>575.05698282927483</v>
      </c>
      <c r="I244" s="208">
        <f t="shared" ca="1" si="37"/>
        <v>859.24975782589536</v>
      </c>
      <c r="J244" s="208">
        <f t="shared" ca="1" si="37"/>
        <v>1187.4483721350844</v>
      </c>
      <c r="K244" s="208">
        <f t="shared" ca="1" si="37"/>
        <v>1521.3752396694156</v>
      </c>
      <c r="L244" s="208">
        <f t="shared" ca="1" si="37"/>
        <v>1934.5907680161417</v>
      </c>
      <c r="M244" s="37"/>
    </row>
    <row r="245" spans="1:13" s="48" customFormat="1" ht="15" thickBot="1">
      <c r="A245" s="207" t="str">
        <f t="shared" ref="A245:L245" si="38">A232</f>
        <v>Base</v>
      </c>
      <c r="B245" s="220">
        <v>0.5</v>
      </c>
      <c r="C245" s="208">
        <f t="shared" ca="1" si="38"/>
        <v>1.75</v>
      </c>
      <c r="D245" s="208">
        <f t="shared" ca="1" si="38"/>
        <v>25.361052022669533</v>
      </c>
      <c r="E245" s="208">
        <f t="shared" ca="1" si="38"/>
        <v>60.551466308383816</v>
      </c>
      <c r="F245" s="208">
        <f t="shared" ca="1" si="38"/>
        <v>76.671170473584766</v>
      </c>
      <c r="G245" s="208">
        <f t="shared" ca="1" si="38"/>
        <v>167.7838619922918</v>
      </c>
      <c r="H245" s="208">
        <f t="shared" ca="1" si="38"/>
        <v>239.32200612291746</v>
      </c>
      <c r="I245" s="208">
        <f t="shared" ca="1" si="38"/>
        <v>305.75532169922099</v>
      </c>
      <c r="J245" s="208">
        <f t="shared" ca="1" si="38"/>
        <v>404.58723483516121</v>
      </c>
      <c r="K245" s="208">
        <f t="shared" ca="1" si="38"/>
        <v>480.70681343620089</v>
      </c>
      <c r="L245" s="208">
        <f t="shared" ca="1" si="38"/>
        <v>532.26456088042664</v>
      </c>
    </row>
    <row r="246" spans="1:13" s="48" customFormat="1" ht="15" thickBot="1">
      <c r="A246" s="207" t="str">
        <f t="shared" ref="A246:L246" si="39">A235</f>
        <v>Low</v>
      </c>
      <c r="B246" s="220">
        <v>0.25</v>
      </c>
      <c r="C246" s="208">
        <f t="shared" ca="1" si="39"/>
        <v>1.75</v>
      </c>
      <c r="D246" s="208">
        <f t="shared" ca="1" si="39"/>
        <v>20.861052022669533</v>
      </c>
      <c r="E246" s="208">
        <f t="shared" ca="1" si="39"/>
        <v>50.051466308383823</v>
      </c>
      <c r="F246" s="208">
        <f t="shared" ca="1" si="39"/>
        <v>62.319637736955244</v>
      </c>
      <c r="G246" s="208">
        <f t="shared" ca="1" si="39"/>
        <v>122.34390793167506</v>
      </c>
      <c r="H246" s="208">
        <f t="shared" ca="1" si="39"/>
        <v>192.2584373570846</v>
      </c>
      <c r="I246" s="208">
        <f t="shared" ca="1" si="39"/>
        <v>241.57742473580942</v>
      </c>
      <c r="J246" s="208">
        <f t="shared" ca="1" si="39"/>
        <v>295.73981392217428</v>
      </c>
      <c r="K246" s="208">
        <f t="shared" ca="1" si="39"/>
        <v>325.42212765433516</v>
      </c>
      <c r="L246" s="208">
        <f t="shared" ca="1" si="39"/>
        <v>367.77838555316788</v>
      </c>
    </row>
    <row r="247" spans="1:13" s="48" customFormat="1" ht="15" thickBot="1">
      <c r="A247" s="207" t="str">
        <f>A238</f>
        <v>High</v>
      </c>
      <c r="B247" s="220">
        <v>0.25</v>
      </c>
      <c r="C247" s="208">
        <f t="shared" ref="C247:L247" ca="1" si="40">C238</f>
        <v>6.75</v>
      </c>
      <c r="D247" s="208">
        <f t="shared" ca="1" si="40"/>
        <v>35.861052022669519</v>
      </c>
      <c r="E247" s="208">
        <f t="shared" ca="1" si="40"/>
        <v>74.640835933815367</v>
      </c>
      <c r="F247" s="208">
        <f t="shared" ca="1" si="40"/>
        <v>111.58567035763144</v>
      </c>
      <c r="G247" s="208">
        <f t="shared" ca="1" si="40"/>
        <v>200.29958236433734</v>
      </c>
      <c r="H247" s="208">
        <f t="shared" ca="1" si="40"/>
        <v>298.26902182486754</v>
      </c>
      <c r="I247" s="208">
        <f t="shared" ca="1" si="40"/>
        <v>452.7302288039906</v>
      </c>
      <c r="J247" s="208">
        <f t="shared" ca="1" si="40"/>
        <v>606.83109674820025</v>
      </c>
      <c r="K247" s="208">
        <f t="shared" ca="1" si="40"/>
        <v>712.0501405978398</v>
      </c>
      <c r="L247" s="208">
        <f t="shared" ca="1" si="40"/>
        <v>809.9341403583777</v>
      </c>
    </row>
    <row r="248" spans="1:13" s="48" customFormat="1" ht="15" thickBot="1">
      <c r="A248" s="207" t="s">
        <v>148</v>
      </c>
      <c r="B248" s="208"/>
      <c r="C248" s="208">
        <f ca="1">C245*$B245+C246*$B246+C247*$B247</f>
        <v>3</v>
      </c>
      <c r="D248" s="208">
        <f t="shared" ref="D248:L248" ca="1" si="41">D245*$B245+D246*$B246+D247*$B247</f>
        <v>26.861052022669533</v>
      </c>
      <c r="E248" s="208">
        <f t="shared" ca="1" si="41"/>
        <v>61.448808714741702</v>
      </c>
      <c r="F248" s="208">
        <f t="shared" ca="1" si="41"/>
        <v>81.811912260439058</v>
      </c>
      <c r="G248" s="208">
        <f t="shared" ca="1" si="41"/>
        <v>164.552803570149</v>
      </c>
      <c r="H248" s="208">
        <f t="shared" ca="1" si="41"/>
        <v>242.29286785694677</v>
      </c>
      <c r="I248" s="208">
        <f t="shared" ca="1" si="41"/>
        <v>326.45457423456048</v>
      </c>
      <c r="J248" s="208">
        <f t="shared" ca="1" si="41"/>
        <v>427.93634508517425</v>
      </c>
      <c r="K248" s="208">
        <f t="shared" ca="1" si="41"/>
        <v>499.7214737811442</v>
      </c>
      <c r="L248" s="208">
        <f t="shared" ca="1" si="41"/>
        <v>560.5604119180997</v>
      </c>
    </row>
  </sheetData>
  <conditionalFormatting sqref="B7:L10">
    <cfRule type="cellIs" dxfId="101" priority="26" operator="greaterThan">
      <formula>$B$3</formula>
    </cfRule>
  </conditionalFormatting>
  <conditionalFormatting sqref="B15:L17">
    <cfRule type="cellIs" dxfId="100" priority="36" operator="greaterThan">
      <formula>$B$11</formula>
    </cfRule>
  </conditionalFormatting>
  <conditionalFormatting sqref="B18:L18">
    <cfRule type="cellIs" dxfId="99" priority="25" operator="greaterThan">
      <formula>$B$3</formula>
    </cfRule>
  </conditionalFormatting>
  <conditionalFormatting sqref="B23:L25">
    <cfRule type="cellIs" dxfId="98" priority="35" operator="greaterThan">
      <formula>$B$19</formula>
    </cfRule>
  </conditionalFormatting>
  <conditionalFormatting sqref="B26:L26">
    <cfRule type="cellIs" dxfId="97" priority="24" operator="greaterThan">
      <formula>$B$3</formula>
    </cfRule>
  </conditionalFormatting>
  <conditionalFormatting sqref="B31:L33">
    <cfRule type="cellIs" dxfId="96" priority="34" operator="greaterThan">
      <formula>$B$27</formula>
    </cfRule>
  </conditionalFormatting>
  <conditionalFormatting sqref="B34:L34">
    <cfRule type="cellIs" dxfId="95" priority="23" operator="greaterThan">
      <formula>$B$3</formula>
    </cfRule>
  </conditionalFormatting>
  <conditionalFormatting sqref="B39:L41">
    <cfRule type="cellIs" dxfId="94" priority="33" operator="greaterThan">
      <formula>$B$35</formula>
    </cfRule>
  </conditionalFormatting>
  <conditionalFormatting sqref="B42:L42">
    <cfRule type="cellIs" dxfId="93" priority="22" operator="greaterThan">
      <formula>$B$3</formula>
    </cfRule>
  </conditionalFormatting>
  <conditionalFormatting sqref="B47:L49">
    <cfRule type="cellIs" dxfId="92" priority="32" operator="greaterThan">
      <formula>$B$43</formula>
    </cfRule>
  </conditionalFormatting>
  <conditionalFormatting sqref="B50:L50">
    <cfRule type="cellIs" dxfId="91" priority="21" operator="greaterThan">
      <formula>$B$3</formula>
    </cfRule>
  </conditionalFormatting>
  <conditionalFormatting sqref="B55:L57">
    <cfRule type="cellIs" dxfId="90" priority="31" operator="greaterThan">
      <formula>$B$51</formula>
    </cfRule>
  </conditionalFormatting>
  <conditionalFormatting sqref="B58:L58">
    <cfRule type="cellIs" dxfId="89" priority="20" operator="greaterThan">
      <formula>$B$3</formula>
    </cfRule>
  </conditionalFormatting>
  <conditionalFormatting sqref="B63:L65">
    <cfRule type="cellIs" dxfId="88" priority="30" operator="greaterThan">
      <formula>$B$59</formula>
    </cfRule>
  </conditionalFormatting>
  <conditionalFormatting sqref="B66:L66">
    <cfRule type="cellIs" dxfId="87" priority="19" operator="greaterThan">
      <formula>$B$3</formula>
    </cfRule>
  </conditionalFormatting>
  <conditionalFormatting sqref="B71:L73">
    <cfRule type="cellIs" dxfId="86" priority="29" operator="greaterThan">
      <formula>$B$67</formula>
    </cfRule>
  </conditionalFormatting>
  <conditionalFormatting sqref="B74:L74">
    <cfRule type="cellIs" dxfId="85" priority="18" operator="greaterThan">
      <formula>$B$3</formula>
    </cfRule>
  </conditionalFormatting>
  <conditionalFormatting sqref="B79:L81">
    <cfRule type="cellIs" dxfId="84" priority="28" operator="greaterThan">
      <formula>$B$75</formula>
    </cfRule>
  </conditionalFormatting>
  <conditionalFormatting sqref="B82:L82">
    <cfRule type="cellIs" dxfId="83" priority="17" operator="greaterThan">
      <formula>$B$3</formula>
    </cfRule>
  </conditionalFormatting>
  <conditionalFormatting sqref="B87:L89">
    <cfRule type="cellIs" dxfId="82" priority="59" operator="greaterThan">
      <formula>$B$83</formula>
    </cfRule>
  </conditionalFormatting>
  <conditionalFormatting sqref="B90:L90">
    <cfRule type="cellIs" dxfId="81" priority="16" operator="greaterThan">
      <formula>$B$3</formula>
    </cfRule>
  </conditionalFormatting>
  <conditionalFormatting sqref="B95:L97">
    <cfRule type="cellIs" dxfId="80" priority="58" operator="greaterThan">
      <formula>$B$91</formula>
    </cfRule>
  </conditionalFormatting>
  <conditionalFormatting sqref="B98:L98">
    <cfRule type="cellIs" dxfId="79" priority="15" operator="greaterThan">
      <formula>$B$3</formula>
    </cfRule>
  </conditionalFormatting>
  <conditionalFormatting sqref="B103:L105">
    <cfRule type="cellIs" dxfId="78" priority="57" operator="greaterThan">
      <formula>$B$99</formula>
    </cfRule>
  </conditionalFormatting>
  <conditionalFormatting sqref="B106:L106">
    <cfRule type="cellIs" dxfId="77" priority="14" operator="greaterThan">
      <formula>$B$3</formula>
    </cfRule>
  </conditionalFormatting>
  <conditionalFormatting sqref="B111:L113">
    <cfRule type="cellIs" dxfId="76" priority="56" operator="greaterThan">
      <formula>$B$107</formula>
    </cfRule>
  </conditionalFormatting>
  <conditionalFormatting sqref="B114:L114">
    <cfRule type="cellIs" dxfId="75" priority="13" operator="greaterThan">
      <formula>$B$3</formula>
    </cfRule>
  </conditionalFormatting>
  <conditionalFormatting sqref="B119:L121">
    <cfRule type="cellIs" dxfId="74" priority="55" operator="greaterThan">
      <formula>$B$115</formula>
    </cfRule>
  </conditionalFormatting>
  <conditionalFormatting sqref="B122:L122">
    <cfRule type="cellIs" dxfId="73" priority="12" operator="greaterThan">
      <formula>$B$3</formula>
    </cfRule>
  </conditionalFormatting>
  <conditionalFormatting sqref="B127:L129">
    <cfRule type="cellIs" dxfId="72" priority="54" operator="greaterThan">
      <formula>$B$123</formula>
    </cfRule>
  </conditionalFormatting>
  <conditionalFormatting sqref="B130:L130">
    <cfRule type="cellIs" dxfId="71" priority="11" operator="greaterThan">
      <formula>$B$3</formula>
    </cfRule>
  </conditionalFormatting>
  <conditionalFormatting sqref="B135:L137">
    <cfRule type="cellIs" dxfId="70" priority="53" operator="greaterThan">
      <formula>$B$131</formula>
    </cfRule>
  </conditionalFormatting>
  <conditionalFormatting sqref="B138:L138">
    <cfRule type="cellIs" dxfId="69" priority="10" operator="greaterThan">
      <formula>$B$3</formula>
    </cfRule>
  </conditionalFormatting>
  <conditionalFormatting sqref="B143:L145">
    <cfRule type="cellIs" dxfId="68" priority="52" operator="greaterThan">
      <formula>$B$139</formula>
    </cfRule>
  </conditionalFormatting>
  <conditionalFormatting sqref="B146:L146">
    <cfRule type="cellIs" dxfId="67" priority="9" operator="greaterThan">
      <formula>$B$3</formula>
    </cfRule>
  </conditionalFormatting>
  <conditionalFormatting sqref="B151:L153">
    <cfRule type="cellIs" dxfId="66" priority="51" operator="greaterThan">
      <formula>$B$147</formula>
    </cfRule>
  </conditionalFormatting>
  <conditionalFormatting sqref="B154:L154">
    <cfRule type="cellIs" dxfId="65" priority="8" operator="greaterThan">
      <formula>$B$3</formula>
    </cfRule>
  </conditionalFormatting>
  <conditionalFormatting sqref="B159:L161">
    <cfRule type="cellIs" dxfId="64" priority="50" operator="greaterThan">
      <formula>$B$155</formula>
    </cfRule>
  </conditionalFormatting>
  <conditionalFormatting sqref="B162:L162">
    <cfRule type="cellIs" dxfId="63" priority="7" operator="greaterThan">
      <formula>$B$3</formula>
    </cfRule>
  </conditionalFormatting>
  <conditionalFormatting sqref="B167:L169">
    <cfRule type="cellIs" dxfId="62" priority="49" operator="greaterThan">
      <formula>$B$163</formula>
    </cfRule>
  </conditionalFormatting>
  <conditionalFormatting sqref="B170:L170">
    <cfRule type="cellIs" dxfId="61" priority="6" operator="greaterThan">
      <formula>$B$3</formula>
    </cfRule>
  </conditionalFormatting>
  <conditionalFormatting sqref="B175:L177">
    <cfRule type="cellIs" dxfId="60" priority="48" operator="greaterThan">
      <formula>$B$171</formula>
    </cfRule>
  </conditionalFormatting>
  <conditionalFormatting sqref="B178:L178">
    <cfRule type="cellIs" dxfId="59" priority="5" operator="greaterThan">
      <formula>$B$3</formula>
    </cfRule>
  </conditionalFormatting>
  <conditionalFormatting sqref="B183:L185">
    <cfRule type="cellIs" dxfId="58" priority="47" operator="greaterThan">
      <formula>$B$179</formula>
    </cfRule>
  </conditionalFormatting>
  <conditionalFormatting sqref="B186:L186">
    <cfRule type="cellIs" dxfId="57" priority="4" operator="greaterThan">
      <formula>$B$3</formula>
    </cfRule>
  </conditionalFormatting>
  <conditionalFormatting sqref="B191:L193">
    <cfRule type="cellIs" dxfId="56" priority="46" operator="greaterThan">
      <formula>$B$187</formula>
    </cfRule>
  </conditionalFormatting>
  <conditionalFormatting sqref="B194:L194">
    <cfRule type="cellIs" dxfId="55" priority="3" operator="greaterThan">
      <formula>$B$3</formula>
    </cfRule>
  </conditionalFormatting>
  <conditionalFormatting sqref="B199:L201">
    <cfRule type="cellIs" dxfId="54" priority="45" operator="greaterThan">
      <formula>$B$195</formula>
    </cfRule>
  </conditionalFormatting>
  <conditionalFormatting sqref="B202:L202">
    <cfRule type="cellIs" dxfId="53" priority="2" operator="greaterThan">
      <formula>$B$3</formula>
    </cfRule>
  </conditionalFormatting>
  <conditionalFormatting sqref="B207:L209">
    <cfRule type="cellIs" dxfId="52" priority="44" operator="greaterThan">
      <formula>$B$203</formula>
    </cfRule>
  </conditionalFormatting>
  <conditionalFormatting sqref="B210:L210">
    <cfRule type="cellIs" dxfId="51" priority="1" operator="greaterThan">
      <formula>$B$3</formula>
    </cfRule>
  </conditionalFormatting>
  <pageMargins left="0.7" right="0.7" top="0.75" bottom="0.75" header="0.3" footer="0.3"/>
  <pageSetup paperSize="9" orientation="portrait" horizontalDpi="0" verticalDpi="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B498-7608-45F4-8F69-68534772734E}">
  <dimension ref="A1:S241"/>
  <sheetViews>
    <sheetView workbookViewId="0">
      <selection activeCell="D93" sqref="D93"/>
    </sheetView>
  </sheetViews>
  <sheetFormatPr defaultRowHeight="14.45"/>
  <cols>
    <col min="1" max="13" width="20.7109375" customWidth="1"/>
  </cols>
  <sheetData>
    <row r="1" spans="1:19" s="11" customFormat="1" ht="15.6">
      <c r="A1" s="10" t="s">
        <v>159</v>
      </c>
      <c r="C1" s="10"/>
      <c r="D1" s="12"/>
      <c r="E1" s="12"/>
      <c r="F1" s="39"/>
      <c r="G1" s="82">
        <v>0.85</v>
      </c>
      <c r="H1" s="39" t="s">
        <v>160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13"/>
    </row>
    <row r="3" spans="1:19" ht="15" thickBot="1">
      <c r="A3" s="187" t="str">
        <f>'Incremental Network SummerFcast'!A3</f>
        <v>BLTS-FW-BLTS</v>
      </c>
      <c r="B3" s="216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9" ht="15" thickBot="1">
      <c r="A4" s="191" t="str">
        <f>'Incremental Network SummerFcast'!A4</f>
        <v>Uptake Scenario</v>
      </c>
      <c r="B4" s="191">
        <f>'Incremental Network SummerFcast'!B4</f>
        <v>2023</v>
      </c>
      <c r="C4" s="191">
        <f>'Incremental Network SummerFcast'!C4</f>
        <v>2024</v>
      </c>
      <c r="D4" s="191">
        <f>'Incremental Network SummerFcast'!D4</f>
        <v>2025</v>
      </c>
      <c r="E4" s="191">
        <f>'Incremental Network SummerFcast'!E4</f>
        <v>2026</v>
      </c>
      <c r="F4" s="191">
        <f>'Incremental Network SummerFcast'!F4</f>
        <v>2027</v>
      </c>
      <c r="G4" s="191">
        <f>'Incremental Network SummerFcast'!G4</f>
        <v>2028</v>
      </c>
      <c r="H4" s="191">
        <f>'Incremental Network SummerFcast'!H4</f>
        <v>2029</v>
      </c>
      <c r="I4" s="191">
        <f>'Incremental Network SummerFcast'!I4</f>
        <v>2030</v>
      </c>
      <c r="J4" s="191">
        <f>'Incremental Network SummerFcast'!J4</f>
        <v>2031</v>
      </c>
      <c r="K4" s="191">
        <f>'Incremental Network SummerFcast'!K4</f>
        <v>2032</v>
      </c>
      <c r="L4" s="191">
        <f>'Incremental Network SummerFcast'!L4</f>
        <v>2033</v>
      </c>
    </row>
    <row r="5" spans="1:19" ht="15.6" thickTop="1" thickBot="1">
      <c r="A5" s="193">
        <f>'Incremental Network SummerFcast'!A5</f>
        <v>0</v>
      </c>
      <c r="B5" s="194">
        <f>'Incremental Network SummerFcast'!B5</f>
        <v>0</v>
      </c>
      <c r="C5" s="194">
        <f>'Incremental Network SummerFcast'!C5</f>
        <v>0</v>
      </c>
      <c r="D5" s="194">
        <f>'Incremental Network SummerFcast'!D5</f>
        <v>0</v>
      </c>
      <c r="E5" s="194">
        <f>'Incremental Network SummerFcast'!E5</f>
        <v>0</v>
      </c>
      <c r="F5" s="194">
        <f>'Incremental Network SummerFcast'!F5</f>
        <v>0</v>
      </c>
      <c r="G5" s="194">
        <f>'Incremental Network SummerFcast'!G5</f>
        <v>0</v>
      </c>
      <c r="H5" s="194">
        <f>'Incremental Network SummerFcast'!H5</f>
        <v>0</v>
      </c>
      <c r="I5" s="194">
        <f>'Incremental Network SummerFcast'!I5</f>
        <v>0</v>
      </c>
      <c r="J5" s="194">
        <f>'Incremental Network SummerFcast'!J5</f>
        <v>0</v>
      </c>
      <c r="K5" s="217">
        <f>'Incremental Network SummerFcast'!K5</f>
        <v>0</v>
      </c>
      <c r="L5" s="217">
        <f>'Incremental Network SummerFcast'!L5</f>
        <v>0</v>
      </c>
    </row>
    <row r="6" spans="1:19" ht="15" thickBot="1">
      <c r="A6" s="193" t="str">
        <f>'Incremental Network SummerFcast'!A6</f>
        <v>Customer forecast</v>
      </c>
      <c r="B6" s="194">
        <f ca="1">'Incremental Network SummerFcast'!B6*$G$1</f>
        <v>0</v>
      </c>
      <c r="C6" s="194">
        <f ca="1">'Incremental Network SummerFcast'!C6*$G$1</f>
        <v>0</v>
      </c>
      <c r="D6" s="194">
        <f ca="1">'Incremental Network SummerFcast'!D6*$G$1</f>
        <v>0</v>
      </c>
      <c r="E6" s="194">
        <f ca="1">'Incremental Network SummerFcast'!E6*$G$1</f>
        <v>0</v>
      </c>
      <c r="F6" s="194">
        <f ca="1">'Incremental Network SummerFcast'!F6*$G$1</f>
        <v>0</v>
      </c>
      <c r="G6" s="194">
        <f ca="1">'Incremental Network SummerFcast'!G6*$G$1</f>
        <v>0</v>
      </c>
      <c r="H6" s="194">
        <f ca="1">'Incremental Network SummerFcast'!H6*$G$1</f>
        <v>0</v>
      </c>
      <c r="I6" s="194">
        <f ca="1">'Incremental Network SummerFcast'!I6*$G$1</f>
        <v>0</v>
      </c>
      <c r="J6" s="194">
        <f ca="1">'Incremental Network SummerFcast'!J6*$G$1</f>
        <v>0</v>
      </c>
      <c r="K6" s="194">
        <f ca="1">'Incremental Network SummerFcast'!K6*$G$1</f>
        <v>0</v>
      </c>
      <c r="L6" s="194">
        <f ca="1">'Incremental Network SummerFcast'!L6*$G$1</f>
        <v>0</v>
      </c>
    </row>
    <row r="7" spans="1:19" ht="15" thickBot="1">
      <c r="A7" s="195" t="str">
        <f>'Incremental Network SummerFcast'!A7</f>
        <v>Base</v>
      </c>
      <c r="B7" s="196">
        <f ca="1">'Incremental Network SummerFcast'!B7*$G$1</f>
        <v>0</v>
      </c>
      <c r="C7" s="196">
        <f ca="1">'Incremental Network SummerFcast'!C7*$G$1</f>
        <v>0</v>
      </c>
      <c r="D7" s="196">
        <f ca="1">'Incremental Network SummerFcast'!D7*$G$1</f>
        <v>0</v>
      </c>
      <c r="E7" s="196">
        <f ca="1">'Incremental Network SummerFcast'!E7*$G$1</f>
        <v>0</v>
      </c>
      <c r="F7" s="196">
        <f ca="1">'Incremental Network SummerFcast'!F7*$G$1</f>
        <v>0</v>
      </c>
      <c r="G7" s="196">
        <f ca="1">'Incremental Network SummerFcast'!G7*$G$1</f>
        <v>0</v>
      </c>
      <c r="H7" s="196">
        <f ca="1">'Incremental Network SummerFcast'!H7*$G$1</f>
        <v>0</v>
      </c>
      <c r="I7" s="196">
        <f ca="1">'Incremental Network SummerFcast'!I7*$G$1</f>
        <v>0</v>
      </c>
      <c r="J7" s="196">
        <f ca="1">'Incremental Network SummerFcast'!J7*$G$1</f>
        <v>0</v>
      </c>
      <c r="K7" s="196">
        <f ca="1">'Incremental Network SummerFcast'!K7*$G$1</f>
        <v>0</v>
      </c>
      <c r="L7" s="196">
        <f ca="1">'Incremental Network SummerFcast'!L7*$G$1</f>
        <v>0</v>
      </c>
    </row>
    <row r="8" spans="1:19" ht="15" thickBot="1">
      <c r="A8" s="195" t="str">
        <f>'Incremental Network SummerFcast'!A8</f>
        <v>Low</v>
      </c>
      <c r="B8" s="196">
        <f ca="1">'Incremental Network SummerFcast'!B8*$G$1</f>
        <v>0</v>
      </c>
      <c r="C8" s="196">
        <f ca="1">'Incremental Network SummerFcast'!C8*$G$1</f>
        <v>0</v>
      </c>
      <c r="D8" s="196">
        <f ca="1">'Incremental Network SummerFcast'!D8*$G$1</f>
        <v>0</v>
      </c>
      <c r="E8" s="196">
        <f ca="1">'Incremental Network SummerFcast'!E8*$G$1</f>
        <v>0</v>
      </c>
      <c r="F8" s="196">
        <f ca="1">'Incremental Network SummerFcast'!F8*$G$1</f>
        <v>0</v>
      </c>
      <c r="G8" s="196">
        <f ca="1">'Incremental Network SummerFcast'!G8*$G$1</f>
        <v>0</v>
      </c>
      <c r="H8" s="196">
        <f ca="1">'Incremental Network SummerFcast'!H8*$G$1</f>
        <v>0</v>
      </c>
      <c r="I8" s="196">
        <f ca="1">'Incremental Network SummerFcast'!I8*$G$1</f>
        <v>0</v>
      </c>
      <c r="J8" s="196">
        <f ca="1">'Incremental Network SummerFcast'!J8*$G$1</f>
        <v>0</v>
      </c>
      <c r="K8" s="196">
        <f ca="1">'Incremental Network SummerFcast'!K8*$G$1</f>
        <v>0</v>
      </c>
      <c r="L8" s="196">
        <f ca="1">'Incremental Network SummerFcast'!L8*$G$1</f>
        <v>0</v>
      </c>
    </row>
    <row r="9" spans="1:19" ht="15" thickBot="1">
      <c r="A9" s="197" t="str">
        <f>'Incremental Network SummerFcast'!A9</f>
        <v>High</v>
      </c>
      <c r="B9" s="198">
        <f ca="1">'Incremental Network SummerFcast'!B9*$G$1</f>
        <v>0</v>
      </c>
      <c r="C9" s="198">
        <f ca="1">'Incremental Network SummerFcast'!C9*$G$1</f>
        <v>0</v>
      </c>
      <c r="D9" s="198">
        <f ca="1">'Incremental Network SummerFcast'!D9*$G$1</f>
        <v>0</v>
      </c>
      <c r="E9" s="198">
        <f ca="1">'Incremental Network SummerFcast'!E9*$G$1</f>
        <v>0</v>
      </c>
      <c r="F9" s="198">
        <f ca="1">'Incremental Network SummerFcast'!F9*$G$1</f>
        <v>0</v>
      </c>
      <c r="G9" s="198">
        <f ca="1">'Incremental Network SummerFcast'!G9*$G$1</f>
        <v>0</v>
      </c>
      <c r="H9" s="198">
        <f ca="1">'Incremental Network SummerFcast'!H9*$G$1</f>
        <v>0</v>
      </c>
      <c r="I9" s="198">
        <f ca="1">'Incremental Network SummerFcast'!I9*$G$1</f>
        <v>0</v>
      </c>
      <c r="J9" s="198">
        <f ca="1">'Incremental Network SummerFcast'!J9*$G$1</f>
        <v>0</v>
      </c>
      <c r="K9" s="198">
        <f ca="1">'Incremental Network SummerFcast'!K9*$G$1</f>
        <v>0</v>
      </c>
      <c r="L9" s="198">
        <f ca="1">'Incremental Network SummerFcast'!L9*$G$1</f>
        <v>0</v>
      </c>
    </row>
    <row r="10" spans="1:19" ht="15.6" thickTop="1" thickBot="1">
      <c r="A10" s="197" t="s">
        <v>148</v>
      </c>
      <c r="B10" s="198">
        <f ca="1">'Incremental Network SummerFcast'!$B$245*B7+'Incremental Network SummerFcast'!$B$246*B8+'Incremental Network SummerFcast'!$B$247*B9</f>
        <v>0</v>
      </c>
      <c r="C10" s="198">
        <f ca="1">'Incremental Network SummerFcast'!$B$245*C7+'Incremental Network SummerFcast'!$B$246*C8+'Incremental Network SummerFcast'!$B$247*C9</f>
        <v>0</v>
      </c>
      <c r="D10" s="198">
        <f ca="1">'Incremental Network SummerFcast'!$B$245*D7+'Incremental Network SummerFcast'!$B$246*D8+'Incremental Network SummerFcast'!$B$247*D9</f>
        <v>0</v>
      </c>
      <c r="E10" s="198">
        <f ca="1">'Incremental Network SummerFcast'!$B$245*E7+'Incremental Network SummerFcast'!$B$246*E8+'Incremental Network SummerFcast'!$B$247*E9</f>
        <v>0</v>
      </c>
      <c r="F10" s="198">
        <f ca="1">'Incremental Network SummerFcast'!$B$245*F7+'Incremental Network SummerFcast'!$B$246*F8+'Incremental Network SummerFcast'!$B$247*F9</f>
        <v>0</v>
      </c>
      <c r="G10" s="198">
        <f ca="1">'Incremental Network SummerFcast'!$B$245*G7+'Incremental Network SummerFcast'!$B$246*G8+'Incremental Network SummerFcast'!$B$247*G9</f>
        <v>0</v>
      </c>
      <c r="H10" s="198">
        <f ca="1">'Incremental Network SummerFcast'!$B$245*H7+'Incremental Network SummerFcast'!$B$246*H8+'Incremental Network SummerFcast'!$B$247*H9</f>
        <v>0</v>
      </c>
      <c r="I10" s="198">
        <f ca="1">'Incremental Network SummerFcast'!$B$245*I7+'Incremental Network SummerFcast'!$B$246*I8+'Incremental Network SummerFcast'!$B$247*I9</f>
        <v>0</v>
      </c>
      <c r="J10" s="198">
        <f ca="1">'Incremental Network SummerFcast'!$B$245*J7+'Incremental Network SummerFcast'!$B$246*J8+'Incremental Network SummerFcast'!$B$247*J9</f>
        <v>0</v>
      </c>
      <c r="K10" s="198">
        <f ca="1">'Incremental Network SummerFcast'!$B$245*K7+'Incremental Network SummerFcast'!$B$246*K8+'Incremental Network SummerFcast'!$B$247*K9</f>
        <v>0</v>
      </c>
      <c r="L10" s="198">
        <f ca="1">'Incremental Network SummerFcast'!$B$245*L7+'Incremental Network SummerFcast'!$B$246*L8+'Incremental Network SummerFcast'!$B$247*L9</f>
        <v>0</v>
      </c>
    </row>
    <row r="11" spans="1:19" ht="15.6" thickTop="1" thickBot="1">
      <c r="A11" s="187" t="str">
        <f>'Incremental Network SummerFcast'!A11</f>
        <v>BLTS-TH-BLTS</v>
      </c>
      <c r="B11" s="216"/>
      <c r="C11" s="190"/>
      <c r="D11" s="190"/>
      <c r="E11" s="190"/>
      <c r="F11" s="190"/>
      <c r="G11" s="190"/>
      <c r="H11" s="190"/>
      <c r="I11" s="190"/>
      <c r="J11" s="190"/>
      <c r="K11" s="190"/>
      <c r="L11" s="190"/>
    </row>
    <row r="12" spans="1:19" ht="15" thickBot="1">
      <c r="A12" s="191" t="str">
        <f>'Incremental Network SummerFcast'!A12</f>
        <v>Uptake Scenario</v>
      </c>
      <c r="B12" s="191">
        <f>'Incremental Network SummerFcast'!B12</f>
        <v>2023</v>
      </c>
      <c r="C12" s="191">
        <f>'Incremental Network SummerFcast'!C12</f>
        <v>2024</v>
      </c>
      <c r="D12" s="191">
        <f>'Incremental Network SummerFcast'!D12</f>
        <v>2025</v>
      </c>
      <c r="E12" s="191">
        <f>'Incremental Network SummerFcast'!E12</f>
        <v>2026</v>
      </c>
      <c r="F12" s="191">
        <f>'Incremental Network SummerFcast'!F12</f>
        <v>2027</v>
      </c>
      <c r="G12" s="191">
        <f>'Incremental Network SummerFcast'!G12</f>
        <v>2028</v>
      </c>
      <c r="H12" s="191">
        <f>'Incremental Network SummerFcast'!H12</f>
        <v>2029</v>
      </c>
      <c r="I12" s="191">
        <f>'Incremental Network SummerFcast'!I12</f>
        <v>2030</v>
      </c>
      <c r="J12" s="191">
        <f>'Incremental Network SummerFcast'!J12</f>
        <v>2031</v>
      </c>
      <c r="K12" s="191">
        <f>'Incremental Network SummerFcast'!K12</f>
        <v>2032</v>
      </c>
      <c r="L12" s="191">
        <f>'Incremental Network SummerFcast'!L12</f>
        <v>2033</v>
      </c>
    </row>
    <row r="13" spans="1:19" ht="15.6" thickTop="1" thickBot="1">
      <c r="A13" s="193">
        <f>'Incremental Network SummerFcast'!A13</f>
        <v>0</v>
      </c>
      <c r="B13" s="206">
        <f>'Incremental Network SummerFcast'!B13</f>
        <v>0</v>
      </c>
      <c r="C13" s="206">
        <f>'Incremental Network SummerFcast'!C13</f>
        <v>0</v>
      </c>
      <c r="D13" s="206">
        <f>'Incremental Network SummerFcast'!D13</f>
        <v>0</v>
      </c>
      <c r="E13" s="206">
        <f>'Incremental Network SummerFcast'!E13</f>
        <v>0</v>
      </c>
      <c r="F13" s="206">
        <f>'Incremental Network SummerFcast'!F13</f>
        <v>0</v>
      </c>
      <c r="G13" s="206">
        <f>'Incremental Network SummerFcast'!G13</f>
        <v>0</v>
      </c>
      <c r="H13" s="206">
        <f>'Incremental Network SummerFcast'!H13</f>
        <v>0</v>
      </c>
      <c r="I13" s="206">
        <f>'Incremental Network SummerFcast'!I13</f>
        <v>0</v>
      </c>
      <c r="J13" s="206">
        <f>'Incremental Network SummerFcast'!J13</f>
        <v>0</v>
      </c>
      <c r="K13" s="215">
        <f>'Incremental Network SummerFcast'!K13</f>
        <v>0</v>
      </c>
      <c r="L13" s="215">
        <f>'Incremental Network SummerFcast'!L13</f>
        <v>0</v>
      </c>
    </row>
    <row r="14" spans="1:19" ht="15" thickBot="1">
      <c r="A14" s="193" t="str">
        <f>'Incremental Network SummerFcast'!A14</f>
        <v>Customer forecast</v>
      </c>
      <c r="B14" s="194">
        <f ca="1">'Incremental Network SummerFcast'!B14*$G$1</f>
        <v>-1.7</v>
      </c>
      <c r="C14" s="194">
        <f ca="1">'Incremental Network SummerFcast'!C14*$G$1</f>
        <v>1.4875</v>
      </c>
      <c r="D14" s="194">
        <f ca="1">'Incremental Network SummerFcast'!D14*$G$1</f>
        <v>14.331894219269103</v>
      </c>
      <c r="E14" s="194">
        <f ca="1">'Incremental Network SummerFcast'!E14*$G$1</f>
        <v>19.976246362126247</v>
      </c>
      <c r="F14" s="194">
        <f ca="1">'Incremental Network SummerFcast'!F14*$G$1</f>
        <v>32.647498853820593</v>
      </c>
      <c r="G14" s="194">
        <f ca="1">'Incremental Network SummerFcast'!G14*$G$1</f>
        <v>45.655161995570317</v>
      </c>
      <c r="H14" s="194">
        <f ca="1">'Incremental Network SummerFcast'!H14*$G$1</f>
        <v>55.16014532890366</v>
      </c>
      <c r="I14" s="194">
        <f ca="1">'Incremental Network SummerFcast'!I14*$G$1</f>
        <v>94.737869562569202</v>
      </c>
      <c r="J14" s="194">
        <f ca="1">'Incremental Network SummerFcast'!J14*$G$1</f>
        <v>149.43053550719821</v>
      </c>
      <c r="K14" s="194">
        <f ca="1">'Incremental Network SummerFcast'!K14*$G$1</f>
        <v>182.05139788261354</v>
      </c>
      <c r="L14" s="194">
        <f ca="1">'Incremental Network SummerFcast'!L14*$G$1</f>
        <v>250.94055266888148</v>
      </c>
    </row>
    <row r="15" spans="1:19" ht="15" thickBot="1">
      <c r="A15" s="195" t="str">
        <f>'Incremental Network SummerFcast'!A15</f>
        <v>Base</v>
      </c>
      <c r="B15" s="196">
        <f ca="1">'Incremental Network SummerFcast'!B15*$G$1</f>
        <v>-1.7</v>
      </c>
      <c r="C15" s="196">
        <f ca="1">'Incremental Network SummerFcast'!C15*$G$1</f>
        <v>1.4875</v>
      </c>
      <c r="D15" s="196">
        <f ca="1">'Incremental Network SummerFcast'!D15*$G$1</f>
        <v>14.331894219269103</v>
      </c>
      <c r="E15" s="196">
        <f ca="1">'Incremental Network SummerFcast'!E15*$G$1</f>
        <v>19.976246362126247</v>
      </c>
      <c r="F15" s="196">
        <f ca="1">'Incremental Network SummerFcast'!F15*$G$1</f>
        <v>21.011692076411961</v>
      </c>
      <c r="G15" s="196">
        <f ca="1">'Incremental Network SummerFcast'!G15*$G$1</f>
        <v>24.103176076411959</v>
      </c>
      <c r="H15" s="196">
        <f ca="1">'Incremental Network SummerFcast'!H15*$G$1</f>
        <v>26.124378933554816</v>
      </c>
      <c r="I15" s="196">
        <f ca="1">'Incremental Network SummerFcast'!I15*$G$1</f>
        <v>30.746252859357693</v>
      </c>
      <c r="J15" s="196">
        <f ca="1">'Incremental Network SummerFcast'!J15*$G$1</f>
        <v>34.225294310631227</v>
      </c>
      <c r="K15" s="196">
        <f ca="1">'Incremental Network SummerFcast'!K15*$G$1</f>
        <v>38.72783436511628</v>
      </c>
      <c r="L15" s="196">
        <f ca="1">'Incremental Network SummerFcast'!L15*$G$1</f>
        <v>47.904349258416389</v>
      </c>
    </row>
    <row r="16" spans="1:19" ht="15" thickBot="1">
      <c r="A16" s="195" t="str">
        <f>'Incremental Network SummerFcast'!A16</f>
        <v>Low</v>
      </c>
      <c r="B16" s="196">
        <f ca="1">'Incremental Network SummerFcast'!B16*$G$1</f>
        <v>-1.7</v>
      </c>
      <c r="C16" s="196">
        <f ca="1">'Incremental Network SummerFcast'!C16*$G$1</f>
        <v>1.4875</v>
      </c>
      <c r="D16" s="196">
        <f ca="1">'Incremental Network SummerFcast'!D16*$G$1</f>
        <v>14.331894219269103</v>
      </c>
      <c r="E16" s="196">
        <f ca="1">'Incremental Network SummerFcast'!E16*$G$1</f>
        <v>19.976246362126247</v>
      </c>
      <c r="F16" s="196">
        <f ca="1">'Incremental Network SummerFcast'!F16*$G$1</f>
        <v>21.011692076411961</v>
      </c>
      <c r="G16" s="196">
        <f ca="1">'Incremental Network SummerFcast'!G16*$G$1</f>
        <v>24.103176076411959</v>
      </c>
      <c r="H16" s="196">
        <f ca="1">'Incremental Network SummerFcast'!H16*$G$1</f>
        <v>26.124378933554816</v>
      </c>
      <c r="I16" s="196">
        <f ca="1">'Incremental Network SummerFcast'!I16*$G$1</f>
        <v>28.309695029900332</v>
      </c>
      <c r="J16" s="196">
        <f ca="1">'Incremental Network SummerFcast'!J16*$G$1</f>
        <v>31.748049047619048</v>
      </c>
      <c r="K16" s="196">
        <f ca="1">'Incremental Network SummerFcast'!K16*$G$1</f>
        <v>33.460860631229238</v>
      </c>
      <c r="L16" s="196">
        <f ca="1">'Incremental Network SummerFcast'!L16*$G$1</f>
        <v>35.478148338870433</v>
      </c>
    </row>
    <row r="17" spans="1:12" ht="15" thickBot="1">
      <c r="A17" s="197" t="str">
        <f>'Incremental Network SummerFcast'!A17</f>
        <v>High</v>
      </c>
      <c r="B17" s="198">
        <f ca="1">'Incremental Network SummerFcast'!B17*$G$1</f>
        <v>-1.7</v>
      </c>
      <c r="C17" s="198">
        <f ca="1">'Incremental Network SummerFcast'!C17*$G$1</f>
        <v>1.4875</v>
      </c>
      <c r="D17" s="198">
        <f ca="1">'Incremental Network SummerFcast'!D17*$G$1</f>
        <v>14.331894219269103</v>
      </c>
      <c r="E17" s="198">
        <f ca="1">'Incremental Network SummerFcast'!E17*$G$1</f>
        <v>19.976246362126247</v>
      </c>
      <c r="F17" s="198">
        <f ca="1">'Incremental Network SummerFcast'!F17*$G$1</f>
        <v>21.011692076411961</v>
      </c>
      <c r="G17" s="198">
        <f ca="1">'Incremental Network SummerFcast'!G17*$G$1</f>
        <v>24.103176076411959</v>
      </c>
      <c r="H17" s="198">
        <f ca="1">'Incremental Network SummerFcast'!H17*$G$1</f>
        <v>29.704627172757473</v>
      </c>
      <c r="I17" s="198">
        <f ca="1">'Incremental Network SummerFcast'!I17*$G$1</f>
        <v>37.599945137541525</v>
      </c>
      <c r="J17" s="198">
        <f ca="1">'Incremental Network SummerFcast'!J17*$G$1</f>
        <v>42.953063269767441</v>
      </c>
      <c r="K17" s="198">
        <f ca="1">'Incremental Network SummerFcast'!K17*$G$1</f>
        <v>58.158470114950163</v>
      </c>
      <c r="L17" s="198">
        <f ca="1">'Incremental Network SummerFcast'!L17*$G$1</f>
        <v>72.097238439734227</v>
      </c>
    </row>
    <row r="18" spans="1:12" ht="15.6" thickTop="1" thickBot="1">
      <c r="A18" s="197" t="s">
        <v>148</v>
      </c>
      <c r="B18" s="198">
        <f ca="1">'Incremental Network SummerFcast'!$B$245*B15+'Incremental Network SummerFcast'!$B$246*B16+'Incremental Network SummerFcast'!$B$247*B17</f>
        <v>-1.7</v>
      </c>
      <c r="C18" s="198">
        <f ca="1">'Incremental Network SummerFcast'!$B$245*C15+'Incremental Network SummerFcast'!$B$246*C16+'Incremental Network SummerFcast'!$B$247*C17</f>
        <v>1.4875</v>
      </c>
      <c r="D18" s="198">
        <f ca="1">'Incremental Network SummerFcast'!$B$245*D15+'Incremental Network SummerFcast'!$B$246*D16+'Incremental Network SummerFcast'!$B$247*D17</f>
        <v>14.331894219269103</v>
      </c>
      <c r="E18" s="198">
        <f ca="1">'Incremental Network SummerFcast'!$B$245*E15+'Incremental Network SummerFcast'!$B$246*E16+'Incremental Network SummerFcast'!$B$247*E17</f>
        <v>19.976246362126247</v>
      </c>
      <c r="F18" s="198">
        <f ca="1">'Incremental Network SummerFcast'!$B$245*F15+'Incremental Network SummerFcast'!$B$246*F16+'Incremental Network SummerFcast'!$B$247*F17</f>
        <v>21.011692076411961</v>
      </c>
      <c r="G18" s="198">
        <f ca="1">'Incremental Network SummerFcast'!$B$245*G15+'Incremental Network SummerFcast'!$B$246*G16+'Incremental Network SummerFcast'!$B$247*G17</f>
        <v>24.103176076411959</v>
      </c>
      <c r="H18" s="198">
        <f ca="1">'Incremental Network SummerFcast'!$B$245*H15+'Incremental Network SummerFcast'!$B$246*H16+'Incremental Network SummerFcast'!$B$247*H17</f>
        <v>27.019440993355477</v>
      </c>
      <c r="I18" s="198">
        <f ca="1">'Incremental Network SummerFcast'!$B$245*I15+'Incremental Network SummerFcast'!$B$246*I16+'Incremental Network SummerFcast'!$B$247*I17</f>
        <v>31.850536471539311</v>
      </c>
      <c r="J18" s="198">
        <f ca="1">'Incremental Network SummerFcast'!$B$245*J15+'Incremental Network SummerFcast'!$B$246*J16+'Incremental Network SummerFcast'!$B$247*J17</f>
        <v>35.787925234662239</v>
      </c>
      <c r="K18" s="198">
        <f ca="1">'Incremental Network SummerFcast'!$B$245*K15+'Incremental Network SummerFcast'!$B$246*K16+'Incremental Network SummerFcast'!$B$247*K17</f>
        <v>42.26874986910299</v>
      </c>
      <c r="L18" s="198">
        <f ca="1">'Incremental Network SummerFcast'!$B$245*L15+'Incremental Network SummerFcast'!$B$246*L16+'Incremental Network SummerFcast'!$B$247*L17</f>
        <v>50.846021323859361</v>
      </c>
    </row>
    <row r="19" spans="1:12" ht="15.6" thickTop="1" thickBot="1">
      <c r="A19" s="188" t="str">
        <f>'Incremental Network SummerFcast'!A19</f>
        <v>BTS-FF-BTS</v>
      </c>
      <c r="B19" s="216"/>
      <c r="C19" s="190"/>
      <c r="D19" s="190"/>
      <c r="E19" s="190"/>
      <c r="F19" s="190"/>
      <c r="G19" s="190"/>
      <c r="H19" s="190"/>
      <c r="I19" s="190"/>
      <c r="J19" s="190"/>
      <c r="K19" s="190"/>
      <c r="L19" s="190"/>
    </row>
    <row r="20" spans="1:12" ht="15" thickBot="1">
      <c r="A20" s="191" t="str">
        <f>'Incremental Network SummerFcast'!A20</f>
        <v>Uptake Scenario</v>
      </c>
      <c r="B20" s="191">
        <f>'Incremental Network SummerFcast'!B20</f>
        <v>2023</v>
      </c>
      <c r="C20" s="191">
        <f>'Incremental Network SummerFcast'!C20</f>
        <v>2024</v>
      </c>
      <c r="D20" s="191">
        <f>'Incremental Network SummerFcast'!D20</f>
        <v>2025</v>
      </c>
      <c r="E20" s="191">
        <f>'Incremental Network SummerFcast'!E20</f>
        <v>2026</v>
      </c>
      <c r="F20" s="191">
        <f>'Incremental Network SummerFcast'!F20</f>
        <v>2027</v>
      </c>
      <c r="G20" s="191">
        <f>'Incremental Network SummerFcast'!G20</f>
        <v>2028</v>
      </c>
      <c r="H20" s="191">
        <f>'Incremental Network SummerFcast'!H20</f>
        <v>2029</v>
      </c>
      <c r="I20" s="191">
        <f>'Incremental Network SummerFcast'!I20</f>
        <v>2030</v>
      </c>
      <c r="J20" s="191">
        <f>'Incremental Network SummerFcast'!J20</f>
        <v>2031</v>
      </c>
      <c r="K20" s="191">
        <f>'Incremental Network SummerFcast'!K20</f>
        <v>2032</v>
      </c>
      <c r="L20" s="191">
        <f>'Incremental Network SummerFcast'!L20</f>
        <v>2033</v>
      </c>
    </row>
    <row r="21" spans="1:12" ht="15.6" thickTop="1" thickBot="1">
      <c r="A21" s="193">
        <f>'Incremental Network SummerFcast'!A21</f>
        <v>0</v>
      </c>
      <c r="B21" s="206">
        <f>'Incremental Network SummerFcast'!B21</f>
        <v>0</v>
      </c>
      <c r="C21" s="206">
        <f>'Incremental Network SummerFcast'!C21</f>
        <v>0</v>
      </c>
      <c r="D21" s="206">
        <f>'Incremental Network SummerFcast'!D21</f>
        <v>0</v>
      </c>
      <c r="E21" s="206">
        <f>'Incremental Network SummerFcast'!E21</f>
        <v>0</v>
      </c>
      <c r="F21" s="206">
        <f>'Incremental Network SummerFcast'!F21</f>
        <v>0</v>
      </c>
      <c r="G21" s="206">
        <f>'Incremental Network SummerFcast'!G21</f>
        <v>0</v>
      </c>
      <c r="H21" s="206">
        <f>'Incremental Network SummerFcast'!H21</f>
        <v>0</v>
      </c>
      <c r="I21" s="206">
        <f>'Incremental Network SummerFcast'!I21</f>
        <v>0</v>
      </c>
      <c r="J21" s="206">
        <f>'Incremental Network SummerFcast'!J21</f>
        <v>0</v>
      </c>
      <c r="K21" s="215">
        <f>'Incremental Network SummerFcast'!K21</f>
        <v>0</v>
      </c>
      <c r="L21" s="215">
        <f>'Incremental Network SummerFcast'!L21</f>
        <v>0</v>
      </c>
    </row>
    <row r="22" spans="1:12" ht="15" thickBot="1">
      <c r="A22" s="193" t="str">
        <f>'Incremental Network SummerFcast'!A22</f>
        <v>Customer forecast</v>
      </c>
      <c r="B22" s="194">
        <f ca="1">'Incremental Network SummerFcast'!B22*$G$1</f>
        <v>0</v>
      </c>
      <c r="C22" s="194">
        <f ca="1">'Incremental Network SummerFcast'!C22*$G$1</f>
        <v>0</v>
      </c>
      <c r="D22" s="194">
        <f ca="1">'Incremental Network SummerFcast'!D22*$G$1</f>
        <v>0</v>
      </c>
      <c r="E22" s="194">
        <f ca="1">'Incremental Network SummerFcast'!E22*$G$1</f>
        <v>0</v>
      </c>
      <c r="F22" s="194">
        <f ca="1">'Incremental Network SummerFcast'!F22*$G$1</f>
        <v>0</v>
      </c>
      <c r="G22" s="194">
        <f ca="1">'Incremental Network SummerFcast'!G22*$G$1</f>
        <v>0</v>
      </c>
      <c r="H22" s="194">
        <f ca="1">'Incremental Network SummerFcast'!H22*$G$1</f>
        <v>0</v>
      </c>
      <c r="I22" s="194">
        <f ca="1">'Incremental Network SummerFcast'!I22*$G$1</f>
        <v>0</v>
      </c>
      <c r="J22" s="194">
        <f ca="1">'Incremental Network SummerFcast'!J22*$G$1</f>
        <v>0</v>
      </c>
      <c r="K22" s="194">
        <f ca="1">'Incremental Network SummerFcast'!K22*$G$1</f>
        <v>0</v>
      </c>
      <c r="L22" s="194">
        <f ca="1">'Incremental Network SummerFcast'!L22*$G$1</f>
        <v>0</v>
      </c>
    </row>
    <row r="23" spans="1:12" ht="15" thickBot="1">
      <c r="A23" s="195" t="str">
        <f>'Incremental Network SummerFcast'!A23</f>
        <v>Base</v>
      </c>
      <c r="B23" s="196">
        <f ca="1">'Incremental Network SummerFcast'!B23*$G$1</f>
        <v>0</v>
      </c>
      <c r="C23" s="196">
        <f ca="1">'Incremental Network SummerFcast'!C23*$G$1</f>
        <v>0</v>
      </c>
      <c r="D23" s="196">
        <f ca="1">'Incremental Network SummerFcast'!D23*$G$1</f>
        <v>0</v>
      </c>
      <c r="E23" s="196">
        <f ca="1">'Incremental Network SummerFcast'!E23*$G$1</f>
        <v>0</v>
      </c>
      <c r="F23" s="196">
        <f ca="1">'Incremental Network SummerFcast'!F23*$G$1</f>
        <v>0</v>
      </c>
      <c r="G23" s="196">
        <f ca="1">'Incremental Network SummerFcast'!G23*$G$1</f>
        <v>0</v>
      </c>
      <c r="H23" s="196">
        <f ca="1">'Incremental Network SummerFcast'!H23*$G$1</f>
        <v>0</v>
      </c>
      <c r="I23" s="196">
        <f ca="1">'Incremental Network SummerFcast'!I23*$G$1</f>
        <v>0</v>
      </c>
      <c r="J23" s="196">
        <f ca="1">'Incremental Network SummerFcast'!J23*$G$1</f>
        <v>0</v>
      </c>
      <c r="K23" s="196">
        <f ca="1">'Incremental Network SummerFcast'!K23*$G$1</f>
        <v>0</v>
      </c>
      <c r="L23" s="196">
        <f ca="1">'Incremental Network SummerFcast'!L23*$G$1</f>
        <v>0</v>
      </c>
    </row>
    <row r="24" spans="1:12" ht="15" thickBot="1">
      <c r="A24" s="195" t="str">
        <f>'Incremental Network SummerFcast'!A24</f>
        <v>Low</v>
      </c>
      <c r="B24" s="196">
        <f ca="1">'Incremental Network SummerFcast'!B24*$G$1</f>
        <v>0</v>
      </c>
      <c r="C24" s="196">
        <f ca="1">'Incremental Network SummerFcast'!C24*$G$1</f>
        <v>0</v>
      </c>
      <c r="D24" s="196">
        <f ca="1">'Incremental Network SummerFcast'!D24*$G$1</f>
        <v>0</v>
      </c>
      <c r="E24" s="196">
        <f ca="1">'Incremental Network SummerFcast'!E24*$G$1</f>
        <v>0</v>
      </c>
      <c r="F24" s="196">
        <f ca="1">'Incremental Network SummerFcast'!F24*$G$1</f>
        <v>0</v>
      </c>
      <c r="G24" s="196">
        <f ca="1">'Incremental Network SummerFcast'!G24*$G$1</f>
        <v>0</v>
      </c>
      <c r="H24" s="196">
        <f ca="1">'Incremental Network SummerFcast'!H24*$G$1</f>
        <v>0</v>
      </c>
      <c r="I24" s="196">
        <f ca="1">'Incremental Network SummerFcast'!I24*$G$1</f>
        <v>0</v>
      </c>
      <c r="J24" s="196">
        <f ca="1">'Incremental Network SummerFcast'!J24*$G$1</f>
        <v>0</v>
      </c>
      <c r="K24" s="196">
        <f ca="1">'Incremental Network SummerFcast'!K24*$G$1</f>
        <v>0</v>
      </c>
      <c r="L24" s="196">
        <f ca="1">'Incremental Network SummerFcast'!L24*$G$1</f>
        <v>0</v>
      </c>
    </row>
    <row r="25" spans="1:12" ht="15" thickBot="1">
      <c r="A25" s="197" t="str">
        <f>'Incremental Network SummerFcast'!A25</f>
        <v>High</v>
      </c>
      <c r="B25" s="198">
        <f ca="1">'Incremental Network SummerFcast'!B25*$G$1</f>
        <v>0</v>
      </c>
      <c r="C25" s="198">
        <f ca="1">'Incremental Network SummerFcast'!C25*$G$1</f>
        <v>0</v>
      </c>
      <c r="D25" s="198">
        <f ca="1">'Incremental Network SummerFcast'!D25*$G$1</f>
        <v>0</v>
      </c>
      <c r="E25" s="198">
        <f ca="1">'Incremental Network SummerFcast'!E25*$G$1</f>
        <v>0</v>
      </c>
      <c r="F25" s="198">
        <f ca="1">'Incremental Network SummerFcast'!F25*$G$1</f>
        <v>0</v>
      </c>
      <c r="G25" s="198">
        <f ca="1">'Incremental Network SummerFcast'!G25*$G$1</f>
        <v>0</v>
      </c>
      <c r="H25" s="198">
        <f ca="1">'Incremental Network SummerFcast'!H25*$G$1</f>
        <v>0</v>
      </c>
      <c r="I25" s="198">
        <f ca="1">'Incremental Network SummerFcast'!I25*$G$1</f>
        <v>0</v>
      </c>
      <c r="J25" s="198">
        <f ca="1">'Incremental Network SummerFcast'!J25*$G$1</f>
        <v>0</v>
      </c>
      <c r="K25" s="198">
        <f ca="1">'Incremental Network SummerFcast'!K25*$G$1</f>
        <v>0</v>
      </c>
      <c r="L25" s="198">
        <f ca="1">'Incremental Network SummerFcast'!L25*$G$1</f>
        <v>0</v>
      </c>
    </row>
    <row r="26" spans="1:12" ht="15.6" thickTop="1" thickBot="1">
      <c r="A26" s="197" t="s">
        <v>148</v>
      </c>
      <c r="B26" s="198">
        <f ca="1">'Incremental Network SummerFcast'!$B$245*B23+'Incremental Network SummerFcast'!$B$246*B24+'Incremental Network SummerFcast'!$B$247*B25</f>
        <v>0</v>
      </c>
      <c r="C26" s="198">
        <f ca="1">'Incremental Network SummerFcast'!$B$245*C23+'Incremental Network SummerFcast'!$B$246*C24+'Incremental Network SummerFcast'!$B$247*C25</f>
        <v>0</v>
      </c>
      <c r="D26" s="198">
        <f ca="1">'Incremental Network SummerFcast'!$B$245*D23+'Incremental Network SummerFcast'!$B$246*D24+'Incremental Network SummerFcast'!$B$247*D25</f>
        <v>0</v>
      </c>
      <c r="E26" s="198">
        <f ca="1">'Incremental Network SummerFcast'!$B$245*E23+'Incremental Network SummerFcast'!$B$246*E24+'Incremental Network SummerFcast'!$B$247*E25</f>
        <v>0</v>
      </c>
      <c r="F26" s="198">
        <f ca="1">'Incremental Network SummerFcast'!$B$245*F23+'Incremental Network SummerFcast'!$B$246*F24+'Incremental Network SummerFcast'!$B$247*F25</f>
        <v>0</v>
      </c>
      <c r="G26" s="198">
        <f ca="1">'Incremental Network SummerFcast'!$B$245*G23+'Incremental Network SummerFcast'!$B$246*G24+'Incremental Network SummerFcast'!$B$247*G25</f>
        <v>0</v>
      </c>
      <c r="H26" s="198">
        <f ca="1">'Incremental Network SummerFcast'!$B$245*H23+'Incremental Network SummerFcast'!$B$246*H24+'Incremental Network SummerFcast'!$B$247*H25</f>
        <v>0</v>
      </c>
      <c r="I26" s="198">
        <f ca="1">'Incremental Network SummerFcast'!$B$245*I23+'Incremental Network SummerFcast'!$B$246*I24+'Incremental Network SummerFcast'!$B$247*I25</f>
        <v>0</v>
      </c>
      <c r="J26" s="198">
        <f ca="1">'Incremental Network SummerFcast'!$B$245*J23+'Incremental Network SummerFcast'!$B$246*J24+'Incremental Network SummerFcast'!$B$247*J25</f>
        <v>0</v>
      </c>
      <c r="K26" s="198">
        <f ca="1">'Incremental Network SummerFcast'!$B$245*K23+'Incremental Network SummerFcast'!$B$246*K24+'Incremental Network SummerFcast'!$B$247*K25</f>
        <v>0</v>
      </c>
      <c r="L26" s="198">
        <f ca="1">'Incremental Network SummerFcast'!$B$245*L23+'Incremental Network SummerFcast'!$B$246*L24+'Incremental Network SummerFcast'!$B$247*L25</f>
        <v>0</v>
      </c>
    </row>
    <row r="27" spans="1:12" ht="15.6" thickTop="1" thickBot="1">
      <c r="A27" s="187" t="str">
        <f>'Incremental Network SummerFcast'!A27</f>
        <v>KTS-BY-ES-KTS</v>
      </c>
      <c r="B27" s="216"/>
      <c r="C27" s="190"/>
      <c r="D27" s="190"/>
      <c r="E27" s="190"/>
      <c r="F27" s="190"/>
      <c r="G27" s="190"/>
      <c r="H27" s="190"/>
      <c r="I27" s="190"/>
      <c r="J27" s="190"/>
      <c r="K27" s="190"/>
      <c r="L27" s="190"/>
    </row>
    <row r="28" spans="1:12" ht="15" thickBot="1">
      <c r="A28" s="191" t="str">
        <f>'Incremental Network SummerFcast'!A28</f>
        <v>Uptake Scenario</v>
      </c>
      <c r="B28" s="191">
        <f>'Incremental Network SummerFcast'!B28</f>
        <v>2023</v>
      </c>
      <c r="C28" s="191">
        <f>'Incremental Network SummerFcast'!C28</f>
        <v>2024</v>
      </c>
      <c r="D28" s="191">
        <f>'Incremental Network SummerFcast'!D28</f>
        <v>2025</v>
      </c>
      <c r="E28" s="191">
        <f>'Incremental Network SummerFcast'!E28</f>
        <v>2026</v>
      </c>
      <c r="F28" s="191">
        <f>'Incremental Network SummerFcast'!F28</f>
        <v>2027</v>
      </c>
      <c r="G28" s="191">
        <f>'Incremental Network SummerFcast'!G28</f>
        <v>2028</v>
      </c>
      <c r="H28" s="191">
        <f>'Incremental Network SummerFcast'!H28</f>
        <v>2029</v>
      </c>
      <c r="I28" s="191">
        <f>'Incremental Network SummerFcast'!I28</f>
        <v>2030</v>
      </c>
      <c r="J28" s="191">
        <f>'Incremental Network SummerFcast'!J28</f>
        <v>2031</v>
      </c>
      <c r="K28" s="191">
        <f>'Incremental Network SummerFcast'!K28</f>
        <v>2032</v>
      </c>
      <c r="L28" s="191">
        <f>'Incremental Network SummerFcast'!L28</f>
        <v>2033</v>
      </c>
    </row>
    <row r="29" spans="1:12" ht="15.6" thickTop="1" thickBot="1">
      <c r="A29" s="193">
        <f>'Incremental Network SummerFcast'!A29</f>
        <v>0</v>
      </c>
      <c r="B29" s="206">
        <f>'Incremental Network SummerFcast'!B29</f>
        <v>0</v>
      </c>
      <c r="C29" s="206">
        <f>'Incremental Network SummerFcast'!C29</f>
        <v>0</v>
      </c>
      <c r="D29" s="206">
        <f>'Incremental Network SummerFcast'!D29</f>
        <v>0</v>
      </c>
      <c r="E29" s="206">
        <f>'Incremental Network SummerFcast'!E29</f>
        <v>0</v>
      </c>
      <c r="F29" s="206">
        <f>'Incremental Network SummerFcast'!F29</f>
        <v>0</v>
      </c>
      <c r="G29" s="206">
        <f>'Incremental Network SummerFcast'!G29</f>
        <v>0</v>
      </c>
      <c r="H29" s="206">
        <f>'Incremental Network SummerFcast'!H29</f>
        <v>0</v>
      </c>
      <c r="I29" s="206">
        <f>'Incremental Network SummerFcast'!I29</f>
        <v>0</v>
      </c>
      <c r="J29" s="206">
        <f>'Incremental Network SummerFcast'!J29</f>
        <v>0</v>
      </c>
      <c r="K29" s="215">
        <f>'Incremental Network SummerFcast'!K29</f>
        <v>0</v>
      </c>
      <c r="L29" s="215">
        <f>'Incremental Network SummerFcast'!L29</f>
        <v>0</v>
      </c>
    </row>
    <row r="30" spans="1:12" ht="15" thickBot="1">
      <c r="A30" s="193" t="str">
        <f>'Incremental Network SummerFcast'!A30</f>
        <v>Customer forecast</v>
      </c>
      <c r="B30" s="194">
        <f ca="1">'Incremental Network SummerFcast'!B30*$G$1</f>
        <v>0</v>
      </c>
      <c r="C30" s="194">
        <f ca="1">'Incremental Network SummerFcast'!C30*$G$1</f>
        <v>0</v>
      </c>
      <c r="D30" s="194">
        <f ca="1">'Incremental Network SummerFcast'!D30*$G$1</f>
        <v>0</v>
      </c>
      <c r="E30" s="194">
        <f ca="1">'Incremental Network SummerFcast'!E30*$G$1</f>
        <v>0</v>
      </c>
      <c r="F30" s="194">
        <f ca="1">'Incremental Network SummerFcast'!F30*$G$1</f>
        <v>0</v>
      </c>
      <c r="G30" s="194">
        <f ca="1">'Incremental Network SummerFcast'!G30*$G$1</f>
        <v>0</v>
      </c>
      <c r="H30" s="194">
        <f ca="1">'Incremental Network SummerFcast'!H30*$G$1</f>
        <v>0</v>
      </c>
      <c r="I30" s="194">
        <f ca="1">'Incremental Network SummerFcast'!I30*$G$1</f>
        <v>0</v>
      </c>
      <c r="J30" s="194">
        <f ca="1">'Incremental Network SummerFcast'!J30*$G$1</f>
        <v>0</v>
      </c>
      <c r="K30" s="194">
        <f ca="1">'Incremental Network SummerFcast'!K30*$G$1</f>
        <v>0</v>
      </c>
      <c r="L30" s="194">
        <f ca="1">'Incremental Network SummerFcast'!L30*$G$1</f>
        <v>14.917700996677738</v>
      </c>
    </row>
    <row r="31" spans="1:12" ht="15" thickBot="1">
      <c r="A31" s="195" t="str">
        <f>'Incremental Network SummerFcast'!A31</f>
        <v>Base</v>
      </c>
      <c r="B31" s="196">
        <f ca="1">'Incremental Network SummerFcast'!B31*$G$1</f>
        <v>0</v>
      </c>
      <c r="C31" s="196">
        <f ca="1">'Incremental Network SummerFcast'!C31*$G$1</f>
        <v>0</v>
      </c>
      <c r="D31" s="196">
        <f ca="1">'Incremental Network SummerFcast'!D31*$G$1</f>
        <v>0</v>
      </c>
      <c r="E31" s="196">
        <f ca="1">'Incremental Network SummerFcast'!E31*$G$1</f>
        <v>0</v>
      </c>
      <c r="F31" s="196">
        <f ca="1">'Incremental Network SummerFcast'!F31*$G$1</f>
        <v>0</v>
      </c>
      <c r="G31" s="196">
        <f ca="1">'Incremental Network SummerFcast'!G31*$G$1</f>
        <v>0</v>
      </c>
      <c r="H31" s="196">
        <f ca="1">'Incremental Network SummerFcast'!H31*$G$1</f>
        <v>0</v>
      </c>
      <c r="I31" s="196">
        <f ca="1">'Incremental Network SummerFcast'!I31*$G$1</f>
        <v>0</v>
      </c>
      <c r="J31" s="196">
        <f ca="1">'Incremental Network SummerFcast'!J31*$G$1</f>
        <v>0</v>
      </c>
      <c r="K31" s="196">
        <f ca="1">'Incremental Network SummerFcast'!K31*$G$1</f>
        <v>0</v>
      </c>
      <c r="L31" s="196">
        <f ca="1">'Incremental Network SummerFcast'!L31*$G$1</f>
        <v>0</v>
      </c>
    </row>
    <row r="32" spans="1:12" ht="15" thickBot="1">
      <c r="A32" s="195" t="str">
        <f>'Incremental Network SummerFcast'!A32</f>
        <v>Low</v>
      </c>
      <c r="B32" s="196">
        <f ca="1">'Incremental Network SummerFcast'!B32*$G$1</f>
        <v>0</v>
      </c>
      <c r="C32" s="196">
        <f ca="1">'Incremental Network SummerFcast'!C32*$G$1</f>
        <v>0</v>
      </c>
      <c r="D32" s="196">
        <f ca="1">'Incremental Network SummerFcast'!D32*$G$1</f>
        <v>0</v>
      </c>
      <c r="E32" s="196">
        <f ca="1">'Incremental Network SummerFcast'!E32*$G$1</f>
        <v>0</v>
      </c>
      <c r="F32" s="196">
        <f ca="1">'Incremental Network SummerFcast'!F32*$G$1</f>
        <v>0</v>
      </c>
      <c r="G32" s="196">
        <f ca="1">'Incremental Network SummerFcast'!G32*$G$1</f>
        <v>0</v>
      </c>
      <c r="H32" s="196">
        <f ca="1">'Incremental Network SummerFcast'!H32*$G$1</f>
        <v>0</v>
      </c>
      <c r="I32" s="196">
        <f ca="1">'Incremental Network SummerFcast'!I32*$G$1</f>
        <v>0</v>
      </c>
      <c r="J32" s="196">
        <f ca="1">'Incremental Network SummerFcast'!J32*$G$1</f>
        <v>0</v>
      </c>
      <c r="K32" s="196">
        <f ca="1">'Incremental Network SummerFcast'!K32*$G$1</f>
        <v>0</v>
      </c>
      <c r="L32" s="196">
        <f ca="1">'Incremental Network SummerFcast'!L32*$G$1</f>
        <v>0</v>
      </c>
    </row>
    <row r="33" spans="1:12" ht="15" thickBot="1">
      <c r="A33" s="197" t="str">
        <f>'Incremental Network SummerFcast'!A33</f>
        <v>High</v>
      </c>
      <c r="B33" s="198">
        <f ca="1">'Incremental Network SummerFcast'!B33*$G$1</f>
        <v>0</v>
      </c>
      <c r="C33" s="198">
        <f ca="1">'Incremental Network SummerFcast'!C33*$G$1</f>
        <v>0</v>
      </c>
      <c r="D33" s="198">
        <f ca="1">'Incremental Network SummerFcast'!D33*$G$1</f>
        <v>0</v>
      </c>
      <c r="E33" s="198">
        <f ca="1">'Incremental Network SummerFcast'!E33*$G$1</f>
        <v>0</v>
      </c>
      <c r="F33" s="198">
        <f ca="1">'Incremental Network SummerFcast'!F33*$G$1</f>
        <v>0</v>
      </c>
      <c r="G33" s="198">
        <f ca="1">'Incremental Network SummerFcast'!G33*$G$1</f>
        <v>0</v>
      </c>
      <c r="H33" s="198">
        <f ca="1">'Incremental Network SummerFcast'!H33*$G$1</f>
        <v>0</v>
      </c>
      <c r="I33" s="198">
        <f ca="1">'Incremental Network SummerFcast'!I33*$G$1</f>
        <v>0</v>
      </c>
      <c r="J33" s="198">
        <f ca="1">'Incremental Network SummerFcast'!J33*$G$1</f>
        <v>0</v>
      </c>
      <c r="K33" s="198">
        <f ca="1">'Incremental Network SummerFcast'!K33*$G$1</f>
        <v>0</v>
      </c>
      <c r="L33" s="198">
        <f ca="1">'Incremental Network SummerFcast'!L33*$G$1</f>
        <v>0</v>
      </c>
    </row>
    <row r="34" spans="1:12" ht="15.6" thickTop="1" thickBot="1">
      <c r="A34" s="197" t="s">
        <v>148</v>
      </c>
      <c r="B34" s="198">
        <f ca="1">'Incremental Network SummerFcast'!$B$245*B31+'Incremental Network SummerFcast'!$B$246*B32+'Incremental Network SummerFcast'!$B$247*B33</f>
        <v>0</v>
      </c>
      <c r="C34" s="198">
        <f ca="1">'Incremental Network SummerFcast'!$B$245*C31+'Incremental Network SummerFcast'!$B$246*C32+'Incremental Network SummerFcast'!$B$247*C33</f>
        <v>0</v>
      </c>
      <c r="D34" s="198">
        <f ca="1">'Incremental Network SummerFcast'!$B$245*D31+'Incremental Network SummerFcast'!$B$246*D32+'Incremental Network SummerFcast'!$B$247*D33</f>
        <v>0</v>
      </c>
      <c r="E34" s="198">
        <f ca="1">'Incremental Network SummerFcast'!$B$245*E31+'Incremental Network SummerFcast'!$B$246*E32+'Incremental Network SummerFcast'!$B$247*E33</f>
        <v>0</v>
      </c>
      <c r="F34" s="198">
        <f ca="1">'Incremental Network SummerFcast'!$B$245*F31+'Incremental Network SummerFcast'!$B$246*F32+'Incremental Network SummerFcast'!$B$247*F33</f>
        <v>0</v>
      </c>
      <c r="G34" s="198">
        <f ca="1">'Incremental Network SummerFcast'!$B$245*G31+'Incremental Network SummerFcast'!$B$246*G32+'Incremental Network SummerFcast'!$B$247*G33</f>
        <v>0</v>
      </c>
      <c r="H34" s="198">
        <f ca="1">'Incremental Network SummerFcast'!$B$245*H31+'Incremental Network SummerFcast'!$B$246*H32+'Incremental Network SummerFcast'!$B$247*H33</f>
        <v>0</v>
      </c>
      <c r="I34" s="198">
        <f ca="1">'Incremental Network SummerFcast'!$B$245*I31+'Incremental Network SummerFcast'!$B$246*I32+'Incremental Network SummerFcast'!$B$247*I33</f>
        <v>0</v>
      </c>
      <c r="J34" s="198">
        <f ca="1">'Incremental Network SummerFcast'!$B$245*J31+'Incremental Network SummerFcast'!$B$246*J32+'Incremental Network SummerFcast'!$B$247*J33</f>
        <v>0</v>
      </c>
      <c r="K34" s="198">
        <f ca="1">'Incremental Network SummerFcast'!$B$245*K31+'Incremental Network SummerFcast'!$B$246*K32+'Incremental Network SummerFcast'!$B$247*K33</f>
        <v>0</v>
      </c>
      <c r="L34" s="198">
        <f ca="1">'Incremental Network SummerFcast'!$B$245*L31+'Incremental Network SummerFcast'!$B$246*L32+'Incremental Network SummerFcast'!$B$247*L33</f>
        <v>0</v>
      </c>
    </row>
    <row r="35" spans="1:12" ht="15.6" thickTop="1" thickBot="1">
      <c r="A35" s="187" t="str">
        <f>'Incremental Network SummerFcast'!A35</f>
        <v>KTS-AW-PV/NDT-KTS</v>
      </c>
      <c r="B35" s="216"/>
      <c r="C35" s="190"/>
      <c r="D35" s="190"/>
      <c r="E35" s="190"/>
      <c r="F35" s="190"/>
      <c r="G35" s="190"/>
      <c r="H35" s="190"/>
      <c r="I35" s="190"/>
      <c r="J35" s="190"/>
      <c r="K35" s="190"/>
      <c r="L35" s="190"/>
    </row>
    <row r="36" spans="1:12" ht="15" thickBot="1">
      <c r="A36" s="191" t="str">
        <f>'Incremental Network SummerFcast'!A36</f>
        <v>Uptake Scenario</v>
      </c>
      <c r="B36" s="191">
        <f>'Incremental Network SummerFcast'!B36</f>
        <v>2023</v>
      </c>
      <c r="C36" s="191">
        <f>'Incremental Network SummerFcast'!C36</f>
        <v>2024</v>
      </c>
      <c r="D36" s="191">
        <f>'Incremental Network SummerFcast'!D36</f>
        <v>2025</v>
      </c>
      <c r="E36" s="191">
        <f>'Incremental Network SummerFcast'!E36</f>
        <v>2026</v>
      </c>
      <c r="F36" s="191">
        <f>'Incremental Network SummerFcast'!F36</f>
        <v>2027</v>
      </c>
      <c r="G36" s="191">
        <f>'Incremental Network SummerFcast'!G36</f>
        <v>2028</v>
      </c>
      <c r="H36" s="191">
        <f>'Incremental Network SummerFcast'!H36</f>
        <v>2029</v>
      </c>
      <c r="I36" s="191">
        <f>'Incremental Network SummerFcast'!I36</f>
        <v>2030</v>
      </c>
      <c r="J36" s="191">
        <f>'Incremental Network SummerFcast'!J36</f>
        <v>2031</v>
      </c>
      <c r="K36" s="191">
        <f>'Incremental Network SummerFcast'!K36</f>
        <v>2032</v>
      </c>
      <c r="L36" s="191">
        <f>'Incremental Network SummerFcast'!L36</f>
        <v>2033</v>
      </c>
    </row>
    <row r="37" spans="1:12" ht="15.6" thickTop="1" thickBot="1">
      <c r="A37" s="193">
        <f>'Incremental Network SummerFcast'!A37</f>
        <v>0</v>
      </c>
      <c r="B37" s="206">
        <f>'Incremental Network SummerFcast'!B37</f>
        <v>0</v>
      </c>
      <c r="C37" s="206">
        <f>'Incremental Network SummerFcast'!C37</f>
        <v>0</v>
      </c>
      <c r="D37" s="206">
        <f>'Incremental Network SummerFcast'!D37</f>
        <v>0</v>
      </c>
      <c r="E37" s="206">
        <f>'Incremental Network SummerFcast'!E37</f>
        <v>0</v>
      </c>
      <c r="F37" s="206">
        <f>'Incremental Network SummerFcast'!F37</f>
        <v>0</v>
      </c>
      <c r="G37" s="206">
        <f>'Incremental Network SummerFcast'!G37</f>
        <v>0</v>
      </c>
      <c r="H37" s="206">
        <f>'Incremental Network SummerFcast'!H37</f>
        <v>0</v>
      </c>
      <c r="I37" s="206">
        <f>'Incremental Network SummerFcast'!I37</f>
        <v>0</v>
      </c>
      <c r="J37" s="206">
        <f>'Incremental Network SummerFcast'!J37</f>
        <v>0</v>
      </c>
      <c r="K37" s="215">
        <f>'Incremental Network SummerFcast'!K37</f>
        <v>0</v>
      </c>
      <c r="L37" s="215">
        <f>'Incremental Network SummerFcast'!L37</f>
        <v>0</v>
      </c>
    </row>
    <row r="38" spans="1:12" ht="15" thickBot="1">
      <c r="A38" s="193" t="str">
        <f>'Incremental Network SummerFcast'!A38</f>
        <v>Customer forecast</v>
      </c>
      <c r="B38" s="194">
        <f ca="1">'Incremental Network SummerFcast'!B38*$G$1</f>
        <v>-5.0999999999999996</v>
      </c>
      <c r="C38" s="194">
        <f ca="1">'Incremental Network SummerFcast'!C38*$G$1</f>
        <v>0</v>
      </c>
      <c r="D38" s="194">
        <f ca="1">'Incremental Network SummerFcast'!D38*$G$1</f>
        <v>3.4</v>
      </c>
      <c r="E38" s="194">
        <f ca="1">'Incremental Network SummerFcast'!E38*$G$1</f>
        <v>5.6524999999999999</v>
      </c>
      <c r="F38" s="194">
        <f ca="1">'Incremental Network SummerFcast'!F38*$G$1</f>
        <v>15.36385049833887</v>
      </c>
      <c r="G38" s="194">
        <f ca="1">'Incremental Network SummerFcast'!G38*$G$1</f>
        <v>23.371067480620155</v>
      </c>
      <c r="H38" s="194">
        <f ca="1">'Incremental Network SummerFcast'!H38*$G$1</f>
        <v>29.075433671096352</v>
      </c>
      <c r="I38" s="194">
        <f ca="1">'Incremental Network SummerFcast'!I38*$G$1</f>
        <v>39.169839385382062</v>
      </c>
      <c r="J38" s="194">
        <f ca="1">'Incremental Network SummerFcast'!J38*$G$1</f>
        <v>55.910547407530451</v>
      </c>
      <c r="K38" s="194">
        <f ca="1">'Incremental Network SummerFcast'!K38*$G$1</f>
        <v>87.781387894795117</v>
      </c>
      <c r="L38" s="194">
        <f ca="1">'Incremental Network SummerFcast'!L38*$G$1</f>
        <v>116.69347678737542</v>
      </c>
    </row>
    <row r="39" spans="1:12" ht="15" thickBot="1">
      <c r="A39" s="195" t="str">
        <f>'Incremental Network SummerFcast'!A39</f>
        <v>Base</v>
      </c>
      <c r="B39" s="196">
        <f ca="1">'Incremental Network SummerFcast'!B39*$G$1</f>
        <v>-5.0999999999999996</v>
      </c>
      <c r="C39" s="196">
        <f ca="1">'Incremental Network SummerFcast'!C39*$G$1</f>
        <v>0</v>
      </c>
      <c r="D39" s="196">
        <f ca="1">'Incremental Network SummerFcast'!D39*$G$1</f>
        <v>3.4</v>
      </c>
      <c r="E39" s="196">
        <f ca="1">'Incremental Network SummerFcast'!E39*$G$1</f>
        <v>5.6524999999999999</v>
      </c>
      <c r="F39" s="196">
        <f ca="1">'Incremental Network SummerFcast'!F39*$G$1</f>
        <v>7.9050000000000002</v>
      </c>
      <c r="G39" s="196">
        <f ca="1">'Incremental Network SummerFcast'!G39*$G$1</f>
        <v>16.870465448504984</v>
      </c>
      <c r="H39" s="196">
        <f ca="1">'Incremental Network SummerFcast'!H39*$G$1</f>
        <v>21.975049377076413</v>
      </c>
      <c r="I39" s="196">
        <f ca="1">'Incremental Network SummerFcast'!I39*$G$1</f>
        <v>26.345506519933554</v>
      </c>
      <c r="J39" s="196">
        <f ca="1">'Incremental Network SummerFcast'!J39*$G$1</f>
        <v>34.921496519933555</v>
      </c>
      <c r="K39" s="196">
        <f ca="1">'Incremental Network SummerFcast'!K39*$G$1</f>
        <v>41.308275091362127</v>
      </c>
      <c r="L39" s="196">
        <f ca="1">'Incremental Network SummerFcast'!L39*$G$1</f>
        <v>50.203011409302327</v>
      </c>
    </row>
    <row r="40" spans="1:12" ht="15" thickBot="1">
      <c r="A40" s="195" t="str">
        <f>'Incremental Network SummerFcast'!A40</f>
        <v>Low</v>
      </c>
      <c r="B40" s="196">
        <f ca="1">'Incremental Network SummerFcast'!B40*$G$1</f>
        <v>-5.0999999999999996</v>
      </c>
      <c r="C40" s="196">
        <f ca="1">'Incremental Network SummerFcast'!C40*$G$1</f>
        <v>0</v>
      </c>
      <c r="D40" s="196">
        <f ca="1">'Incremental Network SummerFcast'!D40*$G$1</f>
        <v>3.4</v>
      </c>
      <c r="E40" s="196">
        <f ca="1">'Incremental Network SummerFcast'!E40*$G$1</f>
        <v>5.6524999999999999</v>
      </c>
      <c r="F40" s="196">
        <f ca="1">'Incremental Network SummerFcast'!F40*$G$1</f>
        <v>7.9050000000000002</v>
      </c>
      <c r="G40" s="196">
        <f ca="1">'Incremental Network SummerFcast'!G40*$G$1</f>
        <v>10.157500000000001</v>
      </c>
      <c r="H40" s="196">
        <f ca="1">'Incremental Network SummerFcast'!H40*$G$1</f>
        <v>16.885310299003322</v>
      </c>
      <c r="I40" s="196">
        <f ca="1">'Incremental Network SummerFcast'!I40*$G$1</f>
        <v>21.039199584717608</v>
      </c>
      <c r="J40" s="196">
        <f ca="1">'Incremental Network SummerFcast'!J40*$G$1</f>
        <v>24.703671013289036</v>
      </c>
      <c r="K40" s="196">
        <f ca="1">'Incremental Network SummerFcast'!K40*$G$1</f>
        <v>31.171831013289033</v>
      </c>
      <c r="L40" s="196">
        <f ca="1">'Incremental Network SummerFcast'!L40*$G$1</f>
        <v>36.180516727574741</v>
      </c>
    </row>
    <row r="41" spans="1:12" ht="15" thickBot="1">
      <c r="A41" s="197" t="str">
        <f>'Incremental Network SummerFcast'!A41</f>
        <v>High</v>
      </c>
      <c r="B41" s="198">
        <f ca="1">'Incremental Network SummerFcast'!B41*$G$1</f>
        <v>-5.0999999999999996</v>
      </c>
      <c r="C41" s="198">
        <f ca="1">'Incremental Network SummerFcast'!C41*$G$1</f>
        <v>0</v>
      </c>
      <c r="D41" s="198">
        <f ca="1">'Incremental Network SummerFcast'!D41*$G$1</f>
        <v>3.4</v>
      </c>
      <c r="E41" s="198">
        <f ca="1">'Incremental Network SummerFcast'!E41*$G$1</f>
        <v>5.6524999999999999</v>
      </c>
      <c r="F41" s="198">
        <f ca="1">'Incremental Network SummerFcast'!F41*$G$1</f>
        <v>15.36385049833887</v>
      </c>
      <c r="G41" s="198">
        <f ca="1">'Incremental Network SummerFcast'!G41*$G$1</f>
        <v>20.785332641196014</v>
      </c>
      <c r="H41" s="198">
        <f ca="1">'Incremental Network SummerFcast'!H41*$G$1</f>
        <v>25.39111835548173</v>
      </c>
      <c r="I41" s="198">
        <f ca="1">'Incremental Network SummerFcast'!I41*$G$1</f>
        <v>34.669718355481727</v>
      </c>
      <c r="J41" s="198">
        <f ca="1">'Incremental Network SummerFcast'!J41*$G$1</f>
        <v>42.446725754817273</v>
      </c>
      <c r="K41" s="198">
        <f ca="1">'Incremental Network SummerFcast'!K41*$G$1</f>
        <v>55.431714576744184</v>
      </c>
      <c r="L41" s="198">
        <f ca="1">'Incremental Network SummerFcast'!L41*$G$1</f>
        <v>58.873192524252488</v>
      </c>
    </row>
    <row r="42" spans="1:12" ht="15.6" thickTop="1" thickBot="1">
      <c r="A42" s="197" t="s">
        <v>148</v>
      </c>
      <c r="B42" s="198">
        <f ca="1">'Incremental Network SummerFcast'!$B$245*B39+'Incremental Network SummerFcast'!$B$246*B40+'Incremental Network SummerFcast'!$B$247*B41</f>
        <v>-5.0999999999999996</v>
      </c>
      <c r="C42" s="198">
        <f ca="1">'Incremental Network SummerFcast'!$B$245*C39+'Incremental Network SummerFcast'!$B$246*C40+'Incremental Network SummerFcast'!$B$247*C41</f>
        <v>0</v>
      </c>
      <c r="D42" s="198">
        <f ca="1">'Incremental Network SummerFcast'!$B$245*D39+'Incremental Network SummerFcast'!$B$246*D40+'Incremental Network SummerFcast'!$B$247*D41</f>
        <v>3.4</v>
      </c>
      <c r="E42" s="198">
        <f ca="1">'Incremental Network SummerFcast'!$B$245*E39+'Incremental Network SummerFcast'!$B$246*E40+'Incremental Network SummerFcast'!$B$247*E41</f>
        <v>5.6524999999999999</v>
      </c>
      <c r="F42" s="198">
        <f ca="1">'Incremental Network SummerFcast'!$B$245*F39+'Incremental Network SummerFcast'!$B$246*F40+'Incremental Network SummerFcast'!$B$247*F41</f>
        <v>9.7697126245847166</v>
      </c>
      <c r="G42" s="198">
        <f ca="1">'Incremental Network SummerFcast'!$B$245*G39+'Incremental Network SummerFcast'!$B$246*G40+'Incremental Network SummerFcast'!$B$247*G41</f>
        <v>16.170940884551495</v>
      </c>
      <c r="H42" s="198">
        <f ca="1">'Incremental Network SummerFcast'!$B$245*H39+'Incremental Network SummerFcast'!$B$246*H40+'Incremental Network SummerFcast'!$B$247*H41</f>
        <v>21.55663185215947</v>
      </c>
      <c r="I42" s="198">
        <f ca="1">'Incremental Network SummerFcast'!$B$245*I39+'Incremental Network SummerFcast'!$B$246*I40+'Incremental Network SummerFcast'!$B$247*I41</f>
        <v>27.099982745016611</v>
      </c>
      <c r="J42" s="198">
        <f ca="1">'Incremental Network SummerFcast'!$B$245*J39+'Incremental Network SummerFcast'!$B$246*J40+'Incremental Network SummerFcast'!$B$247*J41</f>
        <v>34.248347451993354</v>
      </c>
      <c r="K42" s="198">
        <f ca="1">'Incremental Network SummerFcast'!$B$245*K39+'Incremental Network SummerFcast'!$B$246*K40+'Incremental Network SummerFcast'!$B$247*K41</f>
        <v>42.305023943189369</v>
      </c>
      <c r="L42" s="198">
        <f ca="1">'Incremental Network SummerFcast'!$B$245*L39+'Incremental Network SummerFcast'!$B$246*L40+'Incremental Network SummerFcast'!$B$247*L41</f>
        <v>48.864933017607967</v>
      </c>
    </row>
    <row r="43" spans="1:12" ht="15.6" thickTop="1" thickBot="1">
      <c r="A43" s="188" t="str">
        <f>'Incremental Network SummerFcast'!A43</f>
        <v>KTS-TMA-MAT-KTS</v>
      </c>
      <c r="B43" s="216"/>
      <c r="C43" s="190"/>
      <c r="D43" s="190"/>
      <c r="E43" s="190"/>
      <c r="F43" s="190"/>
      <c r="G43" s="190"/>
      <c r="H43" s="190"/>
      <c r="I43" s="190"/>
      <c r="J43" s="190"/>
      <c r="K43" s="190"/>
      <c r="L43" s="190"/>
    </row>
    <row r="44" spans="1:12" ht="15" thickBot="1">
      <c r="A44" s="191" t="str">
        <f>'Incremental Network SummerFcast'!A44</f>
        <v>Uptake Scenario</v>
      </c>
      <c r="B44" s="191">
        <f>'Incremental Network SummerFcast'!B44</f>
        <v>2023</v>
      </c>
      <c r="C44" s="191">
        <f>'Incremental Network SummerFcast'!C44</f>
        <v>2024</v>
      </c>
      <c r="D44" s="191">
        <f>'Incremental Network SummerFcast'!D44</f>
        <v>2025</v>
      </c>
      <c r="E44" s="191">
        <f>'Incremental Network SummerFcast'!E44</f>
        <v>2026</v>
      </c>
      <c r="F44" s="191">
        <f>'Incremental Network SummerFcast'!F44</f>
        <v>2027</v>
      </c>
      <c r="G44" s="191">
        <f>'Incremental Network SummerFcast'!G44</f>
        <v>2028</v>
      </c>
      <c r="H44" s="191">
        <f>'Incremental Network SummerFcast'!H44</f>
        <v>2029</v>
      </c>
      <c r="I44" s="191">
        <f>'Incremental Network SummerFcast'!I44</f>
        <v>2030</v>
      </c>
      <c r="J44" s="191">
        <f>'Incremental Network SummerFcast'!J44</f>
        <v>2031</v>
      </c>
      <c r="K44" s="191">
        <f>'Incremental Network SummerFcast'!K44</f>
        <v>2032</v>
      </c>
      <c r="L44" s="191">
        <f>'Incremental Network SummerFcast'!L44</f>
        <v>2033</v>
      </c>
    </row>
    <row r="45" spans="1:12" ht="15.6" thickTop="1" thickBot="1">
      <c r="A45" s="193">
        <f>'Incremental Network SummerFcast'!A45</f>
        <v>0</v>
      </c>
      <c r="B45" s="206">
        <f>'Incremental Network SummerFcast'!B45</f>
        <v>0</v>
      </c>
      <c r="C45" s="206">
        <f>'Incremental Network SummerFcast'!C45</f>
        <v>0</v>
      </c>
      <c r="D45" s="206">
        <f>'Incremental Network SummerFcast'!D45</f>
        <v>0</v>
      </c>
      <c r="E45" s="206">
        <f>'Incremental Network SummerFcast'!E45</f>
        <v>0</v>
      </c>
      <c r="F45" s="206">
        <f>'Incremental Network SummerFcast'!F45</f>
        <v>0</v>
      </c>
      <c r="G45" s="206">
        <f>'Incremental Network SummerFcast'!G45</f>
        <v>0</v>
      </c>
      <c r="H45" s="206">
        <f>'Incremental Network SummerFcast'!H45</f>
        <v>0</v>
      </c>
      <c r="I45" s="206">
        <f>'Incremental Network SummerFcast'!I45</f>
        <v>0</v>
      </c>
      <c r="J45" s="206">
        <f>'Incremental Network SummerFcast'!J45</f>
        <v>0</v>
      </c>
      <c r="K45" s="215">
        <f>'Incremental Network SummerFcast'!K45</f>
        <v>0</v>
      </c>
      <c r="L45" s="215">
        <f>'Incremental Network SummerFcast'!L45</f>
        <v>0</v>
      </c>
    </row>
    <row r="46" spans="1:12" ht="15" thickBot="1">
      <c r="A46" s="193" t="str">
        <f>'Incremental Network SummerFcast'!A46</f>
        <v>Customer forecast</v>
      </c>
      <c r="B46" s="194">
        <f ca="1">'Incremental Network SummerFcast'!B46*$G$1</f>
        <v>-21.25</v>
      </c>
      <c r="C46" s="194">
        <f ca="1">'Incremental Network SummerFcast'!C46*$G$1</f>
        <v>0</v>
      </c>
      <c r="D46" s="194">
        <f ca="1">'Incremental Network SummerFcast'!D46*$G$1</f>
        <v>7.9561071982281275</v>
      </c>
      <c r="E46" s="194">
        <f ca="1">'Incremental Network SummerFcast'!E46*$G$1</f>
        <v>38.230354817275746</v>
      </c>
      <c r="F46" s="194">
        <f ca="1">'Incremental Network SummerFcast'!F46*$G$1</f>
        <v>55.72602624584718</v>
      </c>
      <c r="G46" s="194">
        <f ca="1">'Incremental Network SummerFcast'!G46*$G$1</f>
        <v>78.469532912513841</v>
      </c>
      <c r="H46" s="194">
        <f ca="1">'Incremental Network SummerFcast'!H46*$G$1</f>
        <v>129.60941862679954</v>
      </c>
      <c r="I46" s="194">
        <f ca="1">'Incremental Network SummerFcast'!I46*$G$1</f>
        <v>159.76115461794018</v>
      </c>
      <c r="J46" s="194">
        <f ca="1">'Incremental Network SummerFcast'!J46*$G$1</f>
        <v>190.02111672203765</v>
      </c>
      <c r="K46" s="194">
        <f ca="1">'Incremental Network SummerFcast'!K46*$G$1</f>
        <v>214.6669202657807</v>
      </c>
      <c r="L46" s="194">
        <f ca="1">'Incremental Network SummerFcast'!L46*$G$1</f>
        <v>233.42363884274639</v>
      </c>
    </row>
    <row r="47" spans="1:12" ht="15" thickBot="1">
      <c r="A47" s="195" t="str">
        <f>'Incremental Network SummerFcast'!A47</f>
        <v>Base</v>
      </c>
      <c r="B47" s="196">
        <f ca="1">'Incremental Network SummerFcast'!B47*$G$1</f>
        <v>-21.25</v>
      </c>
      <c r="C47" s="196">
        <f ca="1">'Incremental Network SummerFcast'!C47*$G$1</f>
        <v>0</v>
      </c>
      <c r="D47" s="196">
        <f ca="1">'Incremental Network SummerFcast'!D47*$G$1</f>
        <v>0</v>
      </c>
      <c r="E47" s="196">
        <f ca="1">'Incremental Network SummerFcast'!E47*$G$1</f>
        <v>14.364999999999998</v>
      </c>
      <c r="F47" s="196">
        <f ca="1">'Incremental Network SummerFcast'!F47*$G$1</f>
        <v>20.30349252713178</v>
      </c>
      <c r="G47" s="196">
        <f ca="1">'Incremental Network SummerFcast'!G47*$G$1</f>
        <v>31.244023860465116</v>
      </c>
      <c r="H47" s="196">
        <f ca="1">'Incremental Network SummerFcast'!H47*$G$1</f>
        <v>44.714007860465117</v>
      </c>
      <c r="I47" s="196">
        <f ca="1">'Incremental Network SummerFcast'!I47*$G$1</f>
        <v>60.711316127131781</v>
      </c>
      <c r="J47" s="196">
        <f ca="1">'Incremental Network SummerFcast'!J47*$G$1</f>
        <v>79.163660127131777</v>
      </c>
      <c r="K47" s="196">
        <f ca="1">'Incremental Network SummerFcast'!K47*$G$1</f>
        <v>97.966415762790689</v>
      </c>
      <c r="L47" s="196">
        <f ca="1">'Incremental Network SummerFcast'!L47*$G$1</f>
        <v>103.28371217054263</v>
      </c>
    </row>
    <row r="48" spans="1:12" ht="15" thickBot="1">
      <c r="A48" s="195" t="str">
        <f>'Incremental Network SummerFcast'!A48</f>
        <v>Low</v>
      </c>
      <c r="B48" s="196">
        <f ca="1">'Incremental Network SummerFcast'!B48*$G$1</f>
        <v>-21.25</v>
      </c>
      <c r="C48" s="196">
        <f ca="1">'Incremental Network SummerFcast'!C48*$G$1</f>
        <v>0</v>
      </c>
      <c r="D48" s="196">
        <f ca="1">'Incremental Network SummerFcast'!D48*$G$1</f>
        <v>0</v>
      </c>
      <c r="E48" s="196">
        <f ca="1">'Incremental Network SummerFcast'!E48*$G$1</f>
        <v>14.364999999999998</v>
      </c>
      <c r="F48" s="196">
        <f ca="1">'Incremental Network SummerFcast'!F48*$G$1</f>
        <v>16.405000000000001</v>
      </c>
      <c r="G48" s="196">
        <f ca="1">'Incremental Network SummerFcast'!G48*$G$1</f>
        <v>21.141221439645626</v>
      </c>
      <c r="H48" s="196">
        <f ca="1">'Incremental Network SummerFcast'!H48*$G$1</f>
        <v>36.563070963455147</v>
      </c>
      <c r="I48" s="196">
        <f ca="1">'Incremental Network SummerFcast'!I48*$G$1</f>
        <v>49.390105249169437</v>
      </c>
      <c r="J48" s="196">
        <f ca="1">'Incremental Network SummerFcast'!J48*$G$1</f>
        <v>62.704006582502764</v>
      </c>
      <c r="K48" s="196">
        <f ca="1">'Incremental Network SummerFcast'!K48*$G$1</f>
        <v>65.21398372535991</v>
      </c>
      <c r="L48" s="196">
        <f ca="1">'Incremental Network SummerFcast'!L48*$G$1</f>
        <v>69.098930923588028</v>
      </c>
    </row>
    <row r="49" spans="1:12" ht="15" thickBot="1">
      <c r="A49" s="197" t="str">
        <f>'Incremental Network SummerFcast'!A49</f>
        <v>High</v>
      </c>
      <c r="B49" s="198">
        <f ca="1">'Incremental Network SummerFcast'!B49*$G$1</f>
        <v>-21.25</v>
      </c>
      <c r="C49" s="198">
        <f ca="1">'Incremental Network SummerFcast'!C49*$G$1</f>
        <v>0</v>
      </c>
      <c r="D49" s="198">
        <f ca="1">'Incremental Network SummerFcast'!D49*$G$1</f>
        <v>0</v>
      </c>
      <c r="E49" s="198">
        <f ca="1">'Incremental Network SummerFcast'!E49*$G$1</f>
        <v>20.093397182724249</v>
      </c>
      <c r="F49" s="198">
        <f ca="1">'Incremental Network SummerFcast'!F49*$G$1</f>
        <v>33.58805546843854</v>
      </c>
      <c r="G49" s="198">
        <f ca="1">'Incremental Network SummerFcast'!G49*$G$1</f>
        <v>38.540378897009965</v>
      </c>
      <c r="H49" s="198">
        <f ca="1">'Incremental Network SummerFcast'!H49*$G$1</f>
        <v>56.176423697009973</v>
      </c>
      <c r="I49" s="198">
        <f ca="1">'Incremental Network SummerFcast'!I49*$G$1</f>
        <v>87.886261411295678</v>
      </c>
      <c r="J49" s="198">
        <f ca="1">'Incremental Network SummerFcast'!J49*$G$1</f>
        <v>121.87563132491694</v>
      </c>
      <c r="K49" s="198">
        <f ca="1">'Incremental Network SummerFcast'!K49*$G$1</f>
        <v>134.4369040398671</v>
      </c>
      <c r="L49" s="198">
        <f ca="1">'Incremental Network SummerFcast'!L49*$G$1</f>
        <v>145.06510023255817</v>
      </c>
    </row>
    <row r="50" spans="1:12" ht="15.6" thickTop="1" thickBot="1">
      <c r="A50" s="197" t="s">
        <v>148</v>
      </c>
      <c r="B50" s="198">
        <f ca="1">'Incremental Network SummerFcast'!$B$245*B47+'Incremental Network SummerFcast'!$B$246*B48+'Incremental Network SummerFcast'!$B$247*B49</f>
        <v>-21.25</v>
      </c>
      <c r="C50" s="198">
        <f ca="1">'Incremental Network SummerFcast'!$B$245*C47+'Incremental Network SummerFcast'!$B$246*C48+'Incremental Network SummerFcast'!$B$247*C49</f>
        <v>0</v>
      </c>
      <c r="D50" s="198">
        <f ca="1">'Incremental Network SummerFcast'!$B$245*D47+'Incremental Network SummerFcast'!$B$246*D48+'Incremental Network SummerFcast'!$B$247*D49</f>
        <v>0</v>
      </c>
      <c r="E50" s="198">
        <f ca="1">'Incremental Network SummerFcast'!$B$245*E47+'Incremental Network SummerFcast'!$B$246*E48+'Incremental Network SummerFcast'!$B$247*E49</f>
        <v>15.797099295681061</v>
      </c>
      <c r="F50" s="198">
        <f ca="1">'Incremental Network SummerFcast'!$B$245*F47+'Incremental Network SummerFcast'!$B$246*F48+'Incremental Network SummerFcast'!$B$247*F49</f>
        <v>22.650010130675525</v>
      </c>
      <c r="G50" s="198">
        <f ca="1">'Incremental Network SummerFcast'!$B$245*G47+'Incremental Network SummerFcast'!$B$246*G48+'Incremental Network SummerFcast'!$B$247*G49</f>
        <v>30.542412014396454</v>
      </c>
      <c r="H50" s="198">
        <f ca="1">'Incremental Network SummerFcast'!$B$245*H47+'Incremental Network SummerFcast'!$B$246*H48+'Incremental Network SummerFcast'!$B$247*H49</f>
        <v>45.541877595348836</v>
      </c>
      <c r="I50" s="198">
        <f ca="1">'Incremental Network SummerFcast'!$B$245*I47+'Incremental Network SummerFcast'!$B$246*I48+'Incremental Network SummerFcast'!$B$247*I49</f>
        <v>64.674749728682173</v>
      </c>
      <c r="J50" s="198">
        <f ca="1">'Incremental Network SummerFcast'!$B$245*J47+'Incremental Network SummerFcast'!$B$246*J48+'Incremental Network SummerFcast'!$B$247*J49</f>
        <v>85.726739540420809</v>
      </c>
      <c r="K50" s="198">
        <f ca="1">'Incremental Network SummerFcast'!$B$245*K47+'Incremental Network SummerFcast'!$B$246*K48+'Incremental Network SummerFcast'!$B$247*K49</f>
        <v>98.895929822702101</v>
      </c>
      <c r="L50" s="198">
        <f ca="1">'Incremental Network SummerFcast'!$B$245*L47+'Incremental Network SummerFcast'!$B$246*L48+'Incremental Network SummerFcast'!$B$247*L49</f>
        <v>105.18286387430786</v>
      </c>
    </row>
    <row r="51" spans="1:12" ht="15.6" thickTop="1" thickBot="1">
      <c r="A51" s="188" t="str">
        <f>'Incremental Network SummerFcast'!A51</f>
        <v>SMTS-ST-SSS-SMTS</v>
      </c>
      <c r="B51" s="216"/>
      <c r="C51" s="190"/>
      <c r="D51" s="190"/>
      <c r="E51" s="190"/>
      <c r="F51" s="190"/>
      <c r="G51" s="190"/>
      <c r="H51" s="190"/>
      <c r="I51" s="190"/>
      <c r="J51" s="190"/>
      <c r="K51" s="190"/>
      <c r="L51" s="190"/>
    </row>
    <row r="52" spans="1:12" ht="15" thickBot="1">
      <c r="A52" s="191" t="str">
        <f>'Incremental Network SummerFcast'!A52</f>
        <v>Uptake Scenario</v>
      </c>
      <c r="B52" s="191">
        <f>'Incremental Network SummerFcast'!B52</f>
        <v>2023</v>
      </c>
      <c r="C52" s="191">
        <f>'Incremental Network SummerFcast'!C52</f>
        <v>2024</v>
      </c>
      <c r="D52" s="191">
        <f>'Incremental Network SummerFcast'!D52</f>
        <v>2025</v>
      </c>
      <c r="E52" s="191">
        <f>'Incremental Network SummerFcast'!E52</f>
        <v>2026</v>
      </c>
      <c r="F52" s="191">
        <f>'Incremental Network SummerFcast'!F52</f>
        <v>2027</v>
      </c>
      <c r="G52" s="191">
        <f>'Incremental Network SummerFcast'!G52</f>
        <v>2028</v>
      </c>
      <c r="H52" s="191">
        <f>'Incremental Network SummerFcast'!H52</f>
        <v>2029</v>
      </c>
      <c r="I52" s="191">
        <f>'Incremental Network SummerFcast'!I52</f>
        <v>2030</v>
      </c>
      <c r="J52" s="191">
        <f>'Incremental Network SummerFcast'!J52</f>
        <v>2031</v>
      </c>
      <c r="K52" s="191">
        <f>'Incremental Network SummerFcast'!K52</f>
        <v>2032</v>
      </c>
      <c r="L52" s="191">
        <f>'Incremental Network SummerFcast'!L52</f>
        <v>2033</v>
      </c>
    </row>
    <row r="53" spans="1:12" ht="15.6" thickTop="1" thickBot="1">
      <c r="A53" s="193">
        <f>'Incremental Network SummerFcast'!A53</f>
        <v>0</v>
      </c>
      <c r="B53" s="206">
        <f>'Incremental Network SummerFcast'!B53</f>
        <v>0</v>
      </c>
      <c r="C53" s="206">
        <f>'Incremental Network SummerFcast'!C53</f>
        <v>0</v>
      </c>
      <c r="D53" s="206">
        <f>'Incremental Network SummerFcast'!D53</f>
        <v>0</v>
      </c>
      <c r="E53" s="206">
        <f>'Incremental Network SummerFcast'!E53</f>
        <v>0</v>
      </c>
      <c r="F53" s="206">
        <f>'Incremental Network SummerFcast'!F53</f>
        <v>0</v>
      </c>
      <c r="G53" s="206">
        <f>'Incremental Network SummerFcast'!G53</f>
        <v>0</v>
      </c>
      <c r="H53" s="206">
        <f>'Incremental Network SummerFcast'!H53</f>
        <v>0</v>
      </c>
      <c r="I53" s="206">
        <f>'Incremental Network SummerFcast'!I53</f>
        <v>0</v>
      </c>
      <c r="J53" s="206">
        <f>'Incremental Network SummerFcast'!J53</f>
        <v>0</v>
      </c>
      <c r="K53" s="215">
        <f>'Incremental Network SummerFcast'!K53</f>
        <v>0</v>
      </c>
      <c r="L53" s="215">
        <f>'Incremental Network SummerFcast'!L53</f>
        <v>0</v>
      </c>
    </row>
    <row r="54" spans="1:12" ht="15" thickBot="1">
      <c r="A54" s="193" t="str">
        <f>'Incremental Network SummerFcast'!A54</f>
        <v>Customer forecast</v>
      </c>
      <c r="B54" s="194">
        <f ca="1">'Incremental Network SummerFcast'!B54*$G$1</f>
        <v>0</v>
      </c>
      <c r="C54" s="194">
        <f ca="1">'Incremental Network SummerFcast'!C54*$G$1</f>
        <v>0</v>
      </c>
      <c r="D54" s="194">
        <f ca="1">'Incremental Network SummerFcast'!D54*$G$1</f>
        <v>0</v>
      </c>
      <c r="E54" s="194">
        <f ca="1">'Incremental Network SummerFcast'!E54*$G$1</f>
        <v>4.9725669988925789</v>
      </c>
      <c r="F54" s="194">
        <f ca="1">'Incremental Network SummerFcast'!F54*$G$1</f>
        <v>7.0852217607973422</v>
      </c>
      <c r="G54" s="194">
        <f ca="1">'Incremental Network SummerFcast'!G54*$G$1</f>
        <v>8.6540789036544865</v>
      </c>
      <c r="H54" s="194">
        <f ca="1">'Incremental Network SummerFcast'!H54*$G$1</f>
        <v>18.310712569213731</v>
      </c>
      <c r="I54" s="194">
        <f ca="1">'Incremental Network SummerFcast'!I54*$G$1</f>
        <v>42.381550498338868</v>
      </c>
      <c r="J54" s="194">
        <f ca="1">'Incremental Network SummerFcast'!J54*$G$1</f>
        <v>55.289580730897008</v>
      </c>
      <c r="K54" s="194">
        <f ca="1">'Incremental Network SummerFcast'!K54*$G$1</f>
        <v>92.014644850498328</v>
      </c>
      <c r="L54" s="194">
        <f ca="1">'Incremental Network SummerFcast'!L54*$G$1</f>
        <v>169.09154682724252</v>
      </c>
    </row>
    <row r="55" spans="1:12" ht="15" thickBot="1">
      <c r="A55" s="195" t="str">
        <f>'Incremental Network SummerFcast'!A55</f>
        <v>Base</v>
      </c>
      <c r="B55" s="196">
        <f ca="1">'Incremental Network SummerFcast'!B55*$G$1</f>
        <v>0</v>
      </c>
      <c r="C55" s="196">
        <f ca="1">'Incremental Network SummerFcast'!C55*$G$1</f>
        <v>0</v>
      </c>
      <c r="D55" s="196">
        <f ca="1">'Incremental Network SummerFcast'!D55*$G$1</f>
        <v>0</v>
      </c>
      <c r="E55" s="196">
        <f ca="1">'Incremental Network SummerFcast'!E55*$G$1</f>
        <v>0</v>
      </c>
      <c r="F55" s="196">
        <f ca="1">'Incremental Network SummerFcast'!F55*$G$1</f>
        <v>4.475310299003322</v>
      </c>
      <c r="G55" s="196">
        <f ca="1">'Incremental Network SummerFcast'!G55*$G$1</f>
        <v>6.376699584717608</v>
      </c>
      <c r="H55" s="196">
        <f ca="1">'Incremental Network SummerFcast'!H55*$G$1</f>
        <v>7.7886710132890373</v>
      </c>
      <c r="I55" s="196">
        <f ca="1">'Incremental Network SummerFcast'!I55*$G$1</f>
        <v>12.004331013289036</v>
      </c>
      <c r="J55" s="196">
        <f ca="1">'Incremental Network SummerFcast'!J55*$G$1</f>
        <v>17.197074557032114</v>
      </c>
      <c r="K55" s="196">
        <f ca="1">'Incremental Network SummerFcast'!K55*$G$1</f>
        <v>21.212251885382056</v>
      </c>
      <c r="L55" s="196">
        <f ca="1">'Incremental Network SummerFcast'!L55*$G$1</f>
        <v>21.999091686046512</v>
      </c>
    </row>
    <row r="56" spans="1:12" ht="15" thickBot="1">
      <c r="A56" s="195" t="str">
        <f>'Incremental Network SummerFcast'!A56</f>
        <v>Low</v>
      </c>
      <c r="B56" s="196">
        <f ca="1">'Incremental Network SummerFcast'!B56*$G$1</f>
        <v>0</v>
      </c>
      <c r="C56" s="196">
        <f ca="1">'Incremental Network SummerFcast'!C56*$G$1</f>
        <v>0</v>
      </c>
      <c r="D56" s="196">
        <f ca="1">'Incremental Network SummerFcast'!D56*$G$1</f>
        <v>0</v>
      </c>
      <c r="E56" s="196">
        <f ca="1">'Incremental Network SummerFcast'!E56*$G$1</f>
        <v>0</v>
      </c>
      <c r="F56" s="196">
        <f ca="1">'Incremental Network SummerFcast'!F56*$G$1</f>
        <v>0</v>
      </c>
      <c r="G56" s="196">
        <f ca="1">'Incremental Network SummerFcast'!G56*$G$1</f>
        <v>2.9835401993355477</v>
      </c>
      <c r="H56" s="196">
        <f ca="1">'Incremental Network SummerFcast'!H56*$G$1</f>
        <v>4.2511330564784053</v>
      </c>
      <c r="I56" s="196">
        <f ca="1">'Incremental Network SummerFcast'!I56*$G$1</f>
        <v>5.1924473421926907</v>
      </c>
      <c r="J56" s="196">
        <f ca="1">'Incremental Network SummerFcast'!J56*$G$1</f>
        <v>8.0028873421926896</v>
      </c>
      <c r="K56" s="196">
        <f ca="1">'Incremental Network SummerFcast'!K56*$G$1</f>
        <v>10.834857884828349</v>
      </c>
      <c r="L56" s="196">
        <f ca="1">'Incremental Network SummerFcast'!L56*$G$1</f>
        <v>13.24403983388704</v>
      </c>
    </row>
    <row r="57" spans="1:12" ht="15" thickBot="1">
      <c r="A57" s="197" t="str">
        <f>'Incremental Network SummerFcast'!A57</f>
        <v>High</v>
      </c>
      <c r="B57" s="198">
        <f ca="1">'Incremental Network SummerFcast'!B57*$G$1</f>
        <v>0</v>
      </c>
      <c r="C57" s="198">
        <f ca="1">'Incremental Network SummerFcast'!C57*$G$1</f>
        <v>0</v>
      </c>
      <c r="D57" s="198">
        <f ca="1">'Incremental Network SummerFcast'!D57*$G$1</f>
        <v>0</v>
      </c>
      <c r="E57" s="198">
        <f ca="1">'Incremental Network SummerFcast'!E57*$G$1</f>
        <v>4.9725669988925789</v>
      </c>
      <c r="F57" s="198">
        <f ca="1">'Incremental Network SummerFcast'!F57*$G$1</f>
        <v>7.0852217607973422</v>
      </c>
      <c r="G57" s="198">
        <f ca="1">'Incremental Network SummerFcast'!G57*$G$1</f>
        <v>8.6540789036544865</v>
      </c>
      <c r="H57" s="198">
        <f ca="1">'Incremental Network SummerFcast'!H57*$G$1</f>
        <v>13.338145570321151</v>
      </c>
      <c r="I57" s="198">
        <f ca="1">'Incremental Network SummerFcast'!I57*$G$1</f>
        <v>19.980822380952375</v>
      </c>
      <c r="J57" s="198">
        <f ca="1">'Incremental Network SummerFcast'!J57*$G$1</f>
        <v>24.813018803986708</v>
      </c>
      <c r="K57" s="198">
        <f ca="1">'Incremental Network SummerFcast'!K57*$G$1</f>
        <v>29.645384761904761</v>
      </c>
      <c r="L57" s="198">
        <f ca="1">'Incremental Network SummerFcast'!L57*$G$1</f>
        <v>36.117595601328894</v>
      </c>
    </row>
    <row r="58" spans="1:12" ht="15.6" thickTop="1" thickBot="1">
      <c r="A58" s="197" t="s">
        <v>148</v>
      </c>
      <c r="B58" s="198">
        <f ca="1">'Incremental Network SummerFcast'!$B$245*B55+'Incremental Network SummerFcast'!$B$246*B56+'Incremental Network SummerFcast'!$B$247*B57</f>
        <v>0</v>
      </c>
      <c r="C58" s="198">
        <f ca="1">'Incremental Network SummerFcast'!$B$245*C55+'Incremental Network SummerFcast'!$B$246*C56+'Incremental Network SummerFcast'!$B$247*C57</f>
        <v>0</v>
      </c>
      <c r="D58" s="198">
        <f ca="1">'Incremental Network SummerFcast'!$B$245*D55+'Incremental Network SummerFcast'!$B$246*D56+'Incremental Network SummerFcast'!$B$247*D57</f>
        <v>0</v>
      </c>
      <c r="E58" s="198">
        <f ca="1">'Incremental Network SummerFcast'!$B$245*E55+'Incremental Network SummerFcast'!$B$246*E56+'Incremental Network SummerFcast'!$B$247*E57</f>
        <v>1.2431417497231447</v>
      </c>
      <c r="F58" s="198">
        <f ca="1">'Incremental Network SummerFcast'!$B$245*F55+'Incremental Network SummerFcast'!$B$246*F56+'Incremental Network SummerFcast'!$B$247*F57</f>
        <v>4.0089605897009966</v>
      </c>
      <c r="G58" s="198">
        <f ca="1">'Incremental Network SummerFcast'!$B$245*G55+'Incremental Network SummerFcast'!$B$246*G56+'Incremental Network SummerFcast'!$B$247*G57</f>
        <v>6.0977545681063123</v>
      </c>
      <c r="H58" s="198">
        <f ca="1">'Incremental Network SummerFcast'!$B$245*H55+'Incremental Network SummerFcast'!$B$246*H56+'Incremental Network SummerFcast'!$B$247*H57</f>
        <v>8.2916551633444087</v>
      </c>
      <c r="I58" s="198">
        <f ca="1">'Incremental Network SummerFcast'!$B$245*I55+'Incremental Network SummerFcast'!$B$246*I56+'Incremental Network SummerFcast'!$B$247*I57</f>
        <v>12.295482937430783</v>
      </c>
      <c r="J58" s="198">
        <f ca="1">'Incremental Network SummerFcast'!$B$245*J55+'Incremental Network SummerFcast'!$B$246*J56+'Incremental Network SummerFcast'!$B$247*J57</f>
        <v>16.802513815060905</v>
      </c>
      <c r="K58" s="198">
        <f ca="1">'Incremental Network SummerFcast'!$B$245*K55+'Incremental Network SummerFcast'!$B$246*K56+'Incremental Network SummerFcast'!$B$247*K57</f>
        <v>20.726186604374305</v>
      </c>
      <c r="L58" s="198">
        <f ca="1">'Incremental Network SummerFcast'!$B$245*L55+'Incremental Network SummerFcast'!$B$246*L56+'Incremental Network SummerFcast'!$B$247*L57</f>
        <v>23.339954701827239</v>
      </c>
    </row>
    <row r="59" spans="1:12" ht="15.6" thickTop="1" thickBot="1">
      <c r="A59" s="188" t="str">
        <f>'Incremental Network SummerFcast'!A59</f>
        <v>TTS-BD-BMS-COO-VCO-TTS</v>
      </c>
      <c r="B59" s="216"/>
      <c r="C59" s="190"/>
      <c r="D59" s="190"/>
      <c r="E59" s="190"/>
      <c r="F59" s="190"/>
      <c r="G59" s="190"/>
      <c r="H59" s="190"/>
      <c r="I59" s="190"/>
      <c r="J59" s="190"/>
      <c r="K59" s="190"/>
      <c r="L59" s="190"/>
    </row>
    <row r="60" spans="1:12" ht="15" thickBot="1">
      <c r="A60" s="191" t="str">
        <f>'Incremental Network SummerFcast'!A60</f>
        <v>Uptake Scenario</v>
      </c>
      <c r="B60" s="191">
        <f>'Incremental Network SummerFcast'!B60</f>
        <v>2023</v>
      </c>
      <c r="C60" s="191">
        <f>'Incremental Network SummerFcast'!C60</f>
        <v>2024</v>
      </c>
      <c r="D60" s="191">
        <f>'Incremental Network SummerFcast'!D60</f>
        <v>2025</v>
      </c>
      <c r="E60" s="191">
        <f>'Incremental Network SummerFcast'!E60</f>
        <v>2026</v>
      </c>
      <c r="F60" s="191">
        <f>'Incremental Network SummerFcast'!F60</f>
        <v>2027</v>
      </c>
      <c r="G60" s="191">
        <f>'Incremental Network SummerFcast'!G60</f>
        <v>2028</v>
      </c>
      <c r="H60" s="191">
        <f>'Incremental Network SummerFcast'!H60</f>
        <v>2029</v>
      </c>
      <c r="I60" s="191">
        <f>'Incremental Network SummerFcast'!I60</f>
        <v>2030</v>
      </c>
      <c r="J60" s="191">
        <f>'Incremental Network SummerFcast'!J60</f>
        <v>2031</v>
      </c>
      <c r="K60" s="191">
        <f>'Incremental Network SummerFcast'!K60</f>
        <v>2032</v>
      </c>
      <c r="L60" s="191">
        <f>'Incremental Network SummerFcast'!L60</f>
        <v>2033</v>
      </c>
    </row>
    <row r="61" spans="1:12" ht="15.6" thickTop="1" thickBot="1">
      <c r="A61" s="193">
        <f>'Incremental Network SummerFcast'!A61</f>
        <v>0</v>
      </c>
      <c r="B61" s="206">
        <f>'Incremental Network SummerFcast'!B61</f>
        <v>0</v>
      </c>
      <c r="C61" s="206">
        <f>'Incremental Network SummerFcast'!C61</f>
        <v>0</v>
      </c>
      <c r="D61" s="206">
        <f>'Incremental Network SummerFcast'!D61</f>
        <v>0</v>
      </c>
      <c r="E61" s="206">
        <f>'Incremental Network SummerFcast'!E61</f>
        <v>0</v>
      </c>
      <c r="F61" s="206">
        <f>'Incremental Network SummerFcast'!F61</f>
        <v>0</v>
      </c>
      <c r="G61" s="206">
        <f>'Incremental Network SummerFcast'!G61</f>
        <v>0</v>
      </c>
      <c r="H61" s="206">
        <f>'Incremental Network SummerFcast'!H61</f>
        <v>0</v>
      </c>
      <c r="I61" s="206">
        <f>'Incremental Network SummerFcast'!I61</f>
        <v>0</v>
      </c>
      <c r="J61" s="206">
        <f>'Incremental Network SummerFcast'!J61</f>
        <v>0</v>
      </c>
      <c r="K61" s="215">
        <f>'Incremental Network SummerFcast'!K61</f>
        <v>0</v>
      </c>
      <c r="L61" s="215">
        <f>'Incremental Network SummerFcast'!L61</f>
        <v>0</v>
      </c>
    </row>
    <row r="62" spans="1:12" ht="15" thickBot="1">
      <c r="A62" s="193" t="str">
        <f>'Incremental Network SummerFcast'!A62</f>
        <v>Customer forecast</v>
      </c>
      <c r="B62" s="194">
        <f ca="1">'Incremental Network SummerFcast'!B62*$G$1</f>
        <v>0</v>
      </c>
      <c r="C62" s="194">
        <f ca="1">'Incremental Network SummerFcast'!C62*$G$1</f>
        <v>0</v>
      </c>
      <c r="D62" s="194">
        <f ca="1">'Incremental Network SummerFcast'!D62*$G$1</f>
        <v>0</v>
      </c>
      <c r="E62" s="194">
        <f ca="1">'Incremental Network SummerFcast'!E62*$G$1</f>
        <v>0</v>
      </c>
      <c r="F62" s="194">
        <f ca="1">'Incremental Network SummerFcast'!F62*$G$1</f>
        <v>0</v>
      </c>
      <c r="G62" s="194">
        <f ca="1">'Incremental Network SummerFcast'!G62*$G$1</f>
        <v>0</v>
      </c>
      <c r="H62" s="194">
        <f ca="1">'Incremental Network SummerFcast'!H62*$G$1</f>
        <v>0</v>
      </c>
      <c r="I62" s="194">
        <f ca="1">'Incremental Network SummerFcast'!I62*$G$1</f>
        <v>0</v>
      </c>
      <c r="J62" s="194">
        <f ca="1">'Incremental Network SummerFcast'!J62*$G$1</f>
        <v>19.890267995570316</v>
      </c>
      <c r="K62" s="194">
        <f ca="1">'Incremental Network SummerFcast'!K62*$G$1</f>
        <v>50.717438538205975</v>
      </c>
      <c r="L62" s="194">
        <f ca="1">'Incremental Network SummerFcast'!L62*$G$1</f>
        <v>66.49981353820597</v>
      </c>
    </row>
    <row r="63" spans="1:12" ht="15" thickBot="1">
      <c r="A63" s="195" t="str">
        <f>'Incremental Network SummerFcast'!A63</f>
        <v>Base</v>
      </c>
      <c r="B63" s="196">
        <f ca="1">'Incremental Network SummerFcast'!B63*$G$1</f>
        <v>0</v>
      </c>
      <c r="C63" s="196">
        <f ca="1">'Incremental Network SummerFcast'!C63*$G$1</f>
        <v>0</v>
      </c>
      <c r="D63" s="196">
        <f ca="1">'Incremental Network SummerFcast'!D63*$G$1</f>
        <v>0</v>
      </c>
      <c r="E63" s="196">
        <f ca="1">'Incremental Network SummerFcast'!E63*$G$1</f>
        <v>0</v>
      </c>
      <c r="F63" s="196">
        <f ca="1">'Incremental Network SummerFcast'!F63*$G$1</f>
        <v>0</v>
      </c>
      <c r="G63" s="196">
        <f ca="1">'Incremental Network SummerFcast'!G63*$G$1</f>
        <v>0</v>
      </c>
      <c r="H63" s="196">
        <f ca="1">'Incremental Network SummerFcast'!H63*$G$1</f>
        <v>0</v>
      </c>
      <c r="I63" s="196">
        <f ca="1">'Incremental Network SummerFcast'!I63*$G$1</f>
        <v>0</v>
      </c>
      <c r="J63" s="196">
        <f ca="1">'Incremental Network SummerFcast'!J63*$G$1</f>
        <v>0</v>
      </c>
      <c r="K63" s="196">
        <f ca="1">'Incremental Network SummerFcast'!K63*$G$1</f>
        <v>0</v>
      </c>
      <c r="L63" s="196">
        <f ca="1">'Incremental Network SummerFcast'!L63*$G$1</f>
        <v>0</v>
      </c>
    </row>
    <row r="64" spans="1:12" ht="15" thickBot="1">
      <c r="A64" s="195" t="str">
        <f>'Incremental Network SummerFcast'!A64</f>
        <v>Low</v>
      </c>
      <c r="B64" s="196">
        <f ca="1">'Incremental Network SummerFcast'!B64*$G$1</f>
        <v>0</v>
      </c>
      <c r="C64" s="196">
        <f ca="1">'Incremental Network SummerFcast'!C64*$G$1</f>
        <v>0</v>
      </c>
      <c r="D64" s="196">
        <f ca="1">'Incremental Network SummerFcast'!D64*$G$1</f>
        <v>0</v>
      </c>
      <c r="E64" s="196">
        <f ca="1">'Incremental Network SummerFcast'!E64*$G$1</f>
        <v>0</v>
      </c>
      <c r="F64" s="196">
        <f ca="1">'Incremental Network SummerFcast'!F64*$G$1</f>
        <v>0</v>
      </c>
      <c r="G64" s="196">
        <f ca="1">'Incremental Network SummerFcast'!G64*$G$1</f>
        <v>0</v>
      </c>
      <c r="H64" s="196">
        <f ca="1">'Incremental Network SummerFcast'!H64*$G$1</f>
        <v>0</v>
      </c>
      <c r="I64" s="196">
        <f ca="1">'Incremental Network SummerFcast'!I64*$G$1</f>
        <v>0</v>
      </c>
      <c r="J64" s="196">
        <f ca="1">'Incremental Network SummerFcast'!J64*$G$1</f>
        <v>0</v>
      </c>
      <c r="K64" s="196">
        <f ca="1">'Incremental Network SummerFcast'!K64*$G$1</f>
        <v>0</v>
      </c>
      <c r="L64" s="196">
        <f ca="1">'Incremental Network SummerFcast'!L64*$G$1</f>
        <v>0</v>
      </c>
    </row>
    <row r="65" spans="1:12" ht="15" thickBot="1">
      <c r="A65" s="197" t="str">
        <f>'Incremental Network SummerFcast'!A65</f>
        <v>High</v>
      </c>
      <c r="B65" s="198">
        <f ca="1">'Incremental Network SummerFcast'!B65*$G$1</f>
        <v>0</v>
      </c>
      <c r="C65" s="198">
        <f ca="1">'Incremental Network SummerFcast'!C65*$G$1</f>
        <v>0</v>
      </c>
      <c r="D65" s="198">
        <f ca="1">'Incremental Network SummerFcast'!D65*$G$1</f>
        <v>0</v>
      </c>
      <c r="E65" s="198">
        <f ca="1">'Incremental Network SummerFcast'!E65*$G$1</f>
        <v>0</v>
      </c>
      <c r="F65" s="198">
        <f ca="1">'Incremental Network SummerFcast'!F65*$G$1</f>
        <v>0</v>
      </c>
      <c r="G65" s="198">
        <f ca="1">'Incremental Network SummerFcast'!G65*$G$1</f>
        <v>0</v>
      </c>
      <c r="H65" s="198">
        <f ca="1">'Incremental Network SummerFcast'!H65*$G$1</f>
        <v>0</v>
      </c>
      <c r="I65" s="198">
        <f ca="1">'Incremental Network SummerFcast'!I65*$G$1</f>
        <v>0</v>
      </c>
      <c r="J65" s="198">
        <f ca="1">'Incremental Network SummerFcast'!J65*$G$1</f>
        <v>0</v>
      </c>
      <c r="K65" s="198">
        <f ca="1">'Incremental Network SummerFcast'!K65*$G$1</f>
        <v>0</v>
      </c>
      <c r="L65" s="198">
        <f ca="1">'Incremental Network SummerFcast'!L65*$G$1</f>
        <v>0</v>
      </c>
    </row>
    <row r="66" spans="1:12" ht="15.6" thickTop="1" thickBot="1">
      <c r="A66" s="197" t="s">
        <v>148</v>
      </c>
      <c r="B66" s="198">
        <f ca="1">'Incremental Network SummerFcast'!$B$245*B63+'Incremental Network SummerFcast'!$B$246*B64+'Incremental Network SummerFcast'!$B$247*B65</f>
        <v>0</v>
      </c>
      <c r="C66" s="198">
        <f ca="1">'Incremental Network SummerFcast'!$B$245*C63+'Incremental Network SummerFcast'!$B$246*C64+'Incremental Network SummerFcast'!$B$247*C65</f>
        <v>0</v>
      </c>
      <c r="D66" s="198">
        <f ca="1">'Incremental Network SummerFcast'!$B$245*D63+'Incremental Network SummerFcast'!$B$246*D64+'Incremental Network SummerFcast'!$B$247*D65</f>
        <v>0</v>
      </c>
      <c r="E66" s="198">
        <f ca="1">'Incremental Network SummerFcast'!$B$245*E63+'Incremental Network SummerFcast'!$B$246*E64+'Incremental Network SummerFcast'!$B$247*E65</f>
        <v>0</v>
      </c>
      <c r="F66" s="198">
        <f ca="1">'Incremental Network SummerFcast'!$B$245*F63+'Incremental Network SummerFcast'!$B$246*F64+'Incremental Network SummerFcast'!$B$247*F65</f>
        <v>0</v>
      </c>
      <c r="G66" s="198">
        <f ca="1">'Incremental Network SummerFcast'!$B$245*G63+'Incremental Network SummerFcast'!$B$246*G64+'Incremental Network SummerFcast'!$B$247*G65</f>
        <v>0</v>
      </c>
      <c r="H66" s="198">
        <f ca="1">'Incremental Network SummerFcast'!$B$245*H63+'Incremental Network SummerFcast'!$B$246*H64+'Incremental Network SummerFcast'!$B$247*H65</f>
        <v>0</v>
      </c>
      <c r="I66" s="198">
        <f ca="1">'Incremental Network SummerFcast'!$B$245*I63+'Incremental Network SummerFcast'!$B$246*I64+'Incremental Network SummerFcast'!$B$247*I65</f>
        <v>0</v>
      </c>
      <c r="J66" s="198">
        <f ca="1">'Incremental Network SummerFcast'!$B$245*J63+'Incremental Network SummerFcast'!$B$246*J64+'Incremental Network SummerFcast'!$B$247*J65</f>
        <v>0</v>
      </c>
      <c r="K66" s="198">
        <f ca="1">'Incremental Network SummerFcast'!$B$245*K63+'Incremental Network SummerFcast'!$B$246*K64+'Incremental Network SummerFcast'!$B$247*K65</f>
        <v>0</v>
      </c>
      <c r="L66" s="198">
        <f ca="1">'Incremental Network SummerFcast'!$B$245*L63+'Incremental Network SummerFcast'!$B$246*L64+'Incremental Network SummerFcast'!$B$247*L65</f>
        <v>0</v>
      </c>
    </row>
    <row r="67" spans="1:12" ht="15.6" thickTop="1" thickBot="1">
      <c r="A67" s="188" t="str">
        <f>'Incremental Network SummerFcast'!A67</f>
        <v>TTS-NEI-NH-WT-TTS</v>
      </c>
      <c r="B67" s="216"/>
      <c r="C67" s="190"/>
      <c r="D67" s="190"/>
      <c r="E67" s="190"/>
      <c r="F67" s="190"/>
      <c r="G67" s="190"/>
      <c r="H67" s="190"/>
      <c r="I67" s="190"/>
      <c r="J67" s="190"/>
      <c r="K67" s="190"/>
      <c r="L67" s="190"/>
    </row>
    <row r="68" spans="1:12" ht="15" thickBot="1">
      <c r="A68" s="191" t="str">
        <f>'Incremental Network SummerFcast'!A68</f>
        <v>Uptake Scenario</v>
      </c>
      <c r="B68" s="191">
        <f>'Incremental Network SummerFcast'!B68</f>
        <v>2023</v>
      </c>
      <c r="C68" s="191">
        <f>'Incremental Network SummerFcast'!C68</f>
        <v>2024</v>
      </c>
      <c r="D68" s="191">
        <f>'Incremental Network SummerFcast'!D68</f>
        <v>2025</v>
      </c>
      <c r="E68" s="191">
        <f>'Incremental Network SummerFcast'!E68</f>
        <v>2026</v>
      </c>
      <c r="F68" s="191">
        <f>'Incremental Network SummerFcast'!F68</f>
        <v>2027</v>
      </c>
      <c r="G68" s="191">
        <f>'Incremental Network SummerFcast'!G68</f>
        <v>2028</v>
      </c>
      <c r="H68" s="191">
        <f>'Incremental Network SummerFcast'!H68</f>
        <v>2029</v>
      </c>
      <c r="I68" s="191">
        <f>'Incremental Network SummerFcast'!I68</f>
        <v>2030</v>
      </c>
      <c r="J68" s="191">
        <f>'Incremental Network SummerFcast'!J68</f>
        <v>2031</v>
      </c>
      <c r="K68" s="191">
        <f>'Incremental Network SummerFcast'!K68</f>
        <v>2032</v>
      </c>
      <c r="L68" s="191">
        <f>'Incremental Network SummerFcast'!L68</f>
        <v>2033</v>
      </c>
    </row>
    <row r="69" spans="1:12" ht="15.6" thickTop="1" thickBot="1">
      <c r="A69" s="193">
        <f>'Incremental Network SummerFcast'!A69</f>
        <v>0</v>
      </c>
      <c r="B69" s="206">
        <f>'Incremental Network SummerFcast'!B69</f>
        <v>0</v>
      </c>
      <c r="C69" s="206">
        <f>'Incremental Network SummerFcast'!C69</f>
        <v>0</v>
      </c>
      <c r="D69" s="206">
        <f>'Incremental Network SummerFcast'!D69</f>
        <v>0</v>
      </c>
      <c r="E69" s="206">
        <f>'Incremental Network SummerFcast'!E69</f>
        <v>0</v>
      </c>
      <c r="F69" s="206">
        <f>'Incremental Network SummerFcast'!F69</f>
        <v>0</v>
      </c>
      <c r="G69" s="206">
        <f>'Incremental Network SummerFcast'!G69</f>
        <v>0</v>
      </c>
      <c r="H69" s="206">
        <f>'Incremental Network SummerFcast'!H69</f>
        <v>0</v>
      </c>
      <c r="I69" s="206">
        <f>'Incremental Network SummerFcast'!I69</f>
        <v>0</v>
      </c>
      <c r="J69" s="206">
        <f>'Incremental Network SummerFcast'!J69</f>
        <v>0</v>
      </c>
      <c r="K69" s="215">
        <f>'Incremental Network SummerFcast'!K69</f>
        <v>0</v>
      </c>
      <c r="L69" s="215">
        <f>'Incremental Network SummerFcast'!L69</f>
        <v>0</v>
      </c>
    </row>
    <row r="70" spans="1:12" ht="15" thickBot="1">
      <c r="A70" s="193" t="str">
        <f>'Incremental Network SummerFcast'!A70</f>
        <v>Customer forecast</v>
      </c>
      <c r="B70" s="194">
        <f ca="1">'Incremental Network SummerFcast'!B70*$G$1</f>
        <v>0</v>
      </c>
      <c r="C70" s="194">
        <f ca="1">'Incremental Network SummerFcast'!C70*$G$1</f>
        <v>4.25</v>
      </c>
      <c r="D70" s="194">
        <f ca="1">'Incremental Network SummerFcast'!D70*$G$1</f>
        <v>17</v>
      </c>
      <c r="E70" s="194">
        <f ca="1">'Incremental Network SummerFcast'!E70*$G$1</f>
        <v>17</v>
      </c>
      <c r="F70" s="194">
        <f ca="1">'Incremental Network SummerFcast'!F70*$G$1</f>
        <v>17</v>
      </c>
      <c r="G70" s="194">
        <f ca="1">'Incremental Network SummerFcast'!G70*$G$1</f>
        <v>29.75</v>
      </c>
      <c r="H70" s="194">
        <f ca="1">'Incremental Network SummerFcast'!H70*$G$1</f>
        <v>34</v>
      </c>
      <c r="I70" s="194">
        <f ca="1">'Incremental Network SummerFcast'!I70*$G$1</f>
        <v>38.25</v>
      </c>
      <c r="J70" s="194">
        <f ca="1">'Incremental Network SummerFcast'!J70*$G$1</f>
        <v>55.929999999999993</v>
      </c>
      <c r="K70" s="194">
        <f ca="1">'Incremental Network SummerFcast'!K70*$G$1</f>
        <v>61.709999999999994</v>
      </c>
      <c r="L70" s="194">
        <f ca="1">'Incremental Network SummerFcast'!L70*$G$1</f>
        <v>67.490000000000009</v>
      </c>
    </row>
    <row r="71" spans="1:12" ht="15" thickBot="1">
      <c r="A71" s="195" t="str">
        <f>'Incremental Network SummerFcast'!A71</f>
        <v>Base</v>
      </c>
      <c r="B71" s="196">
        <f ca="1">'Incremental Network SummerFcast'!B71*$G$1</f>
        <v>0</v>
      </c>
      <c r="C71" s="196">
        <f ca="1">'Incremental Network SummerFcast'!C71*$G$1</f>
        <v>0</v>
      </c>
      <c r="D71" s="196">
        <f ca="1">'Incremental Network SummerFcast'!D71*$G$1</f>
        <v>3.8249999999999997</v>
      </c>
      <c r="E71" s="196">
        <f ca="1">'Incremental Network SummerFcast'!E71*$G$1</f>
        <v>11.475</v>
      </c>
      <c r="F71" s="196">
        <f ca="1">'Incremental Network SummerFcast'!F71*$G$1</f>
        <v>11.475</v>
      </c>
      <c r="G71" s="196">
        <f ca="1">'Incremental Network SummerFcast'!G71*$G$1</f>
        <v>12.9625</v>
      </c>
      <c r="H71" s="196">
        <f ca="1">'Incremental Network SummerFcast'!H71*$G$1</f>
        <v>12.9625</v>
      </c>
      <c r="I71" s="196">
        <f ca="1">'Incremental Network SummerFcast'!I71*$G$1</f>
        <v>12.9625</v>
      </c>
      <c r="J71" s="196">
        <f ca="1">'Incremental Network SummerFcast'!J71*$G$1</f>
        <v>26.179999999999996</v>
      </c>
      <c r="K71" s="196">
        <f ca="1">'Incremental Network SummerFcast'!K71*$G$1</f>
        <v>26.774999999999999</v>
      </c>
      <c r="L71" s="196">
        <f ca="1">'Incremental Network SummerFcast'!L71*$G$1</f>
        <v>25.287499999999998</v>
      </c>
    </row>
    <row r="72" spans="1:12" ht="15" thickBot="1">
      <c r="A72" s="195" t="str">
        <f>'Incremental Network SummerFcast'!A72</f>
        <v>Low</v>
      </c>
      <c r="B72" s="196">
        <f ca="1">'Incremental Network SummerFcast'!B72*$G$1</f>
        <v>0</v>
      </c>
      <c r="C72" s="196">
        <f ca="1">'Incremental Network SummerFcast'!C72*$G$1</f>
        <v>0</v>
      </c>
      <c r="D72" s="196">
        <f ca="1">'Incremental Network SummerFcast'!D72*$G$1</f>
        <v>0</v>
      </c>
      <c r="E72" s="196">
        <f ca="1">'Incremental Network SummerFcast'!E72*$G$1</f>
        <v>2.5499999999999998</v>
      </c>
      <c r="F72" s="196">
        <f ca="1">'Incremental Network SummerFcast'!F72*$G$1</f>
        <v>7.6499999999999995</v>
      </c>
      <c r="G72" s="196">
        <f ca="1">'Incremental Network SummerFcast'!G72*$G$1</f>
        <v>7.6499999999999995</v>
      </c>
      <c r="H72" s="196">
        <f ca="1">'Incremental Network SummerFcast'!H72*$G$1</f>
        <v>7.6499999999999995</v>
      </c>
      <c r="I72" s="196">
        <f ca="1">'Incremental Network SummerFcast'!I72*$G$1</f>
        <v>8.0749999999999993</v>
      </c>
      <c r="J72" s="196">
        <f ca="1">'Incremental Network SummerFcast'!J72*$G$1</f>
        <v>15.214999999999998</v>
      </c>
      <c r="K72" s="196">
        <f ca="1">'Incremental Network SummerFcast'!K72*$G$1</f>
        <v>15.214999999999998</v>
      </c>
      <c r="L72" s="196">
        <f ca="1">'Incremental Network SummerFcast'!L72*$G$1</f>
        <v>20.74</v>
      </c>
    </row>
    <row r="73" spans="1:12" ht="15" thickBot="1">
      <c r="A73" s="197" t="str">
        <f>'Incremental Network SummerFcast'!A73</f>
        <v>High</v>
      </c>
      <c r="B73" s="198">
        <f ca="1">'Incremental Network SummerFcast'!B73*$G$1</f>
        <v>0</v>
      </c>
      <c r="C73" s="198">
        <f ca="1">'Incremental Network SummerFcast'!C73*$G$1</f>
        <v>4.25</v>
      </c>
      <c r="D73" s="198">
        <f ca="1">'Incremental Network SummerFcast'!D73*$G$1</f>
        <v>12.75</v>
      </c>
      <c r="E73" s="198">
        <f ca="1">'Incremental Network SummerFcast'!E73*$G$1</f>
        <v>12.75</v>
      </c>
      <c r="F73" s="198">
        <f ca="1">'Incremental Network SummerFcast'!F73*$G$1</f>
        <v>15.044999999999998</v>
      </c>
      <c r="G73" s="198">
        <f ca="1">'Incremental Network SummerFcast'!G73*$G$1</f>
        <v>15.044999999999998</v>
      </c>
      <c r="H73" s="198">
        <f ca="1">'Incremental Network SummerFcast'!H73*$G$1</f>
        <v>15.044999999999998</v>
      </c>
      <c r="I73" s="198">
        <f ca="1">'Incremental Network SummerFcast'!I73*$G$1</f>
        <v>25.84</v>
      </c>
      <c r="J73" s="198">
        <f ca="1">'Incremental Network SummerFcast'!J73*$G$1</f>
        <v>40.035000000000004</v>
      </c>
      <c r="K73" s="198">
        <f ca="1">'Incremental Network SummerFcast'!K73*$G$1</f>
        <v>37.280999999999999</v>
      </c>
      <c r="L73" s="198">
        <f ca="1">'Incremental Network SummerFcast'!L73*$G$1</f>
        <v>39.346499999999999</v>
      </c>
    </row>
    <row r="74" spans="1:12" ht="15.6" thickTop="1" thickBot="1">
      <c r="A74" s="197" t="s">
        <v>148</v>
      </c>
      <c r="B74" s="198">
        <f ca="1">'Incremental Network SummerFcast'!$B$245*B71+'Incremental Network SummerFcast'!$B$246*B72+'Incremental Network SummerFcast'!$B$247*B73</f>
        <v>0</v>
      </c>
      <c r="C74" s="198">
        <f ca="1">'Incremental Network SummerFcast'!$B$245*C71+'Incremental Network SummerFcast'!$B$246*C72+'Incremental Network SummerFcast'!$B$247*C73</f>
        <v>1.0625</v>
      </c>
      <c r="D74" s="198">
        <f ca="1">'Incremental Network SummerFcast'!$B$245*D71+'Incremental Network SummerFcast'!$B$246*D72+'Incremental Network SummerFcast'!$B$247*D73</f>
        <v>5.0999999999999996</v>
      </c>
      <c r="E74" s="198">
        <f ca="1">'Incremental Network SummerFcast'!$B$245*E71+'Incremental Network SummerFcast'!$B$246*E72+'Incremental Network SummerFcast'!$B$247*E73</f>
        <v>9.5625</v>
      </c>
      <c r="F74" s="198">
        <f ca="1">'Incremental Network SummerFcast'!$B$245*F71+'Incremental Network SummerFcast'!$B$246*F72+'Incremental Network SummerFcast'!$B$247*F73</f>
        <v>11.411249999999999</v>
      </c>
      <c r="G74" s="198">
        <f ca="1">'Incremental Network SummerFcast'!$B$245*G71+'Incremental Network SummerFcast'!$B$246*G72+'Incremental Network SummerFcast'!$B$247*G73</f>
        <v>12.155000000000001</v>
      </c>
      <c r="H74" s="198">
        <f ca="1">'Incremental Network SummerFcast'!$B$245*H71+'Incremental Network SummerFcast'!$B$246*H72+'Incremental Network SummerFcast'!$B$247*H73</f>
        <v>12.155000000000001</v>
      </c>
      <c r="I74" s="198">
        <f ca="1">'Incremental Network SummerFcast'!$B$245*I71+'Incremental Network SummerFcast'!$B$246*I72+'Incremental Network SummerFcast'!$B$247*I73</f>
        <v>14.96</v>
      </c>
      <c r="J74" s="198">
        <f ca="1">'Incremental Network SummerFcast'!$B$245*J71+'Incremental Network SummerFcast'!$B$246*J72+'Incremental Network SummerFcast'!$B$247*J73</f>
        <v>26.902499999999996</v>
      </c>
      <c r="K74" s="198">
        <f ca="1">'Incremental Network SummerFcast'!$B$245*K71+'Incremental Network SummerFcast'!$B$246*K72+'Incremental Network SummerFcast'!$B$247*K73</f>
        <v>26.511499999999998</v>
      </c>
      <c r="L74" s="198">
        <f ca="1">'Incremental Network SummerFcast'!$B$245*L71+'Incremental Network SummerFcast'!$B$246*L72+'Incremental Network SummerFcast'!$B$247*L73</f>
        <v>27.665374999999997</v>
      </c>
    </row>
    <row r="75" spans="1:12" ht="15.6" thickTop="1" thickBot="1">
      <c r="A75" s="188" t="str">
        <f>'Incremental Network SummerFcast'!A75</f>
        <v>TTS-PTN-EPN-EP-TTS</v>
      </c>
      <c r="B75" s="216"/>
      <c r="C75" s="190"/>
      <c r="D75" s="190"/>
      <c r="E75" s="190"/>
      <c r="F75" s="190"/>
      <c r="G75" s="190"/>
      <c r="H75" s="190"/>
      <c r="I75" s="190"/>
      <c r="J75" s="190"/>
      <c r="K75" s="190"/>
      <c r="L75" s="190"/>
    </row>
    <row r="76" spans="1:12" ht="15" thickBot="1">
      <c r="A76" s="191" t="str">
        <f>'Incremental Network SummerFcast'!A76</f>
        <v>Uptake Scenario</v>
      </c>
      <c r="B76" s="191">
        <f>'Incremental Network SummerFcast'!B76</f>
        <v>2023</v>
      </c>
      <c r="C76" s="191">
        <f>'Incremental Network SummerFcast'!C76</f>
        <v>2024</v>
      </c>
      <c r="D76" s="191">
        <f>'Incremental Network SummerFcast'!D76</f>
        <v>2025</v>
      </c>
      <c r="E76" s="191">
        <f>'Incremental Network SummerFcast'!E76</f>
        <v>2026</v>
      </c>
      <c r="F76" s="191">
        <f>'Incremental Network SummerFcast'!F76</f>
        <v>2027</v>
      </c>
      <c r="G76" s="191">
        <f>'Incremental Network SummerFcast'!G76</f>
        <v>2028</v>
      </c>
      <c r="H76" s="191">
        <f>'Incremental Network SummerFcast'!H76</f>
        <v>2029</v>
      </c>
      <c r="I76" s="191">
        <f>'Incremental Network SummerFcast'!I76</f>
        <v>2030</v>
      </c>
      <c r="J76" s="191">
        <f>'Incremental Network SummerFcast'!J76</f>
        <v>2031</v>
      </c>
      <c r="K76" s="191">
        <f>'Incremental Network SummerFcast'!K76</f>
        <v>2032</v>
      </c>
      <c r="L76" s="191">
        <f>'Incremental Network SummerFcast'!L76</f>
        <v>2033</v>
      </c>
    </row>
    <row r="77" spans="1:12" ht="15.6" thickTop="1" thickBot="1">
      <c r="A77" s="193">
        <f>'Incremental Network SummerFcast'!A77</f>
        <v>0</v>
      </c>
      <c r="B77" s="206">
        <f>'Incremental Network SummerFcast'!B77</f>
        <v>0</v>
      </c>
      <c r="C77" s="206">
        <f>'Incremental Network SummerFcast'!C77</f>
        <v>0</v>
      </c>
      <c r="D77" s="206">
        <f>'Incremental Network SummerFcast'!D77</f>
        <v>0</v>
      </c>
      <c r="E77" s="206">
        <f>'Incremental Network SummerFcast'!E77</f>
        <v>0</v>
      </c>
      <c r="F77" s="206">
        <f>'Incremental Network SummerFcast'!F77</f>
        <v>0</v>
      </c>
      <c r="G77" s="206">
        <f>'Incremental Network SummerFcast'!G77</f>
        <v>0</v>
      </c>
      <c r="H77" s="206">
        <f>'Incremental Network SummerFcast'!H77</f>
        <v>0</v>
      </c>
      <c r="I77" s="206">
        <f>'Incremental Network SummerFcast'!I77</f>
        <v>0</v>
      </c>
      <c r="J77" s="206">
        <f>'Incremental Network SummerFcast'!J77</f>
        <v>0</v>
      </c>
      <c r="K77" s="215">
        <f>'Incremental Network SummerFcast'!K77</f>
        <v>0</v>
      </c>
      <c r="L77" s="215">
        <f>'Incremental Network SummerFcast'!L77</f>
        <v>0</v>
      </c>
    </row>
    <row r="78" spans="1:12" ht="15" thickBot="1">
      <c r="A78" s="193" t="str">
        <f>'Incremental Network SummerFcast'!A78</f>
        <v>Customer forecast</v>
      </c>
      <c r="B78" s="194">
        <f ca="1">'Incremental Network SummerFcast'!B78*$G$1</f>
        <v>0</v>
      </c>
      <c r="C78" s="194">
        <f ca="1">'Incremental Network SummerFcast'!C78*$G$1</f>
        <v>0</v>
      </c>
      <c r="D78" s="194">
        <f ca="1">'Incremental Network SummerFcast'!D78*$G$1</f>
        <v>5.0999999999999996</v>
      </c>
      <c r="E78" s="194">
        <f ca="1">'Incremental Network SummerFcast'!E78*$G$1</f>
        <v>17</v>
      </c>
      <c r="F78" s="194">
        <f ca="1">'Incremental Network SummerFcast'!F78*$G$1</f>
        <v>17</v>
      </c>
      <c r="G78" s="194">
        <f ca="1">'Incremental Network SummerFcast'!G78*$G$1</f>
        <v>17</v>
      </c>
      <c r="H78" s="194">
        <f ca="1">'Incremental Network SummerFcast'!H78*$G$1</f>
        <v>17</v>
      </c>
      <c r="I78" s="194">
        <f ca="1">'Incremental Network SummerFcast'!I78*$G$1</f>
        <v>17</v>
      </c>
      <c r="J78" s="194">
        <f ca="1">'Incremental Network SummerFcast'!J78*$G$1</f>
        <v>17</v>
      </c>
      <c r="K78" s="194">
        <f ca="1">'Incremental Network SummerFcast'!K78*$G$1</f>
        <v>17</v>
      </c>
      <c r="L78" s="194">
        <f ca="1">'Incremental Network SummerFcast'!L78*$G$1</f>
        <v>17</v>
      </c>
    </row>
    <row r="79" spans="1:12" ht="15" thickBot="1">
      <c r="A79" s="195" t="str">
        <f>'Incremental Network SummerFcast'!A79</f>
        <v>Base</v>
      </c>
      <c r="B79" s="196">
        <f ca="1">'Incremental Network SummerFcast'!B79*$G$1</f>
        <v>0</v>
      </c>
      <c r="C79" s="196">
        <f ca="1">'Incremental Network SummerFcast'!C79*$G$1</f>
        <v>0</v>
      </c>
      <c r="D79" s="196">
        <f ca="1">'Incremental Network SummerFcast'!D79*$G$1</f>
        <v>0</v>
      </c>
      <c r="E79" s="196">
        <f ca="1">'Incremental Network SummerFcast'!E79*$G$1</f>
        <v>0</v>
      </c>
      <c r="F79" s="196">
        <f ca="1">'Incremental Network SummerFcast'!F79*$G$1</f>
        <v>0</v>
      </c>
      <c r="G79" s="196">
        <f ca="1">'Incremental Network SummerFcast'!G79*$G$1</f>
        <v>1.7849999999999997</v>
      </c>
      <c r="H79" s="196">
        <f ca="1">'Incremental Network SummerFcast'!H79*$G$1</f>
        <v>1.7849999999999997</v>
      </c>
      <c r="I79" s="196">
        <f ca="1">'Incremental Network SummerFcast'!I79*$G$1</f>
        <v>1.7849999999999997</v>
      </c>
      <c r="J79" s="196">
        <f ca="1">'Incremental Network SummerFcast'!J79*$G$1</f>
        <v>1.7849999999999997</v>
      </c>
      <c r="K79" s="196">
        <f ca="1">'Incremental Network SummerFcast'!K79*$G$1</f>
        <v>1.7849999999999997</v>
      </c>
      <c r="L79" s="196">
        <f ca="1">'Incremental Network SummerFcast'!L79*$G$1</f>
        <v>1.7849999999999997</v>
      </c>
    </row>
    <row r="80" spans="1:12" ht="15" thickBot="1">
      <c r="A80" s="195" t="str">
        <f>'Incremental Network SummerFcast'!A80</f>
        <v>Low</v>
      </c>
      <c r="B80" s="196">
        <f ca="1">'Incremental Network SummerFcast'!B80*$G$1</f>
        <v>0</v>
      </c>
      <c r="C80" s="196">
        <f ca="1">'Incremental Network SummerFcast'!C80*$G$1</f>
        <v>0</v>
      </c>
      <c r="D80" s="196">
        <f ca="1">'Incremental Network SummerFcast'!D80*$G$1</f>
        <v>0</v>
      </c>
      <c r="E80" s="196">
        <f ca="1">'Incremental Network SummerFcast'!E80*$G$1</f>
        <v>0</v>
      </c>
      <c r="F80" s="196">
        <f ca="1">'Incremental Network SummerFcast'!F80*$G$1</f>
        <v>0</v>
      </c>
      <c r="G80" s="196">
        <f ca="1">'Incremental Network SummerFcast'!G80*$G$1</f>
        <v>0</v>
      </c>
      <c r="H80" s="196">
        <f ca="1">'Incremental Network SummerFcast'!H80*$G$1</f>
        <v>0</v>
      </c>
      <c r="I80" s="196">
        <f ca="1">'Incremental Network SummerFcast'!I80*$G$1</f>
        <v>0.51</v>
      </c>
      <c r="J80" s="196">
        <f ca="1">'Incremental Network SummerFcast'!J80*$G$1</f>
        <v>0.51</v>
      </c>
      <c r="K80" s="196">
        <f ca="1">'Incremental Network SummerFcast'!K80*$G$1</f>
        <v>0.51</v>
      </c>
      <c r="L80" s="196">
        <f ca="1">'Incremental Network SummerFcast'!L80*$G$1</f>
        <v>0.51</v>
      </c>
    </row>
    <row r="81" spans="1:13" ht="15" thickBot="1">
      <c r="A81" s="197" t="str">
        <f>'Incremental Network SummerFcast'!A81</f>
        <v>High</v>
      </c>
      <c r="B81" s="198">
        <f ca="1">'Incremental Network SummerFcast'!B81*$G$1</f>
        <v>0</v>
      </c>
      <c r="C81" s="198">
        <f ca="1">'Incremental Network SummerFcast'!C81*$G$1</f>
        <v>0</v>
      </c>
      <c r="D81" s="198">
        <f ca="1">'Incremental Network SummerFcast'!D81*$G$1</f>
        <v>0</v>
      </c>
      <c r="E81" s="198">
        <f ca="1">'Incremental Network SummerFcast'!E81*$G$1</f>
        <v>0</v>
      </c>
      <c r="F81" s="198">
        <f ca="1">'Incremental Network SummerFcast'!F81*$G$1</f>
        <v>2.7539999999999996</v>
      </c>
      <c r="G81" s="198">
        <f ca="1">'Incremental Network SummerFcast'!G81*$G$1</f>
        <v>2.7539999999999996</v>
      </c>
      <c r="H81" s="198">
        <f ca="1">'Incremental Network SummerFcast'!H81*$G$1</f>
        <v>2.7539999999999996</v>
      </c>
      <c r="I81" s="198">
        <f ca="1">'Incremental Network SummerFcast'!I81*$G$1</f>
        <v>2.7539999999999996</v>
      </c>
      <c r="J81" s="198">
        <f ca="1">'Incremental Network SummerFcast'!J81*$G$1</f>
        <v>9.18</v>
      </c>
      <c r="K81" s="198">
        <f ca="1">'Incremental Network SummerFcast'!K81*$G$1</f>
        <v>9.18</v>
      </c>
      <c r="L81" s="198">
        <f ca="1">'Incremental Network SummerFcast'!L81*$G$1</f>
        <v>9.18</v>
      </c>
    </row>
    <row r="82" spans="1:13" ht="15.6" thickTop="1" thickBot="1">
      <c r="A82" s="197" t="s">
        <v>148</v>
      </c>
      <c r="B82" s="198">
        <f ca="1">'Incremental Network SummerFcast'!$B$245*B79+'Incremental Network SummerFcast'!$B$246*B80+'Incremental Network SummerFcast'!$B$247*B81</f>
        <v>0</v>
      </c>
      <c r="C82" s="198">
        <f ca="1">'Incremental Network SummerFcast'!$B$245*C79+'Incremental Network SummerFcast'!$B$246*C80+'Incremental Network SummerFcast'!$B$247*C81</f>
        <v>0</v>
      </c>
      <c r="D82" s="198">
        <f ca="1">'Incremental Network SummerFcast'!$B$245*D79+'Incremental Network SummerFcast'!$B$246*D80+'Incremental Network SummerFcast'!$B$247*D81</f>
        <v>0</v>
      </c>
      <c r="E82" s="198">
        <f ca="1">'Incremental Network SummerFcast'!$B$245*E79+'Incremental Network SummerFcast'!$B$246*E80+'Incremental Network SummerFcast'!$B$247*E81</f>
        <v>0</v>
      </c>
      <c r="F82" s="198">
        <f ca="1">'Incremental Network SummerFcast'!$B$245*F79+'Incremental Network SummerFcast'!$B$246*F80+'Incremental Network SummerFcast'!$B$247*F81</f>
        <v>0.68849999999999989</v>
      </c>
      <c r="G82" s="198">
        <f ca="1">'Incremental Network SummerFcast'!$B$245*G79+'Incremental Network SummerFcast'!$B$246*G80+'Incremental Network SummerFcast'!$B$247*G81</f>
        <v>1.5809999999999997</v>
      </c>
      <c r="H82" s="198">
        <f ca="1">'Incremental Network SummerFcast'!$B$245*H79+'Incremental Network SummerFcast'!$B$246*H80+'Incremental Network SummerFcast'!$B$247*H81</f>
        <v>1.5809999999999997</v>
      </c>
      <c r="I82" s="198">
        <f ca="1">'Incremental Network SummerFcast'!$B$245*I79+'Incremental Network SummerFcast'!$B$246*I80+'Incremental Network SummerFcast'!$B$247*I81</f>
        <v>1.7084999999999997</v>
      </c>
      <c r="J82" s="198">
        <f ca="1">'Incremental Network SummerFcast'!$B$245*J79+'Incremental Network SummerFcast'!$B$246*J80+'Incremental Network SummerFcast'!$B$247*J81</f>
        <v>3.3149999999999995</v>
      </c>
      <c r="K82" s="198">
        <f ca="1">'Incremental Network SummerFcast'!$B$245*K79+'Incremental Network SummerFcast'!$B$246*K80+'Incremental Network SummerFcast'!$B$247*K81</f>
        <v>3.3149999999999995</v>
      </c>
      <c r="L82" s="198">
        <f ca="1">'Incremental Network SummerFcast'!$B$245*L79+'Incremental Network SummerFcast'!$B$246*L80+'Incremental Network SummerFcast'!$B$247*L81</f>
        <v>3.3149999999999995</v>
      </c>
    </row>
    <row r="83" spans="1:13" ht="15.6" thickTop="1" thickBot="1">
      <c r="A83" s="188" t="str">
        <f>'Incremental Network SummerFcast'!A83</f>
        <v>KTS-BY-ES-KTS</v>
      </c>
      <c r="B83" s="216"/>
      <c r="C83" s="190"/>
      <c r="D83" s="190"/>
      <c r="E83" s="190"/>
      <c r="F83" s="190"/>
      <c r="G83" s="190"/>
      <c r="H83" s="190"/>
      <c r="I83" s="190"/>
      <c r="J83" s="190"/>
      <c r="K83" s="190"/>
      <c r="L83" s="190"/>
    </row>
    <row r="84" spans="1:13" ht="15" thickBot="1">
      <c r="A84" s="191" t="str">
        <f>'Incremental Network SummerFcast'!A84</f>
        <v>Uptake Scenario</v>
      </c>
      <c r="B84" s="191">
        <f>'Incremental Network SummerFcast'!B84</f>
        <v>2023</v>
      </c>
      <c r="C84" s="191">
        <f>'Incremental Network SummerFcast'!C84</f>
        <v>2024</v>
      </c>
      <c r="D84" s="191">
        <f>'Incremental Network SummerFcast'!D84</f>
        <v>2025</v>
      </c>
      <c r="E84" s="191">
        <f>'Incremental Network SummerFcast'!E84</f>
        <v>2026</v>
      </c>
      <c r="F84" s="191">
        <f>'Incremental Network SummerFcast'!F84</f>
        <v>2027</v>
      </c>
      <c r="G84" s="191">
        <f>'Incremental Network SummerFcast'!G84</f>
        <v>2028</v>
      </c>
      <c r="H84" s="191">
        <f>'Incremental Network SummerFcast'!H84</f>
        <v>2029</v>
      </c>
      <c r="I84" s="191">
        <f>'Incremental Network SummerFcast'!I84</f>
        <v>2030</v>
      </c>
      <c r="J84" s="191">
        <f>'Incremental Network SummerFcast'!J84</f>
        <v>2031</v>
      </c>
      <c r="K84" s="191">
        <f>'Incremental Network SummerFcast'!K84</f>
        <v>2032</v>
      </c>
      <c r="L84" s="191">
        <f>'Incremental Network SummerFcast'!L84</f>
        <v>2033</v>
      </c>
    </row>
    <row r="85" spans="1:13" ht="15.6" thickTop="1" thickBot="1">
      <c r="A85" s="193">
        <f>'Incremental Network SummerFcast'!A85</f>
        <v>0</v>
      </c>
      <c r="B85" s="206">
        <f>'Incremental Network SummerFcast'!B85</f>
        <v>0</v>
      </c>
      <c r="C85" s="206">
        <f>'Incremental Network SummerFcast'!C85</f>
        <v>0</v>
      </c>
      <c r="D85" s="206">
        <f>'Incremental Network SummerFcast'!D85</f>
        <v>0</v>
      </c>
      <c r="E85" s="206">
        <f>'Incremental Network SummerFcast'!E85</f>
        <v>0</v>
      </c>
      <c r="F85" s="206">
        <f>'Incremental Network SummerFcast'!F85</f>
        <v>0</v>
      </c>
      <c r="G85" s="206">
        <f>'Incremental Network SummerFcast'!G85</f>
        <v>0</v>
      </c>
      <c r="H85" s="206">
        <f>'Incremental Network SummerFcast'!H85</f>
        <v>0</v>
      </c>
      <c r="I85" s="206">
        <f>'Incremental Network SummerFcast'!I85</f>
        <v>0</v>
      </c>
      <c r="J85" s="206">
        <f>'Incremental Network SummerFcast'!J85</f>
        <v>0</v>
      </c>
      <c r="K85" s="215">
        <f>'Incremental Network SummerFcast'!K85</f>
        <v>0</v>
      </c>
      <c r="L85" s="215">
        <f>'Incremental Network SummerFcast'!L85</f>
        <v>0</v>
      </c>
    </row>
    <row r="86" spans="1:13" ht="15" thickBot="1">
      <c r="A86" s="193" t="str">
        <f>'Incremental Network SummerFcast'!A86</f>
        <v>Customer forecast</v>
      </c>
      <c r="B86" s="194">
        <f ca="1">'Incremental Network SummerFcast'!B86*$G$1</f>
        <v>0</v>
      </c>
      <c r="C86" s="194">
        <f ca="1">'Incremental Network SummerFcast'!C86*$G$1</f>
        <v>0</v>
      </c>
      <c r="D86" s="194">
        <f ca="1">'Incremental Network SummerFcast'!D86*$G$1</f>
        <v>0</v>
      </c>
      <c r="E86" s="194">
        <f ca="1">'Incremental Network SummerFcast'!E86*$G$1</f>
        <v>0</v>
      </c>
      <c r="F86" s="194">
        <f ca="1">'Incremental Network SummerFcast'!F86*$G$1</f>
        <v>0</v>
      </c>
      <c r="G86" s="194">
        <f ca="1">'Incremental Network SummerFcast'!G86*$G$1</f>
        <v>0</v>
      </c>
      <c r="H86" s="194">
        <f ca="1">'Incremental Network SummerFcast'!H86*$G$1</f>
        <v>0</v>
      </c>
      <c r="I86" s="194">
        <f ca="1">'Incremental Network SummerFcast'!I86*$G$1</f>
        <v>0</v>
      </c>
      <c r="J86" s="194">
        <f ca="1">'Incremental Network SummerFcast'!J86*$G$1</f>
        <v>0</v>
      </c>
      <c r="K86" s="194">
        <f ca="1">'Incremental Network SummerFcast'!K86*$G$1</f>
        <v>0</v>
      </c>
      <c r="L86" s="194">
        <f ca="1">'Incremental Network SummerFcast'!L86*$G$1</f>
        <v>14.917700996677738</v>
      </c>
    </row>
    <row r="87" spans="1:13" ht="15" thickBot="1">
      <c r="A87" s="195" t="str">
        <f>'Incremental Network SummerFcast'!A87</f>
        <v>Base</v>
      </c>
      <c r="B87" s="196">
        <f ca="1">'Incremental Network SummerFcast'!B87*$G$1</f>
        <v>0</v>
      </c>
      <c r="C87" s="196">
        <f ca="1">'Incremental Network SummerFcast'!C87*$G$1</f>
        <v>0</v>
      </c>
      <c r="D87" s="196">
        <f ca="1">'Incremental Network SummerFcast'!D87*$G$1</f>
        <v>0</v>
      </c>
      <c r="E87" s="196">
        <f ca="1">'Incremental Network SummerFcast'!E87*$G$1</f>
        <v>0</v>
      </c>
      <c r="F87" s="196">
        <f ca="1">'Incremental Network SummerFcast'!F87*$G$1</f>
        <v>0</v>
      </c>
      <c r="G87" s="196">
        <f ca="1">'Incremental Network SummerFcast'!G87*$G$1</f>
        <v>0</v>
      </c>
      <c r="H87" s="196">
        <f ca="1">'Incremental Network SummerFcast'!H87*$G$1</f>
        <v>0</v>
      </c>
      <c r="I87" s="196">
        <f ca="1">'Incremental Network SummerFcast'!I87*$G$1</f>
        <v>0</v>
      </c>
      <c r="J87" s="196">
        <f ca="1">'Incremental Network SummerFcast'!J87*$G$1</f>
        <v>0</v>
      </c>
      <c r="K87" s="196">
        <f ca="1">'Incremental Network SummerFcast'!K87*$G$1</f>
        <v>0</v>
      </c>
      <c r="L87" s="196">
        <f ca="1">'Incremental Network SummerFcast'!L87*$G$1</f>
        <v>0</v>
      </c>
    </row>
    <row r="88" spans="1:13" ht="15" thickBot="1">
      <c r="A88" s="195" t="str">
        <f>'Incremental Network SummerFcast'!A88</f>
        <v>Low</v>
      </c>
      <c r="B88" s="196">
        <f ca="1">'Incremental Network SummerFcast'!B88*$G$1</f>
        <v>0</v>
      </c>
      <c r="C88" s="196">
        <f ca="1">'Incremental Network SummerFcast'!C88*$G$1</f>
        <v>0</v>
      </c>
      <c r="D88" s="196">
        <f ca="1">'Incremental Network SummerFcast'!D88*$G$1</f>
        <v>0</v>
      </c>
      <c r="E88" s="196">
        <f ca="1">'Incremental Network SummerFcast'!E88*$G$1</f>
        <v>0</v>
      </c>
      <c r="F88" s="196">
        <f ca="1">'Incremental Network SummerFcast'!F88*$G$1</f>
        <v>0</v>
      </c>
      <c r="G88" s="196">
        <f ca="1">'Incremental Network SummerFcast'!G88*$G$1</f>
        <v>0</v>
      </c>
      <c r="H88" s="196">
        <f ca="1">'Incremental Network SummerFcast'!H88*$G$1</f>
        <v>0</v>
      </c>
      <c r="I88" s="196">
        <f ca="1">'Incremental Network SummerFcast'!I88*$G$1</f>
        <v>0</v>
      </c>
      <c r="J88" s="196">
        <f ca="1">'Incremental Network SummerFcast'!J88*$G$1</f>
        <v>0</v>
      </c>
      <c r="K88" s="196">
        <f ca="1">'Incremental Network SummerFcast'!K88*$G$1</f>
        <v>0</v>
      </c>
      <c r="L88" s="196">
        <f ca="1">'Incremental Network SummerFcast'!L88*$G$1</f>
        <v>0</v>
      </c>
    </row>
    <row r="89" spans="1:13" ht="15" thickBot="1">
      <c r="A89" s="197" t="str">
        <f>'Incremental Network SummerFcast'!A89</f>
        <v>High</v>
      </c>
      <c r="B89" s="198">
        <f ca="1">'Incremental Network SummerFcast'!B89*$G$1</f>
        <v>0</v>
      </c>
      <c r="C89" s="198">
        <f ca="1">'Incremental Network SummerFcast'!C89*$G$1</f>
        <v>0</v>
      </c>
      <c r="D89" s="198">
        <f ca="1">'Incremental Network SummerFcast'!D89*$G$1</f>
        <v>0</v>
      </c>
      <c r="E89" s="198">
        <f ca="1">'Incremental Network SummerFcast'!E89*$G$1</f>
        <v>0</v>
      </c>
      <c r="F89" s="198">
        <f ca="1">'Incremental Network SummerFcast'!F89*$G$1</f>
        <v>0</v>
      </c>
      <c r="G89" s="198">
        <f ca="1">'Incremental Network SummerFcast'!G89*$G$1</f>
        <v>0</v>
      </c>
      <c r="H89" s="198">
        <f ca="1">'Incremental Network SummerFcast'!H89*$G$1</f>
        <v>0</v>
      </c>
      <c r="I89" s="198">
        <f ca="1">'Incremental Network SummerFcast'!I89*$G$1</f>
        <v>0</v>
      </c>
      <c r="J89" s="198">
        <f ca="1">'Incremental Network SummerFcast'!J89*$G$1</f>
        <v>0</v>
      </c>
      <c r="K89" s="198">
        <f ca="1">'Incremental Network SummerFcast'!K89*$G$1</f>
        <v>0</v>
      </c>
      <c r="L89" s="198">
        <f ca="1">'Incremental Network SummerFcast'!L89*$G$1</f>
        <v>0</v>
      </c>
    </row>
    <row r="90" spans="1:13" ht="15.6" thickTop="1" thickBot="1">
      <c r="A90" s="197" t="s">
        <v>148</v>
      </c>
      <c r="B90" s="198">
        <f ca="1">'Incremental Network SummerFcast'!$B$245*B87+'Incremental Network SummerFcast'!$B$246*B88+'Incremental Network SummerFcast'!$B$247*B89</f>
        <v>0</v>
      </c>
      <c r="C90" s="198">
        <f ca="1">'Incremental Network SummerFcast'!$B$245*C87+'Incremental Network SummerFcast'!$B$246*C88+'Incremental Network SummerFcast'!$B$247*C89</f>
        <v>0</v>
      </c>
      <c r="D90" s="198">
        <f ca="1">'Incremental Network SummerFcast'!$B$245*D87+'Incremental Network SummerFcast'!$B$246*D88+'Incremental Network SummerFcast'!$B$247*D89</f>
        <v>0</v>
      </c>
      <c r="E90" s="198">
        <f ca="1">'Incremental Network SummerFcast'!$B$245*E87+'Incremental Network SummerFcast'!$B$246*E88+'Incremental Network SummerFcast'!$B$247*E89</f>
        <v>0</v>
      </c>
      <c r="F90" s="198">
        <f ca="1">'Incremental Network SummerFcast'!$B$245*F87+'Incremental Network SummerFcast'!$B$246*F88+'Incremental Network SummerFcast'!$B$247*F89</f>
        <v>0</v>
      </c>
      <c r="G90" s="198">
        <f ca="1">'Incremental Network SummerFcast'!$B$245*G87+'Incremental Network SummerFcast'!$B$246*G88+'Incremental Network SummerFcast'!$B$247*G89</f>
        <v>0</v>
      </c>
      <c r="H90" s="198">
        <f ca="1">'Incremental Network SummerFcast'!$B$245*H87+'Incremental Network SummerFcast'!$B$246*H88+'Incremental Network SummerFcast'!$B$247*H89</f>
        <v>0</v>
      </c>
      <c r="I90" s="198">
        <f ca="1">'Incremental Network SummerFcast'!$B$245*I87+'Incremental Network SummerFcast'!$B$246*I88+'Incremental Network SummerFcast'!$B$247*I89</f>
        <v>0</v>
      </c>
      <c r="J90" s="198">
        <f ca="1">'Incremental Network SummerFcast'!$B$245*J87+'Incremental Network SummerFcast'!$B$246*J88+'Incremental Network SummerFcast'!$B$247*J89</f>
        <v>0</v>
      </c>
      <c r="K90" s="198">
        <f ca="1">'Incremental Network SummerFcast'!$B$245*K87+'Incremental Network SummerFcast'!$B$246*K88+'Incremental Network SummerFcast'!$B$247*K89</f>
        <v>0</v>
      </c>
      <c r="L90" s="198">
        <f ca="1">'Incremental Network SummerFcast'!$B$245*L87+'Incremental Network SummerFcast'!$B$246*L88+'Incremental Network SummerFcast'!$B$247*L89</f>
        <v>0</v>
      </c>
    </row>
    <row r="91" spans="1:13" ht="15.6" thickTop="1" thickBot="1">
      <c r="A91" s="187" t="str">
        <f>'Incremental Network SummerFcast'!A91</f>
        <v>EPN</v>
      </c>
      <c r="B91" s="216"/>
      <c r="C91" s="190"/>
      <c r="D91" s="190"/>
      <c r="E91" s="190"/>
      <c r="F91" s="190"/>
      <c r="G91" s="190"/>
      <c r="H91" s="190"/>
      <c r="I91" s="190"/>
      <c r="J91" s="190"/>
      <c r="K91" s="190"/>
      <c r="L91" s="190"/>
    </row>
    <row r="92" spans="1:13" ht="15" thickBot="1">
      <c r="A92" s="191" t="str">
        <f>'Incremental Network SummerFcast'!A92</f>
        <v>Uptake Scenario</v>
      </c>
      <c r="B92" s="191">
        <f>'Incremental Network SummerFcast'!B92</f>
        <v>2023</v>
      </c>
      <c r="C92" s="191">
        <f>'Incremental Network SummerFcast'!C92</f>
        <v>2024</v>
      </c>
      <c r="D92" s="191">
        <f>'Incremental Network SummerFcast'!D92</f>
        <v>2025</v>
      </c>
      <c r="E92" s="191">
        <f>'Incremental Network SummerFcast'!E92</f>
        <v>2026</v>
      </c>
      <c r="F92" s="191">
        <f>'Incremental Network SummerFcast'!F92</f>
        <v>2027</v>
      </c>
      <c r="G92" s="191">
        <f>'Incremental Network SummerFcast'!G92</f>
        <v>2028</v>
      </c>
      <c r="H92" s="191">
        <f>'Incremental Network SummerFcast'!H92</f>
        <v>2029</v>
      </c>
      <c r="I92" s="191">
        <f>'Incremental Network SummerFcast'!I92</f>
        <v>2030</v>
      </c>
      <c r="J92" s="191">
        <f>'Incremental Network SummerFcast'!J92</f>
        <v>2031</v>
      </c>
      <c r="K92" s="191">
        <f>'Incremental Network SummerFcast'!K92</f>
        <v>2032</v>
      </c>
      <c r="L92" s="191">
        <f>'Incremental Network SummerFcast'!L92</f>
        <v>2033</v>
      </c>
    </row>
    <row r="93" spans="1:13" ht="15.6" thickTop="1" thickBot="1">
      <c r="A93" s="193">
        <f>'Incremental Network SummerFcast'!A93</f>
        <v>0</v>
      </c>
      <c r="B93" s="206">
        <f>'Incremental Network SummerFcast'!B93</f>
        <v>0</v>
      </c>
      <c r="C93" s="206">
        <f>'Incremental Network SummerFcast'!C93</f>
        <v>0</v>
      </c>
      <c r="D93" s="206">
        <f>'Incremental Network SummerFcast'!D93</f>
        <v>0</v>
      </c>
      <c r="E93" s="206">
        <f>'Incremental Network SummerFcast'!E93</f>
        <v>0</v>
      </c>
      <c r="F93" s="206">
        <f>'Incremental Network SummerFcast'!F93</f>
        <v>0</v>
      </c>
      <c r="G93" s="206">
        <f>'Incremental Network SummerFcast'!G93</f>
        <v>0</v>
      </c>
      <c r="H93" s="206">
        <f>'Incremental Network SummerFcast'!H93</f>
        <v>0</v>
      </c>
      <c r="I93" s="206">
        <f>'Incremental Network SummerFcast'!I93</f>
        <v>0</v>
      </c>
      <c r="J93" s="206">
        <f>'Incremental Network SummerFcast'!J93</f>
        <v>0</v>
      </c>
      <c r="K93" s="206">
        <f>'Incremental Network SummerFcast'!K93</f>
        <v>0</v>
      </c>
      <c r="L93" s="206">
        <f>'Incremental Network SummerFcast'!L93</f>
        <v>0</v>
      </c>
      <c r="M93" s="37"/>
    </row>
    <row r="94" spans="1:13" ht="15" thickBot="1">
      <c r="A94" s="193" t="str">
        <f>'Incremental Network SummerFcast'!A94</f>
        <v>Customer forecast</v>
      </c>
      <c r="B94" s="194">
        <f ca="1">'Incremental Network SummerFcast'!B94*$G$1</f>
        <v>0</v>
      </c>
      <c r="C94" s="194">
        <f ca="1">'Incremental Network SummerFcast'!C94*$G$1</f>
        <v>0</v>
      </c>
      <c r="D94" s="194">
        <f ca="1">'Incremental Network SummerFcast'!D94*$G$1</f>
        <v>5.0999999999999996</v>
      </c>
      <c r="E94" s="194">
        <f ca="1">'Incremental Network SummerFcast'!E94*$G$1</f>
        <v>17</v>
      </c>
      <c r="F94" s="194">
        <f ca="1">'Incremental Network SummerFcast'!F94*$G$1</f>
        <v>17</v>
      </c>
      <c r="G94" s="194">
        <f ca="1">'Incremental Network SummerFcast'!G94*$G$1</f>
        <v>17</v>
      </c>
      <c r="H94" s="194">
        <f ca="1">'Incremental Network SummerFcast'!H94*$G$1</f>
        <v>17</v>
      </c>
      <c r="I94" s="194">
        <f ca="1">'Incremental Network SummerFcast'!I94*$G$1</f>
        <v>17</v>
      </c>
      <c r="J94" s="194">
        <f ca="1">'Incremental Network SummerFcast'!J94*$G$1</f>
        <v>17</v>
      </c>
      <c r="K94" s="194">
        <f ca="1">'Incremental Network SummerFcast'!K94*$G$1</f>
        <v>17</v>
      </c>
      <c r="L94" s="194">
        <f ca="1">'Incremental Network SummerFcast'!L94*$G$1</f>
        <v>17</v>
      </c>
      <c r="M94" s="37"/>
    </row>
    <row r="95" spans="1:13" ht="15" thickBot="1">
      <c r="A95" s="195" t="str">
        <f>'Incremental Network SummerFcast'!A95</f>
        <v>Base</v>
      </c>
      <c r="B95" s="196">
        <f ca="1">'Incremental Network SummerFcast'!B95*$G$1</f>
        <v>0</v>
      </c>
      <c r="C95" s="196">
        <f ca="1">'Incremental Network SummerFcast'!C95*$G$1</f>
        <v>0</v>
      </c>
      <c r="D95" s="196">
        <f ca="1">'Incremental Network SummerFcast'!D95*$G$1</f>
        <v>0</v>
      </c>
      <c r="E95" s="196">
        <f ca="1">'Incremental Network SummerFcast'!E95*$G$1</f>
        <v>0</v>
      </c>
      <c r="F95" s="196">
        <f ca="1">'Incremental Network SummerFcast'!F95*$G$1</f>
        <v>0</v>
      </c>
      <c r="G95" s="196">
        <f ca="1">'Incremental Network SummerFcast'!G95*$G$1</f>
        <v>1.7849999999999997</v>
      </c>
      <c r="H95" s="196">
        <f ca="1">'Incremental Network SummerFcast'!H95*$G$1</f>
        <v>1.7849999999999997</v>
      </c>
      <c r="I95" s="196">
        <f ca="1">'Incremental Network SummerFcast'!I95*$G$1</f>
        <v>1.7849999999999997</v>
      </c>
      <c r="J95" s="196">
        <f ca="1">'Incremental Network SummerFcast'!J95*$G$1</f>
        <v>1.7849999999999997</v>
      </c>
      <c r="K95" s="196">
        <f ca="1">'Incremental Network SummerFcast'!K95*$G$1</f>
        <v>1.7849999999999997</v>
      </c>
      <c r="L95" s="196">
        <f ca="1">'Incremental Network SummerFcast'!L95*$G$1</f>
        <v>1.7849999999999997</v>
      </c>
    </row>
    <row r="96" spans="1:13" ht="15" thickBot="1">
      <c r="A96" s="195" t="str">
        <f>'Incremental Network SummerFcast'!A96</f>
        <v>Low</v>
      </c>
      <c r="B96" s="196">
        <f ca="1">'Incremental Network SummerFcast'!B96*$G$1</f>
        <v>0</v>
      </c>
      <c r="C96" s="196">
        <f ca="1">'Incremental Network SummerFcast'!C96*$G$1</f>
        <v>0</v>
      </c>
      <c r="D96" s="196">
        <f ca="1">'Incremental Network SummerFcast'!D96*$G$1</f>
        <v>0</v>
      </c>
      <c r="E96" s="196">
        <f ca="1">'Incremental Network SummerFcast'!E96*$G$1</f>
        <v>0</v>
      </c>
      <c r="F96" s="196">
        <f ca="1">'Incremental Network SummerFcast'!F96*$G$1</f>
        <v>0</v>
      </c>
      <c r="G96" s="196">
        <f ca="1">'Incremental Network SummerFcast'!G96*$G$1</f>
        <v>0</v>
      </c>
      <c r="H96" s="196">
        <f ca="1">'Incremental Network SummerFcast'!H96*$G$1</f>
        <v>0</v>
      </c>
      <c r="I96" s="196">
        <f ca="1">'Incremental Network SummerFcast'!I96*$G$1</f>
        <v>0.51</v>
      </c>
      <c r="J96" s="196">
        <f ca="1">'Incremental Network SummerFcast'!J96*$G$1</f>
        <v>0.51</v>
      </c>
      <c r="K96" s="196">
        <f ca="1">'Incremental Network SummerFcast'!K96*$G$1</f>
        <v>0.51</v>
      </c>
      <c r="L96" s="196">
        <f ca="1">'Incremental Network SummerFcast'!L96*$G$1</f>
        <v>0.51</v>
      </c>
    </row>
    <row r="97" spans="1:13" ht="15" thickBot="1">
      <c r="A97" s="197" t="str">
        <f>'Incremental Network SummerFcast'!A97</f>
        <v>High</v>
      </c>
      <c r="B97" s="198">
        <f ca="1">'Incremental Network SummerFcast'!B97*$G$1</f>
        <v>0</v>
      </c>
      <c r="C97" s="198">
        <f ca="1">'Incremental Network SummerFcast'!C97*$G$1</f>
        <v>0</v>
      </c>
      <c r="D97" s="198">
        <f ca="1">'Incremental Network SummerFcast'!D97*$G$1</f>
        <v>0</v>
      </c>
      <c r="E97" s="198">
        <f ca="1">'Incremental Network SummerFcast'!E97*$G$1</f>
        <v>0</v>
      </c>
      <c r="F97" s="198">
        <f ca="1">'Incremental Network SummerFcast'!F97*$G$1</f>
        <v>2.7539999999999996</v>
      </c>
      <c r="G97" s="198">
        <f ca="1">'Incremental Network SummerFcast'!G97*$G$1</f>
        <v>2.7539999999999996</v>
      </c>
      <c r="H97" s="198">
        <f ca="1">'Incremental Network SummerFcast'!H97*$G$1</f>
        <v>2.7539999999999996</v>
      </c>
      <c r="I97" s="198">
        <f ca="1">'Incremental Network SummerFcast'!I97*$G$1</f>
        <v>2.7539999999999996</v>
      </c>
      <c r="J97" s="198">
        <f ca="1">'Incremental Network SummerFcast'!J97*$G$1</f>
        <v>9.18</v>
      </c>
      <c r="K97" s="198">
        <f ca="1">'Incremental Network SummerFcast'!K97*$G$1</f>
        <v>9.18</v>
      </c>
      <c r="L97" s="198">
        <f ca="1">'Incremental Network SummerFcast'!L97*$G$1</f>
        <v>9.18</v>
      </c>
    </row>
    <row r="98" spans="1:13" ht="15.6" thickTop="1" thickBot="1">
      <c r="A98" s="197" t="s">
        <v>148</v>
      </c>
      <c r="B98" s="198">
        <f ca="1">'Incremental Network SummerFcast'!$B$245*B95+'Incremental Network SummerFcast'!$B$246*B96+'Incremental Network SummerFcast'!$B$247*B97</f>
        <v>0</v>
      </c>
      <c r="C98" s="198">
        <f ca="1">'Incremental Network SummerFcast'!$B$245*C95+'Incremental Network SummerFcast'!$B$246*C96+'Incremental Network SummerFcast'!$B$247*C97</f>
        <v>0</v>
      </c>
      <c r="D98" s="198">
        <f ca="1">'Incremental Network SummerFcast'!$B$245*D95+'Incremental Network SummerFcast'!$B$246*D96+'Incremental Network SummerFcast'!$B$247*D97</f>
        <v>0</v>
      </c>
      <c r="E98" s="198">
        <f ca="1">'Incremental Network SummerFcast'!$B$245*E95+'Incremental Network SummerFcast'!$B$246*E96+'Incremental Network SummerFcast'!$B$247*E97</f>
        <v>0</v>
      </c>
      <c r="F98" s="198">
        <f ca="1">'Incremental Network SummerFcast'!$B$245*F95+'Incremental Network SummerFcast'!$B$246*F96+'Incremental Network SummerFcast'!$B$247*F97</f>
        <v>0.68849999999999989</v>
      </c>
      <c r="G98" s="198">
        <f ca="1">'Incremental Network SummerFcast'!$B$245*G95+'Incremental Network SummerFcast'!$B$246*G96+'Incremental Network SummerFcast'!$B$247*G97</f>
        <v>1.5809999999999997</v>
      </c>
      <c r="H98" s="198">
        <f ca="1">'Incremental Network SummerFcast'!$B$245*H95+'Incremental Network SummerFcast'!$B$246*H96+'Incremental Network SummerFcast'!$B$247*H97</f>
        <v>1.5809999999999997</v>
      </c>
      <c r="I98" s="198">
        <f ca="1">'Incremental Network SummerFcast'!$B$245*I95+'Incremental Network SummerFcast'!$B$246*I96+'Incremental Network SummerFcast'!$B$247*I97</f>
        <v>1.7084999999999997</v>
      </c>
      <c r="J98" s="198">
        <f ca="1">'Incremental Network SummerFcast'!$B$245*J95+'Incremental Network SummerFcast'!$B$246*J96+'Incremental Network SummerFcast'!$B$247*J97</f>
        <v>3.3149999999999995</v>
      </c>
      <c r="K98" s="198">
        <f ca="1">'Incremental Network SummerFcast'!$B$245*K95+'Incremental Network SummerFcast'!$B$246*K96+'Incremental Network SummerFcast'!$B$247*K97</f>
        <v>3.3149999999999995</v>
      </c>
      <c r="L98" s="198">
        <f ca="1">'Incremental Network SummerFcast'!$B$245*L95+'Incremental Network SummerFcast'!$B$246*L96+'Incremental Network SummerFcast'!$B$247*L97</f>
        <v>3.3149999999999995</v>
      </c>
    </row>
    <row r="99" spans="1:13" ht="15.6" thickTop="1" thickBot="1">
      <c r="A99" s="187" t="str">
        <f>'Incremental Network SummerFcast'!A99</f>
        <v>FT</v>
      </c>
      <c r="B99" s="216"/>
      <c r="C99" s="190"/>
      <c r="D99" s="190"/>
      <c r="E99" s="190"/>
      <c r="F99" s="190"/>
      <c r="G99" s="190"/>
      <c r="H99" s="190"/>
      <c r="I99" s="190"/>
      <c r="J99" s="190"/>
      <c r="K99" s="190"/>
      <c r="L99" s="190"/>
    </row>
    <row r="100" spans="1:13" ht="15" thickBot="1">
      <c r="A100" s="191" t="str">
        <f>'Incremental Network SummerFcast'!A100</f>
        <v>Uptake Scenario</v>
      </c>
      <c r="B100" s="191">
        <f>'Incremental Network SummerFcast'!B100</f>
        <v>2023</v>
      </c>
      <c r="C100" s="191">
        <f>'Incremental Network SummerFcast'!C100</f>
        <v>2024</v>
      </c>
      <c r="D100" s="191">
        <f>'Incremental Network SummerFcast'!D100</f>
        <v>2025</v>
      </c>
      <c r="E100" s="191">
        <f>'Incremental Network SummerFcast'!E100</f>
        <v>2026</v>
      </c>
      <c r="F100" s="191">
        <f>'Incremental Network SummerFcast'!F100</f>
        <v>2027</v>
      </c>
      <c r="G100" s="191">
        <f>'Incremental Network SummerFcast'!G100</f>
        <v>2028</v>
      </c>
      <c r="H100" s="191">
        <f>'Incremental Network SummerFcast'!H100</f>
        <v>2029</v>
      </c>
      <c r="I100" s="191">
        <f>'Incremental Network SummerFcast'!I100</f>
        <v>2030</v>
      </c>
      <c r="J100" s="191">
        <f>'Incremental Network SummerFcast'!J100</f>
        <v>2031</v>
      </c>
      <c r="K100" s="191">
        <f>'Incremental Network SummerFcast'!K100</f>
        <v>2032</v>
      </c>
      <c r="L100" s="191">
        <f>'Incremental Network SummerFcast'!L100</f>
        <v>2033</v>
      </c>
    </row>
    <row r="101" spans="1:13" ht="15.6" thickTop="1" thickBot="1">
      <c r="A101" s="193">
        <f>'Incremental Network SummerFcast'!A101</f>
        <v>0</v>
      </c>
      <c r="B101" s="206">
        <f>'Incremental Network SummerFcast'!B101</f>
        <v>0</v>
      </c>
      <c r="C101" s="206">
        <f>'Incremental Network SummerFcast'!C101</f>
        <v>0</v>
      </c>
      <c r="D101" s="206">
        <f>'Incremental Network SummerFcast'!D101</f>
        <v>0</v>
      </c>
      <c r="E101" s="206">
        <f>'Incremental Network SummerFcast'!E101</f>
        <v>0</v>
      </c>
      <c r="F101" s="206">
        <f>'Incremental Network SummerFcast'!F101</f>
        <v>0</v>
      </c>
      <c r="G101" s="206">
        <f>'Incremental Network SummerFcast'!G101</f>
        <v>0</v>
      </c>
      <c r="H101" s="206">
        <f>'Incremental Network SummerFcast'!H101</f>
        <v>0</v>
      </c>
      <c r="I101" s="206">
        <f>'Incremental Network SummerFcast'!I101</f>
        <v>0</v>
      </c>
      <c r="J101" s="206">
        <f>'Incremental Network SummerFcast'!J101</f>
        <v>0</v>
      </c>
      <c r="K101" s="206">
        <f>'Incremental Network SummerFcast'!K101</f>
        <v>0</v>
      </c>
      <c r="L101" s="206">
        <f>'Incremental Network SummerFcast'!L101</f>
        <v>0</v>
      </c>
      <c r="M101" s="37"/>
    </row>
    <row r="102" spans="1:13" ht="15" thickBot="1">
      <c r="A102" s="193" t="str">
        <f>'Incremental Network SummerFcast'!A102</f>
        <v>Customer forecast</v>
      </c>
      <c r="B102" s="194">
        <f ca="1">'Incremental Network SummerFcast'!B102*$G$1</f>
        <v>0</v>
      </c>
      <c r="C102" s="194">
        <f ca="1">'Incremental Network SummerFcast'!C102*$G$1</f>
        <v>0</v>
      </c>
      <c r="D102" s="194">
        <f ca="1">'Incremental Network SummerFcast'!D102*$G$1</f>
        <v>0</v>
      </c>
      <c r="E102" s="194">
        <f ca="1">'Incremental Network SummerFcast'!E102*$G$1</f>
        <v>0</v>
      </c>
      <c r="F102" s="194">
        <f ca="1">'Incremental Network SummerFcast'!F102*$G$1</f>
        <v>0</v>
      </c>
      <c r="G102" s="194">
        <f ca="1">'Incremental Network SummerFcast'!G102*$G$1</f>
        <v>0</v>
      </c>
      <c r="H102" s="194">
        <f ca="1">'Incremental Network SummerFcast'!H102*$G$1</f>
        <v>0</v>
      </c>
      <c r="I102" s="194">
        <f ca="1">'Incremental Network SummerFcast'!I102*$G$1</f>
        <v>0</v>
      </c>
      <c r="J102" s="194">
        <f ca="1">'Incremental Network SummerFcast'!J102*$G$1</f>
        <v>0</v>
      </c>
      <c r="K102" s="194">
        <f ca="1">'Incremental Network SummerFcast'!K102*$G$1</f>
        <v>0</v>
      </c>
      <c r="L102" s="194">
        <f ca="1">'Incremental Network SummerFcast'!L102*$G$1</f>
        <v>0</v>
      </c>
      <c r="M102" s="37"/>
    </row>
    <row r="103" spans="1:13" ht="15" thickBot="1">
      <c r="A103" s="195" t="str">
        <f>'Incremental Network SummerFcast'!A103</f>
        <v>Base</v>
      </c>
      <c r="B103" s="196">
        <f ca="1">'Incremental Network SummerFcast'!B103*$G$1</f>
        <v>0</v>
      </c>
      <c r="C103" s="196">
        <f ca="1">'Incremental Network SummerFcast'!C103*$G$1</f>
        <v>0</v>
      </c>
      <c r="D103" s="196">
        <f ca="1">'Incremental Network SummerFcast'!D103*$G$1</f>
        <v>0</v>
      </c>
      <c r="E103" s="196">
        <f ca="1">'Incremental Network SummerFcast'!E103*$G$1</f>
        <v>0</v>
      </c>
      <c r="F103" s="196">
        <f ca="1">'Incremental Network SummerFcast'!F103*$G$1</f>
        <v>0</v>
      </c>
      <c r="G103" s="196">
        <f ca="1">'Incremental Network SummerFcast'!G103*$G$1</f>
        <v>0</v>
      </c>
      <c r="H103" s="196">
        <f ca="1">'Incremental Network SummerFcast'!H103*$G$1</f>
        <v>0</v>
      </c>
      <c r="I103" s="196">
        <f ca="1">'Incremental Network SummerFcast'!I103*$G$1</f>
        <v>0</v>
      </c>
      <c r="J103" s="196">
        <f ca="1">'Incremental Network SummerFcast'!J103*$G$1</f>
        <v>0</v>
      </c>
      <c r="K103" s="196">
        <f ca="1">'Incremental Network SummerFcast'!K103*$G$1</f>
        <v>0</v>
      </c>
      <c r="L103" s="196">
        <f ca="1">'Incremental Network SummerFcast'!L103*$G$1</f>
        <v>0</v>
      </c>
    </row>
    <row r="104" spans="1:13" ht="15" thickBot="1">
      <c r="A104" s="195" t="str">
        <f>'Incremental Network SummerFcast'!A104</f>
        <v>Low</v>
      </c>
      <c r="B104" s="196">
        <f ca="1">'Incremental Network SummerFcast'!B104*$G$1</f>
        <v>0</v>
      </c>
      <c r="C104" s="196">
        <f ca="1">'Incremental Network SummerFcast'!C104*$G$1</f>
        <v>0</v>
      </c>
      <c r="D104" s="196">
        <f ca="1">'Incremental Network SummerFcast'!D104*$G$1</f>
        <v>0</v>
      </c>
      <c r="E104" s="196">
        <f ca="1">'Incremental Network SummerFcast'!E104*$G$1</f>
        <v>0</v>
      </c>
      <c r="F104" s="196">
        <f ca="1">'Incremental Network SummerFcast'!F104*$G$1</f>
        <v>0</v>
      </c>
      <c r="G104" s="196">
        <f ca="1">'Incremental Network SummerFcast'!G104*$G$1</f>
        <v>0</v>
      </c>
      <c r="H104" s="196">
        <f ca="1">'Incremental Network SummerFcast'!H104*$G$1</f>
        <v>0</v>
      </c>
      <c r="I104" s="196">
        <f ca="1">'Incremental Network SummerFcast'!I104*$G$1</f>
        <v>0</v>
      </c>
      <c r="J104" s="196">
        <f ca="1">'Incremental Network SummerFcast'!J104*$G$1</f>
        <v>0</v>
      </c>
      <c r="K104" s="196">
        <f ca="1">'Incremental Network SummerFcast'!K104*$G$1</f>
        <v>0</v>
      </c>
      <c r="L104" s="196">
        <f ca="1">'Incremental Network SummerFcast'!L104*$G$1</f>
        <v>0</v>
      </c>
    </row>
    <row r="105" spans="1:13" ht="15" thickBot="1">
      <c r="A105" s="197" t="str">
        <f>'Incremental Network SummerFcast'!A105</f>
        <v>High</v>
      </c>
      <c r="B105" s="198">
        <f ca="1">'Incremental Network SummerFcast'!B105*$G$1</f>
        <v>0</v>
      </c>
      <c r="C105" s="198">
        <f ca="1">'Incremental Network SummerFcast'!C105*$G$1</f>
        <v>0</v>
      </c>
      <c r="D105" s="198">
        <f ca="1">'Incremental Network SummerFcast'!D105*$G$1</f>
        <v>0</v>
      </c>
      <c r="E105" s="198">
        <f ca="1">'Incremental Network SummerFcast'!E105*$G$1</f>
        <v>0</v>
      </c>
      <c r="F105" s="198">
        <f ca="1">'Incremental Network SummerFcast'!F105*$G$1</f>
        <v>0</v>
      </c>
      <c r="G105" s="198">
        <f ca="1">'Incremental Network SummerFcast'!G105*$G$1</f>
        <v>0</v>
      </c>
      <c r="H105" s="198">
        <f ca="1">'Incremental Network SummerFcast'!H105*$G$1</f>
        <v>0</v>
      </c>
      <c r="I105" s="198">
        <f ca="1">'Incremental Network SummerFcast'!I105*$G$1</f>
        <v>0</v>
      </c>
      <c r="J105" s="198">
        <f ca="1">'Incremental Network SummerFcast'!J105*$G$1</f>
        <v>0</v>
      </c>
      <c r="K105" s="198">
        <f ca="1">'Incremental Network SummerFcast'!K105*$G$1</f>
        <v>0</v>
      </c>
      <c r="L105" s="198">
        <f ca="1">'Incremental Network SummerFcast'!L105*$G$1</f>
        <v>0</v>
      </c>
    </row>
    <row r="106" spans="1:13" ht="15.6" thickTop="1" thickBot="1">
      <c r="A106" s="197" t="s">
        <v>148</v>
      </c>
      <c r="B106" s="198">
        <f ca="1">'Incremental Network SummerFcast'!$B$245*B103+'Incremental Network SummerFcast'!$B$246*B104+'Incremental Network SummerFcast'!$B$247*B105</f>
        <v>0</v>
      </c>
      <c r="C106" s="198">
        <f ca="1">'Incremental Network SummerFcast'!$B$245*C103+'Incremental Network SummerFcast'!$B$246*C104+'Incremental Network SummerFcast'!$B$247*C105</f>
        <v>0</v>
      </c>
      <c r="D106" s="198">
        <f ca="1">'Incremental Network SummerFcast'!$B$245*D103+'Incremental Network SummerFcast'!$B$246*D104+'Incremental Network SummerFcast'!$B$247*D105</f>
        <v>0</v>
      </c>
      <c r="E106" s="198">
        <f ca="1">'Incremental Network SummerFcast'!$B$245*E103+'Incremental Network SummerFcast'!$B$246*E104+'Incremental Network SummerFcast'!$B$247*E105</f>
        <v>0</v>
      </c>
      <c r="F106" s="198">
        <f ca="1">'Incremental Network SummerFcast'!$B$245*F103+'Incremental Network SummerFcast'!$B$246*F104+'Incremental Network SummerFcast'!$B$247*F105</f>
        <v>0</v>
      </c>
      <c r="G106" s="198">
        <f ca="1">'Incremental Network SummerFcast'!$B$245*G103+'Incremental Network SummerFcast'!$B$246*G104+'Incremental Network SummerFcast'!$B$247*G105</f>
        <v>0</v>
      </c>
      <c r="H106" s="198">
        <f ca="1">'Incremental Network SummerFcast'!$B$245*H103+'Incremental Network SummerFcast'!$B$246*H104+'Incremental Network SummerFcast'!$B$247*H105</f>
        <v>0</v>
      </c>
      <c r="I106" s="198">
        <f ca="1">'Incremental Network SummerFcast'!$B$245*I103+'Incremental Network SummerFcast'!$B$246*I104+'Incremental Network SummerFcast'!$B$247*I105</f>
        <v>0</v>
      </c>
      <c r="J106" s="198">
        <f ca="1">'Incremental Network SummerFcast'!$B$245*J103+'Incremental Network SummerFcast'!$B$246*J104+'Incremental Network SummerFcast'!$B$247*J105</f>
        <v>0</v>
      </c>
      <c r="K106" s="198">
        <f ca="1">'Incremental Network SummerFcast'!$B$245*K103+'Incremental Network SummerFcast'!$B$246*K104+'Incremental Network SummerFcast'!$B$247*K105</f>
        <v>0</v>
      </c>
      <c r="L106" s="198">
        <f ca="1">'Incremental Network SummerFcast'!$B$245*L103+'Incremental Network SummerFcast'!$B$246*L104+'Incremental Network SummerFcast'!$B$247*L105</f>
        <v>0</v>
      </c>
    </row>
    <row r="107" spans="1:13" ht="15.6" thickTop="1" thickBot="1">
      <c r="A107" s="188" t="str">
        <f>'Incremental Network SummerFcast'!A107</f>
        <v>FF</v>
      </c>
      <c r="B107" s="216"/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</row>
    <row r="108" spans="1:13" ht="15" thickBot="1">
      <c r="A108" s="191" t="str">
        <f>'Incremental Network SummerFcast'!A108</f>
        <v>Uptake Scenario</v>
      </c>
      <c r="B108" s="191">
        <f>'Incremental Network SummerFcast'!B108</f>
        <v>2023</v>
      </c>
      <c r="C108" s="191">
        <f>'Incremental Network SummerFcast'!C108</f>
        <v>2024</v>
      </c>
      <c r="D108" s="191">
        <f>'Incremental Network SummerFcast'!D108</f>
        <v>2025</v>
      </c>
      <c r="E108" s="191">
        <f>'Incremental Network SummerFcast'!E108</f>
        <v>2026</v>
      </c>
      <c r="F108" s="191">
        <f>'Incremental Network SummerFcast'!F108</f>
        <v>2027</v>
      </c>
      <c r="G108" s="191">
        <f>'Incremental Network SummerFcast'!G108</f>
        <v>2028</v>
      </c>
      <c r="H108" s="191">
        <f>'Incremental Network SummerFcast'!H108</f>
        <v>2029</v>
      </c>
      <c r="I108" s="191">
        <f>'Incremental Network SummerFcast'!I108</f>
        <v>2030</v>
      </c>
      <c r="J108" s="191">
        <f>'Incremental Network SummerFcast'!J108</f>
        <v>2031</v>
      </c>
      <c r="K108" s="191">
        <f>'Incremental Network SummerFcast'!K108</f>
        <v>2032</v>
      </c>
      <c r="L108" s="191">
        <f>'Incremental Network SummerFcast'!L108</f>
        <v>2033</v>
      </c>
    </row>
    <row r="109" spans="1:13" ht="15.6" thickTop="1" thickBot="1">
      <c r="A109" s="193">
        <f>'Incremental Network SummerFcast'!A109</f>
        <v>0</v>
      </c>
      <c r="B109" s="206">
        <f>'Incremental Network SummerFcast'!B109</f>
        <v>0</v>
      </c>
      <c r="C109" s="206">
        <f>'Incremental Network SummerFcast'!C109</f>
        <v>0</v>
      </c>
      <c r="D109" s="206">
        <f>'Incremental Network SummerFcast'!D109</f>
        <v>0</v>
      </c>
      <c r="E109" s="206">
        <f>'Incremental Network SummerFcast'!E109</f>
        <v>0</v>
      </c>
      <c r="F109" s="206">
        <f>'Incremental Network SummerFcast'!F109</f>
        <v>0</v>
      </c>
      <c r="G109" s="206">
        <f>'Incremental Network SummerFcast'!G109</f>
        <v>0</v>
      </c>
      <c r="H109" s="206">
        <f>'Incremental Network SummerFcast'!H109</f>
        <v>0</v>
      </c>
      <c r="I109" s="206">
        <f>'Incremental Network SummerFcast'!I109</f>
        <v>0</v>
      </c>
      <c r="J109" s="206">
        <f>'Incremental Network SummerFcast'!J109</f>
        <v>0</v>
      </c>
      <c r="K109" s="206">
        <f>'Incremental Network SummerFcast'!K109</f>
        <v>0</v>
      </c>
      <c r="L109" s="206">
        <f>'Incremental Network SummerFcast'!L109</f>
        <v>0</v>
      </c>
      <c r="M109" s="37"/>
    </row>
    <row r="110" spans="1:13" ht="15" thickBot="1">
      <c r="A110" s="193" t="str">
        <f>'Incremental Network SummerFcast'!A110</f>
        <v>Customer forecast</v>
      </c>
      <c r="B110" s="194">
        <f ca="1">'Incremental Network SummerFcast'!B110*$G$1</f>
        <v>0</v>
      </c>
      <c r="C110" s="194">
        <f ca="1">'Incremental Network SummerFcast'!C110*$G$1</f>
        <v>0</v>
      </c>
      <c r="D110" s="194">
        <f ca="1">'Incremental Network SummerFcast'!D110*$G$1</f>
        <v>0</v>
      </c>
      <c r="E110" s="194">
        <f ca="1">'Incremental Network SummerFcast'!E110*$G$1</f>
        <v>0</v>
      </c>
      <c r="F110" s="194">
        <f ca="1">'Incremental Network SummerFcast'!F110*$G$1</f>
        <v>0</v>
      </c>
      <c r="G110" s="194">
        <f ca="1">'Incremental Network SummerFcast'!G110*$G$1</f>
        <v>0</v>
      </c>
      <c r="H110" s="194">
        <f ca="1">'Incremental Network SummerFcast'!H110*$G$1</f>
        <v>0</v>
      </c>
      <c r="I110" s="194">
        <f ca="1">'Incremental Network SummerFcast'!I110*$G$1</f>
        <v>0</v>
      </c>
      <c r="J110" s="194">
        <f ca="1">'Incremental Network SummerFcast'!J110*$G$1</f>
        <v>0</v>
      </c>
      <c r="K110" s="194">
        <f ca="1">'Incremental Network SummerFcast'!K110*$G$1</f>
        <v>0</v>
      </c>
      <c r="L110" s="194">
        <f ca="1">'Incremental Network SummerFcast'!L110*$G$1</f>
        <v>0</v>
      </c>
      <c r="M110" s="37"/>
    </row>
    <row r="111" spans="1:13" ht="15" thickBot="1">
      <c r="A111" s="195" t="str">
        <f>'Incremental Network SummerFcast'!A111</f>
        <v>Base</v>
      </c>
      <c r="B111" s="196">
        <f ca="1">'Incremental Network SummerFcast'!B111*$G$1</f>
        <v>0</v>
      </c>
      <c r="C111" s="196">
        <f ca="1">'Incremental Network SummerFcast'!C111*$G$1</f>
        <v>0</v>
      </c>
      <c r="D111" s="196">
        <f ca="1">'Incremental Network SummerFcast'!D111*$G$1</f>
        <v>0</v>
      </c>
      <c r="E111" s="196">
        <f ca="1">'Incremental Network SummerFcast'!E111*$G$1</f>
        <v>0</v>
      </c>
      <c r="F111" s="196">
        <f ca="1">'Incremental Network SummerFcast'!F111*$G$1</f>
        <v>0</v>
      </c>
      <c r="G111" s="196">
        <f ca="1">'Incremental Network SummerFcast'!G111*$G$1</f>
        <v>0</v>
      </c>
      <c r="H111" s="196">
        <f ca="1">'Incremental Network SummerFcast'!H111*$G$1</f>
        <v>0</v>
      </c>
      <c r="I111" s="196">
        <f ca="1">'Incremental Network SummerFcast'!I111*$G$1</f>
        <v>0</v>
      </c>
      <c r="J111" s="196">
        <f ca="1">'Incremental Network SummerFcast'!J111*$G$1</f>
        <v>0</v>
      </c>
      <c r="K111" s="196">
        <f ca="1">'Incremental Network SummerFcast'!K111*$G$1</f>
        <v>0</v>
      </c>
      <c r="L111" s="196">
        <f ca="1">'Incremental Network SummerFcast'!L111*$G$1</f>
        <v>0</v>
      </c>
    </row>
    <row r="112" spans="1:13" ht="15" thickBot="1">
      <c r="A112" s="195" t="str">
        <f>'Incremental Network SummerFcast'!A112</f>
        <v>Low</v>
      </c>
      <c r="B112" s="196">
        <f ca="1">'Incremental Network SummerFcast'!B112*$G$1</f>
        <v>0</v>
      </c>
      <c r="C112" s="196">
        <f ca="1">'Incremental Network SummerFcast'!C112*$G$1</f>
        <v>0</v>
      </c>
      <c r="D112" s="196">
        <f ca="1">'Incremental Network SummerFcast'!D112*$G$1</f>
        <v>0</v>
      </c>
      <c r="E112" s="196">
        <f ca="1">'Incremental Network SummerFcast'!E112*$G$1</f>
        <v>0</v>
      </c>
      <c r="F112" s="196">
        <f ca="1">'Incremental Network SummerFcast'!F112*$G$1</f>
        <v>0</v>
      </c>
      <c r="G112" s="196">
        <f ca="1">'Incremental Network SummerFcast'!G112*$G$1</f>
        <v>0</v>
      </c>
      <c r="H112" s="196">
        <f ca="1">'Incremental Network SummerFcast'!H112*$G$1</f>
        <v>0</v>
      </c>
      <c r="I112" s="196">
        <f ca="1">'Incremental Network SummerFcast'!I112*$G$1</f>
        <v>0</v>
      </c>
      <c r="J112" s="196">
        <f ca="1">'Incremental Network SummerFcast'!J112*$G$1</f>
        <v>0</v>
      </c>
      <c r="K112" s="196">
        <f ca="1">'Incremental Network SummerFcast'!K112*$G$1</f>
        <v>0</v>
      </c>
      <c r="L112" s="196">
        <f ca="1">'Incremental Network SummerFcast'!L112*$G$1</f>
        <v>0</v>
      </c>
    </row>
    <row r="113" spans="1:13" ht="15" thickBot="1">
      <c r="A113" s="197" t="str">
        <f>'Incremental Network SummerFcast'!A113</f>
        <v>High</v>
      </c>
      <c r="B113" s="198">
        <f ca="1">'Incremental Network SummerFcast'!B113*$G$1</f>
        <v>0</v>
      </c>
      <c r="C113" s="198">
        <f ca="1">'Incremental Network SummerFcast'!C113*$G$1</f>
        <v>0</v>
      </c>
      <c r="D113" s="198">
        <f ca="1">'Incremental Network SummerFcast'!D113*$G$1</f>
        <v>0</v>
      </c>
      <c r="E113" s="198">
        <f ca="1">'Incremental Network SummerFcast'!E113*$G$1</f>
        <v>0</v>
      </c>
      <c r="F113" s="198">
        <f ca="1">'Incremental Network SummerFcast'!F113*$G$1</f>
        <v>0</v>
      </c>
      <c r="G113" s="198">
        <f ca="1">'Incremental Network SummerFcast'!G113*$G$1</f>
        <v>0</v>
      </c>
      <c r="H113" s="198">
        <f ca="1">'Incremental Network SummerFcast'!H113*$G$1</f>
        <v>0</v>
      </c>
      <c r="I113" s="198">
        <f ca="1">'Incremental Network SummerFcast'!I113*$G$1</f>
        <v>0</v>
      </c>
      <c r="J113" s="198">
        <f ca="1">'Incremental Network SummerFcast'!J113*$G$1</f>
        <v>0</v>
      </c>
      <c r="K113" s="198">
        <f ca="1">'Incremental Network SummerFcast'!K113*$G$1</f>
        <v>0</v>
      </c>
      <c r="L113" s="198">
        <f ca="1">'Incremental Network SummerFcast'!L113*$G$1</f>
        <v>0</v>
      </c>
    </row>
    <row r="114" spans="1:13" ht="15.6" thickTop="1" thickBot="1">
      <c r="A114" s="197" t="s">
        <v>148</v>
      </c>
      <c r="B114" s="198">
        <f ca="1">'Incremental Network SummerFcast'!$B$245*B111+'Incremental Network SummerFcast'!$B$246*B112+'Incremental Network SummerFcast'!$B$247*B113</f>
        <v>0</v>
      </c>
      <c r="C114" s="198">
        <f ca="1">'Incremental Network SummerFcast'!$B$245*C111+'Incremental Network SummerFcast'!$B$246*C112+'Incremental Network SummerFcast'!$B$247*C113</f>
        <v>0</v>
      </c>
      <c r="D114" s="198">
        <f ca="1">'Incremental Network SummerFcast'!$B$245*D111+'Incremental Network SummerFcast'!$B$246*D112+'Incremental Network SummerFcast'!$B$247*D113</f>
        <v>0</v>
      </c>
      <c r="E114" s="198">
        <f ca="1">'Incremental Network SummerFcast'!$B$245*E111+'Incremental Network SummerFcast'!$B$246*E112+'Incremental Network SummerFcast'!$B$247*E113</f>
        <v>0</v>
      </c>
      <c r="F114" s="198">
        <f ca="1">'Incremental Network SummerFcast'!$B$245*F111+'Incremental Network SummerFcast'!$B$246*F112+'Incremental Network SummerFcast'!$B$247*F113</f>
        <v>0</v>
      </c>
      <c r="G114" s="198">
        <f ca="1">'Incremental Network SummerFcast'!$B$245*G111+'Incremental Network SummerFcast'!$B$246*G112+'Incremental Network SummerFcast'!$B$247*G113</f>
        <v>0</v>
      </c>
      <c r="H114" s="198">
        <f ca="1">'Incremental Network SummerFcast'!$B$245*H111+'Incremental Network SummerFcast'!$B$246*H112+'Incremental Network SummerFcast'!$B$247*H113</f>
        <v>0</v>
      </c>
      <c r="I114" s="198">
        <f ca="1">'Incremental Network SummerFcast'!$B$245*I111+'Incremental Network SummerFcast'!$B$246*I112+'Incremental Network SummerFcast'!$B$247*I113</f>
        <v>0</v>
      </c>
      <c r="J114" s="198">
        <f ca="1">'Incremental Network SummerFcast'!$B$245*J111+'Incremental Network SummerFcast'!$B$246*J112+'Incremental Network SummerFcast'!$B$247*J113</f>
        <v>0</v>
      </c>
      <c r="K114" s="198">
        <f ca="1">'Incremental Network SummerFcast'!$B$245*K111+'Incremental Network SummerFcast'!$B$246*K112+'Incremental Network SummerFcast'!$B$247*K113</f>
        <v>0</v>
      </c>
      <c r="L114" s="198">
        <f ca="1">'Incremental Network SummerFcast'!$B$245*L111+'Incremental Network SummerFcast'!$B$246*L112+'Incremental Network SummerFcast'!$B$247*L113</f>
        <v>0</v>
      </c>
    </row>
    <row r="115" spans="1:13" ht="15.6" thickTop="1" thickBot="1">
      <c r="A115" s="188" t="str">
        <f>'Incremental Network SummerFcast'!A115</f>
        <v>AW</v>
      </c>
      <c r="B115" s="216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</row>
    <row r="116" spans="1:13" ht="15" thickBot="1">
      <c r="A116" s="191" t="str">
        <f>'Incremental Network SummerFcast'!A116</f>
        <v>Uptake Scenario</v>
      </c>
      <c r="B116" s="191">
        <f>'Incremental Network SummerFcast'!B116</f>
        <v>2023</v>
      </c>
      <c r="C116" s="191">
        <f>'Incremental Network SummerFcast'!C116</f>
        <v>2024</v>
      </c>
      <c r="D116" s="191">
        <f>'Incremental Network SummerFcast'!D116</f>
        <v>2025</v>
      </c>
      <c r="E116" s="191">
        <f>'Incremental Network SummerFcast'!E116</f>
        <v>2026</v>
      </c>
      <c r="F116" s="191">
        <f>'Incremental Network SummerFcast'!F116</f>
        <v>2027</v>
      </c>
      <c r="G116" s="191">
        <f>'Incremental Network SummerFcast'!G116</f>
        <v>2028</v>
      </c>
      <c r="H116" s="191">
        <f>'Incremental Network SummerFcast'!H116</f>
        <v>2029</v>
      </c>
      <c r="I116" s="191">
        <f>'Incremental Network SummerFcast'!I116</f>
        <v>2030</v>
      </c>
      <c r="J116" s="191">
        <f>'Incremental Network SummerFcast'!J116</f>
        <v>2031</v>
      </c>
      <c r="K116" s="191">
        <f>'Incremental Network SummerFcast'!K116</f>
        <v>2032</v>
      </c>
      <c r="L116" s="191">
        <f>'Incremental Network SummerFcast'!L116</f>
        <v>2033</v>
      </c>
    </row>
    <row r="117" spans="1:13" ht="15.6" thickTop="1" thickBot="1">
      <c r="A117" s="193">
        <f>'Incremental Network SummerFcast'!A117</f>
        <v>0</v>
      </c>
      <c r="B117" s="206">
        <f>'Incremental Network SummerFcast'!B117</f>
        <v>0</v>
      </c>
      <c r="C117" s="206">
        <f>'Incremental Network SummerFcast'!C117</f>
        <v>0</v>
      </c>
      <c r="D117" s="206">
        <f>'Incremental Network SummerFcast'!D117</f>
        <v>0</v>
      </c>
      <c r="E117" s="206">
        <f>'Incremental Network SummerFcast'!E117</f>
        <v>0</v>
      </c>
      <c r="F117" s="206">
        <f>'Incremental Network SummerFcast'!F117</f>
        <v>0</v>
      </c>
      <c r="G117" s="206">
        <f>'Incremental Network SummerFcast'!G117</f>
        <v>0</v>
      </c>
      <c r="H117" s="206">
        <f>'Incremental Network SummerFcast'!H117</f>
        <v>0</v>
      </c>
      <c r="I117" s="206">
        <f>'Incremental Network SummerFcast'!I117</f>
        <v>0</v>
      </c>
      <c r="J117" s="206">
        <f>'Incremental Network SummerFcast'!J117</f>
        <v>0</v>
      </c>
      <c r="K117" s="206">
        <f>'Incremental Network SummerFcast'!K117</f>
        <v>0</v>
      </c>
      <c r="L117" s="206">
        <f>'Incremental Network SummerFcast'!L117</f>
        <v>0</v>
      </c>
      <c r="M117" s="37"/>
    </row>
    <row r="118" spans="1:13" ht="15" thickBot="1">
      <c r="A118" s="193" t="str">
        <f>'Incremental Network SummerFcast'!A118</f>
        <v>Customer forecast</v>
      </c>
      <c r="B118" s="194">
        <f ca="1">'Incremental Network SummerFcast'!B118*$G$1</f>
        <v>0</v>
      </c>
      <c r="C118" s="194">
        <f ca="1">'Incremental Network SummerFcast'!C118*$G$1</f>
        <v>0</v>
      </c>
      <c r="D118" s="194">
        <f ca="1">'Incremental Network SummerFcast'!D118*$G$1</f>
        <v>0</v>
      </c>
      <c r="E118" s="194">
        <f ca="1">'Incremental Network SummerFcast'!E118*$G$1</f>
        <v>0</v>
      </c>
      <c r="F118" s="194">
        <f ca="1">'Incremental Network SummerFcast'!F118*$G$1</f>
        <v>0</v>
      </c>
      <c r="G118" s="194">
        <f ca="1">'Incremental Network SummerFcast'!G118*$G$1</f>
        <v>0</v>
      </c>
      <c r="H118" s="194">
        <f ca="1">'Incremental Network SummerFcast'!H118*$G$1</f>
        <v>0</v>
      </c>
      <c r="I118" s="194">
        <f ca="1">'Incremental Network SummerFcast'!I118*$G$1</f>
        <v>0</v>
      </c>
      <c r="J118" s="194">
        <f ca="1">'Incremental Network SummerFcast'!J118*$G$1</f>
        <v>0</v>
      </c>
      <c r="K118" s="194">
        <f ca="1">'Incremental Network SummerFcast'!K118*$G$1</f>
        <v>0</v>
      </c>
      <c r="L118" s="194">
        <f ca="1">'Incremental Network SummerFcast'!L118*$G$1</f>
        <v>0</v>
      </c>
      <c r="M118" s="37"/>
    </row>
    <row r="119" spans="1:13" ht="15" thickBot="1">
      <c r="A119" s="195" t="str">
        <f>'Incremental Network SummerFcast'!A119</f>
        <v>Base</v>
      </c>
      <c r="B119" s="196">
        <f ca="1">'Incremental Network SummerFcast'!B119*$G$1</f>
        <v>0</v>
      </c>
      <c r="C119" s="196">
        <f ca="1">'Incremental Network SummerFcast'!C119*$G$1</f>
        <v>0</v>
      </c>
      <c r="D119" s="196">
        <f ca="1">'Incremental Network SummerFcast'!D119*$G$1</f>
        <v>0</v>
      </c>
      <c r="E119" s="196">
        <f ca="1">'Incremental Network SummerFcast'!E119*$G$1</f>
        <v>0</v>
      </c>
      <c r="F119" s="196">
        <f ca="1">'Incremental Network SummerFcast'!F119*$G$1</f>
        <v>0</v>
      </c>
      <c r="G119" s="196">
        <f ca="1">'Incremental Network SummerFcast'!G119*$G$1</f>
        <v>0</v>
      </c>
      <c r="H119" s="196">
        <f ca="1">'Incremental Network SummerFcast'!H119*$G$1</f>
        <v>0</v>
      </c>
      <c r="I119" s="196">
        <f ca="1">'Incremental Network SummerFcast'!I119*$G$1</f>
        <v>0</v>
      </c>
      <c r="J119" s="196">
        <f ca="1">'Incremental Network SummerFcast'!J119*$G$1</f>
        <v>0</v>
      </c>
      <c r="K119" s="196">
        <f ca="1">'Incremental Network SummerFcast'!K119*$G$1</f>
        <v>0</v>
      </c>
      <c r="L119" s="196">
        <f ca="1">'Incremental Network SummerFcast'!L119*$G$1</f>
        <v>0</v>
      </c>
    </row>
    <row r="120" spans="1:13" ht="15" thickBot="1">
      <c r="A120" s="195" t="str">
        <f>'Incremental Network SummerFcast'!A120</f>
        <v>Low</v>
      </c>
      <c r="B120" s="196">
        <f ca="1">'Incremental Network SummerFcast'!B120*$G$1</f>
        <v>0</v>
      </c>
      <c r="C120" s="196">
        <f ca="1">'Incremental Network SummerFcast'!C120*$G$1</f>
        <v>0</v>
      </c>
      <c r="D120" s="196">
        <f ca="1">'Incremental Network SummerFcast'!D120*$G$1</f>
        <v>0</v>
      </c>
      <c r="E120" s="196">
        <f ca="1">'Incremental Network SummerFcast'!E120*$G$1</f>
        <v>0</v>
      </c>
      <c r="F120" s="196">
        <f ca="1">'Incremental Network SummerFcast'!F120*$G$1</f>
        <v>0</v>
      </c>
      <c r="G120" s="196">
        <f ca="1">'Incremental Network SummerFcast'!G120*$G$1</f>
        <v>0</v>
      </c>
      <c r="H120" s="196">
        <f ca="1">'Incremental Network SummerFcast'!H120*$G$1</f>
        <v>0</v>
      </c>
      <c r="I120" s="196">
        <f ca="1">'Incremental Network SummerFcast'!I120*$G$1</f>
        <v>0</v>
      </c>
      <c r="J120" s="196">
        <f ca="1">'Incremental Network SummerFcast'!J120*$G$1</f>
        <v>0</v>
      </c>
      <c r="K120" s="196">
        <f ca="1">'Incremental Network SummerFcast'!K120*$G$1</f>
        <v>0</v>
      </c>
      <c r="L120" s="196">
        <f ca="1">'Incremental Network SummerFcast'!L120*$G$1</f>
        <v>0</v>
      </c>
    </row>
    <row r="121" spans="1:13" ht="15" thickBot="1">
      <c r="A121" s="197" t="str">
        <f>'Incremental Network SummerFcast'!A121</f>
        <v>High</v>
      </c>
      <c r="B121" s="198">
        <f ca="1">'Incremental Network SummerFcast'!B121*$G$1</f>
        <v>0</v>
      </c>
      <c r="C121" s="198">
        <f ca="1">'Incremental Network SummerFcast'!C121*$G$1</f>
        <v>0</v>
      </c>
      <c r="D121" s="198">
        <f ca="1">'Incremental Network SummerFcast'!D121*$G$1</f>
        <v>0</v>
      </c>
      <c r="E121" s="198">
        <f ca="1">'Incremental Network SummerFcast'!E121*$G$1</f>
        <v>0</v>
      </c>
      <c r="F121" s="198">
        <f ca="1">'Incremental Network SummerFcast'!F121*$G$1</f>
        <v>0</v>
      </c>
      <c r="G121" s="198">
        <f ca="1">'Incremental Network SummerFcast'!G121*$G$1</f>
        <v>0</v>
      </c>
      <c r="H121" s="198">
        <f ca="1">'Incremental Network SummerFcast'!H121*$G$1</f>
        <v>0</v>
      </c>
      <c r="I121" s="198">
        <f ca="1">'Incremental Network SummerFcast'!I121*$G$1</f>
        <v>0</v>
      </c>
      <c r="J121" s="198">
        <f ca="1">'Incremental Network SummerFcast'!J121*$G$1</f>
        <v>0</v>
      </c>
      <c r="K121" s="198">
        <f ca="1">'Incremental Network SummerFcast'!K121*$G$1</f>
        <v>0</v>
      </c>
      <c r="L121" s="198">
        <f ca="1">'Incremental Network SummerFcast'!L121*$G$1</f>
        <v>0</v>
      </c>
    </row>
    <row r="122" spans="1:13" ht="15.6" thickTop="1" thickBot="1">
      <c r="A122" s="197" t="s">
        <v>148</v>
      </c>
      <c r="B122" s="198">
        <f ca="1">'Incremental Network SummerFcast'!$B$245*B119+'Incremental Network SummerFcast'!$B$246*B120+'Incremental Network SummerFcast'!$B$247*B121</f>
        <v>0</v>
      </c>
      <c r="C122" s="198">
        <f ca="1">'Incremental Network SummerFcast'!$B$245*C119+'Incremental Network SummerFcast'!$B$246*C120+'Incremental Network SummerFcast'!$B$247*C121</f>
        <v>0</v>
      </c>
      <c r="D122" s="198">
        <f ca="1">'Incremental Network SummerFcast'!$B$245*D119+'Incremental Network SummerFcast'!$B$246*D120+'Incremental Network SummerFcast'!$B$247*D121</f>
        <v>0</v>
      </c>
      <c r="E122" s="198">
        <f ca="1">'Incremental Network SummerFcast'!$B$245*E119+'Incremental Network SummerFcast'!$B$246*E120+'Incremental Network SummerFcast'!$B$247*E121</f>
        <v>0</v>
      </c>
      <c r="F122" s="198">
        <f ca="1">'Incremental Network SummerFcast'!$B$245*F119+'Incremental Network SummerFcast'!$B$246*F120+'Incremental Network SummerFcast'!$B$247*F121</f>
        <v>0</v>
      </c>
      <c r="G122" s="198">
        <f ca="1">'Incremental Network SummerFcast'!$B$245*G119+'Incremental Network SummerFcast'!$B$246*G120+'Incremental Network SummerFcast'!$B$247*G121</f>
        <v>0</v>
      </c>
      <c r="H122" s="198">
        <f ca="1">'Incremental Network SummerFcast'!$B$245*H119+'Incremental Network SummerFcast'!$B$246*H120+'Incremental Network SummerFcast'!$B$247*H121</f>
        <v>0</v>
      </c>
      <c r="I122" s="198">
        <f ca="1">'Incremental Network SummerFcast'!$B$245*I119+'Incremental Network SummerFcast'!$B$246*I120+'Incremental Network SummerFcast'!$B$247*I121</f>
        <v>0</v>
      </c>
      <c r="J122" s="198">
        <f ca="1">'Incremental Network SummerFcast'!$B$245*J119+'Incremental Network SummerFcast'!$B$246*J120+'Incremental Network SummerFcast'!$B$247*J121</f>
        <v>0</v>
      </c>
      <c r="K122" s="198">
        <f ca="1">'Incremental Network SummerFcast'!$B$245*K119+'Incremental Network SummerFcast'!$B$246*K120+'Incremental Network SummerFcast'!$B$247*K121</f>
        <v>0</v>
      </c>
      <c r="L122" s="198">
        <f ca="1">'Incremental Network SummerFcast'!$B$245*L119+'Incremental Network SummerFcast'!$B$246*L120+'Incremental Network SummerFcast'!$B$247*L121</f>
        <v>0</v>
      </c>
    </row>
    <row r="123" spans="1:13" ht="15.6" thickTop="1" thickBot="1">
      <c r="A123" s="187" t="str">
        <f>'Incremental Network SummerFcast'!A123</f>
        <v>NH</v>
      </c>
      <c r="B123" s="216"/>
      <c r="C123" s="190"/>
      <c r="D123" s="190"/>
      <c r="E123" s="190"/>
      <c r="F123" s="190"/>
      <c r="G123" s="190"/>
      <c r="H123" s="190"/>
      <c r="I123" s="190"/>
      <c r="J123" s="190"/>
      <c r="K123" s="190"/>
      <c r="L123" s="190"/>
    </row>
    <row r="124" spans="1:13" ht="15" thickBot="1">
      <c r="A124" s="191" t="str">
        <f>'Incremental Network SummerFcast'!A124</f>
        <v>Uptake Scenario</v>
      </c>
      <c r="B124" s="191">
        <f>'Incremental Network SummerFcast'!B124</f>
        <v>2023</v>
      </c>
      <c r="C124" s="191">
        <f>'Incremental Network SummerFcast'!C124</f>
        <v>2024</v>
      </c>
      <c r="D124" s="191">
        <f>'Incremental Network SummerFcast'!D124</f>
        <v>2025</v>
      </c>
      <c r="E124" s="191">
        <f>'Incremental Network SummerFcast'!E124</f>
        <v>2026</v>
      </c>
      <c r="F124" s="191">
        <f>'Incremental Network SummerFcast'!F124</f>
        <v>2027</v>
      </c>
      <c r="G124" s="191">
        <f>'Incremental Network SummerFcast'!G124</f>
        <v>2028</v>
      </c>
      <c r="H124" s="191">
        <f>'Incremental Network SummerFcast'!H124</f>
        <v>2029</v>
      </c>
      <c r="I124" s="191">
        <f>'Incremental Network SummerFcast'!I124</f>
        <v>2030</v>
      </c>
      <c r="J124" s="191">
        <f>'Incremental Network SummerFcast'!J124</f>
        <v>2031</v>
      </c>
      <c r="K124" s="191">
        <f>'Incremental Network SummerFcast'!K124</f>
        <v>2032</v>
      </c>
      <c r="L124" s="191">
        <f>'Incremental Network SummerFcast'!L124</f>
        <v>2033</v>
      </c>
    </row>
    <row r="125" spans="1:13" ht="15.6" thickTop="1" thickBot="1">
      <c r="A125" s="193">
        <f>'Incremental Network SummerFcast'!A125</f>
        <v>0</v>
      </c>
      <c r="B125" s="206">
        <f>'Incremental Network SummerFcast'!B125</f>
        <v>0</v>
      </c>
      <c r="C125" s="206">
        <f>'Incremental Network SummerFcast'!C125</f>
        <v>0</v>
      </c>
      <c r="D125" s="206">
        <f>'Incremental Network SummerFcast'!D125</f>
        <v>0</v>
      </c>
      <c r="E125" s="206">
        <f>'Incremental Network SummerFcast'!E125</f>
        <v>0</v>
      </c>
      <c r="F125" s="206">
        <f>'Incremental Network SummerFcast'!F125</f>
        <v>0</v>
      </c>
      <c r="G125" s="206">
        <f>'Incremental Network SummerFcast'!G125</f>
        <v>0</v>
      </c>
      <c r="H125" s="206">
        <f>'Incremental Network SummerFcast'!H125</f>
        <v>0</v>
      </c>
      <c r="I125" s="206">
        <f>'Incremental Network SummerFcast'!I125</f>
        <v>0</v>
      </c>
      <c r="J125" s="206">
        <f>'Incremental Network SummerFcast'!J125</f>
        <v>0</v>
      </c>
      <c r="K125" s="206">
        <f>'Incremental Network SummerFcast'!K125</f>
        <v>0</v>
      </c>
      <c r="L125" s="206">
        <f>'Incremental Network SummerFcast'!L125</f>
        <v>0</v>
      </c>
      <c r="M125" s="37"/>
    </row>
    <row r="126" spans="1:13" ht="15" thickBot="1">
      <c r="A126" s="193" t="str">
        <f>'Incremental Network SummerFcast'!A126</f>
        <v>Customer forecast</v>
      </c>
      <c r="B126" s="194">
        <f ca="1">'Incremental Network SummerFcast'!B126*$G$1</f>
        <v>0</v>
      </c>
      <c r="C126" s="194">
        <f ca="1">'Incremental Network SummerFcast'!C126*$G$1</f>
        <v>0</v>
      </c>
      <c r="D126" s="194">
        <f ca="1">'Incremental Network SummerFcast'!D126*$G$1</f>
        <v>4.25</v>
      </c>
      <c r="E126" s="194">
        <f ca="1">'Incremental Network SummerFcast'!E126*$G$1</f>
        <v>4.25</v>
      </c>
      <c r="F126" s="194">
        <f ca="1">'Incremental Network SummerFcast'!F126*$G$1</f>
        <v>4.25</v>
      </c>
      <c r="G126" s="194">
        <f ca="1">'Incremental Network SummerFcast'!G126*$G$1</f>
        <v>8.5</v>
      </c>
      <c r="H126" s="194">
        <f ca="1">'Incremental Network SummerFcast'!H126*$G$1</f>
        <v>12.75</v>
      </c>
      <c r="I126" s="194">
        <f ca="1">'Incremental Network SummerFcast'!I126*$G$1</f>
        <v>17</v>
      </c>
      <c r="J126" s="194">
        <f ca="1">'Incremental Network SummerFcast'!J126*$G$1</f>
        <v>17</v>
      </c>
      <c r="K126" s="194">
        <f ca="1">'Incremental Network SummerFcast'!K126*$G$1</f>
        <v>17</v>
      </c>
      <c r="L126" s="194">
        <f ca="1">'Incremental Network SummerFcast'!L126*$G$1</f>
        <v>17</v>
      </c>
      <c r="M126" s="37"/>
    </row>
    <row r="127" spans="1:13" ht="15" thickBot="1">
      <c r="A127" s="195" t="str">
        <f>'Incremental Network SummerFcast'!A127</f>
        <v>Base</v>
      </c>
      <c r="B127" s="196">
        <f ca="1">'Incremental Network SummerFcast'!B127*$G$1</f>
        <v>0</v>
      </c>
      <c r="C127" s="196">
        <f ca="1">'Incremental Network SummerFcast'!C127*$G$1</f>
        <v>0</v>
      </c>
      <c r="D127" s="196">
        <f ca="1">'Incremental Network SummerFcast'!D127*$G$1</f>
        <v>0</v>
      </c>
      <c r="E127" s="196">
        <f ca="1">'Incremental Network SummerFcast'!E127*$G$1</f>
        <v>0</v>
      </c>
      <c r="F127" s="196">
        <f ca="1">'Incremental Network SummerFcast'!F127*$G$1</f>
        <v>0</v>
      </c>
      <c r="G127" s="196">
        <f ca="1">'Incremental Network SummerFcast'!G127*$G$1</f>
        <v>1.4875</v>
      </c>
      <c r="H127" s="196">
        <f ca="1">'Incremental Network SummerFcast'!H127*$G$1</f>
        <v>1.4875</v>
      </c>
      <c r="I127" s="196">
        <f ca="1">'Incremental Network SummerFcast'!I127*$G$1</f>
        <v>1.4875</v>
      </c>
      <c r="J127" s="196">
        <f ca="1">'Incremental Network SummerFcast'!J127*$G$1</f>
        <v>2.9750000000000001</v>
      </c>
      <c r="K127" s="196">
        <f ca="1">'Incremental Network SummerFcast'!K127*$G$1</f>
        <v>3.5699999999999994</v>
      </c>
      <c r="L127" s="196">
        <f ca="1">'Incremental Network SummerFcast'!L127*$G$1</f>
        <v>2.0824999999999996</v>
      </c>
    </row>
    <row r="128" spans="1:13" ht="15" thickBot="1">
      <c r="A128" s="195" t="str">
        <f>'Incremental Network SummerFcast'!A128</f>
        <v>Low</v>
      </c>
      <c r="B128" s="196">
        <f ca="1">'Incremental Network SummerFcast'!B128*$G$1</f>
        <v>0</v>
      </c>
      <c r="C128" s="196">
        <f ca="1">'Incremental Network SummerFcast'!C128*$G$1</f>
        <v>0</v>
      </c>
      <c r="D128" s="196">
        <f ca="1">'Incremental Network SummerFcast'!D128*$G$1</f>
        <v>0</v>
      </c>
      <c r="E128" s="196">
        <f ca="1">'Incremental Network SummerFcast'!E128*$G$1</f>
        <v>0</v>
      </c>
      <c r="F128" s="196">
        <f ca="1">'Incremental Network SummerFcast'!F128*$G$1</f>
        <v>0</v>
      </c>
      <c r="G128" s="196">
        <f ca="1">'Incremental Network SummerFcast'!G128*$G$1</f>
        <v>0</v>
      </c>
      <c r="H128" s="196">
        <f ca="1">'Incremental Network SummerFcast'!H128*$G$1</f>
        <v>0</v>
      </c>
      <c r="I128" s="196">
        <f ca="1">'Incremental Network SummerFcast'!I128*$G$1</f>
        <v>0.42499999999999999</v>
      </c>
      <c r="J128" s="196">
        <f ca="1">'Incremental Network SummerFcast'!J128*$G$1</f>
        <v>0.42499999999999999</v>
      </c>
      <c r="K128" s="196">
        <f ca="1">'Incremental Network SummerFcast'!K128*$G$1</f>
        <v>0.42499999999999999</v>
      </c>
      <c r="L128" s="196">
        <f ca="1">'Incremental Network SummerFcast'!L128*$G$1</f>
        <v>0.85</v>
      </c>
    </row>
    <row r="129" spans="1:13" ht="15" thickBot="1">
      <c r="A129" s="197" t="str">
        <f>'Incremental Network SummerFcast'!A129</f>
        <v>High</v>
      </c>
      <c r="B129" s="198">
        <f ca="1">'Incremental Network SummerFcast'!B129*$G$1</f>
        <v>0</v>
      </c>
      <c r="C129" s="198">
        <f ca="1">'Incremental Network SummerFcast'!C129*$G$1</f>
        <v>0</v>
      </c>
      <c r="D129" s="198">
        <f ca="1">'Incremental Network SummerFcast'!D129*$G$1</f>
        <v>0</v>
      </c>
      <c r="E129" s="198">
        <f ca="1">'Incremental Network SummerFcast'!E129*$G$1</f>
        <v>0</v>
      </c>
      <c r="F129" s="198">
        <f ca="1">'Incremental Network SummerFcast'!F129*$G$1</f>
        <v>2.2949999999999999</v>
      </c>
      <c r="G129" s="198">
        <f ca="1">'Incremental Network SummerFcast'!G129*$G$1</f>
        <v>2.2949999999999999</v>
      </c>
      <c r="H129" s="198">
        <f ca="1">'Incremental Network SummerFcast'!H129*$G$1</f>
        <v>2.2949999999999999</v>
      </c>
      <c r="I129" s="198">
        <f ca="1">'Incremental Network SummerFcast'!I129*$G$1</f>
        <v>4.59</v>
      </c>
      <c r="J129" s="198">
        <f ca="1">'Incremental Network SummerFcast'!J129*$G$1</f>
        <v>6.8849999999999998</v>
      </c>
      <c r="K129" s="198">
        <f ca="1">'Incremental Network SummerFcast'!K129*$G$1</f>
        <v>4.1310000000000002</v>
      </c>
      <c r="L129" s="198">
        <f ca="1">'Incremental Network SummerFcast'!L129*$G$1</f>
        <v>6.1964999999999995</v>
      </c>
    </row>
    <row r="130" spans="1:13" ht="15.6" thickTop="1" thickBot="1">
      <c r="A130" s="197" t="s">
        <v>148</v>
      </c>
      <c r="B130" s="198">
        <f ca="1">'Incremental Network SummerFcast'!$B$245*B127+'Incremental Network SummerFcast'!$B$246*B128+'Incremental Network SummerFcast'!$B$247*B129</f>
        <v>0</v>
      </c>
      <c r="C130" s="198">
        <f ca="1">'Incremental Network SummerFcast'!$B$245*C127+'Incremental Network SummerFcast'!$B$246*C128+'Incremental Network SummerFcast'!$B$247*C129</f>
        <v>0</v>
      </c>
      <c r="D130" s="198">
        <f ca="1">'Incremental Network SummerFcast'!$B$245*D127+'Incremental Network SummerFcast'!$B$246*D128+'Incremental Network SummerFcast'!$B$247*D129</f>
        <v>0</v>
      </c>
      <c r="E130" s="198">
        <f ca="1">'Incremental Network SummerFcast'!$B$245*E127+'Incremental Network SummerFcast'!$B$246*E128+'Incremental Network SummerFcast'!$B$247*E129</f>
        <v>0</v>
      </c>
      <c r="F130" s="198">
        <f ca="1">'Incremental Network SummerFcast'!$B$245*F127+'Incremental Network SummerFcast'!$B$246*F128+'Incremental Network SummerFcast'!$B$247*F129</f>
        <v>0.57374999999999998</v>
      </c>
      <c r="G130" s="198">
        <f ca="1">'Incremental Network SummerFcast'!$B$245*G127+'Incremental Network SummerFcast'!$B$246*G128+'Incremental Network SummerFcast'!$B$247*G129</f>
        <v>1.3174999999999999</v>
      </c>
      <c r="H130" s="198">
        <f ca="1">'Incremental Network SummerFcast'!$B$245*H127+'Incremental Network SummerFcast'!$B$246*H128+'Incremental Network SummerFcast'!$B$247*H129</f>
        <v>1.3174999999999999</v>
      </c>
      <c r="I130" s="198">
        <f ca="1">'Incremental Network SummerFcast'!$B$245*I127+'Incremental Network SummerFcast'!$B$246*I128+'Incremental Network SummerFcast'!$B$247*I129</f>
        <v>1.9975000000000001</v>
      </c>
      <c r="J130" s="198">
        <f ca="1">'Incremental Network SummerFcast'!$B$245*J127+'Incremental Network SummerFcast'!$B$246*J128+'Incremental Network SummerFcast'!$B$247*J129</f>
        <v>3.3149999999999999</v>
      </c>
      <c r="K130" s="198">
        <f ca="1">'Incremental Network SummerFcast'!$B$245*K127+'Incremental Network SummerFcast'!$B$246*K128+'Incremental Network SummerFcast'!$B$247*K129</f>
        <v>2.9239999999999995</v>
      </c>
      <c r="L130" s="198">
        <f ca="1">'Incremental Network SummerFcast'!$B$245*L127+'Incremental Network SummerFcast'!$B$246*L128+'Incremental Network SummerFcast'!$B$247*L129</f>
        <v>2.8028749999999993</v>
      </c>
    </row>
    <row r="131" spans="1:13" ht="15.6" thickTop="1" thickBot="1">
      <c r="A131" s="188" t="str">
        <f>'Incremental Network SummerFcast'!A131</f>
        <v>ST</v>
      </c>
      <c r="B131" s="216"/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</row>
    <row r="132" spans="1:13" ht="15" thickBot="1">
      <c r="A132" s="191" t="str">
        <f>'Incremental Network SummerFcast'!A132</f>
        <v>Uptake Scenario</v>
      </c>
      <c r="B132" s="191">
        <f>'Incremental Network SummerFcast'!B132</f>
        <v>2023</v>
      </c>
      <c r="C132" s="191">
        <f>'Incremental Network SummerFcast'!C132</f>
        <v>2024</v>
      </c>
      <c r="D132" s="191">
        <f>'Incremental Network SummerFcast'!D132</f>
        <v>2025</v>
      </c>
      <c r="E132" s="191">
        <f>'Incremental Network SummerFcast'!E132</f>
        <v>2026</v>
      </c>
      <c r="F132" s="191">
        <f>'Incremental Network SummerFcast'!F132</f>
        <v>2027</v>
      </c>
      <c r="G132" s="191">
        <f>'Incremental Network SummerFcast'!G132</f>
        <v>2028</v>
      </c>
      <c r="H132" s="191">
        <f>'Incremental Network SummerFcast'!H132</f>
        <v>2029</v>
      </c>
      <c r="I132" s="191">
        <f>'Incremental Network SummerFcast'!I132</f>
        <v>2030</v>
      </c>
      <c r="J132" s="191">
        <f>'Incremental Network SummerFcast'!J132</f>
        <v>2031</v>
      </c>
      <c r="K132" s="191">
        <f>'Incremental Network SummerFcast'!K132</f>
        <v>2032</v>
      </c>
      <c r="L132" s="191">
        <f>'Incremental Network SummerFcast'!L132</f>
        <v>2033</v>
      </c>
    </row>
    <row r="133" spans="1:13" ht="15.6" thickTop="1" thickBot="1">
      <c r="A133" s="193">
        <f>'Incremental Network SummerFcast'!A133</f>
        <v>0</v>
      </c>
      <c r="B133" s="206">
        <f>'Incremental Network SummerFcast'!B133</f>
        <v>0</v>
      </c>
      <c r="C133" s="206">
        <f>'Incremental Network SummerFcast'!C133</f>
        <v>0</v>
      </c>
      <c r="D133" s="206">
        <f>'Incremental Network SummerFcast'!D133</f>
        <v>0</v>
      </c>
      <c r="E133" s="206">
        <f>'Incremental Network SummerFcast'!E133</f>
        <v>0</v>
      </c>
      <c r="F133" s="206">
        <f>'Incremental Network SummerFcast'!F133</f>
        <v>0</v>
      </c>
      <c r="G133" s="206">
        <f>'Incremental Network SummerFcast'!G133</f>
        <v>0</v>
      </c>
      <c r="H133" s="206">
        <f>'Incremental Network SummerFcast'!H133</f>
        <v>0</v>
      </c>
      <c r="I133" s="206">
        <f>'Incremental Network SummerFcast'!I133</f>
        <v>0</v>
      </c>
      <c r="J133" s="206">
        <f>'Incremental Network SummerFcast'!J133</f>
        <v>0</v>
      </c>
      <c r="K133" s="206">
        <f>'Incremental Network SummerFcast'!K133</f>
        <v>0</v>
      </c>
      <c r="L133" s="206">
        <f>'Incremental Network SummerFcast'!L133</f>
        <v>0</v>
      </c>
      <c r="M133" s="37"/>
    </row>
    <row r="134" spans="1:13" ht="15" thickBot="1">
      <c r="A134" s="193" t="str">
        <f>'Incremental Network SummerFcast'!A134</f>
        <v>Customer forecast</v>
      </c>
      <c r="B134" s="194">
        <f ca="1">'Incremental Network SummerFcast'!B134*$G$1</f>
        <v>0</v>
      </c>
      <c r="C134" s="194">
        <f ca="1">'Incremental Network SummerFcast'!C134*$G$1</f>
        <v>0</v>
      </c>
      <c r="D134" s="194">
        <f ca="1">'Incremental Network SummerFcast'!D134*$G$1</f>
        <v>0</v>
      </c>
      <c r="E134" s="194">
        <f ca="1">'Incremental Network SummerFcast'!E134*$G$1</f>
        <v>0</v>
      </c>
      <c r="F134" s="194">
        <f ca="1">'Incremental Network SummerFcast'!F134*$G$1</f>
        <v>0</v>
      </c>
      <c r="G134" s="194">
        <f ca="1">'Incremental Network SummerFcast'!G134*$G$1</f>
        <v>0</v>
      </c>
      <c r="H134" s="194">
        <f ca="1">'Incremental Network SummerFcast'!H134*$G$1</f>
        <v>0</v>
      </c>
      <c r="I134" s="194">
        <f ca="1">'Incremental Network SummerFcast'!I134*$G$1</f>
        <v>0</v>
      </c>
      <c r="J134" s="194">
        <f ca="1">'Incremental Network SummerFcast'!J134*$G$1</f>
        <v>0</v>
      </c>
      <c r="K134" s="194">
        <f ca="1">'Incremental Network SummerFcast'!K134*$G$1</f>
        <v>0</v>
      </c>
      <c r="L134" s="194">
        <f ca="1">'Incremental Network SummerFcast'!L134*$G$1</f>
        <v>0</v>
      </c>
      <c r="M134" s="37"/>
    </row>
    <row r="135" spans="1:13" ht="15" thickBot="1">
      <c r="A135" s="195" t="str">
        <f>'Incremental Network SummerFcast'!A135</f>
        <v>Base</v>
      </c>
      <c r="B135" s="196">
        <f ca="1">'Incremental Network SummerFcast'!B135*$G$1</f>
        <v>0</v>
      </c>
      <c r="C135" s="196">
        <f ca="1">'Incremental Network SummerFcast'!C135*$G$1</f>
        <v>0</v>
      </c>
      <c r="D135" s="196">
        <f ca="1">'Incremental Network SummerFcast'!D135*$G$1</f>
        <v>0</v>
      </c>
      <c r="E135" s="196">
        <f ca="1">'Incremental Network SummerFcast'!E135*$G$1</f>
        <v>0</v>
      </c>
      <c r="F135" s="196">
        <f ca="1">'Incremental Network SummerFcast'!F135*$G$1</f>
        <v>0</v>
      </c>
      <c r="G135" s="196">
        <f ca="1">'Incremental Network SummerFcast'!G135*$G$1</f>
        <v>0</v>
      </c>
      <c r="H135" s="196">
        <f ca="1">'Incremental Network SummerFcast'!H135*$G$1</f>
        <v>0</v>
      </c>
      <c r="I135" s="196">
        <f ca="1">'Incremental Network SummerFcast'!I135*$G$1</f>
        <v>0</v>
      </c>
      <c r="J135" s="196">
        <f ca="1">'Incremental Network SummerFcast'!J135*$G$1</f>
        <v>0</v>
      </c>
      <c r="K135" s="196">
        <f ca="1">'Incremental Network SummerFcast'!K135*$G$1</f>
        <v>0</v>
      </c>
      <c r="L135" s="196">
        <f ca="1">'Incremental Network SummerFcast'!L135*$G$1</f>
        <v>0</v>
      </c>
    </row>
    <row r="136" spans="1:13" ht="15" thickBot="1">
      <c r="A136" s="195" t="str">
        <f>'Incremental Network SummerFcast'!A136</f>
        <v>Low</v>
      </c>
      <c r="B136" s="196">
        <f ca="1">'Incremental Network SummerFcast'!B136*$G$1</f>
        <v>0</v>
      </c>
      <c r="C136" s="196">
        <f ca="1">'Incremental Network SummerFcast'!C136*$G$1</f>
        <v>0</v>
      </c>
      <c r="D136" s="196">
        <f ca="1">'Incremental Network SummerFcast'!D136*$G$1</f>
        <v>0</v>
      </c>
      <c r="E136" s="196">
        <f ca="1">'Incremental Network SummerFcast'!E136*$G$1</f>
        <v>0</v>
      </c>
      <c r="F136" s="196">
        <f ca="1">'Incremental Network SummerFcast'!F136*$G$1</f>
        <v>0</v>
      </c>
      <c r="G136" s="196">
        <f ca="1">'Incremental Network SummerFcast'!G136*$G$1</f>
        <v>0</v>
      </c>
      <c r="H136" s="196">
        <f ca="1">'Incremental Network SummerFcast'!H136*$G$1</f>
        <v>0</v>
      </c>
      <c r="I136" s="196">
        <f ca="1">'Incremental Network SummerFcast'!I136*$G$1</f>
        <v>0</v>
      </c>
      <c r="J136" s="196">
        <f ca="1">'Incremental Network SummerFcast'!J136*$G$1</f>
        <v>0</v>
      </c>
      <c r="K136" s="196">
        <f ca="1">'Incremental Network SummerFcast'!K136*$G$1</f>
        <v>0</v>
      </c>
      <c r="L136" s="196">
        <f ca="1">'Incremental Network SummerFcast'!L136*$G$1</f>
        <v>0</v>
      </c>
    </row>
    <row r="137" spans="1:13" ht="15" thickBot="1">
      <c r="A137" s="197" t="str">
        <f>'Incremental Network SummerFcast'!A137</f>
        <v>High</v>
      </c>
      <c r="B137" s="198">
        <f ca="1">'Incremental Network SummerFcast'!B137*$G$1</f>
        <v>0</v>
      </c>
      <c r="C137" s="198">
        <f ca="1">'Incremental Network SummerFcast'!C137*$G$1</f>
        <v>0</v>
      </c>
      <c r="D137" s="198">
        <f ca="1">'Incremental Network SummerFcast'!D137*$G$1</f>
        <v>0</v>
      </c>
      <c r="E137" s="198">
        <f ca="1">'Incremental Network SummerFcast'!E137*$G$1</f>
        <v>0</v>
      </c>
      <c r="F137" s="198">
        <f ca="1">'Incremental Network SummerFcast'!F137*$G$1</f>
        <v>0</v>
      </c>
      <c r="G137" s="198">
        <f ca="1">'Incremental Network SummerFcast'!G137*$G$1</f>
        <v>0</v>
      </c>
      <c r="H137" s="198">
        <f ca="1">'Incremental Network SummerFcast'!H137*$G$1</f>
        <v>0</v>
      </c>
      <c r="I137" s="198">
        <f ca="1">'Incremental Network SummerFcast'!I137*$G$1</f>
        <v>0</v>
      </c>
      <c r="J137" s="198">
        <f ca="1">'Incremental Network SummerFcast'!J137*$G$1</f>
        <v>0</v>
      </c>
      <c r="K137" s="198">
        <f ca="1">'Incremental Network SummerFcast'!K137*$G$1</f>
        <v>0</v>
      </c>
      <c r="L137" s="198">
        <f ca="1">'Incremental Network SummerFcast'!L137*$G$1</f>
        <v>0</v>
      </c>
    </row>
    <row r="138" spans="1:13" ht="15.6" thickTop="1" thickBot="1">
      <c r="A138" s="197" t="s">
        <v>148</v>
      </c>
      <c r="B138" s="198">
        <f ca="1">'Incremental Network SummerFcast'!$B$245*B135+'Incremental Network SummerFcast'!$B$246*B136+'Incremental Network SummerFcast'!$B$247*B137</f>
        <v>0</v>
      </c>
      <c r="C138" s="198">
        <f ca="1">'Incremental Network SummerFcast'!$B$245*C135+'Incremental Network SummerFcast'!$B$246*C136+'Incremental Network SummerFcast'!$B$247*C137</f>
        <v>0</v>
      </c>
      <c r="D138" s="198">
        <f ca="1">'Incremental Network SummerFcast'!$B$245*D135+'Incremental Network SummerFcast'!$B$246*D136+'Incremental Network SummerFcast'!$B$247*D137</f>
        <v>0</v>
      </c>
      <c r="E138" s="198">
        <f ca="1">'Incremental Network SummerFcast'!$B$245*E135+'Incremental Network SummerFcast'!$B$246*E136+'Incremental Network SummerFcast'!$B$247*E137</f>
        <v>0</v>
      </c>
      <c r="F138" s="198">
        <f ca="1">'Incremental Network SummerFcast'!$B$245*F135+'Incremental Network SummerFcast'!$B$246*F136+'Incremental Network SummerFcast'!$B$247*F137</f>
        <v>0</v>
      </c>
      <c r="G138" s="198">
        <f ca="1">'Incremental Network SummerFcast'!$B$245*G135+'Incremental Network SummerFcast'!$B$246*G136+'Incremental Network SummerFcast'!$B$247*G137</f>
        <v>0</v>
      </c>
      <c r="H138" s="198">
        <f ca="1">'Incremental Network SummerFcast'!$B$245*H135+'Incremental Network SummerFcast'!$B$246*H136+'Incremental Network SummerFcast'!$B$247*H137</f>
        <v>0</v>
      </c>
      <c r="I138" s="198">
        <f ca="1">'Incremental Network SummerFcast'!$B$245*I135+'Incremental Network SummerFcast'!$B$246*I136+'Incremental Network SummerFcast'!$B$247*I137</f>
        <v>0</v>
      </c>
      <c r="J138" s="198">
        <f ca="1">'Incremental Network SummerFcast'!$B$245*J135+'Incremental Network SummerFcast'!$B$246*J136+'Incremental Network SummerFcast'!$B$247*J137</f>
        <v>0</v>
      </c>
      <c r="K138" s="198">
        <f ca="1">'Incremental Network SummerFcast'!$B$245*K135+'Incremental Network SummerFcast'!$B$246*K136+'Incremental Network SummerFcast'!$B$247*K137</f>
        <v>0</v>
      </c>
      <c r="L138" s="198">
        <f ca="1">'Incremental Network SummerFcast'!$B$245*L135+'Incremental Network SummerFcast'!$B$246*L136+'Incremental Network SummerFcast'!$B$247*L137</f>
        <v>0</v>
      </c>
    </row>
    <row r="139" spans="1:13" ht="15.6" thickTop="1" thickBot="1">
      <c r="A139" s="188" t="str">
        <f>'Incremental Network SummerFcast'!A139</f>
        <v>TH</v>
      </c>
      <c r="B139" s="216"/>
      <c r="C139" s="190"/>
      <c r="D139" s="190"/>
      <c r="E139" s="190"/>
      <c r="F139" s="190"/>
      <c r="G139" s="190"/>
      <c r="H139" s="190"/>
      <c r="I139" s="190"/>
      <c r="J139" s="190"/>
      <c r="K139" s="190"/>
      <c r="L139" s="190"/>
    </row>
    <row r="140" spans="1:13" ht="15" thickBot="1">
      <c r="A140" s="191" t="str">
        <f>'Incremental Network SummerFcast'!A140</f>
        <v>Uptake Scenario</v>
      </c>
      <c r="B140" s="191">
        <f>'Incremental Network SummerFcast'!B140</f>
        <v>2023</v>
      </c>
      <c r="C140" s="191">
        <f>'Incremental Network SummerFcast'!C140</f>
        <v>2024</v>
      </c>
      <c r="D140" s="191">
        <f>'Incremental Network SummerFcast'!D140</f>
        <v>2025</v>
      </c>
      <c r="E140" s="191">
        <f>'Incremental Network SummerFcast'!E140</f>
        <v>2026</v>
      </c>
      <c r="F140" s="191">
        <f>'Incremental Network SummerFcast'!F140</f>
        <v>2027</v>
      </c>
      <c r="G140" s="191">
        <f>'Incremental Network SummerFcast'!G140</f>
        <v>2028</v>
      </c>
      <c r="H140" s="191">
        <f>'Incremental Network SummerFcast'!H140</f>
        <v>2029</v>
      </c>
      <c r="I140" s="191">
        <f>'Incremental Network SummerFcast'!I140</f>
        <v>2030</v>
      </c>
      <c r="J140" s="191">
        <f>'Incremental Network SummerFcast'!J140</f>
        <v>2031</v>
      </c>
      <c r="K140" s="191">
        <f>'Incremental Network SummerFcast'!K140</f>
        <v>2032</v>
      </c>
      <c r="L140" s="191">
        <f>'Incremental Network SummerFcast'!L140</f>
        <v>2033</v>
      </c>
    </row>
    <row r="141" spans="1:13" ht="15.6" thickTop="1" thickBot="1">
      <c r="A141" s="193">
        <f>'Incremental Network SummerFcast'!A141</f>
        <v>0</v>
      </c>
      <c r="B141" s="206">
        <f>'Incremental Network SummerFcast'!B141</f>
        <v>0</v>
      </c>
      <c r="C141" s="206">
        <f>'Incremental Network SummerFcast'!C141</f>
        <v>0</v>
      </c>
      <c r="D141" s="206">
        <f>'Incremental Network SummerFcast'!D141</f>
        <v>0</v>
      </c>
      <c r="E141" s="206">
        <f>'Incremental Network SummerFcast'!E141</f>
        <v>0</v>
      </c>
      <c r="F141" s="206">
        <f>'Incremental Network SummerFcast'!F141</f>
        <v>0</v>
      </c>
      <c r="G141" s="206">
        <f>'Incremental Network SummerFcast'!G141</f>
        <v>0</v>
      </c>
      <c r="H141" s="206">
        <f>'Incremental Network SummerFcast'!H141</f>
        <v>0</v>
      </c>
      <c r="I141" s="206">
        <f>'Incremental Network SummerFcast'!I141</f>
        <v>0</v>
      </c>
      <c r="J141" s="206">
        <f>'Incremental Network SummerFcast'!J141</f>
        <v>0</v>
      </c>
      <c r="K141" s="206">
        <f>'Incremental Network SummerFcast'!K141</f>
        <v>0</v>
      </c>
      <c r="L141" s="206">
        <f>'Incremental Network SummerFcast'!L141</f>
        <v>0</v>
      </c>
      <c r="M141" s="37"/>
    </row>
    <row r="142" spans="1:13" ht="15" thickBot="1">
      <c r="A142" s="193" t="str">
        <f>'Incremental Network SummerFcast'!A142</f>
        <v>Customer forecast</v>
      </c>
      <c r="B142" s="194">
        <f ca="1">'Incremental Network SummerFcast'!B142*$G$1</f>
        <v>-1.7</v>
      </c>
      <c r="C142" s="194">
        <f ca="1">'Incremental Network SummerFcast'!C142*$G$1</f>
        <v>1.4875</v>
      </c>
      <c r="D142" s="194">
        <f ca="1">'Incremental Network SummerFcast'!D142*$G$1</f>
        <v>11.049999999999999</v>
      </c>
      <c r="E142" s="194">
        <f ca="1">'Incremental Network SummerFcast'!E142*$G$1</f>
        <v>15.299999999999999</v>
      </c>
      <c r="F142" s="194">
        <f ca="1">'Incremental Network SummerFcast'!F142*$G$1</f>
        <v>15.299999999999999</v>
      </c>
      <c r="G142" s="194">
        <f ca="1">'Incremental Network SummerFcast'!G142*$G$1</f>
        <v>15.299999999999999</v>
      </c>
      <c r="H142" s="194">
        <f ca="1">'Incremental Network SummerFcast'!H142*$G$1</f>
        <v>0</v>
      </c>
      <c r="I142" s="194">
        <f ca="1">'Incremental Network SummerFcast'!I142*$G$1</f>
        <v>0</v>
      </c>
      <c r="J142" s="194">
        <f ca="1">'Incremental Network SummerFcast'!J142*$G$1</f>
        <v>0</v>
      </c>
      <c r="K142" s="194">
        <f ca="1">'Incremental Network SummerFcast'!K142*$G$1</f>
        <v>0</v>
      </c>
      <c r="L142" s="194">
        <f ca="1">'Incremental Network SummerFcast'!L142*$G$1</f>
        <v>0</v>
      </c>
      <c r="M142" s="37"/>
    </row>
    <row r="143" spans="1:13" ht="15" thickBot="1">
      <c r="A143" s="195" t="str">
        <f>'Incremental Network SummerFcast'!A143</f>
        <v>Base</v>
      </c>
      <c r="B143" s="196">
        <f ca="1">'Incremental Network SummerFcast'!B143*$G$1</f>
        <v>-1.7</v>
      </c>
      <c r="C143" s="196">
        <f ca="1">'Incremental Network SummerFcast'!C143*$G$1</f>
        <v>1.4875</v>
      </c>
      <c r="D143" s="196">
        <f ca="1">'Incremental Network SummerFcast'!D143*$G$1</f>
        <v>11.049999999999999</v>
      </c>
      <c r="E143" s="196">
        <f ca="1">'Incremental Network SummerFcast'!E143*$G$1</f>
        <v>15.299999999999999</v>
      </c>
      <c r="F143" s="196">
        <f ca="1">'Incremental Network SummerFcast'!F143*$G$1</f>
        <v>15.299999999999999</v>
      </c>
      <c r="G143" s="196">
        <f ca="1">'Incremental Network SummerFcast'!G143*$G$1</f>
        <v>15.299999999999999</v>
      </c>
      <c r="H143" s="196">
        <f ca="1">'Incremental Network SummerFcast'!H143*$G$1</f>
        <v>0</v>
      </c>
      <c r="I143" s="196">
        <f ca="1">'Incremental Network SummerFcast'!I143*$G$1</f>
        <v>0</v>
      </c>
      <c r="J143" s="196">
        <f ca="1">'Incremental Network SummerFcast'!J143*$G$1</f>
        <v>0</v>
      </c>
      <c r="K143" s="196">
        <f ca="1">'Incremental Network SummerFcast'!K143*$G$1</f>
        <v>0</v>
      </c>
      <c r="L143" s="196">
        <f ca="1">'Incremental Network SummerFcast'!L143*$G$1</f>
        <v>0</v>
      </c>
    </row>
    <row r="144" spans="1:13" ht="15" thickBot="1">
      <c r="A144" s="195" t="str">
        <f>'Incremental Network SummerFcast'!A144</f>
        <v>Low</v>
      </c>
      <c r="B144" s="196">
        <f ca="1">'Incremental Network SummerFcast'!B144*$G$1</f>
        <v>-1.7</v>
      </c>
      <c r="C144" s="196">
        <f ca="1">'Incremental Network SummerFcast'!C144*$G$1</f>
        <v>1.4875</v>
      </c>
      <c r="D144" s="196">
        <f ca="1">'Incremental Network SummerFcast'!D144*$G$1</f>
        <v>11.049999999999999</v>
      </c>
      <c r="E144" s="196">
        <f ca="1">'Incremental Network SummerFcast'!E144*$G$1</f>
        <v>15.299999999999999</v>
      </c>
      <c r="F144" s="196">
        <f ca="1">'Incremental Network SummerFcast'!F144*$G$1</f>
        <v>15.299999999999999</v>
      </c>
      <c r="G144" s="196">
        <f ca="1">'Incremental Network SummerFcast'!G144*$G$1</f>
        <v>15.299999999999999</v>
      </c>
      <c r="H144" s="196">
        <f ca="1">'Incremental Network SummerFcast'!H144*$G$1</f>
        <v>0</v>
      </c>
      <c r="I144" s="196">
        <f ca="1">'Incremental Network SummerFcast'!I144*$G$1</f>
        <v>0</v>
      </c>
      <c r="J144" s="196">
        <f ca="1">'Incremental Network SummerFcast'!J144*$G$1</f>
        <v>0</v>
      </c>
      <c r="K144" s="196">
        <f ca="1">'Incremental Network SummerFcast'!K144*$G$1</f>
        <v>0</v>
      </c>
      <c r="L144" s="196">
        <f ca="1">'Incremental Network SummerFcast'!L144*$G$1</f>
        <v>0</v>
      </c>
    </row>
    <row r="145" spans="1:13" ht="15" thickBot="1">
      <c r="A145" s="197" t="str">
        <f>'Incremental Network SummerFcast'!A145</f>
        <v>High</v>
      </c>
      <c r="B145" s="198">
        <f ca="1">'Incremental Network SummerFcast'!B145*$G$1</f>
        <v>-1.7</v>
      </c>
      <c r="C145" s="198">
        <f ca="1">'Incremental Network SummerFcast'!C145*$G$1</f>
        <v>1.4875</v>
      </c>
      <c r="D145" s="198">
        <f ca="1">'Incremental Network SummerFcast'!D145*$G$1</f>
        <v>11.049999999999999</v>
      </c>
      <c r="E145" s="198">
        <f ca="1">'Incremental Network SummerFcast'!E145*$G$1</f>
        <v>15.299999999999999</v>
      </c>
      <c r="F145" s="198">
        <f ca="1">'Incremental Network SummerFcast'!F145*$G$1</f>
        <v>15.299999999999999</v>
      </c>
      <c r="G145" s="198">
        <f ca="1">'Incremental Network SummerFcast'!G145*$G$1</f>
        <v>15.299999999999999</v>
      </c>
      <c r="H145" s="198">
        <f ca="1">'Incremental Network SummerFcast'!H145*$G$1</f>
        <v>0</v>
      </c>
      <c r="I145" s="198">
        <f ca="1">'Incremental Network SummerFcast'!I145*$G$1</f>
        <v>0</v>
      </c>
      <c r="J145" s="198">
        <f ca="1">'Incremental Network SummerFcast'!J145*$G$1</f>
        <v>0</v>
      </c>
      <c r="K145" s="198">
        <f ca="1">'Incremental Network SummerFcast'!K145*$G$1</f>
        <v>0</v>
      </c>
      <c r="L145" s="198">
        <f ca="1">'Incremental Network SummerFcast'!L145*$G$1</f>
        <v>0</v>
      </c>
    </row>
    <row r="146" spans="1:13" ht="15.6" thickTop="1" thickBot="1">
      <c r="A146" s="197" t="s">
        <v>148</v>
      </c>
      <c r="B146" s="198">
        <f ca="1">'Incremental Network SummerFcast'!$B$245*B143+'Incremental Network SummerFcast'!$B$246*B144+'Incremental Network SummerFcast'!$B$247*B145</f>
        <v>-1.7</v>
      </c>
      <c r="C146" s="198">
        <f ca="1">'Incremental Network SummerFcast'!$B$245*C143+'Incremental Network SummerFcast'!$B$246*C144+'Incremental Network SummerFcast'!$B$247*C145</f>
        <v>1.4875</v>
      </c>
      <c r="D146" s="198">
        <f ca="1">'Incremental Network SummerFcast'!$B$245*D143+'Incremental Network SummerFcast'!$B$246*D144+'Incremental Network SummerFcast'!$B$247*D145</f>
        <v>11.049999999999999</v>
      </c>
      <c r="E146" s="198">
        <f ca="1">'Incremental Network SummerFcast'!$B$245*E143+'Incremental Network SummerFcast'!$B$246*E144+'Incremental Network SummerFcast'!$B$247*E145</f>
        <v>15.299999999999999</v>
      </c>
      <c r="F146" s="198">
        <f ca="1">'Incremental Network SummerFcast'!$B$245*F143+'Incremental Network SummerFcast'!$B$246*F144+'Incremental Network SummerFcast'!$B$247*F145</f>
        <v>15.299999999999999</v>
      </c>
      <c r="G146" s="198">
        <f ca="1">'Incremental Network SummerFcast'!$B$245*G143+'Incremental Network SummerFcast'!$B$246*G144+'Incremental Network SummerFcast'!$B$247*G145</f>
        <v>15.299999999999999</v>
      </c>
      <c r="H146" s="198">
        <f ca="1">'Incremental Network SummerFcast'!$B$245*H143+'Incremental Network SummerFcast'!$B$246*H144+'Incremental Network SummerFcast'!$B$247*H145</f>
        <v>0</v>
      </c>
      <c r="I146" s="198">
        <f ca="1">'Incremental Network SummerFcast'!$B$245*I143+'Incremental Network SummerFcast'!$B$246*I144+'Incremental Network SummerFcast'!$B$247*I145</f>
        <v>0</v>
      </c>
      <c r="J146" s="198">
        <f ca="1">'Incremental Network SummerFcast'!$B$245*J143+'Incremental Network SummerFcast'!$B$246*J144+'Incremental Network SummerFcast'!$B$247*J145</f>
        <v>0</v>
      </c>
      <c r="K146" s="198">
        <f ca="1">'Incremental Network SummerFcast'!$B$245*K143+'Incremental Network SummerFcast'!$B$246*K144+'Incremental Network SummerFcast'!$B$247*K145</f>
        <v>0</v>
      </c>
      <c r="L146" s="198">
        <f ca="1">'Incremental Network SummerFcast'!$B$245*L143+'Incremental Network SummerFcast'!$B$246*L144+'Incremental Network SummerFcast'!$B$247*L145</f>
        <v>0</v>
      </c>
    </row>
    <row r="147" spans="1:13" ht="15.6" thickTop="1" thickBot="1">
      <c r="A147" s="188" t="str">
        <f>'Incremental Network SummerFcast'!A147</f>
        <v>KTS EAST</v>
      </c>
      <c r="B147" s="216"/>
      <c r="C147" s="190"/>
      <c r="D147" s="190"/>
      <c r="E147" s="190"/>
      <c r="F147" s="190"/>
      <c r="G147" s="190"/>
      <c r="H147" s="190"/>
      <c r="I147" s="190"/>
      <c r="J147" s="190"/>
      <c r="K147" s="190"/>
      <c r="L147" s="190"/>
    </row>
    <row r="148" spans="1:13" ht="15" thickBot="1">
      <c r="A148" s="191" t="str">
        <f>'Incremental Network SummerFcast'!A148</f>
        <v>Uptake Scenario</v>
      </c>
      <c r="B148" s="191">
        <f>'Incremental Network SummerFcast'!B148</f>
        <v>2023</v>
      </c>
      <c r="C148" s="191">
        <f>'Incremental Network SummerFcast'!C148</f>
        <v>2024</v>
      </c>
      <c r="D148" s="191">
        <f>'Incremental Network SummerFcast'!D148</f>
        <v>2025</v>
      </c>
      <c r="E148" s="191">
        <f>'Incremental Network SummerFcast'!E148</f>
        <v>2026</v>
      </c>
      <c r="F148" s="191">
        <f>'Incremental Network SummerFcast'!F148</f>
        <v>2027</v>
      </c>
      <c r="G148" s="191">
        <f>'Incremental Network SummerFcast'!G148</f>
        <v>2028</v>
      </c>
      <c r="H148" s="191">
        <f>'Incremental Network SummerFcast'!H148</f>
        <v>2029</v>
      </c>
      <c r="I148" s="191">
        <f>'Incremental Network SummerFcast'!I148</f>
        <v>2030</v>
      </c>
      <c r="J148" s="191">
        <f>'Incremental Network SummerFcast'!J148</f>
        <v>2031</v>
      </c>
      <c r="K148" s="191">
        <f>'Incremental Network SummerFcast'!K148</f>
        <v>2032</v>
      </c>
      <c r="L148" s="191">
        <f>'Incremental Network SummerFcast'!L148</f>
        <v>2033</v>
      </c>
    </row>
    <row r="149" spans="1:13" ht="15.6" thickTop="1" thickBot="1">
      <c r="A149" s="193">
        <f>'Incremental Network SummerFcast'!A149</f>
        <v>0</v>
      </c>
      <c r="B149" s="206">
        <f>'Incremental Network SummerFcast'!B149</f>
        <v>0</v>
      </c>
      <c r="C149" s="206">
        <f>'Incremental Network SummerFcast'!C149</f>
        <v>0</v>
      </c>
      <c r="D149" s="206">
        <f>'Incremental Network SummerFcast'!D149</f>
        <v>0</v>
      </c>
      <c r="E149" s="206">
        <f>'Incremental Network SummerFcast'!E149</f>
        <v>0</v>
      </c>
      <c r="F149" s="206">
        <f>'Incremental Network SummerFcast'!F149</f>
        <v>0</v>
      </c>
      <c r="G149" s="206">
        <f>'Incremental Network SummerFcast'!G149</f>
        <v>0</v>
      </c>
      <c r="H149" s="206">
        <f>'Incremental Network SummerFcast'!H149</f>
        <v>0</v>
      </c>
      <c r="I149" s="206">
        <f>'Incremental Network SummerFcast'!I149</f>
        <v>0</v>
      </c>
      <c r="J149" s="206">
        <f>'Incremental Network SummerFcast'!J149</f>
        <v>0</v>
      </c>
      <c r="K149" s="206">
        <f>'Incremental Network SummerFcast'!K149</f>
        <v>0</v>
      </c>
      <c r="L149" s="206">
        <f>'Incremental Network SummerFcast'!L149</f>
        <v>0</v>
      </c>
      <c r="M149" s="37"/>
    </row>
    <row r="150" spans="1:13" ht="15" thickBot="1">
      <c r="A150" s="193" t="str">
        <f>'Incremental Network SummerFcast'!A150</f>
        <v>Customer forecast</v>
      </c>
      <c r="B150" s="194">
        <f ca="1">'Incremental Network SummerFcast'!B150*$G$1</f>
        <v>-26.349999999999998</v>
      </c>
      <c r="C150" s="194">
        <f ca="1">'Incremental Network SummerFcast'!C150*$G$1</f>
        <v>0</v>
      </c>
      <c r="D150" s="194">
        <f ca="1">'Incremental Network SummerFcast'!D150*$G$1</f>
        <v>11.356107198228127</v>
      </c>
      <c r="E150" s="194">
        <f ca="1">'Incremental Network SummerFcast'!E150*$G$1</f>
        <v>43.882854817275742</v>
      </c>
      <c r="F150" s="194">
        <f ca="1">'Incremental Network SummerFcast'!F150*$G$1</f>
        <v>71.089876744186043</v>
      </c>
      <c r="G150" s="194">
        <f ca="1">'Incremental Network SummerFcast'!G150*$G$1</f>
        <v>101.84060039313398</v>
      </c>
      <c r="H150" s="194">
        <f ca="1">'Incremental Network SummerFcast'!H150*$G$1</f>
        <v>158.68485229789587</v>
      </c>
      <c r="I150" s="194">
        <f ca="1">'Incremental Network SummerFcast'!I150*$G$1</f>
        <v>198.93099400332227</v>
      </c>
      <c r="J150" s="194">
        <f ca="1">'Incremental Network SummerFcast'!J150*$G$1</f>
        <v>245.93166412956808</v>
      </c>
      <c r="K150" s="194">
        <f ca="1">'Incremental Network SummerFcast'!K150*$G$1</f>
        <v>302.44830816057589</v>
      </c>
      <c r="L150" s="194">
        <f ca="1">'Incremental Network SummerFcast'!L150*$G$1</f>
        <v>365.03481662679957</v>
      </c>
      <c r="M150" s="37"/>
    </row>
    <row r="151" spans="1:13" ht="15" thickBot="1">
      <c r="A151" s="195" t="str">
        <f>'Incremental Network SummerFcast'!A151</f>
        <v>Base</v>
      </c>
      <c r="B151" s="196">
        <f ca="1">'Incremental Network SummerFcast'!B151*$G$1</f>
        <v>-26.349999999999998</v>
      </c>
      <c r="C151" s="196">
        <f ca="1">'Incremental Network SummerFcast'!C151*$G$1</f>
        <v>0</v>
      </c>
      <c r="D151" s="196">
        <f ca="1">'Incremental Network SummerFcast'!D151*$G$1</f>
        <v>3.4</v>
      </c>
      <c r="E151" s="196">
        <f ca="1">'Incremental Network SummerFcast'!E151*$G$1</f>
        <v>20.017499999999998</v>
      </c>
      <c r="F151" s="196">
        <f ca="1">'Incremental Network SummerFcast'!F151*$G$1</f>
        <v>28.208492527131785</v>
      </c>
      <c r="G151" s="196">
        <f ca="1">'Incremental Network SummerFcast'!G151*$G$1</f>
        <v>48.1144893089701</v>
      </c>
      <c r="H151" s="196">
        <f ca="1">'Incremental Network SummerFcast'!H151*$G$1</f>
        <v>66.689057237541519</v>
      </c>
      <c r="I151" s="196">
        <f ca="1">'Incremental Network SummerFcast'!I151*$G$1</f>
        <v>87.056822647065331</v>
      </c>
      <c r="J151" s="196">
        <f ca="1">'Incremental Network SummerFcast'!J151*$G$1</f>
        <v>114.08515664706532</v>
      </c>
      <c r="K151" s="196">
        <f ca="1">'Incremental Network SummerFcast'!K151*$G$1</f>
        <v>139.27469085415282</v>
      </c>
      <c r="L151" s="196">
        <f ca="1">'Incremental Network SummerFcast'!L151*$G$1</f>
        <v>153.48672357984495</v>
      </c>
    </row>
    <row r="152" spans="1:13" ht="15" thickBot="1">
      <c r="A152" s="195" t="str">
        <f>'Incremental Network SummerFcast'!A152</f>
        <v>Low</v>
      </c>
      <c r="B152" s="196">
        <f ca="1">'Incremental Network SummerFcast'!B152*$G$1</f>
        <v>-26.349999999999998</v>
      </c>
      <c r="C152" s="196">
        <f ca="1">'Incremental Network SummerFcast'!C152*$G$1</f>
        <v>0</v>
      </c>
      <c r="D152" s="196">
        <f ca="1">'Incremental Network SummerFcast'!D152*$G$1</f>
        <v>3.4</v>
      </c>
      <c r="E152" s="196">
        <f ca="1">'Incremental Network SummerFcast'!E152*$G$1</f>
        <v>20.017499999999998</v>
      </c>
      <c r="F152" s="196">
        <f ca="1">'Incremental Network SummerFcast'!F152*$G$1</f>
        <v>24.310000000000002</v>
      </c>
      <c r="G152" s="196">
        <f ca="1">'Incremental Network SummerFcast'!G152*$G$1</f>
        <v>31.298721439645629</v>
      </c>
      <c r="H152" s="196">
        <f ca="1">'Incremental Network SummerFcast'!H152*$G$1</f>
        <v>53.448381262458469</v>
      </c>
      <c r="I152" s="196">
        <f ca="1">'Incremental Network SummerFcast'!I152*$G$1</f>
        <v>70.429304833887045</v>
      </c>
      <c r="J152" s="196">
        <f ca="1">'Incremental Network SummerFcast'!J152*$G$1</f>
        <v>87.40767759579181</v>
      </c>
      <c r="K152" s="196">
        <f ca="1">'Incremental Network SummerFcast'!K152*$G$1</f>
        <v>96.385814738648946</v>
      </c>
      <c r="L152" s="196">
        <f ca="1">'Incremental Network SummerFcast'!L152*$G$1</f>
        <v>105.2794476511628</v>
      </c>
    </row>
    <row r="153" spans="1:13" ht="15" thickBot="1">
      <c r="A153" s="197" t="str">
        <f>'Incremental Network SummerFcast'!A153</f>
        <v>High</v>
      </c>
      <c r="B153" s="198">
        <f ca="1">'Incremental Network SummerFcast'!B153*$G$1</f>
        <v>-26.349999999999998</v>
      </c>
      <c r="C153" s="198">
        <f ca="1">'Incremental Network SummerFcast'!C153*$G$1</f>
        <v>0</v>
      </c>
      <c r="D153" s="198">
        <f ca="1">'Incremental Network SummerFcast'!D153*$G$1</f>
        <v>3.4</v>
      </c>
      <c r="E153" s="198">
        <f ca="1">'Incremental Network SummerFcast'!E153*$G$1</f>
        <v>25.745897182724253</v>
      </c>
      <c r="F153" s="198">
        <f ca="1">'Incremental Network SummerFcast'!F153*$G$1</f>
        <v>48.95190596677741</v>
      </c>
      <c r="G153" s="198">
        <f ca="1">'Incremental Network SummerFcast'!G153*$G$1</f>
        <v>59.325711538205979</v>
      </c>
      <c r="H153" s="198">
        <f ca="1">'Incremental Network SummerFcast'!H153*$G$1</f>
        <v>81.567542052491689</v>
      </c>
      <c r="I153" s="198">
        <f ca="1">'Incremental Network SummerFcast'!I153*$G$1</f>
        <v>122.55597976677743</v>
      </c>
      <c r="J153" s="198">
        <f ca="1">'Incremental Network SummerFcast'!J153*$G$1</f>
        <v>164.32235707973422</v>
      </c>
      <c r="K153" s="198">
        <f ca="1">'Incremental Network SummerFcast'!K153*$G$1</f>
        <v>189.86861861661129</v>
      </c>
      <c r="L153" s="198">
        <f ca="1">'Incremental Network SummerFcast'!L153*$G$1</f>
        <v>203.9382927568106</v>
      </c>
    </row>
    <row r="154" spans="1:13" ht="15.6" thickTop="1" thickBot="1">
      <c r="A154" s="197" t="s">
        <v>148</v>
      </c>
      <c r="B154" s="198">
        <f ca="1">'Incremental Network SummerFcast'!$B$245*B151+'Incremental Network SummerFcast'!$B$246*B152+'Incremental Network SummerFcast'!$B$247*B153</f>
        <v>-26.349999999999998</v>
      </c>
      <c r="C154" s="198">
        <f ca="1">'Incremental Network SummerFcast'!$B$245*C151+'Incremental Network SummerFcast'!$B$246*C152+'Incremental Network SummerFcast'!$B$247*C153</f>
        <v>0</v>
      </c>
      <c r="D154" s="198">
        <f ca="1">'Incremental Network SummerFcast'!$B$245*D151+'Incremental Network SummerFcast'!$B$246*D152+'Incremental Network SummerFcast'!$B$247*D153</f>
        <v>3.4</v>
      </c>
      <c r="E154" s="198">
        <f ca="1">'Incremental Network SummerFcast'!$B$245*E151+'Incremental Network SummerFcast'!$B$246*E152+'Incremental Network SummerFcast'!$B$247*E153</f>
        <v>21.449599295681061</v>
      </c>
      <c r="F154" s="198">
        <f ca="1">'Incremental Network SummerFcast'!$B$245*F151+'Incremental Network SummerFcast'!$B$246*F152+'Incremental Network SummerFcast'!$B$247*F153</f>
        <v>32.419722755260246</v>
      </c>
      <c r="G154" s="198">
        <f ca="1">'Incremental Network SummerFcast'!$B$245*G151+'Incremental Network SummerFcast'!$B$246*G152+'Incremental Network SummerFcast'!$B$247*G153</f>
        <v>46.713352898947953</v>
      </c>
      <c r="H154" s="198">
        <f ca="1">'Incremental Network SummerFcast'!$B$245*H151+'Incremental Network SummerFcast'!$B$246*H152+'Incremental Network SummerFcast'!$B$247*H153</f>
        <v>67.098509447508292</v>
      </c>
      <c r="I154" s="198">
        <f ca="1">'Incremental Network SummerFcast'!$B$245*I151+'Incremental Network SummerFcast'!$B$246*I152+'Incremental Network SummerFcast'!$B$247*I153</f>
        <v>91.774732473698776</v>
      </c>
      <c r="J154" s="198">
        <f ca="1">'Incremental Network SummerFcast'!$B$245*J151+'Incremental Network SummerFcast'!$B$246*J152+'Incremental Network SummerFcast'!$B$247*J153</f>
        <v>119.97508699241416</v>
      </c>
      <c r="K154" s="198">
        <f ca="1">'Incremental Network SummerFcast'!$B$245*K151+'Incremental Network SummerFcast'!$B$246*K152+'Incremental Network SummerFcast'!$B$247*K153</f>
        <v>141.20095376589148</v>
      </c>
      <c r="L154" s="198">
        <f ca="1">'Incremental Network SummerFcast'!$B$245*L151+'Incremental Network SummerFcast'!$B$246*L152+'Incremental Network SummerFcast'!$B$247*L153</f>
        <v>154.04779689191582</v>
      </c>
    </row>
    <row r="155" spans="1:13" ht="15.6" thickTop="1" thickBot="1">
      <c r="A155" s="188" t="str">
        <f>'Incremental Network SummerFcast'!A155</f>
        <v>TTS EAST</v>
      </c>
      <c r="B155" s="216"/>
      <c r="C155" s="190"/>
      <c r="D155" s="190"/>
      <c r="E155" s="190"/>
      <c r="F155" s="190"/>
      <c r="G155" s="190"/>
      <c r="H155" s="190"/>
      <c r="I155" s="190"/>
      <c r="J155" s="190"/>
      <c r="K155" s="190"/>
      <c r="L155" s="190"/>
    </row>
    <row r="156" spans="1:13" ht="15" thickBot="1">
      <c r="A156" s="191" t="str">
        <f>'Incremental Network SummerFcast'!A156</f>
        <v>Uptake Scenario</v>
      </c>
      <c r="B156" s="191">
        <f>'Incremental Network SummerFcast'!B156</f>
        <v>2023</v>
      </c>
      <c r="C156" s="191">
        <f>'Incremental Network SummerFcast'!C156</f>
        <v>2024</v>
      </c>
      <c r="D156" s="191">
        <f>'Incremental Network SummerFcast'!D156</f>
        <v>2025</v>
      </c>
      <c r="E156" s="191">
        <f>'Incremental Network SummerFcast'!E156</f>
        <v>2026</v>
      </c>
      <c r="F156" s="191">
        <f>'Incremental Network SummerFcast'!F156</f>
        <v>2027</v>
      </c>
      <c r="G156" s="191">
        <f>'Incremental Network SummerFcast'!G156</f>
        <v>2028</v>
      </c>
      <c r="H156" s="191">
        <f>'Incremental Network SummerFcast'!H156</f>
        <v>2029</v>
      </c>
      <c r="I156" s="191">
        <f>'Incremental Network SummerFcast'!I156</f>
        <v>2030</v>
      </c>
      <c r="J156" s="191">
        <f>'Incremental Network SummerFcast'!J156</f>
        <v>2031</v>
      </c>
      <c r="K156" s="191">
        <f>'Incremental Network SummerFcast'!K156</f>
        <v>2032</v>
      </c>
      <c r="L156" s="191">
        <f>'Incremental Network SummerFcast'!L156</f>
        <v>2033</v>
      </c>
    </row>
    <row r="157" spans="1:13" ht="15.6" thickTop="1" thickBot="1">
      <c r="A157" s="193">
        <f>'Incremental Network SummerFcast'!A157</f>
        <v>0</v>
      </c>
      <c r="B157" s="206">
        <f>'Incremental Network SummerFcast'!B157</f>
        <v>0</v>
      </c>
      <c r="C157" s="206">
        <f>'Incremental Network SummerFcast'!C157</f>
        <v>0</v>
      </c>
      <c r="D157" s="206">
        <f>'Incremental Network SummerFcast'!D157</f>
        <v>0</v>
      </c>
      <c r="E157" s="206">
        <f>'Incremental Network SummerFcast'!E157</f>
        <v>0</v>
      </c>
      <c r="F157" s="206">
        <f>'Incremental Network SummerFcast'!F157</f>
        <v>0</v>
      </c>
      <c r="G157" s="206">
        <f>'Incremental Network SummerFcast'!G157</f>
        <v>0</v>
      </c>
      <c r="H157" s="206">
        <f>'Incremental Network SummerFcast'!H157</f>
        <v>0</v>
      </c>
      <c r="I157" s="206">
        <f>'Incremental Network SummerFcast'!I157</f>
        <v>0</v>
      </c>
      <c r="J157" s="206">
        <f>'Incremental Network SummerFcast'!J157</f>
        <v>0</v>
      </c>
      <c r="K157" s="206">
        <f>'Incremental Network SummerFcast'!K157</f>
        <v>0</v>
      </c>
      <c r="L157" s="206">
        <f>'Incremental Network SummerFcast'!L157</f>
        <v>0</v>
      </c>
      <c r="M157" s="37"/>
    </row>
    <row r="158" spans="1:13" ht="15" thickBot="1">
      <c r="A158" s="193" t="str">
        <f>'Incremental Network SummerFcast'!A158</f>
        <v>Customer forecast</v>
      </c>
      <c r="B158" s="194">
        <f ca="1">'Incremental Network SummerFcast'!B158*$G$1</f>
        <v>0</v>
      </c>
      <c r="C158" s="194">
        <f ca="1">'Incremental Network SummerFcast'!C158*$G$1</f>
        <v>4.25</v>
      </c>
      <c r="D158" s="194">
        <f ca="1">'Incremental Network SummerFcast'!D158*$G$1</f>
        <v>22.099999999999998</v>
      </c>
      <c r="E158" s="194">
        <f ca="1">'Incremental Network SummerFcast'!E158*$G$1</f>
        <v>34</v>
      </c>
      <c r="F158" s="194">
        <f ca="1">'Incremental Network SummerFcast'!F158*$G$1</f>
        <v>34</v>
      </c>
      <c r="G158" s="194">
        <f ca="1">'Incremental Network SummerFcast'!G158*$G$1</f>
        <v>46.75</v>
      </c>
      <c r="H158" s="194">
        <f ca="1">'Incremental Network SummerFcast'!H158*$G$1</f>
        <v>51</v>
      </c>
      <c r="I158" s="194">
        <f ca="1">'Incremental Network SummerFcast'!I158*$G$1</f>
        <v>55.25</v>
      </c>
      <c r="J158" s="194">
        <f ca="1">'Incremental Network SummerFcast'!J158*$G$1</f>
        <v>72.929999999999993</v>
      </c>
      <c r="K158" s="194">
        <f ca="1">'Incremental Network SummerFcast'!K158*$G$1</f>
        <v>78.709999999999994</v>
      </c>
      <c r="L158" s="194">
        <f ca="1">'Incremental Network SummerFcast'!L158*$G$1</f>
        <v>84.490000000000009</v>
      </c>
      <c r="M158" s="37"/>
    </row>
    <row r="159" spans="1:13" ht="15" thickBot="1">
      <c r="A159" s="195" t="str">
        <f>'Incremental Network SummerFcast'!A159</f>
        <v>Base</v>
      </c>
      <c r="B159" s="196">
        <f ca="1">'Incremental Network SummerFcast'!B159*$G$1</f>
        <v>0</v>
      </c>
      <c r="C159" s="196">
        <f ca="1">'Incremental Network SummerFcast'!C159*$G$1</f>
        <v>0</v>
      </c>
      <c r="D159" s="196">
        <f ca="1">'Incremental Network SummerFcast'!D159*$G$1</f>
        <v>3.8249999999999997</v>
      </c>
      <c r="E159" s="196">
        <f ca="1">'Incremental Network SummerFcast'!E159*$G$1</f>
        <v>11.475</v>
      </c>
      <c r="F159" s="196">
        <f ca="1">'Incremental Network SummerFcast'!F159*$G$1</f>
        <v>11.475</v>
      </c>
      <c r="G159" s="196">
        <f ca="1">'Incremental Network SummerFcast'!G159*$G$1</f>
        <v>14.7475</v>
      </c>
      <c r="H159" s="196">
        <f ca="1">'Incremental Network SummerFcast'!H159*$G$1</f>
        <v>14.7475</v>
      </c>
      <c r="I159" s="196">
        <f ca="1">'Incremental Network SummerFcast'!I159*$G$1</f>
        <v>14.7475</v>
      </c>
      <c r="J159" s="196">
        <f ca="1">'Incremental Network SummerFcast'!J159*$G$1</f>
        <v>27.964999999999996</v>
      </c>
      <c r="K159" s="196">
        <f ca="1">'Incremental Network SummerFcast'!K159*$G$1</f>
        <v>28.56</v>
      </c>
      <c r="L159" s="196">
        <f ca="1">'Incremental Network SummerFcast'!L159*$G$1</f>
        <v>27.072500000000002</v>
      </c>
    </row>
    <row r="160" spans="1:13" ht="15" thickBot="1">
      <c r="A160" s="195" t="str">
        <f>'Incremental Network SummerFcast'!A160</f>
        <v>Low</v>
      </c>
      <c r="B160" s="196">
        <f ca="1">'Incremental Network SummerFcast'!B160*$G$1</f>
        <v>0</v>
      </c>
      <c r="C160" s="196">
        <f ca="1">'Incremental Network SummerFcast'!C160*$G$1</f>
        <v>0</v>
      </c>
      <c r="D160" s="196">
        <f ca="1">'Incremental Network SummerFcast'!D160*$G$1</f>
        <v>0</v>
      </c>
      <c r="E160" s="196">
        <f ca="1">'Incremental Network SummerFcast'!E160*$G$1</f>
        <v>2.5499999999999998</v>
      </c>
      <c r="F160" s="196">
        <f ca="1">'Incremental Network SummerFcast'!F160*$G$1</f>
        <v>7.6499999999999995</v>
      </c>
      <c r="G160" s="196">
        <f ca="1">'Incremental Network SummerFcast'!G160*$G$1</f>
        <v>7.6499999999999995</v>
      </c>
      <c r="H160" s="196">
        <f ca="1">'Incremental Network SummerFcast'!H160*$G$1</f>
        <v>7.6499999999999995</v>
      </c>
      <c r="I160" s="196">
        <f ca="1">'Incremental Network SummerFcast'!I160*$G$1</f>
        <v>8.5849999999999991</v>
      </c>
      <c r="J160" s="196">
        <f ca="1">'Incremental Network SummerFcast'!J160*$G$1</f>
        <v>15.725</v>
      </c>
      <c r="K160" s="196">
        <f ca="1">'Incremental Network SummerFcast'!K160*$G$1</f>
        <v>15.725</v>
      </c>
      <c r="L160" s="196">
        <f ca="1">'Incremental Network SummerFcast'!L160*$G$1</f>
        <v>21.25</v>
      </c>
    </row>
    <row r="161" spans="1:13" ht="15" thickBot="1">
      <c r="A161" s="197" t="str">
        <f>'Incremental Network SummerFcast'!A161</f>
        <v>High</v>
      </c>
      <c r="B161" s="198">
        <f ca="1">'Incremental Network SummerFcast'!B161*$G$1</f>
        <v>0</v>
      </c>
      <c r="C161" s="198">
        <f ca="1">'Incremental Network SummerFcast'!C161*$G$1</f>
        <v>4.25</v>
      </c>
      <c r="D161" s="198">
        <f ca="1">'Incremental Network SummerFcast'!D161*$G$1</f>
        <v>12.75</v>
      </c>
      <c r="E161" s="198">
        <f ca="1">'Incremental Network SummerFcast'!E161*$G$1</f>
        <v>12.75</v>
      </c>
      <c r="F161" s="198">
        <f ca="1">'Incremental Network SummerFcast'!F161*$G$1</f>
        <v>17.798999999999996</v>
      </c>
      <c r="G161" s="198">
        <f ca="1">'Incremental Network SummerFcast'!G161*$G$1</f>
        <v>17.798999999999996</v>
      </c>
      <c r="H161" s="198">
        <f ca="1">'Incremental Network SummerFcast'!H161*$G$1</f>
        <v>17.798999999999996</v>
      </c>
      <c r="I161" s="198">
        <f ca="1">'Incremental Network SummerFcast'!I161*$G$1</f>
        <v>28.594000000000001</v>
      </c>
      <c r="J161" s="198">
        <f ca="1">'Incremental Network SummerFcast'!J161*$G$1</f>
        <v>49.214999999999996</v>
      </c>
      <c r="K161" s="198">
        <f ca="1">'Incremental Network SummerFcast'!K161*$G$1</f>
        <v>46.460999999999999</v>
      </c>
      <c r="L161" s="198">
        <f ca="1">'Incremental Network SummerFcast'!L161*$G$1</f>
        <v>48.526499999999999</v>
      </c>
    </row>
    <row r="162" spans="1:13" ht="15.6" thickTop="1" thickBot="1">
      <c r="A162" s="197" t="s">
        <v>148</v>
      </c>
      <c r="B162" s="198">
        <f ca="1">'Incremental Network SummerFcast'!$B$245*B159+'Incremental Network SummerFcast'!$B$246*B160+'Incremental Network SummerFcast'!$B$247*B161</f>
        <v>0</v>
      </c>
      <c r="C162" s="198">
        <f ca="1">'Incremental Network SummerFcast'!$B$245*C159+'Incremental Network SummerFcast'!$B$246*C160+'Incremental Network SummerFcast'!$B$247*C161</f>
        <v>1.0625</v>
      </c>
      <c r="D162" s="198">
        <f ca="1">'Incremental Network SummerFcast'!$B$245*D159+'Incremental Network SummerFcast'!$B$246*D160+'Incremental Network SummerFcast'!$B$247*D161</f>
        <v>5.0999999999999996</v>
      </c>
      <c r="E162" s="198">
        <f ca="1">'Incremental Network SummerFcast'!$B$245*E159+'Incremental Network SummerFcast'!$B$246*E160+'Incremental Network SummerFcast'!$B$247*E161</f>
        <v>9.5625</v>
      </c>
      <c r="F162" s="198">
        <f ca="1">'Incremental Network SummerFcast'!$B$245*F159+'Incremental Network SummerFcast'!$B$246*F160+'Incremental Network SummerFcast'!$B$247*F161</f>
        <v>12.099749999999998</v>
      </c>
      <c r="G162" s="198">
        <f ca="1">'Incremental Network SummerFcast'!$B$245*G159+'Incremental Network SummerFcast'!$B$246*G160+'Incremental Network SummerFcast'!$B$247*G161</f>
        <v>13.736000000000001</v>
      </c>
      <c r="H162" s="198">
        <f ca="1">'Incremental Network SummerFcast'!$B$245*H159+'Incremental Network SummerFcast'!$B$246*H160+'Incremental Network SummerFcast'!$B$247*H161</f>
        <v>13.736000000000001</v>
      </c>
      <c r="I162" s="198">
        <f ca="1">'Incremental Network SummerFcast'!$B$245*I159+'Incremental Network SummerFcast'!$B$246*I160+'Incremental Network SummerFcast'!$B$247*I161</f>
        <v>16.668500000000002</v>
      </c>
      <c r="J162" s="198">
        <f ca="1">'Incremental Network SummerFcast'!$B$245*J159+'Incremental Network SummerFcast'!$B$246*J160+'Incremental Network SummerFcast'!$B$247*J161</f>
        <v>30.217499999999994</v>
      </c>
      <c r="K162" s="198">
        <f ca="1">'Incremental Network SummerFcast'!$B$245*K159+'Incremental Network SummerFcast'!$B$246*K160+'Incremental Network SummerFcast'!$B$247*K161</f>
        <v>29.826499999999999</v>
      </c>
      <c r="L162" s="198">
        <f ca="1">'Incremental Network SummerFcast'!$B$245*L159+'Incremental Network SummerFcast'!$B$246*L160+'Incremental Network SummerFcast'!$B$247*L161</f>
        <v>30.980375000000002</v>
      </c>
    </row>
    <row r="163" spans="1:13" ht="15.6" thickTop="1" thickBot="1">
      <c r="A163" s="188" t="str">
        <f>'Incremental Network SummerFcast'!A163</f>
        <v>TTS WEST</v>
      </c>
      <c r="B163" s="216"/>
      <c r="C163" s="190"/>
      <c r="D163" s="190"/>
      <c r="E163" s="190"/>
      <c r="F163" s="190"/>
      <c r="G163" s="190"/>
      <c r="H163" s="190"/>
      <c r="I163" s="190"/>
      <c r="J163" s="190"/>
      <c r="K163" s="190"/>
      <c r="L163" s="190"/>
    </row>
    <row r="164" spans="1:13" ht="15" thickBot="1">
      <c r="A164" s="191" t="str">
        <f>'Incremental Network SummerFcast'!A164</f>
        <v>Uptake Scenario</v>
      </c>
      <c r="B164" s="191">
        <f>'Incremental Network SummerFcast'!B164</f>
        <v>2023</v>
      </c>
      <c r="C164" s="191">
        <f>'Incremental Network SummerFcast'!C164</f>
        <v>2024</v>
      </c>
      <c r="D164" s="191">
        <f>'Incremental Network SummerFcast'!D164</f>
        <v>2025</v>
      </c>
      <c r="E164" s="191">
        <f>'Incremental Network SummerFcast'!E164</f>
        <v>2026</v>
      </c>
      <c r="F164" s="191">
        <f>'Incremental Network SummerFcast'!F164</f>
        <v>2027</v>
      </c>
      <c r="G164" s="191">
        <f>'Incremental Network SummerFcast'!G164</f>
        <v>2028</v>
      </c>
      <c r="H164" s="191">
        <f>'Incremental Network SummerFcast'!H164</f>
        <v>2029</v>
      </c>
      <c r="I164" s="191">
        <f>'Incremental Network SummerFcast'!I164</f>
        <v>2030</v>
      </c>
      <c r="J164" s="191">
        <f>'Incremental Network SummerFcast'!J164</f>
        <v>2031</v>
      </c>
      <c r="K164" s="191">
        <f>'Incremental Network SummerFcast'!K164</f>
        <v>2032</v>
      </c>
      <c r="L164" s="191">
        <f>'Incremental Network SummerFcast'!L164</f>
        <v>2033</v>
      </c>
    </row>
    <row r="165" spans="1:13" ht="15.6" thickTop="1" thickBot="1">
      <c r="A165" s="193">
        <f>'Incremental Network SummerFcast'!A165</f>
        <v>0</v>
      </c>
      <c r="B165" s="206">
        <f>'Incremental Network SummerFcast'!B165</f>
        <v>0</v>
      </c>
      <c r="C165" s="206">
        <f>'Incremental Network SummerFcast'!C165</f>
        <v>0</v>
      </c>
      <c r="D165" s="206">
        <f>'Incremental Network SummerFcast'!D165</f>
        <v>0</v>
      </c>
      <c r="E165" s="206">
        <f>'Incremental Network SummerFcast'!E165</f>
        <v>0</v>
      </c>
      <c r="F165" s="206">
        <f>'Incremental Network SummerFcast'!F165</f>
        <v>0</v>
      </c>
      <c r="G165" s="206">
        <f>'Incremental Network SummerFcast'!G165</f>
        <v>0</v>
      </c>
      <c r="H165" s="206">
        <f>'Incremental Network SummerFcast'!H165</f>
        <v>0</v>
      </c>
      <c r="I165" s="206">
        <f>'Incremental Network SummerFcast'!I165</f>
        <v>0</v>
      </c>
      <c r="J165" s="206">
        <f>'Incremental Network SummerFcast'!J165</f>
        <v>0</v>
      </c>
      <c r="K165" s="206">
        <f>'Incremental Network SummerFcast'!K165</f>
        <v>0</v>
      </c>
      <c r="L165" s="206">
        <f>'Incremental Network SummerFcast'!L165</f>
        <v>0</v>
      </c>
      <c r="M165" s="37"/>
    </row>
    <row r="166" spans="1:13" ht="15" thickBot="1">
      <c r="A166" s="193" t="str">
        <f>'Incremental Network SummerFcast'!A166</f>
        <v>Customer forecast</v>
      </c>
      <c r="B166" s="194">
        <f ca="1">'Incremental Network SummerFcast'!B166*$G$1</f>
        <v>0</v>
      </c>
      <c r="C166" s="194">
        <f ca="1">'Incremental Network SummerFcast'!C166*$G$1</f>
        <v>0</v>
      </c>
      <c r="D166" s="194">
        <f ca="1">'Incremental Network SummerFcast'!D166*$G$1</f>
        <v>0</v>
      </c>
      <c r="E166" s="194">
        <f ca="1">'Incremental Network SummerFcast'!E166*$G$1</f>
        <v>0</v>
      </c>
      <c r="F166" s="194">
        <f ca="1">'Incremental Network SummerFcast'!F166*$G$1</f>
        <v>0</v>
      </c>
      <c r="G166" s="194">
        <f ca="1">'Incremental Network SummerFcast'!G166*$G$1</f>
        <v>0</v>
      </c>
      <c r="H166" s="194">
        <f ca="1">'Incremental Network SummerFcast'!H166*$G$1</f>
        <v>0</v>
      </c>
      <c r="I166" s="194">
        <f ca="1">'Incremental Network SummerFcast'!I166*$G$1</f>
        <v>0</v>
      </c>
      <c r="J166" s="194">
        <f ca="1">'Incremental Network SummerFcast'!J166*$G$1</f>
        <v>19.890267995570316</v>
      </c>
      <c r="K166" s="194">
        <f ca="1">'Incremental Network SummerFcast'!K166*$G$1</f>
        <v>50.717438538205975</v>
      </c>
      <c r="L166" s="194">
        <f ca="1">'Incremental Network SummerFcast'!L166*$G$1</f>
        <v>66.49981353820597</v>
      </c>
      <c r="M166" s="37"/>
    </row>
    <row r="167" spans="1:13" ht="15" thickBot="1">
      <c r="A167" s="195" t="str">
        <f>'Incremental Network SummerFcast'!A167</f>
        <v>Base</v>
      </c>
      <c r="B167" s="196">
        <f ca="1">'Incremental Network SummerFcast'!B167*$G$1</f>
        <v>0</v>
      </c>
      <c r="C167" s="196">
        <f ca="1">'Incremental Network SummerFcast'!C167*$G$1</f>
        <v>0</v>
      </c>
      <c r="D167" s="196">
        <f ca="1">'Incremental Network SummerFcast'!D167*$G$1</f>
        <v>0</v>
      </c>
      <c r="E167" s="196">
        <f ca="1">'Incremental Network SummerFcast'!E167*$G$1</f>
        <v>0</v>
      </c>
      <c r="F167" s="196">
        <f ca="1">'Incremental Network SummerFcast'!F167*$G$1</f>
        <v>0</v>
      </c>
      <c r="G167" s="196">
        <f ca="1">'Incremental Network SummerFcast'!G167*$G$1</f>
        <v>0</v>
      </c>
      <c r="H167" s="196">
        <f ca="1">'Incremental Network SummerFcast'!H167*$G$1</f>
        <v>0</v>
      </c>
      <c r="I167" s="196">
        <f ca="1">'Incremental Network SummerFcast'!I167*$G$1</f>
        <v>0</v>
      </c>
      <c r="J167" s="196">
        <f ca="1">'Incremental Network SummerFcast'!J167*$G$1</f>
        <v>0</v>
      </c>
      <c r="K167" s="196">
        <f ca="1">'Incremental Network SummerFcast'!K167*$G$1</f>
        <v>0</v>
      </c>
      <c r="L167" s="196">
        <f ca="1">'Incremental Network SummerFcast'!L167*$G$1</f>
        <v>0</v>
      </c>
    </row>
    <row r="168" spans="1:13" ht="15" thickBot="1">
      <c r="A168" s="195" t="str">
        <f>'Incremental Network SummerFcast'!A168</f>
        <v>Low</v>
      </c>
      <c r="B168" s="196">
        <f ca="1">'Incremental Network SummerFcast'!B168*$G$1</f>
        <v>0</v>
      </c>
      <c r="C168" s="196">
        <f ca="1">'Incremental Network SummerFcast'!C168*$G$1</f>
        <v>0</v>
      </c>
      <c r="D168" s="196">
        <f ca="1">'Incremental Network SummerFcast'!D168*$G$1</f>
        <v>0</v>
      </c>
      <c r="E168" s="196">
        <f ca="1">'Incremental Network SummerFcast'!E168*$G$1</f>
        <v>0</v>
      </c>
      <c r="F168" s="196">
        <f ca="1">'Incremental Network SummerFcast'!F168*$G$1</f>
        <v>0</v>
      </c>
      <c r="G168" s="196">
        <f ca="1">'Incremental Network SummerFcast'!G168*$G$1</f>
        <v>0</v>
      </c>
      <c r="H168" s="196">
        <f ca="1">'Incremental Network SummerFcast'!H168*$G$1</f>
        <v>0</v>
      </c>
      <c r="I168" s="196">
        <f ca="1">'Incremental Network SummerFcast'!I168*$G$1</f>
        <v>0</v>
      </c>
      <c r="J168" s="196">
        <f ca="1">'Incremental Network SummerFcast'!J168*$G$1</f>
        <v>0</v>
      </c>
      <c r="K168" s="196">
        <f ca="1">'Incremental Network SummerFcast'!K168*$G$1</f>
        <v>0</v>
      </c>
      <c r="L168" s="196">
        <f ca="1">'Incremental Network SummerFcast'!L168*$G$1</f>
        <v>0</v>
      </c>
    </row>
    <row r="169" spans="1:13" ht="15" thickBot="1">
      <c r="A169" s="197" t="str">
        <f>'Incremental Network SummerFcast'!A169</f>
        <v>High</v>
      </c>
      <c r="B169" s="198">
        <f ca="1">'Incremental Network SummerFcast'!B169*$G$1</f>
        <v>0</v>
      </c>
      <c r="C169" s="198">
        <f ca="1">'Incremental Network SummerFcast'!C169*$G$1</f>
        <v>0</v>
      </c>
      <c r="D169" s="198">
        <f ca="1">'Incremental Network SummerFcast'!D169*$G$1</f>
        <v>0</v>
      </c>
      <c r="E169" s="198">
        <f ca="1">'Incremental Network SummerFcast'!E169*$G$1</f>
        <v>0</v>
      </c>
      <c r="F169" s="198">
        <f ca="1">'Incremental Network SummerFcast'!F169*$G$1</f>
        <v>0</v>
      </c>
      <c r="G169" s="198">
        <f ca="1">'Incremental Network SummerFcast'!G169*$G$1</f>
        <v>0</v>
      </c>
      <c r="H169" s="198">
        <f ca="1">'Incremental Network SummerFcast'!H169*$G$1</f>
        <v>0</v>
      </c>
      <c r="I169" s="198">
        <f ca="1">'Incremental Network SummerFcast'!I169*$G$1</f>
        <v>0</v>
      </c>
      <c r="J169" s="198">
        <f ca="1">'Incremental Network SummerFcast'!J169*$G$1</f>
        <v>0</v>
      </c>
      <c r="K169" s="198">
        <f ca="1">'Incremental Network SummerFcast'!K169*$G$1</f>
        <v>0</v>
      </c>
      <c r="L169" s="198">
        <f ca="1">'Incremental Network SummerFcast'!L169*$G$1</f>
        <v>0</v>
      </c>
    </row>
    <row r="170" spans="1:13" ht="15.6" thickTop="1" thickBot="1">
      <c r="A170" s="197" t="s">
        <v>148</v>
      </c>
      <c r="B170" s="198">
        <f ca="1">'Incremental Network SummerFcast'!$B$245*B167+'Incremental Network SummerFcast'!$B$246*B168+'Incremental Network SummerFcast'!$B$247*B169</f>
        <v>0</v>
      </c>
      <c r="C170" s="198">
        <f ca="1">'Incremental Network SummerFcast'!$B$245*C167+'Incremental Network SummerFcast'!$B$246*C168+'Incremental Network SummerFcast'!$B$247*C169</f>
        <v>0</v>
      </c>
      <c r="D170" s="198">
        <f ca="1">'Incremental Network SummerFcast'!$B$245*D167+'Incremental Network SummerFcast'!$B$246*D168+'Incremental Network SummerFcast'!$B$247*D169</f>
        <v>0</v>
      </c>
      <c r="E170" s="198">
        <f ca="1">'Incremental Network SummerFcast'!$B$245*E167+'Incremental Network SummerFcast'!$B$246*E168+'Incremental Network SummerFcast'!$B$247*E169</f>
        <v>0</v>
      </c>
      <c r="F170" s="198">
        <f ca="1">'Incremental Network SummerFcast'!$B$245*F167+'Incremental Network SummerFcast'!$B$246*F168+'Incremental Network SummerFcast'!$B$247*F169</f>
        <v>0</v>
      </c>
      <c r="G170" s="198">
        <f ca="1">'Incremental Network SummerFcast'!$B$245*G167+'Incremental Network SummerFcast'!$B$246*G168+'Incremental Network SummerFcast'!$B$247*G169</f>
        <v>0</v>
      </c>
      <c r="H170" s="198">
        <f ca="1">'Incremental Network SummerFcast'!$B$245*H167+'Incremental Network SummerFcast'!$B$246*H168+'Incremental Network SummerFcast'!$B$247*H169</f>
        <v>0</v>
      </c>
      <c r="I170" s="198">
        <f ca="1">'Incremental Network SummerFcast'!$B$245*I167+'Incremental Network SummerFcast'!$B$246*I168+'Incremental Network SummerFcast'!$B$247*I169</f>
        <v>0</v>
      </c>
      <c r="J170" s="198">
        <f ca="1">'Incremental Network SummerFcast'!$B$245*J167+'Incremental Network SummerFcast'!$B$246*J168+'Incremental Network SummerFcast'!$B$247*J169</f>
        <v>0</v>
      </c>
      <c r="K170" s="198">
        <f ca="1">'Incremental Network SummerFcast'!$B$245*K167+'Incremental Network SummerFcast'!$B$246*K168+'Incremental Network SummerFcast'!$B$247*K169</f>
        <v>0</v>
      </c>
      <c r="L170" s="198">
        <f ca="1">'Incremental Network SummerFcast'!$B$245*L167+'Incremental Network SummerFcast'!$B$246*L168+'Incremental Network SummerFcast'!$B$247*L169</f>
        <v>0</v>
      </c>
    </row>
    <row r="171" spans="1:13" ht="15.6" thickTop="1" thickBot="1">
      <c r="A171" s="188" t="str">
        <f>'Incremental Network SummerFcast'!A171</f>
        <v>WMTS</v>
      </c>
      <c r="B171" s="216"/>
      <c r="C171" s="190"/>
      <c r="D171" s="190"/>
      <c r="E171" s="190"/>
      <c r="F171" s="190"/>
      <c r="G171" s="190"/>
      <c r="H171" s="190"/>
      <c r="I171" s="190"/>
      <c r="J171" s="190"/>
      <c r="K171" s="190"/>
      <c r="L171" s="190"/>
    </row>
    <row r="172" spans="1:13" ht="15" thickBot="1">
      <c r="A172" s="191" t="str">
        <f>'Incremental Network SummerFcast'!A172</f>
        <v>Uptake Scenario</v>
      </c>
      <c r="B172" s="191">
        <f>'Incremental Network SummerFcast'!B172</f>
        <v>2023</v>
      </c>
      <c r="C172" s="191">
        <f>'Incremental Network SummerFcast'!C172</f>
        <v>2024</v>
      </c>
      <c r="D172" s="191">
        <f>'Incremental Network SummerFcast'!D172</f>
        <v>2025</v>
      </c>
      <c r="E172" s="191">
        <f>'Incremental Network SummerFcast'!E172</f>
        <v>2026</v>
      </c>
      <c r="F172" s="191">
        <f>'Incremental Network SummerFcast'!F172</f>
        <v>2027</v>
      </c>
      <c r="G172" s="191">
        <f>'Incremental Network SummerFcast'!G172</f>
        <v>2028</v>
      </c>
      <c r="H172" s="191">
        <f>'Incremental Network SummerFcast'!H172</f>
        <v>2029</v>
      </c>
      <c r="I172" s="191">
        <f>'Incremental Network SummerFcast'!I172</f>
        <v>2030</v>
      </c>
      <c r="J172" s="191">
        <f>'Incremental Network SummerFcast'!J172</f>
        <v>2031</v>
      </c>
      <c r="K172" s="191">
        <f>'Incremental Network SummerFcast'!K172</f>
        <v>2032</v>
      </c>
      <c r="L172" s="191">
        <f>'Incremental Network SummerFcast'!L172</f>
        <v>2033</v>
      </c>
    </row>
    <row r="173" spans="1:13" ht="15.6" thickTop="1" thickBot="1">
      <c r="A173" s="193">
        <f>'Incremental Network SummerFcast'!A173</f>
        <v>0</v>
      </c>
      <c r="B173" s="206">
        <f>'Incremental Network SummerFcast'!B173</f>
        <v>0</v>
      </c>
      <c r="C173" s="206">
        <f>'Incremental Network SummerFcast'!C173</f>
        <v>0</v>
      </c>
      <c r="D173" s="206">
        <f>'Incremental Network SummerFcast'!D173</f>
        <v>0</v>
      </c>
      <c r="E173" s="206">
        <f>'Incremental Network SummerFcast'!E173</f>
        <v>0</v>
      </c>
      <c r="F173" s="206">
        <f>'Incremental Network SummerFcast'!F173</f>
        <v>0</v>
      </c>
      <c r="G173" s="206">
        <f>'Incremental Network SummerFcast'!G173</f>
        <v>0</v>
      </c>
      <c r="H173" s="206">
        <f>'Incremental Network SummerFcast'!H173</f>
        <v>0</v>
      </c>
      <c r="I173" s="206">
        <f>'Incremental Network SummerFcast'!I173</f>
        <v>0</v>
      </c>
      <c r="J173" s="206">
        <f>'Incremental Network SummerFcast'!J173</f>
        <v>0</v>
      </c>
      <c r="K173" s="206">
        <f>'Incremental Network SummerFcast'!K173</f>
        <v>0</v>
      </c>
      <c r="L173" s="206">
        <f>'Incremental Network SummerFcast'!L173</f>
        <v>0</v>
      </c>
      <c r="M173" s="37"/>
    </row>
    <row r="174" spans="1:13" ht="15" thickBot="1">
      <c r="A174" s="193" t="str">
        <f>'Incremental Network SummerFcast'!A174</f>
        <v>Customer forecast</v>
      </c>
      <c r="B174" s="194">
        <f ca="1">'Incremental Network SummerFcast'!B174*$G$1</f>
        <v>0</v>
      </c>
      <c r="C174" s="194">
        <f ca="1">'Incremental Network SummerFcast'!C174*$G$1</f>
        <v>0</v>
      </c>
      <c r="D174" s="194">
        <f ca="1">'Incremental Network SummerFcast'!D174*$G$1</f>
        <v>0</v>
      </c>
      <c r="E174" s="194">
        <f ca="1">'Incremental Network SummerFcast'!E174*$G$1</f>
        <v>0</v>
      </c>
      <c r="F174" s="194">
        <f ca="1">'Incremental Network SummerFcast'!F174*$G$1</f>
        <v>0</v>
      </c>
      <c r="G174" s="194">
        <f ca="1">'Incremental Network SummerFcast'!G174*$G$1</f>
        <v>0</v>
      </c>
      <c r="H174" s="194">
        <f ca="1">'Incremental Network SummerFcast'!H174*$G$1</f>
        <v>0</v>
      </c>
      <c r="I174" s="194">
        <f ca="1">'Incremental Network SummerFcast'!I174*$G$1</f>
        <v>0</v>
      </c>
      <c r="J174" s="194">
        <f ca="1">'Incremental Network SummerFcast'!J174*$G$1</f>
        <v>0</v>
      </c>
      <c r="K174" s="194">
        <f ca="1">'Incremental Network SummerFcast'!K174*$G$1</f>
        <v>0</v>
      </c>
      <c r="L174" s="194">
        <f ca="1">'Incremental Network SummerFcast'!L174*$G$1</f>
        <v>0</v>
      </c>
      <c r="M174" s="37"/>
    </row>
    <row r="175" spans="1:13" ht="15" thickBot="1">
      <c r="A175" s="195" t="str">
        <f>'Incremental Network SummerFcast'!A175</f>
        <v>Base</v>
      </c>
      <c r="B175" s="196">
        <f ca="1">'Incremental Network SummerFcast'!B175*$G$1</f>
        <v>0</v>
      </c>
      <c r="C175" s="196">
        <f ca="1">'Incremental Network SummerFcast'!C175*$G$1</f>
        <v>0</v>
      </c>
      <c r="D175" s="196">
        <f ca="1">'Incremental Network SummerFcast'!D175*$G$1</f>
        <v>0</v>
      </c>
      <c r="E175" s="196">
        <f ca="1">'Incremental Network SummerFcast'!E175*$G$1</f>
        <v>0</v>
      </c>
      <c r="F175" s="196">
        <f ca="1">'Incremental Network SummerFcast'!F175*$G$1</f>
        <v>0</v>
      </c>
      <c r="G175" s="196">
        <f ca="1">'Incremental Network SummerFcast'!G175*$G$1</f>
        <v>0</v>
      </c>
      <c r="H175" s="196">
        <f ca="1">'Incremental Network SummerFcast'!H175*$G$1</f>
        <v>0</v>
      </c>
      <c r="I175" s="196">
        <f ca="1">'Incremental Network SummerFcast'!I175*$G$1</f>
        <v>0</v>
      </c>
      <c r="J175" s="196">
        <f ca="1">'Incremental Network SummerFcast'!J175*$G$1</f>
        <v>0</v>
      </c>
      <c r="K175" s="196">
        <f ca="1">'Incremental Network SummerFcast'!K175*$G$1</f>
        <v>0</v>
      </c>
      <c r="L175" s="196">
        <f ca="1">'Incremental Network SummerFcast'!L175*$G$1</f>
        <v>0</v>
      </c>
    </row>
    <row r="176" spans="1:13" ht="15" thickBot="1">
      <c r="A176" s="195" t="str">
        <f>'Incremental Network SummerFcast'!A176</f>
        <v>Low</v>
      </c>
      <c r="B176" s="196">
        <f ca="1">'Incremental Network SummerFcast'!B176*$G$1</f>
        <v>0</v>
      </c>
      <c r="C176" s="196">
        <f ca="1">'Incremental Network SummerFcast'!C176*$G$1</f>
        <v>0</v>
      </c>
      <c r="D176" s="196">
        <f ca="1">'Incremental Network SummerFcast'!D176*$G$1</f>
        <v>0</v>
      </c>
      <c r="E176" s="196">
        <f ca="1">'Incremental Network SummerFcast'!E176*$G$1</f>
        <v>0</v>
      </c>
      <c r="F176" s="196">
        <f ca="1">'Incremental Network SummerFcast'!F176*$G$1</f>
        <v>0</v>
      </c>
      <c r="G176" s="196">
        <f ca="1">'Incremental Network SummerFcast'!G176*$G$1</f>
        <v>0</v>
      </c>
      <c r="H176" s="196">
        <f ca="1">'Incremental Network SummerFcast'!H176*$G$1</f>
        <v>0</v>
      </c>
      <c r="I176" s="196">
        <f ca="1">'Incremental Network SummerFcast'!I176*$G$1</f>
        <v>0</v>
      </c>
      <c r="J176" s="196">
        <f ca="1">'Incremental Network SummerFcast'!J176*$G$1</f>
        <v>0</v>
      </c>
      <c r="K176" s="196">
        <f ca="1">'Incremental Network SummerFcast'!K176*$G$1</f>
        <v>0</v>
      </c>
      <c r="L176" s="196">
        <f ca="1">'Incremental Network SummerFcast'!L176*$G$1</f>
        <v>0</v>
      </c>
    </row>
    <row r="177" spans="1:13" ht="15" thickBot="1">
      <c r="A177" s="197" t="str">
        <f>'Incremental Network SummerFcast'!A177</f>
        <v>High</v>
      </c>
      <c r="B177" s="198">
        <f ca="1">'Incremental Network SummerFcast'!B177*$G$1</f>
        <v>0</v>
      </c>
      <c r="C177" s="198">
        <f ca="1">'Incremental Network SummerFcast'!C177*$G$1</f>
        <v>0</v>
      </c>
      <c r="D177" s="198">
        <f ca="1">'Incremental Network SummerFcast'!D177*$G$1</f>
        <v>0</v>
      </c>
      <c r="E177" s="198">
        <f ca="1">'Incremental Network SummerFcast'!E177*$G$1</f>
        <v>0</v>
      </c>
      <c r="F177" s="198">
        <f ca="1">'Incremental Network SummerFcast'!F177*$G$1</f>
        <v>0</v>
      </c>
      <c r="G177" s="198">
        <f ca="1">'Incremental Network SummerFcast'!G177*$G$1</f>
        <v>0</v>
      </c>
      <c r="H177" s="198">
        <f ca="1">'Incremental Network SummerFcast'!H177*$G$1</f>
        <v>0</v>
      </c>
      <c r="I177" s="198">
        <f ca="1">'Incremental Network SummerFcast'!I177*$G$1</f>
        <v>0</v>
      </c>
      <c r="J177" s="198">
        <f ca="1">'Incremental Network SummerFcast'!J177*$G$1</f>
        <v>0</v>
      </c>
      <c r="K177" s="198">
        <f ca="1">'Incremental Network SummerFcast'!K177*$G$1</f>
        <v>0</v>
      </c>
      <c r="L177" s="198">
        <f ca="1">'Incremental Network SummerFcast'!L177*$G$1</f>
        <v>0</v>
      </c>
    </row>
    <row r="178" spans="1:13" ht="15.6" thickTop="1" thickBot="1">
      <c r="A178" s="197" t="s">
        <v>148</v>
      </c>
      <c r="B178" s="198">
        <f ca="1">'Incremental Network SummerFcast'!$B$245*B175+'Incremental Network SummerFcast'!$B$246*B176+'Incremental Network SummerFcast'!$B$247*B177</f>
        <v>0</v>
      </c>
      <c r="C178" s="198">
        <f ca="1">'Incremental Network SummerFcast'!$B$245*C175+'Incremental Network SummerFcast'!$B$246*C176+'Incremental Network SummerFcast'!$B$247*C177</f>
        <v>0</v>
      </c>
      <c r="D178" s="198">
        <f ca="1">'Incremental Network SummerFcast'!$B$245*D175+'Incremental Network SummerFcast'!$B$246*D176+'Incremental Network SummerFcast'!$B$247*D177</f>
        <v>0</v>
      </c>
      <c r="E178" s="198">
        <f ca="1">'Incremental Network SummerFcast'!$B$245*E175+'Incremental Network SummerFcast'!$B$246*E176+'Incremental Network SummerFcast'!$B$247*E177</f>
        <v>0</v>
      </c>
      <c r="F178" s="198">
        <f ca="1">'Incremental Network SummerFcast'!$B$245*F175+'Incremental Network SummerFcast'!$B$246*F176+'Incremental Network SummerFcast'!$B$247*F177</f>
        <v>0</v>
      </c>
      <c r="G178" s="198">
        <f ca="1">'Incremental Network SummerFcast'!$B$245*G175+'Incremental Network SummerFcast'!$B$246*G176+'Incremental Network SummerFcast'!$B$247*G177</f>
        <v>0</v>
      </c>
      <c r="H178" s="198">
        <f ca="1">'Incremental Network SummerFcast'!$B$245*H175+'Incremental Network SummerFcast'!$B$246*H176+'Incremental Network SummerFcast'!$B$247*H177</f>
        <v>0</v>
      </c>
      <c r="I178" s="198">
        <f ca="1">'Incremental Network SummerFcast'!$B$245*I175+'Incremental Network SummerFcast'!$B$246*I176+'Incremental Network SummerFcast'!$B$247*I177</f>
        <v>0</v>
      </c>
      <c r="J178" s="198">
        <f ca="1">'Incremental Network SummerFcast'!$B$245*J175+'Incremental Network SummerFcast'!$B$246*J176+'Incremental Network SummerFcast'!$B$247*J177</f>
        <v>0</v>
      </c>
      <c r="K178" s="198">
        <f ca="1">'Incremental Network SummerFcast'!$B$245*K175+'Incremental Network SummerFcast'!$B$246*K176+'Incremental Network SummerFcast'!$B$247*K177</f>
        <v>0</v>
      </c>
      <c r="L178" s="198">
        <f ca="1">'Incremental Network SummerFcast'!$B$245*L175+'Incremental Network SummerFcast'!$B$246*L176+'Incremental Network SummerFcast'!$B$247*L177</f>
        <v>0</v>
      </c>
    </row>
    <row r="179" spans="1:13" ht="15.6" thickTop="1" thickBot="1">
      <c r="A179" s="188" t="str">
        <f>'Incremental Network SummerFcast'!A179</f>
        <v>SMTS</v>
      </c>
      <c r="B179" s="216"/>
      <c r="C179" s="190"/>
      <c r="D179" s="190"/>
      <c r="E179" s="190"/>
      <c r="F179" s="190"/>
      <c r="G179" s="190"/>
      <c r="H179" s="190"/>
      <c r="I179" s="190"/>
      <c r="J179" s="190"/>
      <c r="K179" s="190"/>
      <c r="L179" s="190"/>
    </row>
    <row r="180" spans="1:13" ht="15" thickBot="1">
      <c r="A180" s="191" t="str">
        <f>'Incremental Network SummerFcast'!A180</f>
        <v>Uptake Scenario</v>
      </c>
      <c r="B180" s="191">
        <f>'Incremental Network SummerFcast'!B180</f>
        <v>2023</v>
      </c>
      <c r="C180" s="191">
        <f>'Incremental Network SummerFcast'!C180</f>
        <v>2024</v>
      </c>
      <c r="D180" s="191">
        <f>'Incremental Network SummerFcast'!D180</f>
        <v>2025</v>
      </c>
      <c r="E180" s="191">
        <f>'Incremental Network SummerFcast'!E180</f>
        <v>2026</v>
      </c>
      <c r="F180" s="191">
        <f>'Incremental Network SummerFcast'!F180</f>
        <v>2027</v>
      </c>
      <c r="G180" s="191">
        <f>'Incremental Network SummerFcast'!G180</f>
        <v>2028</v>
      </c>
      <c r="H180" s="191">
        <f>'Incremental Network SummerFcast'!H180</f>
        <v>2029</v>
      </c>
      <c r="I180" s="191">
        <f>'Incremental Network SummerFcast'!I180</f>
        <v>2030</v>
      </c>
      <c r="J180" s="191">
        <f>'Incremental Network SummerFcast'!J180</f>
        <v>2031</v>
      </c>
      <c r="K180" s="191">
        <f>'Incremental Network SummerFcast'!K180</f>
        <v>2032</v>
      </c>
      <c r="L180" s="191">
        <f>'Incremental Network SummerFcast'!L180</f>
        <v>2033</v>
      </c>
    </row>
    <row r="181" spans="1:13" ht="15.6" thickTop="1" thickBot="1">
      <c r="A181" s="193">
        <f>'Incremental Network SummerFcast'!A181</f>
        <v>0</v>
      </c>
      <c r="B181" s="206">
        <f>'Incremental Network SummerFcast'!B181</f>
        <v>0</v>
      </c>
      <c r="C181" s="206">
        <f>'Incremental Network SummerFcast'!C181</f>
        <v>0</v>
      </c>
      <c r="D181" s="206">
        <f>'Incremental Network SummerFcast'!D181</f>
        <v>0</v>
      </c>
      <c r="E181" s="206">
        <f>'Incremental Network SummerFcast'!E181</f>
        <v>0</v>
      </c>
      <c r="F181" s="206">
        <f>'Incremental Network SummerFcast'!F181</f>
        <v>0</v>
      </c>
      <c r="G181" s="206">
        <f>'Incremental Network SummerFcast'!G181</f>
        <v>0</v>
      </c>
      <c r="H181" s="206">
        <f>'Incremental Network SummerFcast'!H181</f>
        <v>0</v>
      </c>
      <c r="I181" s="206">
        <f>'Incremental Network SummerFcast'!I181</f>
        <v>0</v>
      </c>
      <c r="J181" s="206">
        <f>'Incremental Network SummerFcast'!J181</f>
        <v>0</v>
      </c>
      <c r="K181" s="206">
        <f>'Incremental Network SummerFcast'!K181</f>
        <v>0</v>
      </c>
      <c r="L181" s="206">
        <f>'Incremental Network SummerFcast'!L181</f>
        <v>0</v>
      </c>
      <c r="M181" s="37"/>
    </row>
    <row r="182" spans="1:13" ht="15" thickBot="1">
      <c r="A182" s="193" t="str">
        <f>'Incremental Network SummerFcast'!A182</f>
        <v>Customer forecast</v>
      </c>
      <c r="B182" s="194">
        <f ca="1">'Incremental Network SummerFcast'!B182*$G$1</f>
        <v>0</v>
      </c>
      <c r="C182" s="194">
        <f ca="1">'Incremental Network SummerFcast'!C182*$G$1</f>
        <v>0</v>
      </c>
      <c r="D182" s="194">
        <f ca="1">'Incremental Network SummerFcast'!D182*$G$1</f>
        <v>0</v>
      </c>
      <c r="E182" s="194">
        <f ca="1">'Incremental Network SummerFcast'!E182*$G$1</f>
        <v>4.9725669988925789</v>
      </c>
      <c r="F182" s="194">
        <f ca="1">'Incremental Network SummerFcast'!F182*$G$1</f>
        <v>7.0852217607973422</v>
      </c>
      <c r="G182" s="194">
        <f ca="1">'Incremental Network SummerFcast'!G182*$G$1</f>
        <v>8.6540789036544865</v>
      </c>
      <c r="H182" s="194">
        <f ca="1">'Incremental Network SummerFcast'!H182*$G$1</f>
        <v>18.310712569213731</v>
      </c>
      <c r="I182" s="194">
        <f ca="1">'Incremental Network SummerFcast'!I182*$G$1</f>
        <v>42.381550498338868</v>
      </c>
      <c r="J182" s="194">
        <f ca="1">'Incremental Network SummerFcast'!J182*$G$1</f>
        <v>55.289580730897008</v>
      </c>
      <c r="K182" s="194">
        <f ca="1">'Incremental Network SummerFcast'!K182*$G$1</f>
        <v>92.014644850498328</v>
      </c>
      <c r="L182" s="194">
        <f ca="1">'Incremental Network SummerFcast'!L182*$G$1</f>
        <v>169.09154682724252</v>
      </c>
      <c r="M182" s="37"/>
    </row>
    <row r="183" spans="1:13" ht="15" thickBot="1">
      <c r="A183" s="195" t="str">
        <f>'Incremental Network SummerFcast'!A183</f>
        <v>Base</v>
      </c>
      <c r="B183" s="196">
        <f ca="1">'Incremental Network SummerFcast'!B183*$G$1</f>
        <v>0</v>
      </c>
      <c r="C183" s="196">
        <f ca="1">'Incremental Network SummerFcast'!C183*$G$1</f>
        <v>0</v>
      </c>
      <c r="D183" s="196">
        <f ca="1">'Incremental Network SummerFcast'!D183*$G$1</f>
        <v>0</v>
      </c>
      <c r="E183" s="196">
        <f ca="1">'Incremental Network SummerFcast'!E183*$G$1</f>
        <v>0</v>
      </c>
      <c r="F183" s="196">
        <f ca="1">'Incremental Network SummerFcast'!F183*$G$1</f>
        <v>4.475310299003322</v>
      </c>
      <c r="G183" s="196">
        <f ca="1">'Incremental Network SummerFcast'!G183*$G$1</f>
        <v>6.376699584717608</v>
      </c>
      <c r="H183" s="196">
        <f ca="1">'Incremental Network SummerFcast'!H183*$G$1</f>
        <v>7.7886710132890373</v>
      </c>
      <c r="I183" s="196">
        <f ca="1">'Incremental Network SummerFcast'!I183*$G$1</f>
        <v>12.004331013289036</v>
      </c>
      <c r="J183" s="196">
        <f ca="1">'Incremental Network SummerFcast'!J183*$G$1</f>
        <v>17.197074557032114</v>
      </c>
      <c r="K183" s="196">
        <f ca="1">'Incremental Network SummerFcast'!K183*$G$1</f>
        <v>21.212251885382056</v>
      </c>
      <c r="L183" s="196">
        <f ca="1">'Incremental Network SummerFcast'!L183*$G$1</f>
        <v>21.999091686046512</v>
      </c>
    </row>
    <row r="184" spans="1:13" ht="15" thickBot="1">
      <c r="A184" s="195" t="str">
        <f>'Incremental Network SummerFcast'!A184</f>
        <v>Low</v>
      </c>
      <c r="B184" s="196">
        <f ca="1">'Incremental Network SummerFcast'!B184*$G$1</f>
        <v>0</v>
      </c>
      <c r="C184" s="196">
        <f ca="1">'Incremental Network SummerFcast'!C184*$G$1</f>
        <v>0</v>
      </c>
      <c r="D184" s="196">
        <f ca="1">'Incremental Network SummerFcast'!D184*$G$1</f>
        <v>0</v>
      </c>
      <c r="E184" s="196">
        <f ca="1">'Incremental Network SummerFcast'!E184*$G$1</f>
        <v>0</v>
      </c>
      <c r="F184" s="196">
        <f ca="1">'Incremental Network SummerFcast'!F184*$G$1</f>
        <v>0</v>
      </c>
      <c r="G184" s="196">
        <f ca="1">'Incremental Network SummerFcast'!G184*$G$1</f>
        <v>2.9835401993355477</v>
      </c>
      <c r="H184" s="196">
        <f ca="1">'Incremental Network SummerFcast'!H184*$G$1</f>
        <v>4.2511330564784053</v>
      </c>
      <c r="I184" s="196">
        <f ca="1">'Incremental Network SummerFcast'!I184*$G$1</f>
        <v>5.1924473421926907</v>
      </c>
      <c r="J184" s="196">
        <f ca="1">'Incremental Network SummerFcast'!J184*$G$1</f>
        <v>8.0028873421926896</v>
      </c>
      <c r="K184" s="196">
        <f ca="1">'Incremental Network SummerFcast'!K184*$G$1</f>
        <v>10.834857884828349</v>
      </c>
      <c r="L184" s="196">
        <f ca="1">'Incremental Network SummerFcast'!L184*$G$1</f>
        <v>13.24403983388704</v>
      </c>
    </row>
    <row r="185" spans="1:13" ht="15" thickBot="1">
      <c r="A185" s="197" t="str">
        <f>'Incremental Network SummerFcast'!A185</f>
        <v>High</v>
      </c>
      <c r="B185" s="198">
        <f ca="1">'Incremental Network SummerFcast'!B185*$G$1</f>
        <v>0</v>
      </c>
      <c r="C185" s="198">
        <f ca="1">'Incremental Network SummerFcast'!C185*$G$1</f>
        <v>0</v>
      </c>
      <c r="D185" s="198">
        <f ca="1">'Incremental Network SummerFcast'!D185*$G$1</f>
        <v>0</v>
      </c>
      <c r="E185" s="198">
        <f ca="1">'Incremental Network SummerFcast'!E185*$G$1</f>
        <v>4.9725669988925789</v>
      </c>
      <c r="F185" s="198">
        <f ca="1">'Incremental Network SummerFcast'!F185*$G$1</f>
        <v>7.0852217607973422</v>
      </c>
      <c r="G185" s="198">
        <f ca="1">'Incremental Network SummerFcast'!G185*$G$1</f>
        <v>8.6540789036544865</v>
      </c>
      <c r="H185" s="198">
        <f ca="1">'Incremental Network SummerFcast'!H185*$G$1</f>
        <v>13.338145570321151</v>
      </c>
      <c r="I185" s="198">
        <f ca="1">'Incremental Network SummerFcast'!I185*$G$1</f>
        <v>19.980822380952375</v>
      </c>
      <c r="J185" s="198">
        <f ca="1">'Incremental Network SummerFcast'!J185*$G$1</f>
        <v>24.813018803986708</v>
      </c>
      <c r="K185" s="198">
        <f ca="1">'Incremental Network SummerFcast'!K185*$G$1</f>
        <v>29.645384761904761</v>
      </c>
      <c r="L185" s="198">
        <f ca="1">'Incremental Network SummerFcast'!L185*$G$1</f>
        <v>36.117595601328894</v>
      </c>
    </row>
    <row r="186" spans="1:13" ht="15.6" thickTop="1" thickBot="1">
      <c r="A186" s="197" t="s">
        <v>148</v>
      </c>
      <c r="B186" s="198">
        <f ca="1">'Incremental Network SummerFcast'!$B$245*B183+'Incremental Network SummerFcast'!$B$246*B184+'Incremental Network SummerFcast'!$B$247*B185</f>
        <v>0</v>
      </c>
      <c r="C186" s="198">
        <f ca="1">'Incremental Network SummerFcast'!$B$245*C183+'Incremental Network SummerFcast'!$B$246*C184+'Incremental Network SummerFcast'!$B$247*C185</f>
        <v>0</v>
      </c>
      <c r="D186" s="198">
        <f ca="1">'Incremental Network SummerFcast'!$B$245*D183+'Incremental Network SummerFcast'!$B$246*D184+'Incremental Network SummerFcast'!$B$247*D185</f>
        <v>0</v>
      </c>
      <c r="E186" s="198">
        <f ca="1">'Incremental Network SummerFcast'!$B$245*E183+'Incremental Network SummerFcast'!$B$246*E184+'Incremental Network SummerFcast'!$B$247*E185</f>
        <v>1.2431417497231447</v>
      </c>
      <c r="F186" s="198">
        <f ca="1">'Incremental Network SummerFcast'!$B$245*F183+'Incremental Network SummerFcast'!$B$246*F184+'Incremental Network SummerFcast'!$B$247*F185</f>
        <v>4.0089605897009966</v>
      </c>
      <c r="G186" s="198">
        <f ca="1">'Incremental Network SummerFcast'!$B$245*G183+'Incremental Network SummerFcast'!$B$246*G184+'Incremental Network SummerFcast'!$B$247*G185</f>
        <v>6.0977545681063123</v>
      </c>
      <c r="H186" s="198">
        <f ca="1">'Incremental Network SummerFcast'!$B$245*H183+'Incremental Network SummerFcast'!$B$246*H184+'Incremental Network SummerFcast'!$B$247*H185</f>
        <v>8.2916551633444087</v>
      </c>
      <c r="I186" s="198">
        <f ca="1">'Incremental Network SummerFcast'!$B$245*I183+'Incremental Network SummerFcast'!$B$246*I184+'Incremental Network SummerFcast'!$B$247*I185</f>
        <v>12.295482937430783</v>
      </c>
      <c r="J186" s="198">
        <f ca="1">'Incremental Network SummerFcast'!$B$245*J183+'Incremental Network SummerFcast'!$B$246*J184+'Incremental Network SummerFcast'!$B$247*J185</f>
        <v>16.802513815060905</v>
      </c>
      <c r="K186" s="198">
        <f ca="1">'Incremental Network SummerFcast'!$B$245*K183+'Incremental Network SummerFcast'!$B$246*K184+'Incremental Network SummerFcast'!$B$247*K185</f>
        <v>20.726186604374305</v>
      </c>
      <c r="L186" s="198">
        <f ca="1">'Incremental Network SummerFcast'!$B$245*L183+'Incremental Network SummerFcast'!$B$246*L184+'Incremental Network SummerFcast'!$B$247*L185</f>
        <v>23.339954701827239</v>
      </c>
    </row>
    <row r="187" spans="1:13" ht="15.6" thickTop="1" thickBot="1">
      <c r="A187" s="188" t="str">
        <f>'Incremental Network SummerFcast'!A187</f>
        <v>BLTS-NT-YVE-BLTS</v>
      </c>
      <c r="B187" s="216"/>
      <c r="C187" s="190"/>
      <c r="D187" s="190"/>
      <c r="E187" s="190"/>
      <c r="F187" s="190"/>
      <c r="G187" s="190"/>
      <c r="H187" s="190"/>
      <c r="I187" s="190"/>
      <c r="J187" s="190"/>
      <c r="K187" s="190"/>
      <c r="L187" s="190"/>
    </row>
    <row r="188" spans="1:13" ht="15" thickBot="1">
      <c r="A188" s="191" t="str">
        <f>'Incremental Network SummerFcast'!A188</f>
        <v>Uptake Scenario</v>
      </c>
      <c r="B188" s="191">
        <f>'Incremental Network SummerFcast'!B188</f>
        <v>2023</v>
      </c>
      <c r="C188" s="191">
        <f>'Incremental Network SummerFcast'!C188</f>
        <v>2024</v>
      </c>
      <c r="D188" s="191">
        <f>'Incremental Network SummerFcast'!D188</f>
        <v>2025</v>
      </c>
      <c r="E188" s="191">
        <f>'Incremental Network SummerFcast'!E188</f>
        <v>2026</v>
      </c>
      <c r="F188" s="191">
        <f>'Incremental Network SummerFcast'!F188</f>
        <v>2027</v>
      </c>
      <c r="G188" s="191">
        <f>'Incremental Network SummerFcast'!G188</f>
        <v>2028</v>
      </c>
      <c r="H188" s="191">
        <f>'Incremental Network SummerFcast'!H188</f>
        <v>2029</v>
      </c>
      <c r="I188" s="191">
        <f>'Incremental Network SummerFcast'!I188</f>
        <v>2030</v>
      </c>
      <c r="J188" s="191">
        <f>'Incremental Network SummerFcast'!J188</f>
        <v>2031</v>
      </c>
      <c r="K188" s="191">
        <f>'Incremental Network SummerFcast'!K188</f>
        <v>2032</v>
      </c>
      <c r="L188" s="191">
        <f>'Incremental Network SummerFcast'!L188</f>
        <v>2033</v>
      </c>
    </row>
    <row r="189" spans="1:13" ht="15.6" thickTop="1" thickBot="1">
      <c r="A189" s="193">
        <f>'Incremental Network SummerFcast'!A189</f>
        <v>0</v>
      </c>
      <c r="B189" s="206">
        <f>'Incremental Network SummerFcast'!B189</f>
        <v>0</v>
      </c>
      <c r="C189" s="206">
        <f>'Incremental Network SummerFcast'!C189</f>
        <v>0</v>
      </c>
      <c r="D189" s="206">
        <f>'Incremental Network SummerFcast'!D189</f>
        <v>0</v>
      </c>
      <c r="E189" s="206">
        <f>'Incremental Network SummerFcast'!E189</f>
        <v>0</v>
      </c>
      <c r="F189" s="206">
        <f>'Incremental Network SummerFcast'!F189</f>
        <v>0</v>
      </c>
      <c r="G189" s="206">
        <f>'Incremental Network SummerFcast'!G189</f>
        <v>0</v>
      </c>
      <c r="H189" s="206">
        <f>'Incremental Network SummerFcast'!H189</f>
        <v>0</v>
      </c>
      <c r="I189" s="206">
        <f>'Incremental Network SummerFcast'!I189</f>
        <v>0</v>
      </c>
      <c r="J189" s="206">
        <f>'Incremental Network SummerFcast'!J189</f>
        <v>0</v>
      </c>
      <c r="K189" s="206">
        <f>'Incremental Network SummerFcast'!K189</f>
        <v>0</v>
      </c>
      <c r="L189" s="206">
        <f>'Incremental Network SummerFcast'!L189</f>
        <v>0</v>
      </c>
      <c r="M189" s="37"/>
    </row>
    <row r="190" spans="1:13" ht="15" thickBot="1">
      <c r="A190" s="193" t="str">
        <f>'Incremental Network SummerFcast'!A190</f>
        <v>Customer forecast</v>
      </c>
      <c r="B190" s="194">
        <f ca="1">'Incremental Network SummerFcast'!B190*$G$1</f>
        <v>0</v>
      </c>
      <c r="C190" s="194">
        <f ca="1">'Incremental Network SummerFcast'!C190*$G$1</f>
        <v>0</v>
      </c>
      <c r="D190" s="194">
        <f ca="1">'Incremental Network SummerFcast'!D190*$G$1</f>
        <v>0</v>
      </c>
      <c r="E190" s="194">
        <f ca="1">'Incremental Network SummerFcast'!E190*$G$1</f>
        <v>0</v>
      </c>
      <c r="F190" s="194">
        <f ca="1">'Incremental Network SummerFcast'!F190*$G$1</f>
        <v>0</v>
      </c>
      <c r="G190" s="194">
        <f ca="1">'Incremental Network SummerFcast'!G190*$G$1</f>
        <v>0</v>
      </c>
      <c r="H190" s="194">
        <f ca="1">'Incremental Network SummerFcast'!H190*$G$1</f>
        <v>0</v>
      </c>
      <c r="I190" s="194">
        <f ca="1">'Incremental Network SummerFcast'!I190*$G$1</f>
        <v>0</v>
      </c>
      <c r="J190" s="194">
        <f ca="1">'Incremental Network SummerFcast'!J190*$G$1</f>
        <v>0</v>
      </c>
      <c r="K190" s="194">
        <f ca="1">'Incremental Network SummerFcast'!K190*$G$1</f>
        <v>0</v>
      </c>
      <c r="L190" s="194">
        <f ca="1">'Incremental Network SummerFcast'!L190*$G$1</f>
        <v>14.917700996677738</v>
      </c>
      <c r="M190" s="37"/>
    </row>
    <row r="191" spans="1:13" ht="15" thickBot="1">
      <c r="A191" s="195" t="str">
        <f>'Incremental Network SummerFcast'!A191</f>
        <v>Base</v>
      </c>
      <c r="B191" s="196">
        <f ca="1">'Incremental Network SummerFcast'!B191*$G$1</f>
        <v>0</v>
      </c>
      <c r="C191" s="196">
        <f ca="1">'Incremental Network SummerFcast'!C191*$G$1</f>
        <v>0</v>
      </c>
      <c r="D191" s="196">
        <f ca="1">'Incremental Network SummerFcast'!D191*$G$1</f>
        <v>0</v>
      </c>
      <c r="E191" s="196">
        <f ca="1">'Incremental Network SummerFcast'!E191*$G$1</f>
        <v>0</v>
      </c>
      <c r="F191" s="196">
        <f ca="1">'Incremental Network SummerFcast'!F191*$G$1</f>
        <v>0</v>
      </c>
      <c r="G191" s="196">
        <f ca="1">'Incremental Network SummerFcast'!G191*$G$1</f>
        <v>0</v>
      </c>
      <c r="H191" s="196">
        <f ca="1">'Incremental Network SummerFcast'!H191*$G$1</f>
        <v>0</v>
      </c>
      <c r="I191" s="196">
        <f ca="1">'Incremental Network SummerFcast'!I191*$G$1</f>
        <v>0</v>
      </c>
      <c r="J191" s="196">
        <f ca="1">'Incremental Network SummerFcast'!J191*$G$1</f>
        <v>0</v>
      </c>
      <c r="K191" s="196">
        <f ca="1">'Incremental Network SummerFcast'!K191*$G$1</f>
        <v>0</v>
      </c>
      <c r="L191" s="196">
        <f ca="1">'Incremental Network SummerFcast'!L191*$G$1</f>
        <v>0</v>
      </c>
    </row>
    <row r="192" spans="1:13" ht="15" thickBot="1">
      <c r="A192" s="195" t="str">
        <f>'Incremental Network SummerFcast'!A192</f>
        <v>Low</v>
      </c>
      <c r="B192" s="196">
        <f ca="1">'Incremental Network SummerFcast'!B192*$G$1</f>
        <v>0</v>
      </c>
      <c r="C192" s="196">
        <f ca="1">'Incremental Network SummerFcast'!C192*$G$1</f>
        <v>0</v>
      </c>
      <c r="D192" s="196">
        <f ca="1">'Incremental Network SummerFcast'!D192*$G$1</f>
        <v>0</v>
      </c>
      <c r="E192" s="196">
        <f ca="1">'Incremental Network SummerFcast'!E192*$G$1</f>
        <v>0</v>
      </c>
      <c r="F192" s="196">
        <f ca="1">'Incremental Network SummerFcast'!F192*$G$1</f>
        <v>0</v>
      </c>
      <c r="G192" s="196">
        <f ca="1">'Incremental Network SummerFcast'!G192*$G$1</f>
        <v>0</v>
      </c>
      <c r="H192" s="196">
        <f ca="1">'Incremental Network SummerFcast'!H192*$G$1</f>
        <v>0</v>
      </c>
      <c r="I192" s="196">
        <f ca="1">'Incremental Network SummerFcast'!I192*$G$1</f>
        <v>0</v>
      </c>
      <c r="J192" s="196">
        <f ca="1">'Incremental Network SummerFcast'!J192*$G$1</f>
        <v>0</v>
      </c>
      <c r="K192" s="196">
        <f ca="1">'Incremental Network SummerFcast'!K192*$G$1</f>
        <v>0</v>
      </c>
      <c r="L192" s="196">
        <f ca="1">'Incremental Network SummerFcast'!L192*$G$1</f>
        <v>0</v>
      </c>
    </row>
    <row r="193" spans="1:13" ht="15" thickBot="1">
      <c r="A193" s="197" t="str">
        <f>'Incremental Network SummerFcast'!A193</f>
        <v>High</v>
      </c>
      <c r="B193" s="198">
        <f ca="1">'Incremental Network SummerFcast'!B193*$G$1</f>
        <v>0</v>
      </c>
      <c r="C193" s="198">
        <f ca="1">'Incremental Network SummerFcast'!C193*$G$1</f>
        <v>0</v>
      </c>
      <c r="D193" s="198">
        <f ca="1">'Incremental Network SummerFcast'!D193*$G$1</f>
        <v>0</v>
      </c>
      <c r="E193" s="198">
        <f ca="1">'Incremental Network SummerFcast'!E193*$G$1</f>
        <v>0</v>
      </c>
      <c r="F193" s="198">
        <f ca="1">'Incremental Network SummerFcast'!F193*$G$1</f>
        <v>0</v>
      </c>
      <c r="G193" s="198">
        <f ca="1">'Incremental Network SummerFcast'!G193*$G$1</f>
        <v>0</v>
      </c>
      <c r="H193" s="198">
        <f ca="1">'Incremental Network SummerFcast'!H193*$G$1</f>
        <v>0</v>
      </c>
      <c r="I193" s="198">
        <f ca="1">'Incremental Network SummerFcast'!I193*$G$1</f>
        <v>0</v>
      </c>
      <c r="J193" s="198">
        <f ca="1">'Incremental Network SummerFcast'!J193*$G$1</f>
        <v>0</v>
      </c>
      <c r="K193" s="198">
        <f ca="1">'Incremental Network SummerFcast'!K193*$G$1</f>
        <v>0</v>
      </c>
      <c r="L193" s="198">
        <f ca="1">'Incremental Network SummerFcast'!L193*$G$1</f>
        <v>0</v>
      </c>
    </row>
    <row r="194" spans="1:13" ht="15.6" thickTop="1" thickBot="1">
      <c r="A194" s="197" t="s">
        <v>148</v>
      </c>
      <c r="B194" s="198">
        <f ca="1">'Incremental Network SummerFcast'!$B$245*B191+'Incremental Network SummerFcast'!$B$246*B192+'Incremental Network SummerFcast'!$B$247*B193</f>
        <v>0</v>
      </c>
      <c r="C194" s="198">
        <f ca="1">'Incremental Network SummerFcast'!$B$245*C191+'Incremental Network SummerFcast'!$B$246*C192+'Incremental Network SummerFcast'!$B$247*C193</f>
        <v>0</v>
      </c>
      <c r="D194" s="198">
        <f ca="1">'Incremental Network SummerFcast'!$B$245*D191+'Incremental Network SummerFcast'!$B$246*D192+'Incremental Network SummerFcast'!$B$247*D193</f>
        <v>0</v>
      </c>
      <c r="E194" s="198">
        <f ca="1">'Incremental Network SummerFcast'!$B$245*E191+'Incremental Network SummerFcast'!$B$246*E192+'Incremental Network SummerFcast'!$B$247*E193</f>
        <v>0</v>
      </c>
      <c r="F194" s="198">
        <f ca="1">'Incremental Network SummerFcast'!$B$245*F191+'Incremental Network SummerFcast'!$B$246*F192+'Incremental Network SummerFcast'!$B$247*F193</f>
        <v>0</v>
      </c>
      <c r="G194" s="198">
        <f ca="1">'Incremental Network SummerFcast'!$B$245*G191+'Incremental Network SummerFcast'!$B$246*G192+'Incremental Network SummerFcast'!$B$247*G193</f>
        <v>0</v>
      </c>
      <c r="H194" s="198">
        <f ca="1">'Incremental Network SummerFcast'!$B$245*H191+'Incremental Network SummerFcast'!$B$246*H192+'Incremental Network SummerFcast'!$B$247*H193</f>
        <v>0</v>
      </c>
      <c r="I194" s="198">
        <f ca="1">'Incremental Network SummerFcast'!$B$245*I191+'Incremental Network SummerFcast'!$B$246*I192+'Incremental Network SummerFcast'!$B$247*I193</f>
        <v>0</v>
      </c>
      <c r="J194" s="198">
        <f ca="1">'Incremental Network SummerFcast'!$B$245*J191+'Incremental Network SummerFcast'!$B$246*J192+'Incremental Network SummerFcast'!$B$247*J193</f>
        <v>0</v>
      </c>
      <c r="K194" s="198">
        <f ca="1">'Incremental Network SummerFcast'!$B$245*K191+'Incremental Network SummerFcast'!$B$246*K192+'Incremental Network SummerFcast'!$B$247*K193</f>
        <v>0</v>
      </c>
      <c r="L194" s="198">
        <f ca="1">'Incremental Network SummerFcast'!$B$245*L191+'Incremental Network SummerFcast'!$B$246*L192+'Incremental Network SummerFcast'!$B$247*L193</f>
        <v>0</v>
      </c>
    </row>
    <row r="195" spans="1:13" ht="15.6" thickTop="1" thickBot="1">
      <c r="A195" s="188" t="str">
        <f>'Incremental Network SummerFcast'!A195</f>
        <v>BLTS66</v>
      </c>
      <c r="B195" s="216"/>
      <c r="C195" s="190"/>
      <c r="D195" s="190"/>
      <c r="E195" s="190"/>
      <c r="F195" s="190"/>
      <c r="G195" s="190"/>
      <c r="H195" s="190"/>
      <c r="I195" s="190"/>
      <c r="J195" s="190"/>
      <c r="K195" s="190"/>
      <c r="L195" s="190"/>
    </row>
    <row r="196" spans="1:13" ht="15" thickBot="1">
      <c r="A196" s="191" t="str">
        <f>'Incremental Network SummerFcast'!A196</f>
        <v>Uptake Scenario</v>
      </c>
      <c r="B196" s="191">
        <f>'Incremental Network SummerFcast'!B196</f>
        <v>2023</v>
      </c>
      <c r="C196" s="191">
        <f>'Incremental Network SummerFcast'!C196</f>
        <v>2024</v>
      </c>
      <c r="D196" s="191">
        <f>'Incremental Network SummerFcast'!D196</f>
        <v>2025</v>
      </c>
      <c r="E196" s="191">
        <f>'Incremental Network SummerFcast'!E196</f>
        <v>2026</v>
      </c>
      <c r="F196" s="191">
        <f>'Incremental Network SummerFcast'!F196</f>
        <v>2027</v>
      </c>
      <c r="G196" s="191">
        <f>'Incremental Network SummerFcast'!G196</f>
        <v>2028</v>
      </c>
      <c r="H196" s="191">
        <f>'Incremental Network SummerFcast'!H196</f>
        <v>2029</v>
      </c>
      <c r="I196" s="191">
        <f>'Incremental Network SummerFcast'!I196</f>
        <v>2030</v>
      </c>
      <c r="J196" s="191">
        <f>'Incremental Network SummerFcast'!J196</f>
        <v>2031</v>
      </c>
      <c r="K196" s="191">
        <f>'Incremental Network SummerFcast'!K196</f>
        <v>2032</v>
      </c>
      <c r="L196" s="191">
        <f>'Incremental Network SummerFcast'!L196</f>
        <v>2033</v>
      </c>
    </row>
    <row r="197" spans="1:13" ht="15.6" thickTop="1" thickBot="1">
      <c r="A197" s="193">
        <f>'Incremental Network SummerFcast'!A197</f>
        <v>0</v>
      </c>
      <c r="B197" s="206">
        <f>'Incremental Network SummerFcast'!B197</f>
        <v>0</v>
      </c>
      <c r="C197" s="206">
        <f>'Incremental Network SummerFcast'!C197</f>
        <v>0</v>
      </c>
      <c r="D197" s="206">
        <f>'Incremental Network SummerFcast'!D197</f>
        <v>0</v>
      </c>
      <c r="E197" s="206">
        <f>'Incremental Network SummerFcast'!E197</f>
        <v>0</v>
      </c>
      <c r="F197" s="206">
        <f>'Incremental Network SummerFcast'!F197</f>
        <v>0</v>
      </c>
      <c r="G197" s="206">
        <f>'Incremental Network SummerFcast'!G197</f>
        <v>0</v>
      </c>
      <c r="H197" s="206">
        <f>'Incremental Network SummerFcast'!H197</f>
        <v>0</v>
      </c>
      <c r="I197" s="206">
        <f>'Incremental Network SummerFcast'!I197</f>
        <v>0</v>
      </c>
      <c r="J197" s="206">
        <f>'Incremental Network SummerFcast'!J197</f>
        <v>0</v>
      </c>
      <c r="K197" s="206">
        <f>'Incremental Network SummerFcast'!K197</f>
        <v>0</v>
      </c>
      <c r="L197" s="206">
        <f>'Incremental Network SummerFcast'!L197</f>
        <v>0</v>
      </c>
      <c r="M197" s="37"/>
    </row>
    <row r="198" spans="1:13" ht="15" thickBot="1">
      <c r="A198" s="193" t="str">
        <f>'Incremental Network SummerFcast'!A198</f>
        <v>Customer forecast</v>
      </c>
      <c r="B198" s="194">
        <f ca="1">'Incremental Network SummerFcast'!B198*$G$1</f>
        <v>-1.7</v>
      </c>
      <c r="C198" s="194">
        <f ca="1">'Incremental Network SummerFcast'!C198*$G$1</f>
        <v>1.4875</v>
      </c>
      <c r="D198" s="194">
        <f ca="1">'Incremental Network SummerFcast'!D198*$G$1</f>
        <v>14.331894219269103</v>
      </c>
      <c r="E198" s="194">
        <f ca="1">'Incremental Network SummerFcast'!E198*$G$1</f>
        <v>19.976246362126247</v>
      </c>
      <c r="F198" s="194">
        <f ca="1">'Incremental Network SummerFcast'!F198*$G$1</f>
        <v>32.647498853820593</v>
      </c>
      <c r="G198" s="194">
        <f ca="1">'Incremental Network SummerFcast'!G198*$G$1</f>
        <v>45.655161995570317</v>
      </c>
      <c r="H198" s="194">
        <f ca="1">'Incremental Network SummerFcast'!H198*$G$1</f>
        <v>55.16014532890366</v>
      </c>
      <c r="I198" s="194">
        <f ca="1">'Incremental Network SummerFcast'!I198*$G$1</f>
        <v>94.737869562569202</v>
      </c>
      <c r="J198" s="194">
        <f ca="1">'Incremental Network SummerFcast'!J198*$G$1</f>
        <v>149.43053550719821</v>
      </c>
      <c r="K198" s="194">
        <f ca="1">'Incremental Network SummerFcast'!K198*$G$1</f>
        <v>182.05139788261354</v>
      </c>
      <c r="L198" s="194">
        <f ca="1">'Incremental Network SummerFcast'!L198*$G$1</f>
        <v>265.85825366555918</v>
      </c>
      <c r="M198" s="37"/>
    </row>
    <row r="199" spans="1:13" ht="15" thickBot="1">
      <c r="A199" s="195" t="str">
        <f>'Incremental Network SummerFcast'!A199</f>
        <v>Base</v>
      </c>
      <c r="B199" s="196">
        <f ca="1">'Incremental Network SummerFcast'!B199*$G$1</f>
        <v>-1.7</v>
      </c>
      <c r="C199" s="196">
        <f ca="1">'Incremental Network SummerFcast'!C199*$G$1</f>
        <v>1.4875</v>
      </c>
      <c r="D199" s="196">
        <f ca="1">'Incremental Network SummerFcast'!D199*$G$1</f>
        <v>14.331894219269103</v>
      </c>
      <c r="E199" s="196">
        <f ca="1">'Incremental Network SummerFcast'!E199*$G$1</f>
        <v>19.976246362126247</v>
      </c>
      <c r="F199" s="196">
        <f ca="1">'Incremental Network SummerFcast'!F199*$G$1</f>
        <v>21.011692076411961</v>
      </c>
      <c r="G199" s="196">
        <f ca="1">'Incremental Network SummerFcast'!G199*$G$1</f>
        <v>24.103176076411959</v>
      </c>
      <c r="H199" s="196">
        <f ca="1">'Incremental Network SummerFcast'!H199*$G$1</f>
        <v>26.124378933554816</v>
      </c>
      <c r="I199" s="196">
        <f ca="1">'Incremental Network SummerFcast'!I199*$G$1</f>
        <v>30.746252859357693</v>
      </c>
      <c r="J199" s="196">
        <f ca="1">'Incremental Network SummerFcast'!J199*$G$1</f>
        <v>34.225294310631227</v>
      </c>
      <c r="K199" s="196">
        <f ca="1">'Incremental Network SummerFcast'!K199*$G$1</f>
        <v>38.72783436511628</v>
      </c>
      <c r="L199" s="196">
        <f ca="1">'Incremental Network SummerFcast'!L199*$G$1</f>
        <v>47.904349258416389</v>
      </c>
    </row>
    <row r="200" spans="1:13" ht="15" thickBot="1">
      <c r="A200" s="195" t="str">
        <f>'Incremental Network SummerFcast'!A200</f>
        <v>Low</v>
      </c>
      <c r="B200" s="196">
        <f ca="1">'Incremental Network SummerFcast'!B200*$G$1</f>
        <v>-1.7</v>
      </c>
      <c r="C200" s="196">
        <f ca="1">'Incremental Network SummerFcast'!C200*$G$1</f>
        <v>1.4875</v>
      </c>
      <c r="D200" s="196">
        <f ca="1">'Incremental Network SummerFcast'!D200*$G$1</f>
        <v>14.331894219269103</v>
      </c>
      <c r="E200" s="196">
        <f ca="1">'Incremental Network SummerFcast'!E200*$G$1</f>
        <v>19.976246362126247</v>
      </c>
      <c r="F200" s="196">
        <f ca="1">'Incremental Network SummerFcast'!F200*$G$1</f>
        <v>21.011692076411961</v>
      </c>
      <c r="G200" s="196">
        <f ca="1">'Incremental Network SummerFcast'!G200*$G$1</f>
        <v>24.103176076411959</v>
      </c>
      <c r="H200" s="196">
        <f ca="1">'Incremental Network SummerFcast'!H200*$G$1</f>
        <v>26.124378933554816</v>
      </c>
      <c r="I200" s="196">
        <f ca="1">'Incremental Network SummerFcast'!I200*$G$1</f>
        <v>28.309695029900332</v>
      </c>
      <c r="J200" s="196">
        <f ca="1">'Incremental Network SummerFcast'!J200*$G$1</f>
        <v>31.748049047619048</v>
      </c>
      <c r="K200" s="196">
        <f ca="1">'Incremental Network SummerFcast'!K200*$G$1</f>
        <v>33.460860631229238</v>
      </c>
      <c r="L200" s="196">
        <f ca="1">'Incremental Network SummerFcast'!L200*$G$1</f>
        <v>35.478148338870433</v>
      </c>
    </row>
    <row r="201" spans="1:13" ht="15" thickBot="1">
      <c r="A201" s="197" t="str">
        <f>'Incremental Network SummerFcast'!A201</f>
        <v>High</v>
      </c>
      <c r="B201" s="198">
        <f ca="1">'Incremental Network SummerFcast'!B201*$G$1</f>
        <v>-1.7</v>
      </c>
      <c r="C201" s="198">
        <f ca="1">'Incremental Network SummerFcast'!C201*$G$1</f>
        <v>1.4875</v>
      </c>
      <c r="D201" s="198">
        <f ca="1">'Incremental Network SummerFcast'!D201*$G$1</f>
        <v>14.331894219269103</v>
      </c>
      <c r="E201" s="198">
        <f ca="1">'Incremental Network SummerFcast'!E201*$G$1</f>
        <v>19.976246362126247</v>
      </c>
      <c r="F201" s="198">
        <f ca="1">'Incremental Network SummerFcast'!F201*$G$1</f>
        <v>21.011692076411961</v>
      </c>
      <c r="G201" s="198">
        <f ca="1">'Incremental Network SummerFcast'!G201*$G$1</f>
        <v>24.103176076411959</v>
      </c>
      <c r="H201" s="198">
        <f ca="1">'Incremental Network SummerFcast'!H201*$G$1</f>
        <v>29.704627172757473</v>
      </c>
      <c r="I201" s="198">
        <f ca="1">'Incremental Network SummerFcast'!I201*$G$1</f>
        <v>37.599945137541525</v>
      </c>
      <c r="J201" s="198">
        <f ca="1">'Incremental Network SummerFcast'!J201*$G$1</f>
        <v>42.953063269767441</v>
      </c>
      <c r="K201" s="198">
        <f ca="1">'Incremental Network SummerFcast'!K201*$G$1</f>
        <v>58.158470114950163</v>
      </c>
      <c r="L201" s="198">
        <f ca="1">'Incremental Network SummerFcast'!L201*$G$1</f>
        <v>72.097238439734227</v>
      </c>
    </row>
    <row r="202" spans="1:13" ht="15.6" thickTop="1" thickBot="1">
      <c r="A202" s="197" t="s">
        <v>148</v>
      </c>
      <c r="B202" s="198">
        <f ca="1">'Incremental Network SummerFcast'!$B$245*B199+'Incremental Network SummerFcast'!$B$246*B200+'Incremental Network SummerFcast'!$B$247*B201</f>
        <v>-1.7</v>
      </c>
      <c r="C202" s="198">
        <f ca="1">'Incremental Network SummerFcast'!$B$245*C199+'Incremental Network SummerFcast'!$B$246*C200+'Incremental Network SummerFcast'!$B$247*C201</f>
        <v>1.4875</v>
      </c>
      <c r="D202" s="198">
        <f ca="1">'Incremental Network SummerFcast'!$B$245*D199+'Incremental Network SummerFcast'!$B$246*D200+'Incremental Network SummerFcast'!$B$247*D201</f>
        <v>14.331894219269103</v>
      </c>
      <c r="E202" s="198">
        <f ca="1">'Incremental Network SummerFcast'!$B$245*E199+'Incremental Network SummerFcast'!$B$246*E200+'Incremental Network SummerFcast'!$B$247*E201</f>
        <v>19.976246362126247</v>
      </c>
      <c r="F202" s="198">
        <f ca="1">'Incremental Network SummerFcast'!$B$245*F199+'Incremental Network SummerFcast'!$B$246*F200+'Incremental Network SummerFcast'!$B$247*F201</f>
        <v>21.011692076411961</v>
      </c>
      <c r="G202" s="198">
        <f ca="1">'Incremental Network SummerFcast'!$B$245*G199+'Incremental Network SummerFcast'!$B$246*G200+'Incremental Network SummerFcast'!$B$247*G201</f>
        <v>24.103176076411959</v>
      </c>
      <c r="H202" s="198">
        <f ca="1">'Incremental Network SummerFcast'!$B$245*H199+'Incremental Network SummerFcast'!$B$246*H200+'Incremental Network SummerFcast'!$B$247*H201</f>
        <v>27.019440993355477</v>
      </c>
      <c r="I202" s="198">
        <f ca="1">'Incremental Network SummerFcast'!$B$245*I199+'Incremental Network SummerFcast'!$B$246*I200+'Incremental Network SummerFcast'!$B$247*I201</f>
        <v>31.850536471539311</v>
      </c>
      <c r="J202" s="198">
        <f ca="1">'Incremental Network SummerFcast'!$B$245*J199+'Incremental Network SummerFcast'!$B$246*J200+'Incremental Network SummerFcast'!$B$247*J201</f>
        <v>35.787925234662239</v>
      </c>
      <c r="K202" s="198">
        <f ca="1">'Incremental Network SummerFcast'!$B$245*K199+'Incremental Network SummerFcast'!$B$246*K200+'Incremental Network SummerFcast'!$B$247*K201</f>
        <v>42.26874986910299</v>
      </c>
      <c r="L202" s="198">
        <f ca="1">'Incremental Network SummerFcast'!$B$245*L199+'Incremental Network SummerFcast'!$B$246*L200+'Incremental Network SummerFcast'!$B$247*L201</f>
        <v>50.846021323859361</v>
      </c>
    </row>
    <row r="203" spans="1:13" ht="15.6" thickTop="1" thickBot="1">
      <c r="A203" s="188" t="str">
        <f>'Incremental Network SummerFcast'!A203</f>
        <v>KTS WEST</v>
      </c>
      <c r="B203" s="216"/>
      <c r="C203" s="190"/>
      <c r="D203" s="190"/>
      <c r="E203" s="190"/>
      <c r="F203" s="190"/>
      <c r="G203" s="190"/>
      <c r="H203" s="190"/>
      <c r="I203" s="190"/>
      <c r="J203" s="190"/>
      <c r="K203" s="190"/>
      <c r="L203" s="190"/>
    </row>
    <row r="204" spans="1:13" ht="15" thickBot="1">
      <c r="A204" s="191" t="str">
        <f>'Incremental Network SummerFcast'!A204</f>
        <v>Uptake Scenario</v>
      </c>
      <c r="B204" s="191">
        <f>'Incremental Network SummerFcast'!B204</f>
        <v>2023</v>
      </c>
      <c r="C204" s="191">
        <f>'Incremental Network SummerFcast'!C204</f>
        <v>2024</v>
      </c>
      <c r="D204" s="191">
        <f>'Incremental Network SummerFcast'!D204</f>
        <v>2025</v>
      </c>
      <c r="E204" s="191">
        <f>'Incremental Network SummerFcast'!E204</f>
        <v>2026</v>
      </c>
      <c r="F204" s="191">
        <f>'Incremental Network SummerFcast'!F204</f>
        <v>2027</v>
      </c>
      <c r="G204" s="191">
        <f>'Incremental Network SummerFcast'!G204</f>
        <v>2028</v>
      </c>
      <c r="H204" s="191">
        <f>'Incremental Network SummerFcast'!H204</f>
        <v>2029</v>
      </c>
      <c r="I204" s="191">
        <f>'Incremental Network SummerFcast'!I204</f>
        <v>2030</v>
      </c>
      <c r="J204" s="191">
        <f>'Incremental Network SummerFcast'!J204</f>
        <v>2031</v>
      </c>
      <c r="K204" s="191">
        <f>'Incremental Network SummerFcast'!K204</f>
        <v>2032</v>
      </c>
      <c r="L204" s="191">
        <f>'Incremental Network SummerFcast'!L204</f>
        <v>2033</v>
      </c>
    </row>
    <row r="205" spans="1:13" ht="15.6" thickTop="1" thickBot="1">
      <c r="A205" s="193">
        <f>'Incremental Network SummerFcast'!A205</f>
        <v>0</v>
      </c>
      <c r="B205" s="206">
        <f>'Incremental Network SummerFcast'!B205</f>
        <v>0</v>
      </c>
      <c r="C205" s="206">
        <f>'Incremental Network SummerFcast'!C205</f>
        <v>0</v>
      </c>
      <c r="D205" s="206">
        <f>'Incremental Network SummerFcast'!D205</f>
        <v>0</v>
      </c>
      <c r="E205" s="206">
        <f>'Incremental Network SummerFcast'!E205</f>
        <v>0</v>
      </c>
      <c r="F205" s="206">
        <f>'Incremental Network SummerFcast'!F205</f>
        <v>0</v>
      </c>
      <c r="G205" s="206">
        <f>'Incremental Network SummerFcast'!G205</f>
        <v>0</v>
      </c>
      <c r="H205" s="206">
        <f>'Incremental Network SummerFcast'!H205</f>
        <v>0</v>
      </c>
      <c r="I205" s="206">
        <f>'Incremental Network SummerFcast'!I205</f>
        <v>0</v>
      </c>
      <c r="J205" s="206">
        <f>'Incremental Network SummerFcast'!J205</f>
        <v>0</v>
      </c>
      <c r="K205" s="206">
        <f>'Incremental Network SummerFcast'!K205</f>
        <v>0</v>
      </c>
      <c r="L205" s="206">
        <f>'Incremental Network SummerFcast'!L205</f>
        <v>0</v>
      </c>
      <c r="M205" s="37"/>
    </row>
    <row r="206" spans="1:13" ht="15" thickBot="1">
      <c r="A206" s="193" t="str">
        <f>'Incremental Network SummerFcast'!A206</f>
        <v>Customer forecast</v>
      </c>
      <c r="B206" s="194">
        <f ca="1">'Incremental Network SummerFcast'!B206*$G$1</f>
        <v>0</v>
      </c>
      <c r="C206" s="194">
        <f ca="1">'Incremental Network SummerFcast'!C206*$G$1</f>
        <v>0</v>
      </c>
      <c r="D206" s="194">
        <f ca="1">'Incremental Network SummerFcast'!D206*$G$1</f>
        <v>0</v>
      </c>
      <c r="E206" s="194">
        <f ca="1">'Incremental Network SummerFcast'!E206*$G$1</f>
        <v>0</v>
      </c>
      <c r="F206" s="194">
        <f ca="1">'Incremental Network SummerFcast'!F206*$G$1</f>
        <v>0</v>
      </c>
      <c r="G206" s="194">
        <f ca="1">'Incremental Network SummerFcast'!G206*$G$1</f>
        <v>0</v>
      </c>
      <c r="H206" s="194">
        <f ca="1">'Incremental Network SummerFcast'!H206*$G$1</f>
        <v>8.5</v>
      </c>
      <c r="I206" s="194">
        <f ca="1">'Incremental Network SummerFcast'!I206*$G$1</f>
        <v>35.062700996677741</v>
      </c>
      <c r="J206" s="194">
        <f ca="1">'Incremental Network SummerFcast'!J206*$G$1</f>
        <v>57.04066528239202</v>
      </c>
      <c r="K206" s="194">
        <f ca="1">'Incremental Network SummerFcast'!K206*$G$1</f>
        <v>81.297236710963446</v>
      </c>
      <c r="L206" s="194">
        <f ca="1">'Incremental Network SummerFcast'!L206*$G$1</f>
        <v>103.76443671096347</v>
      </c>
      <c r="M206" s="37"/>
    </row>
    <row r="207" spans="1:13" ht="15" thickBot="1">
      <c r="A207" s="195" t="str">
        <f>'Incremental Network SummerFcast'!A207</f>
        <v>Base</v>
      </c>
      <c r="B207" s="196">
        <f ca="1">'Incremental Network SummerFcast'!B207*$G$1</f>
        <v>0</v>
      </c>
      <c r="C207" s="196">
        <f ca="1">'Incremental Network SummerFcast'!C207*$G$1</f>
        <v>0</v>
      </c>
      <c r="D207" s="196">
        <f ca="1">'Incremental Network SummerFcast'!D207*$G$1</f>
        <v>0</v>
      </c>
      <c r="E207" s="196">
        <f ca="1">'Incremental Network SummerFcast'!E207*$G$1</f>
        <v>0</v>
      </c>
      <c r="F207" s="196">
        <f ca="1">'Incremental Network SummerFcast'!F207*$G$1</f>
        <v>0</v>
      </c>
      <c r="G207" s="196">
        <f ca="1">'Incremental Network SummerFcast'!G207*$G$1</f>
        <v>0</v>
      </c>
      <c r="H207" s="196">
        <f ca="1">'Incremental Network SummerFcast'!H207*$G$1</f>
        <v>0</v>
      </c>
      <c r="I207" s="196">
        <f ca="1">'Incremental Network SummerFcast'!I207*$G$1</f>
        <v>0</v>
      </c>
      <c r="J207" s="196">
        <f ca="1">'Incremental Network SummerFcast'!J207*$G$1</f>
        <v>4.1649999999999991</v>
      </c>
      <c r="K207" s="196">
        <f ca="1">'Incremental Network SummerFcast'!K207*$G$1</f>
        <v>9.8710499999999985</v>
      </c>
      <c r="L207" s="196">
        <f ca="1">'Incremental Network SummerFcast'!L207*$G$1</f>
        <v>17.534649999999996</v>
      </c>
    </row>
    <row r="208" spans="1:13" ht="15" thickBot="1">
      <c r="A208" s="195" t="str">
        <f>'Incremental Network SummerFcast'!A208</f>
        <v>Low</v>
      </c>
      <c r="B208" s="196">
        <f ca="1">'Incremental Network SummerFcast'!B208*$G$1</f>
        <v>0</v>
      </c>
      <c r="C208" s="196">
        <f ca="1">'Incremental Network SummerFcast'!C208*$G$1</f>
        <v>0</v>
      </c>
      <c r="D208" s="196">
        <f ca="1">'Incremental Network SummerFcast'!D208*$G$1</f>
        <v>0</v>
      </c>
      <c r="E208" s="196">
        <f ca="1">'Incremental Network SummerFcast'!E208*$G$1</f>
        <v>0</v>
      </c>
      <c r="F208" s="196">
        <f ca="1">'Incremental Network SummerFcast'!F208*$G$1</f>
        <v>0</v>
      </c>
      <c r="G208" s="196">
        <f ca="1">'Incremental Network SummerFcast'!G208*$G$1</f>
        <v>0</v>
      </c>
      <c r="H208" s="196">
        <f ca="1">'Incremental Network SummerFcast'!H208*$G$1</f>
        <v>0</v>
      </c>
      <c r="I208" s="196">
        <f ca="1">'Incremental Network SummerFcast'!I208*$G$1</f>
        <v>0</v>
      </c>
      <c r="J208" s="196">
        <f ca="1">'Incremental Network SummerFcast'!J208*$G$1</f>
        <v>0</v>
      </c>
      <c r="K208" s="196">
        <f ca="1">'Incremental Network SummerFcast'!K208*$G$1</f>
        <v>1.7</v>
      </c>
      <c r="L208" s="196">
        <f ca="1">'Incremental Network SummerFcast'!L208*$G$1</f>
        <v>4.0289999999999999</v>
      </c>
    </row>
    <row r="209" spans="1:13" ht="15" thickBot="1">
      <c r="A209" s="197" t="str">
        <f>'Incremental Network SummerFcast'!A209</f>
        <v>High</v>
      </c>
      <c r="B209" s="198">
        <f ca="1">'Incremental Network SummerFcast'!B209*$G$1</f>
        <v>0</v>
      </c>
      <c r="C209" s="198">
        <f ca="1">'Incremental Network SummerFcast'!C209*$G$1</f>
        <v>0</v>
      </c>
      <c r="D209" s="198">
        <f ca="1">'Incremental Network SummerFcast'!D209*$G$1</f>
        <v>0</v>
      </c>
      <c r="E209" s="198">
        <f ca="1">'Incremental Network SummerFcast'!E209*$G$1</f>
        <v>0</v>
      </c>
      <c r="F209" s="198">
        <f ca="1">'Incremental Network SummerFcast'!F209*$G$1</f>
        <v>0</v>
      </c>
      <c r="G209" s="198">
        <f ca="1">'Incremental Network SummerFcast'!G209*$G$1</f>
        <v>0</v>
      </c>
      <c r="H209" s="198">
        <f ca="1">'Incremental Network SummerFcast'!H209*$G$1</f>
        <v>0</v>
      </c>
      <c r="I209" s="198">
        <f ca="1">'Incremental Network SummerFcast'!I209*$G$1</f>
        <v>6.12</v>
      </c>
      <c r="J209" s="198">
        <f ca="1">'Incremental Network SummerFcast'!J209*$G$1</f>
        <v>14.5044</v>
      </c>
      <c r="K209" s="198">
        <f ca="1">'Incremental Network SummerFcast'!K209*$G$1</f>
        <v>25.7652</v>
      </c>
      <c r="L209" s="198">
        <f ca="1">'Incremental Network SummerFcast'!L209*$G$1</f>
        <v>45.211572358803984</v>
      </c>
    </row>
    <row r="210" spans="1:13" ht="15.6" thickTop="1" thickBot="1">
      <c r="A210" s="197" t="s">
        <v>148</v>
      </c>
      <c r="B210" s="198">
        <f ca="1">'Incremental Network SummerFcast'!$B$245*B207+'Incremental Network SummerFcast'!$B$246*B208+'Incremental Network SummerFcast'!$B$247*B209</f>
        <v>0</v>
      </c>
      <c r="C210" s="198">
        <f ca="1">'Incremental Network SummerFcast'!$B$245*C207+'Incremental Network SummerFcast'!$B$246*C208+'Incremental Network SummerFcast'!$B$247*C209</f>
        <v>0</v>
      </c>
      <c r="D210" s="198">
        <f ca="1">'Incremental Network SummerFcast'!$B$245*D207+'Incremental Network SummerFcast'!$B$246*D208+'Incremental Network SummerFcast'!$B$247*D209</f>
        <v>0</v>
      </c>
      <c r="E210" s="198">
        <f ca="1">'Incremental Network SummerFcast'!$B$245*E207+'Incremental Network SummerFcast'!$B$246*E208+'Incremental Network SummerFcast'!$B$247*E209</f>
        <v>0</v>
      </c>
      <c r="F210" s="198">
        <f ca="1">'Incremental Network SummerFcast'!$B$245*F207+'Incremental Network SummerFcast'!$B$246*F208+'Incremental Network SummerFcast'!$B$247*F209</f>
        <v>0</v>
      </c>
      <c r="G210" s="198">
        <f ca="1">'Incremental Network SummerFcast'!$B$245*G207+'Incremental Network SummerFcast'!$B$246*G208+'Incremental Network SummerFcast'!$B$247*G209</f>
        <v>0</v>
      </c>
      <c r="H210" s="198">
        <f ca="1">'Incremental Network SummerFcast'!$B$245*H207+'Incremental Network SummerFcast'!$B$246*H208+'Incremental Network SummerFcast'!$B$247*H209</f>
        <v>0</v>
      </c>
      <c r="I210" s="198">
        <f ca="1">'Incremental Network SummerFcast'!$B$245*I207+'Incremental Network SummerFcast'!$B$246*I208+'Incremental Network SummerFcast'!$B$247*I209</f>
        <v>1.53</v>
      </c>
      <c r="J210" s="198">
        <f ca="1">'Incremental Network SummerFcast'!$B$245*J207+'Incremental Network SummerFcast'!$B$246*J208+'Incremental Network SummerFcast'!$B$247*J209</f>
        <v>5.7085999999999997</v>
      </c>
      <c r="K210" s="198">
        <f ca="1">'Incremental Network SummerFcast'!$B$245*K207+'Incremental Network SummerFcast'!$B$246*K208+'Incremental Network SummerFcast'!$B$247*K209</f>
        <v>11.801824999999999</v>
      </c>
      <c r="L210" s="198">
        <f ca="1">'Incremental Network SummerFcast'!$B$245*L207+'Incremental Network SummerFcast'!$B$246*L208+'Incremental Network SummerFcast'!$B$247*L209</f>
        <v>21.077468089700993</v>
      </c>
    </row>
    <row r="211" spans="1:13" ht="15.6" thickTop="1" thickBot="1">
      <c r="A211" s="188" t="str">
        <f>'Incremental Network SummerFcast'!B211</f>
        <v>In JEN 2024 Underlying Forecast</v>
      </c>
      <c r="B211" s="216"/>
      <c r="C211" s="190"/>
      <c r="D211" s="190"/>
      <c r="E211" s="190"/>
      <c r="F211" s="190"/>
      <c r="G211" s="190"/>
      <c r="H211" s="190"/>
      <c r="I211" s="190"/>
      <c r="J211" s="190"/>
      <c r="K211" s="190"/>
      <c r="L211" s="190"/>
    </row>
    <row r="212" spans="1:13" ht="15" thickBot="1">
      <c r="A212" s="191" t="str">
        <f>'Incremental Network SummerFcast'!A212</f>
        <v>Uptake Scenario</v>
      </c>
      <c r="B212" s="191">
        <f>'Incremental Network SummerFcast'!B212</f>
        <v>2023</v>
      </c>
      <c r="C212" s="191">
        <f>'Incremental Network SummerFcast'!C212</f>
        <v>2024</v>
      </c>
      <c r="D212" s="191">
        <f>'Incremental Network SummerFcast'!D212</f>
        <v>2025</v>
      </c>
      <c r="E212" s="191">
        <f>'Incremental Network SummerFcast'!E212</f>
        <v>2026</v>
      </c>
      <c r="F212" s="191">
        <f>'Incremental Network SummerFcast'!F212</f>
        <v>2027</v>
      </c>
      <c r="G212" s="191">
        <f>'Incremental Network SummerFcast'!G212</f>
        <v>2028</v>
      </c>
      <c r="H212" s="191">
        <f>'Incremental Network SummerFcast'!H212</f>
        <v>2029</v>
      </c>
      <c r="I212" s="191">
        <f>'Incremental Network SummerFcast'!I212</f>
        <v>2030</v>
      </c>
      <c r="J212" s="191">
        <f>'Incremental Network SummerFcast'!J212</f>
        <v>2031</v>
      </c>
      <c r="K212" s="191">
        <f>'Incremental Network SummerFcast'!K212</f>
        <v>2032</v>
      </c>
      <c r="L212" s="191">
        <f>'Incremental Network SummerFcast'!L212</f>
        <v>2033</v>
      </c>
    </row>
    <row r="213" spans="1:13" ht="15.6" thickTop="1" thickBot="1">
      <c r="A213" s="193">
        <f>'Incremental Network SummerFcast'!A213</f>
        <v>0</v>
      </c>
      <c r="B213" s="206">
        <f>'Incremental Network SummerFcast'!B213</f>
        <v>0</v>
      </c>
      <c r="C213" s="206">
        <f>'Incremental Network SummerFcast'!C213</f>
        <v>0</v>
      </c>
      <c r="D213" s="206">
        <f>'Incremental Network SummerFcast'!D213</f>
        <v>0</v>
      </c>
      <c r="E213" s="206">
        <f>'Incremental Network SummerFcast'!E213</f>
        <v>0</v>
      </c>
      <c r="F213" s="206">
        <f>'Incremental Network SummerFcast'!F213</f>
        <v>0</v>
      </c>
      <c r="G213" s="206">
        <f>'Incremental Network SummerFcast'!G213</f>
        <v>0</v>
      </c>
      <c r="H213" s="206">
        <f>'Incremental Network SummerFcast'!H213</f>
        <v>0</v>
      </c>
      <c r="I213" s="206">
        <f>'Incremental Network SummerFcast'!I213</f>
        <v>0</v>
      </c>
      <c r="J213" s="206">
        <f>'Incremental Network SummerFcast'!J213</f>
        <v>0</v>
      </c>
      <c r="K213" s="206">
        <f>'Incremental Network SummerFcast'!K213</f>
        <v>0</v>
      </c>
      <c r="L213" s="206">
        <f>'Incremental Network SummerFcast'!L213</f>
        <v>0</v>
      </c>
      <c r="M213" s="37"/>
    </row>
    <row r="214" spans="1:13" s="48" customFormat="1" ht="15" thickBot="1">
      <c r="A214" s="207" t="str">
        <f>'Incremental Network SummerFcast'!A214</f>
        <v>Customer forecast</v>
      </c>
      <c r="B214" s="208">
        <f ca="1">'Incremental Network SummerFcast'!B214*$G$1</f>
        <v>0</v>
      </c>
      <c r="C214" s="208">
        <f ca="1">'Incremental Network SummerFcast'!C214*$G$1</f>
        <v>34</v>
      </c>
      <c r="D214" s="208">
        <f ca="1">'Incremental Network SummerFcast'!D214*$G$1</f>
        <v>81.85499999999999</v>
      </c>
      <c r="E214" s="208">
        <f ca="1">'Incremental Network SummerFcast'!E214*$G$1</f>
        <v>86.10499999999999</v>
      </c>
      <c r="F214" s="208">
        <f ca="1">'Incremental Network SummerFcast'!F214*$G$1</f>
        <v>91.204999999999998</v>
      </c>
      <c r="G214" s="208">
        <f ca="1">'Incremental Network SummerFcast'!G214*$G$1</f>
        <v>103.10499999999999</v>
      </c>
      <c r="H214" s="208">
        <f ca="1">'Incremental Network SummerFcast'!H214*$G$1</f>
        <v>103.10499999999999</v>
      </c>
      <c r="I214" s="208">
        <f ca="1">'Incremental Network SummerFcast'!I214*$G$1</f>
        <v>103.10499999999999</v>
      </c>
      <c r="J214" s="208">
        <f ca="1">'Incremental Network SummerFcast'!J214*$G$1</f>
        <v>91.204999999999998</v>
      </c>
      <c r="K214" s="208">
        <f ca="1">'Incremental Network SummerFcast'!K214*$G$1</f>
        <v>91.204999999999998</v>
      </c>
      <c r="L214" s="208">
        <f ca="1">'Incremental Network SummerFcast'!L214*$G$1</f>
        <v>91.204999999999998</v>
      </c>
      <c r="M214" s="37"/>
    </row>
    <row r="215" spans="1:13" ht="15" thickBot="1">
      <c r="A215" s="205" t="str">
        <f>'Incremental Network SummerFcast'!A215</f>
        <v>Data Centres</v>
      </c>
      <c r="B215" s="206">
        <f ca="1">'Incremental Network SummerFcast'!B215*$G$1</f>
        <v>0</v>
      </c>
      <c r="C215" s="206">
        <f ca="1">'Incremental Network SummerFcast'!C215*$G$1</f>
        <v>12.75</v>
      </c>
      <c r="D215" s="206">
        <f ca="1">'Incremental Network SummerFcast'!D215*$G$1</f>
        <v>12.75</v>
      </c>
      <c r="E215" s="206">
        <f ca="1">'Incremental Network SummerFcast'!E215*$G$1</f>
        <v>12.75</v>
      </c>
      <c r="F215" s="206">
        <f ca="1">'Incremental Network SummerFcast'!F215*$G$1</f>
        <v>12.75</v>
      </c>
      <c r="G215" s="206">
        <f ca="1">'Incremental Network SummerFcast'!G215*$G$1</f>
        <v>12.75</v>
      </c>
      <c r="H215" s="206">
        <f ca="1">'Incremental Network SummerFcast'!H215*$G$1</f>
        <v>12.75</v>
      </c>
      <c r="I215" s="206">
        <f ca="1">'Incremental Network SummerFcast'!I215*$G$1</f>
        <v>12.75</v>
      </c>
      <c r="J215" s="206">
        <f ca="1">'Incremental Network SummerFcast'!J215*$G$1</f>
        <v>12.75</v>
      </c>
      <c r="K215" s="206">
        <f ca="1">'Incremental Network SummerFcast'!K215*$G$1</f>
        <v>12.75</v>
      </c>
      <c r="L215" s="206">
        <f ca="1">'Incremental Network SummerFcast'!L215*$G$1</f>
        <v>12.75</v>
      </c>
      <c r="M215" s="37"/>
    </row>
    <row r="216" spans="1:13" ht="15" thickBot="1">
      <c r="A216" s="205" t="str">
        <f>'Incremental Network SummerFcast'!A216</f>
        <v>Major Loads</v>
      </c>
      <c r="B216" s="206">
        <f ca="1">'Incremental Network SummerFcast'!B216*$G$1</f>
        <v>0</v>
      </c>
      <c r="C216" s="206">
        <f ca="1">'Incremental Network SummerFcast'!C216*$G$1</f>
        <v>21.25</v>
      </c>
      <c r="D216" s="206">
        <f ca="1">'Incremental Network SummerFcast'!D216*$G$1</f>
        <v>69.10499999999999</v>
      </c>
      <c r="E216" s="206">
        <f ca="1">'Incremental Network SummerFcast'!E216*$G$1</f>
        <v>73.35499999999999</v>
      </c>
      <c r="F216" s="206">
        <f ca="1">'Incremental Network SummerFcast'!F216*$G$1</f>
        <v>78.454999999999998</v>
      </c>
      <c r="G216" s="206">
        <f ca="1">'Incremental Network SummerFcast'!G216*$G$1</f>
        <v>90.35499999999999</v>
      </c>
      <c r="H216" s="206">
        <f ca="1">'Incremental Network SummerFcast'!H216*$G$1</f>
        <v>90.35499999999999</v>
      </c>
      <c r="I216" s="206">
        <f ca="1">'Incremental Network SummerFcast'!I216*$G$1</f>
        <v>90.35499999999999</v>
      </c>
      <c r="J216" s="206">
        <f ca="1">'Incremental Network SummerFcast'!J216*$G$1</f>
        <v>78.454999999999998</v>
      </c>
      <c r="K216" s="206">
        <f ca="1">'Incremental Network SummerFcast'!K216*$G$1</f>
        <v>78.454999999999998</v>
      </c>
      <c r="L216" s="206">
        <f ca="1">'Incremental Network SummerFcast'!L216*$G$1</f>
        <v>78.454999999999998</v>
      </c>
      <c r="M216" s="37"/>
    </row>
    <row r="217" spans="1:13" s="48" customFormat="1" ht="15" thickBot="1">
      <c r="A217" s="207" t="str">
        <f>'Incremental Network SummerFcast'!A217</f>
        <v>Base</v>
      </c>
      <c r="B217" s="208">
        <f ca="1">'Incremental Network SummerFcast'!B217*$G$1</f>
        <v>0</v>
      </c>
      <c r="C217" s="208">
        <f ca="1">'Incremental Network SummerFcast'!C217*$G$1</f>
        <v>0</v>
      </c>
      <c r="D217" s="208">
        <f ca="1">'Incremental Network SummerFcast'!D217*$G$1</f>
        <v>24.139999999999997</v>
      </c>
      <c r="E217" s="208">
        <f ca="1">'Incremental Network SummerFcast'!E217*$G$1</f>
        <v>46.469499999999996</v>
      </c>
      <c r="F217" s="208">
        <f ca="1">'Incremental Network SummerFcast'!F217*$G$1</f>
        <v>50.430499999999988</v>
      </c>
      <c r="G217" s="208">
        <f ca="1">'Incremental Network SummerFcast'!G217*$G$1</f>
        <v>51.586499999999994</v>
      </c>
      <c r="H217" s="208">
        <f ca="1">'Incremental Network SummerFcast'!H217*$G$1</f>
        <v>58.760499999999993</v>
      </c>
      <c r="I217" s="208">
        <f ca="1">'Incremental Network SummerFcast'!I217*$G$1</f>
        <v>60.225899999999996</v>
      </c>
      <c r="J217" s="208">
        <f ca="1">'Incremental Network SummerFcast'!J217*$G$1</f>
        <v>51.9435</v>
      </c>
      <c r="K217" s="208">
        <f ca="1">'Incremental Network SummerFcast'!K217*$G$1</f>
        <v>53.133499999999998</v>
      </c>
      <c r="L217" s="208">
        <f ca="1">'Incremental Network SummerFcast'!L217*$G$1</f>
        <v>53.133499999999998</v>
      </c>
    </row>
    <row r="218" spans="1:13" s="54" customFormat="1" ht="15" thickBot="1">
      <c r="A218" s="205" t="str">
        <f>'Incremental Network SummerFcast'!A218</f>
        <v>Data Centres</v>
      </c>
      <c r="B218" s="206">
        <f ca="1">'Incremental Network SummerFcast'!B218*$G$1</f>
        <v>0</v>
      </c>
      <c r="C218" s="206">
        <f ca="1">'Incremental Network SummerFcast'!C218*$G$1</f>
        <v>0</v>
      </c>
      <c r="D218" s="206">
        <f ca="1">'Incremental Network SummerFcast'!D218*$G$1</f>
        <v>8.9249999999999989</v>
      </c>
      <c r="E218" s="206">
        <f ca="1">'Incremental Network SummerFcast'!E218*$G$1</f>
        <v>8.9249999999999989</v>
      </c>
      <c r="F218" s="206">
        <f ca="1">'Incremental Network SummerFcast'!F218*$G$1</f>
        <v>8.9249999999999989</v>
      </c>
      <c r="G218" s="206">
        <f ca="1">'Incremental Network SummerFcast'!G218*$G$1</f>
        <v>8.9249999999999989</v>
      </c>
      <c r="H218" s="206">
        <f ca="1">'Incremental Network SummerFcast'!H218*$G$1</f>
        <v>8.9249999999999989</v>
      </c>
      <c r="I218" s="206">
        <f ca="1">'Incremental Network SummerFcast'!I218*$G$1</f>
        <v>8.9249999999999989</v>
      </c>
      <c r="J218" s="206">
        <f ca="1">'Incremental Network SummerFcast'!J218*$G$1</f>
        <v>8.9249999999999989</v>
      </c>
      <c r="K218" s="206">
        <f ca="1">'Incremental Network SummerFcast'!K218*$G$1</f>
        <v>8.9249999999999989</v>
      </c>
      <c r="L218" s="206">
        <f ca="1">'Incremental Network SummerFcast'!L218*$G$1</f>
        <v>8.9249999999999989</v>
      </c>
    </row>
    <row r="219" spans="1:13" s="54" customFormat="1" ht="15" thickBot="1">
      <c r="A219" s="205" t="str">
        <f>'Incremental Network SummerFcast'!A219</f>
        <v>Major Loads</v>
      </c>
      <c r="B219" s="206">
        <f ca="1">'Incremental Network SummerFcast'!B219*$G$1</f>
        <v>0</v>
      </c>
      <c r="C219" s="206">
        <f ca="1">'Incremental Network SummerFcast'!C219*$G$1</f>
        <v>0</v>
      </c>
      <c r="D219" s="206">
        <f ca="1">'Incremental Network SummerFcast'!D219*$G$1</f>
        <v>15.214999999999998</v>
      </c>
      <c r="E219" s="206">
        <f ca="1">'Incremental Network SummerFcast'!E219*$G$1</f>
        <v>37.544499999999992</v>
      </c>
      <c r="F219" s="206">
        <f ca="1">'Incremental Network SummerFcast'!F219*$G$1</f>
        <v>41.505499999999991</v>
      </c>
      <c r="G219" s="206">
        <f ca="1">'Incremental Network SummerFcast'!G219*$G$1</f>
        <v>42.66149999999999</v>
      </c>
      <c r="H219" s="206">
        <f ca="1">'Incremental Network SummerFcast'!H219*$G$1</f>
        <v>49.835499999999996</v>
      </c>
      <c r="I219" s="206">
        <f ca="1">'Incremental Network SummerFcast'!I219*$G$1</f>
        <v>51.300899999999999</v>
      </c>
      <c r="J219" s="206">
        <f ca="1">'Incremental Network SummerFcast'!J219*$G$1</f>
        <v>43.018499999999996</v>
      </c>
      <c r="K219" s="206">
        <f ca="1">'Incremental Network SummerFcast'!K219*$G$1</f>
        <v>44.208499999999994</v>
      </c>
      <c r="L219" s="206">
        <f ca="1">'Incremental Network SummerFcast'!L219*$G$1</f>
        <v>44.208499999999994</v>
      </c>
    </row>
    <row r="220" spans="1:13" s="48" customFormat="1" ht="15" thickBot="1">
      <c r="A220" s="207" t="str">
        <f>'Incremental Network SummerFcast'!A220</f>
        <v>Low</v>
      </c>
      <c r="B220" s="208">
        <f ca="1">'Incremental Network SummerFcast'!B220*$G$1</f>
        <v>0</v>
      </c>
      <c r="C220" s="208">
        <f ca="1">'Incremental Network SummerFcast'!C220*$G$1</f>
        <v>0</v>
      </c>
      <c r="D220" s="208">
        <f ca="1">'Incremental Network SummerFcast'!D220*$G$1</f>
        <v>0</v>
      </c>
      <c r="E220" s="208">
        <f ca="1">'Incremental Network SummerFcast'!E220*$G$1</f>
        <v>20.399999999999999</v>
      </c>
      <c r="F220" s="208">
        <f ca="1">'Incremental Network SummerFcast'!F220*$G$1</f>
        <v>38.912999999999997</v>
      </c>
      <c r="G220" s="208">
        <f ca="1">'Incremental Network SummerFcast'!G220*$G$1</f>
        <v>41.122999999999998</v>
      </c>
      <c r="H220" s="208">
        <f ca="1">'Incremental Network SummerFcast'!H220*$G$1</f>
        <v>41.293000000000006</v>
      </c>
      <c r="I220" s="208">
        <f ca="1">'Incremental Network SummerFcast'!I220*$G$1</f>
        <v>48.262999999999998</v>
      </c>
      <c r="J220" s="208">
        <f ca="1">'Incremental Network SummerFcast'!J220*$G$1</f>
        <v>41.122999999999998</v>
      </c>
      <c r="K220" s="208">
        <f ca="1">'Incremental Network SummerFcast'!K220*$G$1</f>
        <v>42.143000000000001</v>
      </c>
      <c r="L220" s="208">
        <f ca="1">'Incremental Network SummerFcast'!L220*$G$1</f>
        <v>42.143000000000001</v>
      </c>
    </row>
    <row r="221" spans="1:13" s="54" customFormat="1" ht="15" thickBot="1">
      <c r="A221" s="205" t="str">
        <f>'Incremental Network SummerFcast'!A221</f>
        <v>Data Centres</v>
      </c>
      <c r="B221" s="206">
        <f ca="1">'Incremental Network SummerFcast'!B221*$G$1</f>
        <v>0</v>
      </c>
      <c r="C221" s="206">
        <f ca="1">'Incremental Network SummerFcast'!C221*$G$1</f>
        <v>0</v>
      </c>
      <c r="D221" s="206">
        <f ca="1">'Incremental Network SummerFcast'!D221*$G$1</f>
        <v>0</v>
      </c>
      <c r="E221" s="206">
        <f ca="1">'Incremental Network SummerFcast'!E221*$G$1</f>
        <v>7.6499999999999995</v>
      </c>
      <c r="F221" s="206">
        <f ca="1">'Incremental Network SummerFcast'!F221*$G$1</f>
        <v>7.6499999999999995</v>
      </c>
      <c r="G221" s="206">
        <f ca="1">'Incremental Network SummerFcast'!G221*$G$1</f>
        <v>7.6499999999999995</v>
      </c>
      <c r="H221" s="206">
        <f ca="1">'Incremental Network SummerFcast'!H221*$G$1</f>
        <v>7.6499999999999995</v>
      </c>
      <c r="I221" s="206">
        <f ca="1">'Incremental Network SummerFcast'!I221*$G$1</f>
        <v>7.6499999999999995</v>
      </c>
      <c r="J221" s="206">
        <f ca="1">'Incremental Network SummerFcast'!J221*$G$1</f>
        <v>7.6499999999999995</v>
      </c>
      <c r="K221" s="206">
        <f ca="1">'Incremental Network SummerFcast'!K221*$G$1</f>
        <v>7.6499999999999995</v>
      </c>
      <c r="L221" s="206">
        <f ca="1">'Incremental Network SummerFcast'!L221*$G$1</f>
        <v>7.6499999999999995</v>
      </c>
    </row>
    <row r="222" spans="1:13" s="54" customFormat="1" ht="15" thickBot="1">
      <c r="A222" s="205" t="str">
        <f>'Incremental Network SummerFcast'!A222</f>
        <v>Major Loads</v>
      </c>
      <c r="B222" s="206">
        <f ca="1">'Incremental Network SummerFcast'!B222*$G$1</f>
        <v>0</v>
      </c>
      <c r="C222" s="206">
        <f ca="1">'Incremental Network SummerFcast'!C222*$G$1</f>
        <v>0</v>
      </c>
      <c r="D222" s="206">
        <f ca="1">'Incremental Network SummerFcast'!D222*$G$1</f>
        <v>0</v>
      </c>
      <c r="E222" s="206">
        <f ca="1">'Incremental Network SummerFcast'!E222*$G$1</f>
        <v>12.75</v>
      </c>
      <c r="F222" s="206">
        <f ca="1">'Incremental Network SummerFcast'!F222*$G$1</f>
        <v>31.263000000000002</v>
      </c>
      <c r="G222" s="206">
        <f ca="1">'Incremental Network SummerFcast'!G222*$G$1</f>
        <v>33.472999999999999</v>
      </c>
      <c r="H222" s="206">
        <f ca="1">'Incremental Network SummerFcast'!H222*$G$1</f>
        <v>33.643000000000001</v>
      </c>
      <c r="I222" s="206">
        <f ca="1">'Incremental Network SummerFcast'!I222*$G$1</f>
        <v>40.613</v>
      </c>
      <c r="J222" s="206">
        <f ca="1">'Incremental Network SummerFcast'!J222*$G$1</f>
        <v>33.472999999999999</v>
      </c>
      <c r="K222" s="206">
        <f ca="1">'Incremental Network SummerFcast'!K222*$G$1</f>
        <v>34.492999999999995</v>
      </c>
      <c r="L222" s="206">
        <f ca="1">'Incremental Network SummerFcast'!L222*$G$1</f>
        <v>34.492999999999995</v>
      </c>
    </row>
    <row r="223" spans="1:13" s="48" customFormat="1" ht="15" thickBot="1">
      <c r="A223" s="207" t="str">
        <f>'Incremental Network SummerFcast'!A223</f>
        <v>High</v>
      </c>
      <c r="B223" s="208">
        <f ca="1">'Incremental Network SummerFcast'!B223*$G$1</f>
        <v>0</v>
      </c>
      <c r="C223" s="208">
        <f ca="1">'Incremental Network SummerFcast'!C223*$G$1</f>
        <v>34</v>
      </c>
      <c r="D223" s="208">
        <f ca="1">'Incremental Network SummerFcast'!D223*$G$1</f>
        <v>64.85499999999999</v>
      </c>
      <c r="E223" s="208">
        <f ca="1">'Incremental Network SummerFcast'!E223*$G$1</f>
        <v>71.825000000000003</v>
      </c>
      <c r="F223" s="208">
        <f ca="1">'Incremental Network SummerFcast'!F223*$G$1</f>
        <v>73.422999999999988</v>
      </c>
      <c r="G223" s="208">
        <f ca="1">'Incremental Network SummerFcast'!G223*$G$1</f>
        <v>86.785000000000011</v>
      </c>
      <c r="H223" s="208">
        <f ca="1">'Incremental Network SummerFcast'!H223*$G$1</f>
        <v>90.933000000000007</v>
      </c>
      <c r="I223" s="208">
        <f ca="1">'Incremental Network SummerFcast'!I223*$G$1</f>
        <v>93.381</v>
      </c>
      <c r="J223" s="208">
        <f ca="1">'Incremental Network SummerFcast'!J223*$G$1</f>
        <v>81.480999999999995</v>
      </c>
      <c r="K223" s="208">
        <f ca="1">'Incremental Network SummerFcast'!K223*$G$1</f>
        <v>81.480999999999995</v>
      </c>
      <c r="L223" s="208">
        <f ca="1">'Incremental Network SummerFcast'!L223*$G$1</f>
        <v>81.480999999999995</v>
      </c>
    </row>
    <row r="224" spans="1:13" s="54" customFormat="1" ht="15" thickBot="1">
      <c r="A224" s="205" t="s">
        <v>136</v>
      </c>
      <c r="B224" s="206">
        <f ca="1">SUMIFS('Customer Scenario Forecast'!B$25:B$1186,'Customer Scenario Forecast'!$C$20:$C$1181,$A$211,'Customer Scenario Forecast'!$H$20:$H$1181,"Data Centre")</f>
        <v>0</v>
      </c>
      <c r="C224" s="206">
        <f ca="1">SUMIFS('Customer Scenario Forecast'!C$25:C$1186,'Customer Scenario Forecast'!$C$20:$C$1181,$A$211,'Customer Scenario Forecast'!$H$20:$H$1181,"Data Centre")</f>
        <v>15</v>
      </c>
      <c r="D224" s="206">
        <f ca="1">SUMIFS('Customer Scenario Forecast'!D$25:D$1186,'Customer Scenario Forecast'!$C$20:$C$1181,$A$211,'Customer Scenario Forecast'!$H$20:$H$1181,"Data Centre")</f>
        <v>15</v>
      </c>
      <c r="E224" s="206">
        <f ca="1">SUMIFS('Customer Scenario Forecast'!E$25:E$1186,'Customer Scenario Forecast'!$C$20:$C$1181,$A$211,'Customer Scenario Forecast'!$H$20:$H$1181,"Data Centre")</f>
        <v>15</v>
      </c>
      <c r="F224" s="206">
        <f ca="1">SUMIFS('Customer Scenario Forecast'!F$25:F$1186,'Customer Scenario Forecast'!$C$20:$C$1181,$A$211,'Customer Scenario Forecast'!$H$20:$H$1181,"Data Centre")</f>
        <v>15</v>
      </c>
      <c r="G224" s="206">
        <f ca="1">SUMIFS('Customer Scenario Forecast'!G$25:G$1186,'Customer Scenario Forecast'!$C$20:$C$1181,$A$211,'Customer Scenario Forecast'!$H$20:$H$1181,"Data Centre")</f>
        <v>15</v>
      </c>
      <c r="H224" s="206">
        <f ca="1">SUMIFS('Customer Scenario Forecast'!H$25:H$1186,'Customer Scenario Forecast'!$C$20:$C$1181,$A$211,'Customer Scenario Forecast'!$H$20:$H$1181,"Data Centre")</f>
        <v>15</v>
      </c>
      <c r="I224" s="206">
        <f ca="1">SUMIFS('Customer Scenario Forecast'!I$25:I$1186,'Customer Scenario Forecast'!$C$20:$C$1181,$A$211,'Customer Scenario Forecast'!$H$20:$H$1181,"Data Centre")</f>
        <v>15</v>
      </c>
      <c r="J224" s="206">
        <f ca="1">SUMIFS('Customer Scenario Forecast'!J$25:J$1186,'Customer Scenario Forecast'!$C$20:$C$1181,$A$211,'Customer Scenario Forecast'!$H$20:$H$1181,"Data Centre")</f>
        <v>15</v>
      </c>
      <c r="K224" s="206">
        <f ca="1">SUMIFS('Customer Scenario Forecast'!K$25:K$1186,'Customer Scenario Forecast'!$C$20:$C$1181,$A$211,'Customer Scenario Forecast'!$H$20:$H$1181,"Data Centre")</f>
        <v>15</v>
      </c>
      <c r="L224" s="206">
        <f ca="1">SUMIFS('Customer Scenario Forecast'!L$25:L$1186,'Customer Scenario Forecast'!$C$20:$C$1181,$A$211,'Customer Scenario Forecast'!$H$20:$H$1181,"Data Centre")</f>
        <v>15</v>
      </c>
    </row>
    <row r="225" spans="1:13" s="54" customFormat="1" ht="15" thickBot="1">
      <c r="A225" s="209" t="s">
        <v>137</v>
      </c>
      <c r="B225" s="210">
        <f t="shared" ref="B225:L225" ca="1" si="0">B223-B224</f>
        <v>0</v>
      </c>
      <c r="C225" s="210">
        <f t="shared" ca="1" si="0"/>
        <v>19</v>
      </c>
      <c r="D225" s="210">
        <f t="shared" ca="1" si="0"/>
        <v>49.85499999999999</v>
      </c>
      <c r="E225" s="210">
        <f t="shared" ca="1" si="0"/>
        <v>56.825000000000003</v>
      </c>
      <c r="F225" s="210">
        <f t="shared" ca="1" si="0"/>
        <v>58.422999999999988</v>
      </c>
      <c r="G225" s="210">
        <f t="shared" ca="1" si="0"/>
        <v>71.785000000000011</v>
      </c>
      <c r="H225" s="210">
        <f t="shared" ca="1" si="0"/>
        <v>75.933000000000007</v>
      </c>
      <c r="I225" s="210">
        <f t="shared" ca="1" si="0"/>
        <v>78.381</v>
      </c>
      <c r="J225" s="210">
        <f t="shared" ca="1" si="0"/>
        <v>66.480999999999995</v>
      </c>
      <c r="K225" s="210">
        <f t="shared" ca="1" si="0"/>
        <v>66.480999999999995</v>
      </c>
      <c r="L225" s="210">
        <f t="shared" ca="1" si="0"/>
        <v>66.480999999999995</v>
      </c>
    </row>
    <row r="227" spans="1:13" ht="15" thickBot="1">
      <c r="A227" s="218" t="str">
        <f>'Incremental Network SummerFcast'!A227</f>
        <v>Table 3-6 TOTAL CUSTOMER LOAD (KNOWN + FUTURE MAJOR CUSTOMER - UNDERLYING)</v>
      </c>
      <c r="B227" s="216"/>
      <c r="C227" s="219"/>
      <c r="D227" s="190"/>
      <c r="E227" s="190"/>
      <c r="F227" s="190"/>
      <c r="G227" s="190"/>
      <c r="H227" s="190"/>
      <c r="I227" s="190"/>
      <c r="J227" s="190"/>
      <c r="K227" s="190"/>
      <c r="L227" s="190"/>
    </row>
    <row r="228" spans="1:13" ht="15" thickBot="1">
      <c r="A228" s="191" t="str">
        <f>'Incremental Network SummerFcast'!A228</f>
        <v>Uptake Scenario</v>
      </c>
      <c r="B228" s="192">
        <f>'Incremental Network SummerFcast'!B228</f>
        <v>2023</v>
      </c>
      <c r="C228" s="192">
        <f>'Incremental Network SummerFcast'!C228</f>
        <v>2024</v>
      </c>
      <c r="D228" s="192">
        <f>'Incremental Network SummerFcast'!D228</f>
        <v>2025</v>
      </c>
      <c r="E228" s="192">
        <f>'Incremental Network SummerFcast'!E228</f>
        <v>2026</v>
      </c>
      <c r="F228" s="192">
        <f>'Incremental Network SummerFcast'!F228</f>
        <v>2027</v>
      </c>
      <c r="G228" s="192">
        <f>'Incremental Network SummerFcast'!G228</f>
        <v>2028</v>
      </c>
      <c r="H228" s="192">
        <f>'Incremental Network SummerFcast'!H228</f>
        <v>2029</v>
      </c>
      <c r="I228" s="192">
        <f>'Incremental Network SummerFcast'!I228</f>
        <v>2030</v>
      </c>
      <c r="J228" s="192">
        <f>'Incremental Network SummerFcast'!J228</f>
        <v>2031</v>
      </c>
      <c r="K228" s="192">
        <f>'Incremental Network SummerFcast'!K228</f>
        <v>2032</v>
      </c>
      <c r="L228" s="192">
        <f>'Incremental Network SummerFcast'!L228</f>
        <v>2033</v>
      </c>
    </row>
    <row r="229" spans="1:13" s="48" customFormat="1" ht="15.6" thickTop="1" thickBot="1">
      <c r="A229" s="207" t="str">
        <f>'Incremental Network SummerFcast'!A229</f>
        <v>Customer forecast</v>
      </c>
      <c r="B229" s="208">
        <f ca="1">'Incremental Network SummerFcast'!B229*$G$1</f>
        <v>-28.05</v>
      </c>
      <c r="C229" s="208">
        <f ca="1">'Incremental Network SummerFcast'!C229*$G$1</f>
        <v>5.7374999999999998</v>
      </c>
      <c r="D229" s="208">
        <f ca="1">'Incremental Network SummerFcast'!D229*$G$1</f>
        <v>47.78800141749722</v>
      </c>
      <c r="E229" s="208">
        <f ca="1">'Incremental Network SummerFcast'!E229*$G$1</f>
        <v>102.83166817829456</v>
      </c>
      <c r="F229" s="208">
        <f ca="1">'Incremental Network SummerFcast'!F229*$G$1</f>
        <v>144.82259735880399</v>
      </c>
      <c r="G229" s="208">
        <f ca="1">'Incremental Network SummerFcast'!G229*$G$1</f>
        <v>296.81935068186044</v>
      </c>
      <c r="H229" s="208">
        <f ca="1">'Incremental Network SummerFcast'!H229*$G$1</f>
        <v>488.79843540488361</v>
      </c>
      <c r="I229" s="208">
        <f ca="1">'Incremental Network SummerFcast'!I229*$G$1</f>
        <v>730.36229415201103</v>
      </c>
      <c r="J229" s="208">
        <f ca="1">'Incremental Network SummerFcast'!J229*$G$1</f>
        <v>1009.3311163148217</v>
      </c>
      <c r="K229" s="208">
        <f ca="1">'Incremental Network SummerFcast'!K229*$G$1</f>
        <v>1293.1689537190032</v>
      </c>
      <c r="L229" s="208">
        <f ca="1">'Incremental Network SummerFcast'!L229*$G$1</f>
        <v>1644.4021528137205</v>
      </c>
      <c r="M229" s="37"/>
    </row>
    <row r="230" spans="1:13" s="54" customFormat="1" ht="15" thickBot="1">
      <c r="A230" s="205" t="str">
        <f>'Incremental Network SummerFcast'!A230</f>
        <v>Data Centres</v>
      </c>
      <c r="B230" s="206">
        <f ca="1">'Incremental Network SummerFcast'!B230*$G$1</f>
        <v>-6.8</v>
      </c>
      <c r="C230" s="206">
        <f ca="1">'Incremental Network SummerFcast'!C230*$G$1</f>
        <v>1.4875</v>
      </c>
      <c r="D230" s="206">
        <f ca="1">'Incremental Network SummerFcast'!D230*$G$1</f>
        <v>17.731894219269101</v>
      </c>
      <c r="E230" s="206">
        <f ca="1">'Incremental Network SummerFcast'!E230*$G$1</f>
        <v>57.495313361018809</v>
      </c>
      <c r="F230" s="206">
        <f ca="1">'Incremental Network SummerFcast'!F230*$G$1</f>
        <v>96.976071112956788</v>
      </c>
      <c r="G230" s="206">
        <f ca="1">'Incremental Network SummerFcast'!G230*$G$1</f>
        <v>210.41505327322261</v>
      </c>
      <c r="H230" s="206">
        <f ca="1">'Incremental Network SummerFcast'!H230*$G$1</f>
        <v>370.35267166180506</v>
      </c>
      <c r="I230" s="206">
        <f ca="1">'Incremental Network SummerFcast'!I230*$G$1</f>
        <v>574.89889767360569</v>
      </c>
      <c r="J230" s="206">
        <f ca="1">'Incremental Network SummerFcast'!J230*$G$1</f>
        <v>798.21504486410174</v>
      </c>
      <c r="K230" s="206">
        <f ca="1">'Incremental Network SummerFcast'!K230*$G$1</f>
        <v>1036.5184002306312</v>
      </c>
      <c r="L230" s="206">
        <f ca="1">'Incremental Network SummerFcast'!L230*$G$1</f>
        <v>1336.6370177749609</v>
      </c>
      <c r="M230" s="55"/>
    </row>
    <row r="231" spans="1:13" s="54" customFormat="1" ht="15" thickBot="1">
      <c r="A231" s="205" t="str">
        <f>'Incremental Network SummerFcast'!A231</f>
        <v>Major Loads</v>
      </c>
      <c r="B231" s="206">
        <f ca="1">'Incremental Network SummerFcast'!B231*$G$1</f>
        <v>-21.25</v>
      </c>
      <c r="C231" s="206">
        <f ca="1">'Incremental Network SummerFcast'!C231*$G$1</f>
        <v>4.25</v>
      </c>
      <c r="D231" s="206">
        <f ca="1">'Incremental Network SummerFcast'!D231*$G$1</f>
        <v>30.056107198228119</v>
      </c>
      <c r="E231" s="206">
        <f ca="1">'Incremental Network SummerFcast'!E231*$G$1</f>
        <v>45.336354817275762</v>
      </c>
      <c r="F231" s="206">
        <f ca="1">'Incremental Network SummerFcast'!F231*$G$1</f>
        <v>47.846526245847215</v>
      </c>
      <c r="G231" s="206">
        <f ca="1">'Incremental Network SummerFcast'!G231*$G$1</f>
        <v>86.404297408637817</v>
      </c>
      <c r="H231" s="206">
        <f ca="1">'Incremental Network SummerFcast'!H231*$G$1</f>
        <v>118.44576374307857</v>
      </c>
      <c r="I231" s="206">
        <f ca="1">'Incremental Network SummerFcast'!I231*$G$1</f>
        <v>155.46339647840534</v>
      </c>
      <c r="J231" s="206">
        <f ca="1">'Incremental Network SummerFcast'!J231*$G$1</f>
        <v>211.11607145071986</v>
      </c>
      <c r="K231" s="206">
        <f ca="1">'Incremental Network SummerFcast'!K231*$G$1</f>
        <v>256.65055348837194</v>
      </c>
      <c r="L231" s="206">
        <f ca="1">'Incremental Network SummerFcast'!L231*$G$1</f>
        <v>307.76513503875941</v>
      </c>
      <c r="M231" s="55"/>
    </row>
    <row r="232" spans="1:13" s="48" customFormat="1" ht="15" thickBot="1">
      <c r="A232" s="207" t="str">
        <f>'Incremental Network SummerFcast'!A232</f>
        <v>Base</v>
      </c>
      <c r="B232" s="208">
        <f ca="1">'Incremental Network SummerFcast'!B232*$G$1</f>
        <v>-28.05</v>
      </c>
      <c r="C232" s="208">
        <f ca="1">'Incremental Network SummerFcast'!C232*$G$1</f>
        <v>1.4875</v>
      </c>
      <c r="D232" s="208">
        <f ca="1">'Incremental Network SummerFcast'!D232*$G$1</f>
        <v>21.556894219269104</v>
      </c>
      <c r="E232" s="208">
        <f ca="1">'Incremental Network SummerFcast'!E232*$G$1</f>
        <v>51.46874636212624</v>
      </c>
      <c r="F232" s="208">
        <f ca="1">'Incremental Network SummerFcast'!F232*$G$1</f>
        <v>65.170494902547048</v>
      </c>
      <c r="G232" s="208">
        <f ca="1">'Incremental Network SummerFcast'!G232*$G$1</f>
        <v>142.61628269344803</v>
      </c>
      <c r="H232" s="208">
        <f ca="1">'Incremental Network SummerFcast'!H232*$G$1</f>
        <v>203.42370520447983</v>
      </c>
      <c r="I232" s="208">
        <f ca="1">'Incremental Network SummerFcast'!I232*$G$1</f>
        <v>259.89202344433784</v>
      </c>
      <c r="J232" s="208">
        <f ca="1">'Incremental Network SummerFcast'!J232*$G$1</f>
        <v>343.89914960988705</v>
      </c>
      <c r="K232" s="208">
        <f ca="1">'Incremental Network SummerFcast'!K232*$G$1</f>
        <v>408.60079142077075</v>
      </c>
      <c r="L232" s="208">
        <f ca="1">'Incremental Network SummerFcast'!L232*$G$1</f>
        <v>452.42487674836264</v>
      </c>
    </row>
    <row r="233" spans="1:13" s="54" customFormat="1" ht="15" thickBot="1">
      <c r="A233" s="205" t="str">
        <f>'Incremental Network SummerFcast'!A233</f>
        <v>Data Centres</v>
      </c>
      <c r="B233" s="206">
        <f ca="1">'Incremental Network SummerFcast'!B233*$G$1</f>
        <v>-6.8</v>
      </c>
      <c r="C233" s="206">
        <f ca="1">'Incremental Network SummerFcast'!C233*$G$1</f>
        <v>1.4875</v>
      </c>
      <c r="D233" s="206">
        <f ca="1">'Incremental Network SummerFcast'!D233*$G$1</f>
        <v>17.731894219269101</v>
      </c>
      <c r="E233" s="206">
        <f ca="1">'Incremental Network SummerFcast'!E233*$G$1</f>
        <v>39.993746362126245</v>
      </c>
      <c r="F233" s="206">
        <f ca="1">'Incremental Network SummerFcast'!F233*$G$1</f>
        <v>49.797002375415282</v>
      </c>
      <c r="G233" s="206">
        <f ca="1">'Incremental Network SummerFcast'!G233*$G$1</f>
        <v>115.03658261058322</v>
      </c>
      <c r="H233" s="206">
        <f ca="1">'Incremental Network SummerFcast'!H233*$G$1</f>
        <v>164.34504296220248</v>
      </c>
      <c r="I233" s="206">
        <f ca="1">'Incremental Network SummerFcast'!I233*$G$1</f>
        <v>205.02789665575926</v>
      </c>
      <c r="J233" s="206">
        <f ca="1">'Incremental Network SummerFcast'!J233*$G$1</f>
        <v>258.35884836890216</v>
      </c>
      <c r="K233" s="206">
        <f ca="1">'Incremental Network SummerFcast'!K233*$G$1</f>
        <v>303.31284422359147</v>
      </c>
      <c r="L233" s="206">
        <f ca="1">'Incremental Network SummerFcast'!L233*$G$1</f>
        <v>334.95349023549619</v>
      </c>
    </row>
    <row r="234" spans="1:13" s="54" customFormat="1" ht="15" thickBot="1">
      <c r="A234" s="205" t="str">
        <f>'Incremental Network SummerFcast'!A234</f>
        <v>Major Loads</v>
      </c>
      <c r="B234" s="206">
        <f ca="1">'Incremental Network SummerFcast'!B234*$G$1</f>
        <v>-21.25</v>
      </c>
      <c r="C234" s="206">
        <f ca="1">'Incremental Network SummerFcast'!C234*$G$1</f>
        <v>0</v>
      </c>
      <c r="D234" s="206">
        <f ca="1">'Incremental Network SummerFcast'!D234*$G$1</f>
        <v>3.8249999999999997</v>
      </c>
      <c r="E234" s="206">
        <f ca="1">'Incremental Network SummerFcast'!E234*$G$1</f>
        <v>11.475</v>
      </c>
      <c r="F234" s="206">
        <f ca="1">'Incremental Network SummerFcast'!F234*$G$1</f>
        <v>15.373492527131765</v>
      </c>
      <c r="G234" s="206">
        <f ca="1">'Incremental Network SummerFcast'!G234*$G$1</f>
        <v>27.579700082864811</v>
      </c>
      <c r="H234" s="206">
        <f ca="1">'Incremental Network SummerFcast'!H234*$G$1</f>
        <v>39.078662242277353</v>
      </c>
      <c r="I234" s="206">
        <f ca="1">'Incremental Network SummerFcast'!I234*$G$1</f>
        <v>54.864126788578595</v>
      </c>
      <c r="J234" s="206">
        <f ca="1">'Incremental Network SummerFcast'!J234*$G$1</f>
        <v>85.54030124098486</v>
      </c>
      <c r="K234" s="206">
        <f ca="1">'Incremental Network SummerFcast'!K234*$G$1</f>
        <v>105.28794719717929</v>
      </c>
      <c r="L234" s="206">
        <f ca="1">'Incremental Network SummerFcast'!L234*$G$1</f>
        <v>117.4713865128664</v>
      </c>
    </row>
    <row r="235" spans="1:13" s="48" customFormat="1" ht="15" thickBot="1">
      <c r="A235" s="207" t="str">
        <f>'Incremental Network SummerFcast'!A235</f>
        <v>Low</v>
      </c>
      <c r="B235" s="208">
        <f ca="1">'Incremental Network SummerFcast'!B235*$G$1</f>
        <v>-28.05</v>
      </c>
      <c r="C235" s="208">
        <f ca="1">'Incremental Network SummerFcast'!C235*$G$1</f>
        <v>1.4875</v>
      </c>
      <c r="D235" s="208">
        <f ca="1">'Incremental Network SummerFcast'!D235*$G$1</f>
        <v>17.731894219269101</v>
      </c>
      <c r="E235" s="208">
        <f ca="1">'Incremental Network SummerFcast'!E235*$G$1</f>
        <v>42.543746362126249</v>
      </c>
      <c r="F235" s="208">
        <f ca="1">'Incremental Network SummerFcast'!F235*$G$1</f>
        <v>52.971692076411955</v>
      </c>
      <c r="G235" s="208">
        <f ca="1">'Incremental Network SummerFcast'!G235*$G$1</f>
        <v>103.9923217419238</v>
      </c>
      <c r="H235" s="208">
        <f ca="1">'Incremental Network SummerFcast'!H235*$G$1</f>
        <v>163.4196717535219</v>
      </c>
      <c r="I235" s="208">
        <f ca="1">'Incremental Network SummerFcast'!I235*$G$1</f>
        <v>205.340811025438</v>
      </c>
      <c r="J235" s="208">
        <f ca="1">'Incremental Network SummerFcast'!J235*$G$1</f>
        <v>251.37884183384813</v>
      </c>
      <c r="K235" s="208">
        <f ca="1">'Incremental Network SummerFcast'!K235*$G$1</f>
        <v>276.60880850618486</v>
      </c>
      <c r="L235" s="208">
        <f ca="1">'Incremental Network SummerFcast'!L235*$G$1</f>
        <v>312.6116277201927</v>
      </c>
    </row>
    <row r="236" spans="1:13" s="54" customFormat="1" ht="15" thickBot="1">
      <c r="A236" s="205" t="str">
        <f>'Incremental Network SummerFcast'!A236</f>
        <v>Data Centres</v>
      </c>
      <c r="B236" s="206">
        <f ca="1">'Incremental Network SummerFcast'!B236*$G$1</f>
        <v>-6.8</v>
      </c>
      <c r="C236" s="206">
        <f ca="1">'Incremental Network SummerFcast'!C236*$G$1</f>
        <v>1.4875</v>
      </c>
      <c r="D236" s="206">
        <f ca="1">'Incremental Network SummerFcast'!D236*$G$1</f>
        <v>17.731894219269101</v>
      </c>
      <c r="E236" s="206">
        <f ca="1">'Incremental Network SummerFcast'!E236*$G$1</f>
        <v>39.993746362126245</v>
      </c>
      <c r="F236" s="206">
        <f ca="1">'Incremental Network SummerFcast'!F236*$G$1</f>
        <v>45.321692076411964</v>
      </c>
      <c r="G236" s="206">
        <f ca="1">'Incremental Network SummerFcast'!G236*$G$1</f>
        <v>89.814171175108697</v>
      </c>
      <c r="H236" s="206">
        <f ca="1">'Incremental Network SummerFcast'!H236*$G$1</f>
        <v>142.79274727953484</v>
      </c>
      <c r="I236" s="206">
        <f ca="1">'Incremental Network SummerFcast'!I236*$G$1</f>
        <v>173.83991186711668</v>
      </c>
      <c r="J236" s="206">
        <f ca="1">'Incremental Network SummerFcast'!J236*$G$1</f>
        <v>202.86920417117588</v>
      </c>
      <c r="K236" s="206">
        <f ca="1">'Incremental Network SummerFcast'!K236*$G$1</f>
        <v>217.11214629742173</v>
      </c>
      <c r="L236" s="206">
        <f ca="1">'Incremental Network SummerFcast'!L236*$G$1</f>
        <v>231.70170166840734</v>
      </c>
    </row>
    <row r="237" spans="1:13" s="54" customFormat="1" ht="15" thickBot="1">
      <c r="A237" s="205" t="str">
        <f>'Incremental Network SummerFcast'!A237</f>
        <v>Major Loads</v>
      </c>
      <c r="B237" s="206">
        <f ca="1">'Incremental Network SummerFcast'!B237*$G$1</f>
        <v>-21.25</v>
      </c>
      <c r="C237" s="206">
        <f ca="1">'Incremental Network SummerFcast'!C237*$G$1</f>
        <v>0</v>
      </c>
      <c r="D237" s="206">
        <f ca="1">'Incremental Network SummerFcast'!D237*$G$1</f>
        <v>0</v>
      </c>
      <c r="E237" s="206">
        <f ca="1">'Incremental Network SummerFcast'!E237*$G$1</f>
        <v>2.550000000000006</v>
      </c>
      <c r="F237" s="206">
        <f ca="1">'Incremental Network SummerFcast'!F237*$G$1</f>
        <v>7.6499999999999941</v>
      </c>
      <c r="G237" s="206">
        <f ca="1">'Incremental Network SummerFcast'!G237*$G$1</f>
        <v>14.178150566815102</v>
      </c>
      <c r="H237" s="206">
        <f ca="1">'Incremental Network SummerFcast'!H237*$G$1</f>
        <v>20.626924473987053</v>
      </c>
      <c r="I237" s="206">
        <f ca="1">'Incremental Network SummerFcast'!I237*$G$1</f>
        <v>31.500899158321317</v>
      </c>
      <c r="J237" s="206">
        <f ca="1">'Incremental Network SummerFcast'!J237*$G$1</f>
        <v>48.509637662672255</v>
      </c>
      <c r="K237" s="206">
        <f ca="1">'Incremental Network SummerFcast'!K237*$G$1</f>
        <v>59.496662208763127</v>
      </c>
      <c r="L237" s="206">
        <f ca="1">'Incremental Network SummerFcast'!L237*$G$1</f>
        <v>80.909926051785334</v>
      </c>
    </row>
    <row r="238" spans="1:13" s="48" customFormat="1" ht="15" thickBot="1">
      <c r="A238" s="207" t="str">
        <f>'Incremental Network SummerFcast'!A238</f>
        <v>High</v>
      </c>
      <c r="B238" s="208">
        <f ca="1">'Incremental Network SummerFcast'!B238*$G$1</f>
        <v>-28.05</v>
      </c>
      <c r="C238" s="208">
        <f ca="1">'Incremental Network SummerFcast'!C238*$G$1</f>
        <v>5.7374999999999998</v>
      </c>
      <c r="D238" s="208">
        <f ca="1">'Incremental Network SummerFcast'!D238*$G$1</f>
        <v>30.48189421926909</v>
      </c>
      <c r="E238" s="208">
        <f ca="1">'Incremental Network SummerFcast'!E238*$G$1</f>
        <v>63.444710543743064</v>
      </c>
      <c r="F238" s="208">
        <f ca="1">'Incremental Network SummerFcast'!F238*$G$1</f>
        <v>94.847819803986724</v>
      </c>
      <c r="G238" s="208">
        <f ca="1">'Incremental Network SummerFcast'!G238*$G$1</f>
        <v>170.25464500968673</v>
      </c>
      <c r="H238" s="208">
        <f ca="1">'Incremental Network SummerFcast'!H238*$G$1</f>
        <v>253.5286685511374</v>
      </c>
      <c r="I238" s="208">
        <f ca="1">'Incremental Network SummerFcast'!I238*$G$1</f>
        <v>384.820694483392</v>
      </c>
      <c r="J238" s="208">
        <f ca="1">'Incremental Network SummerFcast'!J238*$G$1</f>
        <v>515.80643223597019</v>
      </c>
      <c r="K238" s="208">
        <f ca="1">'Incremental Network SummerFcast'!K238*$G$1</f>
        <v>605.24261950816378</v>
      </c>
      <c r="L238" s="208">
        <f ca="1">'Incremental Network SummerFcast'!L238*$G$1</f>
        <v>688.44401930462107</v>
      </c>
    </row>
    <row r="239" spans="1:13" s="54" customFormat="1" ht="15" thickBot="1">
      <c r="A239" s="205" t="str">
        <f>'Incremental Network SummerFcast'!A239</f>
        <v>Data Centres</v>
      </c>
      <c r="B239" s="206">
        <f ca="1">'Incremental Network SummerFcast'!B239*$G$1</f>
        <v>-6.8</v>
      </c>
      <c r="C239" s="206">
        <f ca="1">'Incremental Network SummerFcast'!C239*$G$1</f>
        <v>1.4875</v>
      </c>
      <c r="D239" s="206">
        <f ca="1">'Incremental Network SummerFcast'!D239*$G$1</f>
        <v>17.731894219269101</v>
      </c>
      <c r="E239" s="206">
        <f ca="1">'Incremental Network SummerFcast'!E239*$G$1</f>
        <v>44.966313361018813</v>
      </c>
      <c r="F239" s="206">
        <f ca="1">'Incremental Network SummerFcast'!F239*$G$1</f>
        <v>68.886644335548183</v>
      </c>
      <c r="G239" s="206">
        <f ca="1">'Incremental Network SummerFcast'!G239*$G$1</f>
        <v>130.71965144151503</v>
      </c>
      <c r="H239" s="206">
        <f ca="1">'Incremental Network SummerFcast'!H239*$G$1</f>
        <v>192.98840872866475</v>
      </c>
      <c r="I239" s="206">
        <f ca="1">'Incremental Network SummerFcast'!I239*$G$1</f>
        <v>287.66449227549754</v>
      </c>
      <c r="J239" s="206">
        <f ca="1">'Incremental Network SummerFcast'!J239*$G$1</f>
        <v>368.86527543943856</v>
      </c>
      <c r="K239" s="206">
        <f ca="1">'Incremental Network SummerFcast'!K239*$G$1</f>
        <v>433.06860016830592</v>
      </c>
      <c r="L239" s="206">
        <f ca="1">'Incremental Network SummerFcast'!L239*$G$1</f>
        <v>484.74349963882645</v>
      </c>
    </row>
    <row r="240" spans="1:13" s="54" customFormat="1" ht="15" thickBot="1">
      <c r="A240" s="209" t="str">
        <f>'Incremental Network SummerFcast'!A240</f>
        <v>Major Loads</v>
      </c>
      <c r="B240" s="210">
        <f ca="1">'Incremental Network SummerFcast'!B240*$G$1</f>
        <v>-21.25</v>
      </c>
      <c r="C240" s="210">
        <f ca="1">'Incremental Network SummerFcast'!C240*$G$1</f>
        <v>4.25</v>
      </c>
      <c r="D240" s="210">
        <f ca="1">'Incremental Network SummerFcast'!D240*$G$1</f>
        <v>12.749999999999988</v>
      </c>
      <c r="E240" s="210">
        <f ca="1">'Incremental Network SummerFcast'!E240*$G$1</f>
        <v>18.478397182724244</v>
      </c>
      <c r="F240" s="210">
        <f ca="1">'Incremental Network SummerFcast'!F240*$G$1</f>
        <v>25.961175468438544</v>
      </c>
      <c r="G240" s="210">
        <f ca="1">'Incremental Network SummerFcast'!G240*$G$1</f>
        <v>39.534993568171721</v>
      </c>
      <c r="H240" s="210">
        <f ca="1">'Incremental Network SummerFcast'!H240*$G$1</f>
        <v>60.540259822472656</v>
      </c>
      <c r="I240" s="210">
        <f ca="1">'Incremental Network SummerFcast'!I240*$G$1</f>
        <v>97.156202207894452</v>
      </c>
      <c r="J240" s="210">
        <f ca="1">'Incremental Network SummerFcast'!J240*$G$1</f>
        <v>146.94115679653163</v>
      </c>
      <c r="K240" s="210">
        <f ca="1">'Incremental Network SummerFcast'!K240*$G$1</f>
        <v>172.17401933985786</v>
      </c>
      <c r="L240" s="210">
        <f ca="1">'Incremental Network SummerFcast'!L240*$G$1</f>
        <v>203.70051966579459</v>
      </c>
    </row>
    <row r="241" ht="15" thickTop="1"/>
  </sheetData>
  <conditionalFormatting sqref="B7:L10">
    <cfRule type="cellIs" dxfId="50" priority="26" operator="greaterThan">
      <formula>$B$3</formula>
    </cfRule>
  </conditionalFormatting>
  <conditionalFormatting sqref="B15:L17">
    <cfRule type="cellIs" dxfId="49" priority="35" operator="greaterThan">
      <formula>$B$11</formula>
    </cfRule>
  </conditionalFormatting>
  <conditionalFormatting sqref="B18:L18">
    <cfRule type="cellIs" dxfId="48" priority="25" operator="greaterThan">
      <formula>$B$3</formula>
    </cfRule>
  </conditionalFormatting>
  <conditionalFormatting sqref="B23:L25">
    <cfRule type="cellIs" dxfId="47" priority="34" operator="greaterThan">
      <formula>$B$19</formula>
    </cfRule>
  </conditionalFormatting>
  <conditionalFormatting sqref="B26:L26">
    <cfRule type="cellIs" dxfId="46" priority="24" operator="greaterThan">
      <formula>$B$3</formula>
    </cfRule>
  </conditionalFormatting>
  <conditionalFormatting sqref="B31:L33">
    <cfRule type="cellIs" dxfId="45" priority="33" operator="greaterThan">
      <formula>$B$27</formula>
    </cfRule>
  </conditionalFormatting>
  <conditionalFormatting sqref="B34:L34">
    <cfRule type="cellIs" dxfId="44" priority="23" operator="greaterThan">
      <formula>$B$3</formula>
    </cfRule>
  </conditionalFormatting>
  <conditionalFormatting sqref="B39:L41">
    <cfRule type="cellIs" dxfId="43" priority="32" operator="greaterThan">
      <formula>$B$35</formula>
    </cfRule>
  </conditionalFormatting>
  <conditionalFormatting sqref="B42:L42">
    <cfRule type="cellIs" dxfId="42" priority="22" operator="greaterThan">
      <formula>$B$3</formula>
    </cfRule>
  </conditionalFormatting>
  <conditionalFormatting sqref="B47:L49">
    <cfRule type="cellIs" dxfId="41" priority="31" operator="greaterThan">
      <formula>$B$43</formula>
    </cfRule>
  </conditionalFormatting>
  <conditionalFormatting sqref="B50:L50">
    <cfRule type="cellIs" dxfId="40" priority="21" operator="greaterThan">
      <formula>$B$3</formula>
    </cfRule>
  </conditionalFormatting>
  <conditionalFormatting sqref="B55:L57">
    <cfRule type="cellIs" dxfId="39" priority="30" operator="greaterThan">
      <formula>$B$51</formula>
    </cfRule>
  </conditionalFormatting>
  <conditionalFormatting sqref="B58:L58">
    <cfRule type="cellIs" dxfId="38" priority="20" operator="greaterThan">
      <formula>$B$3</formula>
    </cfRule>
  </conditionalFormatting>
  <conditionalFormatting sqref="B63:L65">
    <cfRule type="cellIs" dxfId="37" priority="29" operator="greaterThan">
      <formula>$B$59</formula>
    </cfRule>
  </conditionalFormatting>
  <conditionalFormatting sqref="B66:L66">
    <cfRule type="cellIs" dxfId="36" priority="19" operator="greaterThan">
      <formula>$B$3</formula>
    </cfRule>
  </conditionalFormatting>
  <conditionalFormatting sqref="B71:L73">
    <cfRule type="cellIs" dxfId="35" priority="28" operator="greaterThan">
      <formula>$B$67</formula>
    </cfRule>
  </conditionalFormatting>
  <conditionalFormatting sqref="B74:L74">
    <cfRule type="cellIs" dxfId="34" priority="18" operator="greaterThan">
      <formula>$B$3</formula>
    </cfRule>
  </conditionalFormatting>
  <conditionalFormatting sqref="B79:L81">
    <cfRule type="cellIs" dxfId="33" priority="27" operator="greaterThan">
      <formula>$B$75</formula>
    </cfRule>
  </conditionalFormatting>
  <conditionalFormatting sqref="B82:L82">
    <cfRule type="cellIs" dxfId="32" priority="17" operator="greaterThan">
      <formula>$B$3</formula>
    </cfRule>
  </conditionalFormatting>
  <conditionalFormatting sqref="B87:L89">
    <cfRule type="cellIs" dxfId="31" priority="51" operator="greaterThan">
      <formula>$B$83</formula>
    </cfRule>
  </conditionalFormatting>
  <conditionalFormatting sqref="B90:L90">
    <cfRule type="cellIs" dxfId="30" priority="16" operator="greaterThan">
      <formula>$B$3</formula>
    </cfRule>
  </conditionalFormatting>
  <conditionalFormatting sqref="B95:L97">
    <cfRule type="cellIs" dxfId="29" priority="50" operator="greaterThan">
      <formula>$B$91</formula>
    </cfRule>
  </conditionalFormatting>
  <conditionalFormatting sqref="B98:L98">
    <cfRule type="cellIs" dxfId="28" priority="15" operator="greaterThan">
      <formula>$B$3</formula>
    </cfRule>
  </conditionalFormatting>
  <conditionalFormatting sqref="B103:L105">
    <cfRule type="cellIs" dxfId="27" priority="49" operator="greaterThan">
      <formula>$B$99</formula>
    </cfRule>
  </conditionalFormatting>
  <conditionalFormatting sqref="B106:L106">
    <cfRule type="cellIs" dxfId="26" priority="14" operator="greaterThan">
      <formula>$B$3</formula>
    </cfRule>
  </conditionalFormatting>
  <conditionalFormatting sqref="B111:L113">
    <cfRule type="cellIs" dxfId="25" priority="48" operator="greaterThan">
      <formula>$B$107</formula>
    </cfRule>
  </conditionalFormatting>
  <conditionalFormatting sqref="B114:L114">
    <cfRule type="cellIs" dxfId="24" priority="13" operator="greaterThan">
      <formula>$B$3</formula>
    </cfRule>
  </conditionalFormatting>
  <conditionalFormatting sqref="B119:L121">
    <cfRule type="cellIs" dxfId="23" priority="47" operator="greaterThan">
      <formula>$B$115</formula>
    </cfRule>
  </conditionalFormatting>
  <conditionalFormatting sqref="B122:L122">
    <cfRule type="cellIs" dxfId="22" priority="12" operator="greaterThan">
      <formula>$B$3</formula>
    </cfRule>
  </conditionalFormatting>
  <conditionalFormatting sqref="B127:L129">
    <cfRule type="cellIs" dxfId="21" priority="46" operator="greaterThan">
      <formula>$B$123</formula>
    </cfRule>
  </conditionalFormatting>
  <conditionalFormatting sqref="B130:L130">
    <cfRule type="cellIs" dxfId="20" priority="11" operator="greaterThan">
      <formula>$B$3</formula>
    </cfRule>
  </conditionalFormatting>
  <conditionalFormatting sqref="B135:L137">
    <cfRule type="cellIs" dxfId="19" priority="45" operator="greaterThan">
      <formula>$B$131</formula>
    </cfRule>
  </conditionalFormatting>
  <conditionalFormatting sqref="B138:L138">
    <cfRule type="cellIs" dxfId="18" priority="10" operator="greaterThan">
      <formula>$B$3</formula>
    </cfRule>
  </conditionalFormatting>
  <conditionalFormatting sqref="B143:L145">
    <cfRule type="cellIs" dxfId="17" priority="44" operator="greaterThan">
      <formula>$B$139</formula>
    </cfRule>
  </conditionalFormatting>
  <conditionalFormatting sqref="B146:L146">
    <cfRule type="cellIs" dxfId="16" priority="9" operator="greaterThan">
      <formula>$B$3</formula>
    </cfRule>
  </conditionalFormatting>
  <conditionalFormatting sqref="B151:L153">
    <cfRule type="cellIs" dxfId="15" priority="43" operator="greaterThan">
      <formula>$B$147</formula>
    </cfRule>
  </conditionalFormatting>
  <conditionalFormatting sqref="B154:L154">
    <cfRule type="cellIs" dxfId="14" priority="8" operator="greaterThan">
      <formula>$B$3</formula>
    </cfRule>
  </conditionalFormatting>
  <conditionalFormatting sqref="B159:L161">
    <cfRule type="cellIs" dxfId="13" priority="42" operator="greaterThan">
      <formula>$B$155</formula>
    </cfRule>
  </conditionalFormatting>
  <conditionalFormatting sqref="B162:L162">
    <cfRule type="cellIs" dxfId="12" priority="7" operator="greaterThan">
      <formula>$B$3</formula>
    </cfRule>
  </conditionalFormatting>
  <conditionalFormatting sqref="B167:L169">
    <cfRule type="cellIs" dxfId="11" priority="41" operator="greaterThan">
      <formula>$B$163</formula>
    </cfRule>
  </conditionalFormatting>
  <conditionalFormatting sqref="B170:L170">
    <cfRule type="cellIs" dxfId="10" priority="6" operator="greaterThan">
      <formula>$B$3</formula>
    </cfRule>
  </conditionalFormatting>
  <conditionalFormatting sqref="B175:L177">
    <cfRule type="cellIs" dxfId="9" priority="40" operator="greaterThan">
      <formula>$B$171</formula>
    </cfRule>
  </conditionalFormatting>
  <conditionalFormatting sqref="B178:L178">
    <cfRule type="cellIs" dxfId="8" priority="5" operator="greaterThan">
      <formula>$B$3</formula>
    </cfRule>
  </conditionalFormatting>
  <conditionalFormatting sqref="B183:L185">
    <cfRule type="cellIs" dxfId="7" priority="39" operator="greaterThan">
      <formula>$B$179</formula>
    </cfRule>
  </conditionalFormatting>
  <conditionalFormatting sqref="B186:L186">
    <cfRule type="cellIs" dxfId="6" priority="4" operator="greaterThan">
      <formula>$B$3</formula>
    </cfRule>
  </conditionalFormatting>
  <conditionalFormatting sqref="B191:L193">
    <cfRule type="cellIs" dxfId="5" priority="38" operator="greaterThan">
      <formula>$B$187</formula>
    </cfRule>
  </conditionalFormatting>
  <conditionalFormatting sqref="B194:L194">
    <cfRule type="cellIs" dxfId="4" priority="3" operator="greaterThan">
      <formula>$B$3</formula>
    </cfRule>
  </conditionalFormatting>
  <conditionalFormatting sqref="B199:L201">
    <cfRule type="cellIs" dxfId="3" priority="37" operator="greaterThan">
      <formula>$B$195</formula>
    </cfRule>
  </conditionalFormatting>
  <conditionalFormatting sqref="B202:L202">
    <cfRule type="cellIs" dxfId="2" priority="2" operator="greaterThan">
      <formula>$B$3</formula>
    </cfRule>
  </conditionalFormatting>
  <conditionalFormatting sqref="B207:L209">
    <cfRule type="cellIs" dxfId="1" priority="36" operator="greaterThan">
      <formula>$B$203</formula>
    </cfRule>
  </conditionalFormatting>
  <conditionalFormatting sqref="B210:L210">
    <cfRule type="cellIs" dxfId="0" priority="1" operator="greaterThan">
      <formula>$B$3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06A3-1E0B-44CE-9059-91F85903CD8B}">
  <dimension ref="A1:R197"/>
  <sheetViews>
    <sheetView topLeftCell="B1" zoomScale="85" zoomScaleNormal="85" workbookViewId="0">
      <selection activeCell="B185" sqref="B185"/>
    </sheetView>
  </sheetViews>
  <sheetFormatPr defaultRowHeight="14.45"/>
  <cols>
    <col min="1" max="1" width="15.28515625" bestFit="1" customWidth="1"/>
    <col min="2" max="2" width="75.28515625" customWidth="1"/>
    <col min="3" max="3" width="22.7109375" customWidth="1"/>
    <col min="4" max="4" width="9.140625" style="56"/>
    <col min="5" max="5" width="50.7109375" customWidth="1"/>
    <col min="6" max="6" width="30.7109375" customWidth="1"/>
    <col min="7" max="7" width="9.140625" style="56"/>
    <col min="8" max="8" width="50.7109375" customWidth="1"/>
    <col min="9" max="9" width="30.7109375" customWidth="1"/>
    <col min="10" max="10" width="9.140625" style="56"/>
  </cols>
  <sheetData>
    <row r="1" spans="1:18" s="11" customFormat="1" ht="15.6">
      <c r="A1" s="10" t="s">
        <v>161</v>
      </c>
      <c r="B1" s="10"/>
      <c r="C1" s="12"/>
      <c r="D1" s="12"/>
      <c r="E1" s="39" t="s">
        <v>162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3"/>
    </row>
    <row r="3" spans="1:18" ht="15" thickBot="1">
      <c r="A3" s="37" t="s">
        <v>163</v>
      </c>
    </row>
    <row r="4" spans="1:18" s="48" customFormat="1" ht="15" thickBot="1">
      <c r="A4" s="116" t="s">
        <v>164</v>
      </c>
      <c r="B4" s="92" t="s">
        <v>165</v>
      </c>
      <c r="C4" s="93" t="s">
        <v>166</v>
      </c>
      <c r="D4" s="94" t="s">
        <v>167</v>
      </c>
      <c r="E4" s="92" t="s">
        <v>168</v>
      </c>
      <c r="F4" s="93" t="s">
        <v>166</v>
      </c>
      <c r="G4" s="94" t="s">
        <v>167</v>
      </c>
      <c r="H4" s="92" t="s">
        <v>169</v>
      </c>
      <c r="I4" s="93" t="s">
        <v>166</v>
      </c>
      <c r="J4" s="94" t="s">
        <v>167</v>
      </c>
    </row>
    <row r="5" spans="1:18">
      <c r="A5" s="131" t="s">
        <v>170</v>
      </c>
      <c r="B5" s="99" t="s">
        <v>171</v>
      </c>
      <c r="C5" s="100" t="s">
        <v>172</v>
      </c>
      <c r="D5" s="102">
        <v>2023</v>
      </c>
      <c r="E5" s="99" t="s">
        <v>173</v>
      </c>
      <c r="F5" s="100" t="s">
        <v>174</v>
      </c>
      <c r="G5" s="102">
        <v>2031</v>
      </c>
      <c r="H5" s="99" t="s">
        <v>175</v>
      </c>
      <c r="I5" s="100" t="s">
        <v>176</v>
      </c>
      <c r="J5" s="102">
        <v>2028</v>
      </c>
    </row>
    <row r="6" spans="1:18">
      <c r="A6" s="125" t="s">
        <v>170</v>
      </c>
      <c r="B6" s="65" t="s">
        <v>177</v>
      </c>
      <c r="C6" s="63" t="s">
        <v>172</v>
      </c>
      <c r="D6" s="66">
        <v>2023</v>
      </c>
      <c r="E6" s="65" t="s">
        <v>178</v>
      </c>
      <c r="F6" s="63" t="s">
        <v>174</v>
      </c>
      <c r="G6" s="66">
        <v>2031</v>
      </c>
      <c r="H6" s="65"/>
      <c r="I6" s="63"/>
      <c r="J6" s="66"/>
    </row>
    <row r="7" spans="1:18">
      <c r="A7" s="125" t="s">
        <v>170</v>
      </c>
      <c r="B7" s="65" t="s">
        <v>179</v>
      </c>
      <c r="C7" s="63" t="s">
        <v>180</v>
      </c>
      <c r="D7" s="66">
        <v>2026</v>
      </c>
      <c r="E7" s="65" t="s">
        <v>181</v>
      </c>
      <c r="F7" s="63" t="s">
        <v>174</v>
      </c>
      <c r="G7" s="66">
        <v>2030</v>
      </c>
      <c r="H7" s="65"/>
      <c r="I7" s="63"/>
      <c r="J7" s="66"/>
    </row>
    <row r="8" spans="1:18">
      <c r="A8" s="125" t="s">
        <v>170</v>
      </c>
      <c r="B8" s="65" t="s">
        <v>182</v>
      </c>
      <c r="C8" s="63" t="s">
        <v>183</v>
      </c>
      <c r="D8" s="66">
        <v>2028</v>
      </c>
      <c r="E8" s="65"/>
      <c r="F8" s="63"/>
      <c r="G8" s="66"/>
      <c r="H8" s="65"/>
      <c r="I8" s="63"/>
      <c r="J8" s="66"/>
    </row>
    <row r="9" spans="1:18">
      <c r="A9" s="125" t="s">
        <v>170</v>
      </c>
      <c r="B9" s="65" t="s">
        <v>184</v>
      </c>
      <c r="C9" s="63" t="s">
        <v>185</v>
      </c>
      <c r="D9" s="66">
        <v>2034</v>
      </c>
      <c r="E9" s="65"/>
      <c r="F9" s="63"/>
      <c r="G9" s="66"/>
      <c r="H9" s="65"/>
      <c r="I9" s="63"/>
      <c r="J9" s="66"/>
    </row>
    <row r="10" spans="1:18">
      <c r="A10" s="125" t="s">
        <v>186</v>
      </c>
      <c r="B10" s="65" t="s">
        <v>187</v>
      </c>
      <c r="C10" s="63" t="s">
        <v>172</v>
      </c>
      <c r="D10" s="66">
        <v>2028</v>
      </c>
      <c r="E10" s="65"/>
      <c r="F10" s="63"/>
      <c r="G10" s="66"/>
      <c r="H10" s="65"/>
      <c r="I10" s="63"/>
      <c r="J10" s="66"/>
    </row>
    <row r="11" spans="1:18">
      <c r="A11" s="125" t="s">
        <v>186</v>
      </c>
      <c r="B11" s="65" t="s">
        <v>188</v>
      </c>
      <c r="C11" s="63" t="s">
        <v>172</v>
      </c>
      <c r="D11" s="66">
        <v>2027</v>
      </c>
      <c r="E11" s="65"/>
      <c r="F11" s="63"/>
      <c r="G11" s="66"/>
      <c r="H11" s="65"/>
      <c r="I11" s="63"/>
      <c r="J11" s="66"/>
    </row>
    <row r="12" spans="1:18">
      <c r="A12" s="125" t="s">
        <v>186</v>
      </c>
      <c r="B12" s="65" t="s">
        <v>189</v>
      </c>
      <c r="C12" s="63" t="s">
        <v>190</v>
      </c>
      <c r="D12" s="66" t="s">
        <v>191</v>
      </c>
      <c r="E12" s="65"/>
      <c r="F12" s="63"/>
      <c r="G12" s="66"/>
      <c r="H12" s="65"/>
      <c r="I12" s="63"/>
      <c r="J12" s="66"/>
    </row>
    <row r="13" spans="1:18">
      <c r="A13" s="125" t="s">
        <v>63</v>
      </c>
      <c r="B13" s="65" t="s">
        <v>192</v>
      </c>
      <c r="C13" s="63" t="s">
        <v>172</v>
      </c>
      <c r="D13" s="66">
        <v>2027</v>
      </c>
      <c r="E13" s="65"/>
      <c r="F13" s="63"/>
      <c r="G13" s="66"/>
      <c r="H13" s="65"/>
      <c r="I13" s="63"/>
      <c r="J13" s="66"/>
    </row>
    <row r="14" spans="1:18">
      <c r="A14" s="125" t="s">
        <v>63</v>
      </c>
      <c r="B14" s="65" t="s">
        <v>193</v>
      </c>
      <c r="C14" s="63" t="s">
        <v>172</v>
      </c>
      <c r="D14" s="66">
        <v>2027</v>
      </c>
      <c r="E14" s="65"/>
      <c r="F14" s="63"/>
      <c r="G14" s="66"/>
      <c r="H14" s="65"/>
      <c r="I14" s="63"/>
      <c r="J14" s="66"/>
    </row>
    <row r="15" spans="1:18">
      <c r="A15" s="125" t="s">
        <v>63</v>
      </c>
      <c r="B15" s="65" t="s">
        <v>194</v>
      </c>
      <c r="C15" s="63" t="s">
        <v>195</v>
      </c>
      <c r="D15" s="66" t="s">
        <v>191</v>
      </c>
      <c r="E15" s="65"/>
      <c r="F15" s="63"/>
      <c r="G15" s="66"/>
      <c r="H15" s="65"/>
      <c r="I15" s="63"/>
      <c r="J15" s="66"/>
    </row>
    <row r="16" spans="1:18">
      <c r="A16" s="125" t="s">
        <v>196</v>
      </c>
      <c r="B16" s="65" t="s">
        <v>197</v>
      </c>
      <c r="C16" s="63" t="s">
        <v>172</v>
      </c>
      <c r="D16" s="66">
        <v>2027</v>
      </c>
      <c r="E16" s="65"/>
      <c r="F16" s="63"/>
      <c r="G16" s="66"/>
      <c r="H16" s="65"/>
      <c r="I16" s="63"/>
      <c r="J16" s="66"/>
    </row>
    <row r="17" spans="1:10">
      <c r="A17" s="125" t="s">
        <v>196</v>
      </c>
      <c r="B17" s="65" t="s">
        <v>198</v>
      </c>
      <c r="C17" s="63" t="s">
        <v>172</v>
      </c>
      <c r="D17" s="66">
        <v>2027</v>
      </c>
      <c r="E17" s="65"/>
      <c r="F17" s="63"/>
      <c r="G17" s="66"/>
      <c r="H17" s="65"/>
      <c r="I17" s="63"/>
      <c r="J17" s="66"/>
    </row>
    <row r="18" spans="1:10">
      <c r="A18" s="125" t="s">
        <v>196</v>
      </c>
      <c r="B18" s="65" t="s">
        <v>199</v>
      </c>
      <c r="C18" s="63" t="s">
        <v>200</v>
      </c>
      <c r="D18" s="66" t="s">
        <v>191</v>
      </c>
      <c r="E18" s="65"/>
      <c r="F18" s="63"/>
      <c r="G18" s="66"/>
      <c r="H18" s="65"/>
      <c r="I18" s="63"/>
      <c r="J18" s="66"/>
    </row>
    <row r="19" spans="1:10">
      <c r="A19" s="125" t="s">
        <v>196</v>
      </c>
      <c r="B19" s="65" t="s">
        <v>201</v>
      </c>
      <c r="C19" s="63" t="s">
        <v>202</v>
      </c>
      <c r="D19" s="66" t="s">
        <v>191</v>
      </c>
      <c r="E19" s="65"/>
      <c r="F19" s="63"/>
      <c r="G19" s="66"/>
      <c r="H19" s="65"/>
      <c r="I19" s="63"/>
      <c r="J19" s="66"/>
    </row>
    <row r="20" spans="1:10">
      <c r="A20" s="125" t="s">
        <v>58</v>
      </c>
      <c r="B20" s="65" t="s">
        <v>203</v>
      </c>
      <c r="C20" s="63" t="s">
        <v>172</v>
      </c>
      <c r="D20" s="66">
        <v>2024</v>
      </c>
      <c r="E20" s="65"/>
      <c r="F20" s="63"/>
      <c r="G20" s="66"/>
      <c r="H20" s="65"/>
      <c r="I20" s="63"/>
      <c r="J20" s="66"/>
    </row>
    <row r="21" spans="1:10">
      <c r="A21" s="125" t="s">
        <v>204</v>
      </c>
      <c r="B21" s="65" t="s">
        <v>205</v>
      </c>
      <c r="C21" s="63" t="s">
        <v>172</v>
      </c>
      <c r="D21" s="66" t="s">
        <v>191</v>
      </c>
      <c r="E21" s="65"/>
      <c r="F21" s="63"/>
      <c r="G21" s="66"/>
      <c r="H21" s="65"/>
      <c r="I21" s="63"/>
      <c r="J21" s="66"/>
    </row>
    <row r="22" spans="1:10">
      <c r="A22" s="125" t="s">
        <v>89</v>
      </c>
      <c r="B22" s="65" t="s">
        <v>206</v>
      </c>
      <c r="C22" s="63" t="s">
        <v>172</v>
      </c>
      <c r="D22" s="66" t="s">
        <v>191</v>
      </c>
      <c r="E22" s="65"/>
      <c r="F22" s="63"/>
      <c r="G22" s="66"/>
      <c r="H22" s="65"/>
      <c r="I22" s="63"/>
      <c r="J22" s="66"/>
    </row>
    <row r="23" spans="1:10">
      <c r="A23" s="125" t="s">
        <v>40</v>
      </c>
      <c r="B23" s="65" t="s">
        <v>207</v>
      </c>
      <c r="C23" s="63" t="s">
        <v>172</v>
      </c>
      <c r="D23" s="66">
        <v>2028</v>
      </c>
      <c r="E23" s="65"/>
      <c r="F23" s="63"/>
      <c r="G23" s="66"/>
      <c r="H23" s="65"/>
      <c r="I23" s="63"/>
      <c r="J23" s="66"/>
    </row>
    <row r="24" spans="1:10">
      <c r="A24" s="125" t="s">
        <v>45</v>
      </c>
      <c r="B24" s="65" t="s">
        <v>203</v>
      </c>
      <c r="C24" s="63" t="s">
        <v>172</v>
      </c>
      <c r="D24" s="66">
        <v>2024</v>
      </c>
      <c r="E24" s="65"/>
      <c r="F24" s="63"/>
      <c r="G24" s="66"/>
      <c r="H24" s="65"/>
      <c r="I24" s="63"/>
      <c r="J24" s="66"/>
    </row>
    <row r="25" spans="1:10">
      <c r="A25" s="125" t="s">
        <v>46</v>
      </c>
      <c r="B25" s="65" t="s">
        <v>203</v>
      </c>
      <c r="C25" s="63" t="s">
        <v>172</v>
      </c>
      <c r="D25" s="66">
        <v>2023</v>
      </c>
      <c r="E25" s="65"/>
      <c r="F25" s="63"/>
      <c r="G25" s="66"/>
      <c r="H25" s="65"/>
      <c r="I25" s="63"/>
      <c r="J25" s="66"/>
    </row>
    <row r="26" spans="1:10">
      <c r="A26" s="150" t="s">
        <v>208</v>
      </c>
      <c r="B26" s="65" t="s">
        <v>209</v>
      </c>
      <c r="C26" s="63" t="s">
        <v>172</v>
      </c>
      <c r="D26" s="66">
        <v>2026</v>
      </c>
      <c r="E26" s="65" t="s">
        <v>210</v>
      </c>
      <c r="F26" s="63" t="s">
        <v>211</v>
      </c>
      <c r="G26" s="66">
        <v>2029</v>
      </c>
      <c r="H26" s="65"/>
      <c r="I26" s="63"/>
      <c r="J26" s="66"/>
    </row>
    <row r="27" spans="1:10" ht="15" thickBot="1">
      <c r="A27" s="126" t="s">
        <v>212</v>
      </c>
      <c r="B27" s="65" t="s">
        <v>213</v>
      </c>
      <c r="C27" s="63" t="s">
        <v>214</v>
      </c>
      <c r="D27" s="66">
        <v>2028</v>
      </c>
      <c r="E27" s="87" t="s">
        <v>215</v>
      </c>
      <c r="F27" s="89" t="s">
        <v>211</v>
      </c>
      <c r="G27" s="91"/>
      <c r="H27" s="65"/>
      <c r="I27" s="63"/>
      <c r="J27" s="66"/>
    </row>
    <row r="28" spans="1:10">
      <c r="A28" s="132" t="s">
        <v>216</v>
      </c>
      <c r="B28" s="99" t="s">
        <v>217</v>
      </c>
      <c r="C28" s="100" t="s">
        <v>172</v>
      </c>
      <c r="D28" s="101">
        <v>2023</v>
      </c>
      <c r="E28" s="99" t="s">
        <v>218</v>
      </c>
      <c r="F28" s="100" t="s">
        <v>219</v>
      </c>
      <c r="G28" s="102">
        <v>2028</v>
      </c>
      <c r="H28" s="115" t="s">
        <v>220</v>
      </c>
      <c r="I28" s="100" t="s">
        <v>221</v>
      </c>
      <c r="J28" s="102">
        <v>2028</v>
      </c>
    </row>
    <row r="29" spans="1:10">
      <c r="A29" s="129" t="s">
        <v>216</v>
      </c>
      <c r="B29" s="65" t="s">
        <v>222</v>
      </c>
      <c r="C29" s="63" t="s">
        <v>223</v>
      </c>
      <c r="D29" s="64">
        <v>2026</v>
      </c>
      <c r="E29" s="65" t="s">
        <v>224</v>
      </c>
      <c r="F29" s="63" t="s">
        <v>219</v>
      </c>
      <c r="G29" s="66">
        <v>2035</v>
      </c>
      <c r="H29" s="62" t="s">
        <v>225</v>
      </c>
      <c r="I29" s="63" t="s">
        <v>221</v>
      </c>
      <c r="J29" s="66">
        <v>2032</v>
      </c>
    </row>
    <row r="30" spans="1:10">
      <c r="A30" s="129" t="s">
        <v>216</v>
      </c>
      <c r="B30" s="65" t="s">
        <v>226</v>
      </c>
      <c r="C30" s="63" t="s">
        <v>227</v>
      </c>
      <c r="D30" s="64" t="s">
        <v>191</v>
      </c>
      <c r="E30" s="84" t="s">
        <v>228</v>
      </c>
      <c r="F30" s="85" t="s">
        <v>219</v>
      </c>
      <c r="G30" s="86">
        <v>2028</v>
      </c>
      <c r="H30" s="62"/>
      <c r="I30" s="63"/>
      <c r="J30" s="66"/>
    </row>
    <row r="31" spans="1:10">
      <c r="A31" s="129" t="s">
        <v>229</v>
      </c>
      <c r="B31" s="65" t="s">
        <v>230</v>
      </c>
      <c r="C31" s="63" t="s">
        <v>172</v>
      </c>
      <c r="D31" s="64">
        <v>2026</v>
      </c>
      <c r="E31" s="65" t="s">
        <v>231</v>
      </c>
      <c r="F31" s="63" t="s">
        <v>219</v>
      </c>
      <c r="G31" s="66">
        <v>2028</v>
      </c>
      <c r="H31" s="119"/>
      <c r="I31" s="85"/>
      <c r="J31" s="86"/>
    </row>
    <row r="32" spans="1:10">
      <c r="A32" s="129" t="s">
        <v>229</v>
      </c>
      <c r="B32" s="65" t="s">
        <v>232</v>
      </c>
      <c r="C32" s="63" t="s">
        <v>172</v>
      </c>
      <c r="D32" s="64">
        <v>2025</v>
      </c>
      <c r="E32" s="84" t="s">
        <v>233</v>
      </c>
      <c r="F32" s="85" t="s">
        <v>219</v>
      </c>
      <c r="G32" s="86">
        <v>2029</v>
      </c>
      <c r="H32" s="119"/>
      <c r="I32" s="85"/>
      <c r="J32" s="86"/>
    </row>
    <row r="33" spans="1:10">
      <c r="A33" s="129" t="s">
        <v>229</v>
      </c>
      <c r="B33" s="65" t="s">
        <v>234</v>
      </c>
      <c r="C33" s="63" t="s">
        <v>235</v>
      </c>
      <c r="D33" s="64" t="s">
        <v>191</v>
      </c>
      <c r="E33" s="84"/>
      <c r="F33" s="85"/>
      <c r="G33" s="86"/>
      <c r="H33" s="119"/>
      <c r="I33" s="85"/>
      <c r="J33" s="86"/>
    </row>
    <row r="34" spans="1:10">
      <c r="A34" s="129" t="s">
        <v>236</v>
      </c>
      <c r="B34" s="65" t="s">
        <v>237</v>
      </c>
      <c r="C34" s="63" t="s">
        <v>172</v>
      </c>
      <c r="D34" s="64">
        <v>2026</v>
      </c>
      <c r="E34" s="84"/>
      <c r="F34" s="85"/>
      <c r="G34" s="86"/>
      <c r="H34" s="119"/>
      <c r="I34" s="85"/>
      <c r="J34" s="86"/>
    </row>
    <row r="35" spans="1:10">
      <c r="A35" s="129" t="s">
        <v>236</v>
      </c>
      <c r="B35" s="65" t="s">
        <v>238</v>
      </c>
      <c r="C35" s="63" t="s">
        <v>172</v>
      </c>
      <c r="D35" s="64">
        <v>2027</v>
      </c>
      <c r="E35" s="84"/>
      <c r="F35" s="85"/>
      <c r="G35" s="86"/>
      <c r="H35" s="119"/>
      <c r="I35" s="85"/>
      <c r="J35" s="86"/>
    </row>
    <row r="36" spans="1:10">
      <c r="A36" s="129" t="s">
        <v>236</v>
      </c>
      <c r="B36" s="65" t="s">
        <v>239</v>
      </c>
      <c r="C36" s="63" t="s">
        <v>172</v>
      </c>
      <c r="D36" s="64">
        <v>2026</v>
      </c>
      <c r="E36" s="84"/>
      <c r="F36" s="85"/>
      <c r="G36" s="86"/>
      <c r="H36" s="119"/>
      <c r="I36" s="85"/>
      <c r="J36" s="86"/>
    </row>
    <row r="37" spans="1:10">
      <c r="A37" s="129" t="s">
        <v>236</v>
      </c>
      <c r="B37" s="65" t="s">
        <v>240</v>
      </c>
      <c r="C37" s="63" t="s">
        <v>241</v>
      </c>
      <c r="D37" s="64">
        <v>2028</v>
      </c>
      <c r="E37" s="84"/>
      <c r="F37" s="85"/>
      <c r="G37" s="86"/>
      <c r="H37" s="62"/>
      <c r="I37" s="63"/>
      <c r="J37" s="66"/>
    </row>
    <row r="38" spans="1:10">
      <c r="A38" s="129" t="s">
        <v>43</v>
      </c>
      <c r="B38" s="65" t="s">
        <v>242</v>
      </c>
      <c r="C38" s="63" t="s">
        <v>243</v>
      </c>
      <c r="D38" s="64">
        <v>2027</v>
      </c>
      <c r="E38" s="65"/>
      <c r="F38" s="63"/>
      <c r="G38" s="66"/>
      <c r="H38" s="62"/>
      <c r="I38" s="63"/>
      <c r="J38" s="66"/>
    </row>
    <row r="39" spans="1:10">
      <c r="A39" s="129" t="s">
        <v>244</v>
      </c>
      <c r="B39" s="65" t="s">
        <v>245</v>
      </c>
      <c r="C39" s="63" t="s">
        <v>172</v>
      </c>
      <c r="D39" s="64">
        <v>2027</v>
      </c>
      <c r="E39" s="65"/>
      <c r="F39" s="63"/>
      <c r="G39" s="66"/>
      <c r="H39" s="62"/>
      <c r="I39" s="63"/>
      <c r="J39" s="66"/>
    </row>
    <row r="40" spans="1:10">
      <c r="A40" s="129" t="s">
        <v>244</v>
      </c>
      <c r="B40" s="65" t="s">
        <v>246</v>
      </c>
      <c r="C40" s="63" t="s">
        <v>172</v>
      </c>
      <c r="D40" s="64">
        <v>2027</v>
      </c>
      <c r="E40" s="65"/>
      <c r="F40" s="63"/>
      <c r="G40" s="66"/>
      <c r="H40" s="62"/>
      <c r="I40" s="63"/>
      <c r="J40" s="66"/>
    </row>
    <row r="41" spans="1:10">
      <c r="A41" s="129" t="s">
        <v>247</v>
      </c>
      <c r="B41" s="65" t="s">
        <v>248</v>
      </c>
      <c r="C41" s="63" t="s">
        <v>172</v>
      </c>
      <c r="D41" s="64">
        <v>2027</v>
      </c>
      <c r="E41" s="65"/>
      <c r="F41" s="63"/>
      <c r="G41" s="66"/>
      <c r="H41" s="62"/>
      <c r="I41" s="63"/>
      <c r="J41" s="66"/>
    </row>
    <row r="42" spans="1:10">
      <c r="A42" s="129" t="s">
        <v>247</v>
      </c>
      <c r="B42" s="65" t="s">
        <v>249</v>
      </c>
      <c r="C42" s="63" t="s">
        <v>250</v>
      </c>
      <c r="D42" s="64" t="s">
        <v>191</v>
      </c>
      <c r="E42" s="65"/>
      <c r="F42" s="63"/>
      <c r="G42" s="66"/>
      <c r="H42" s="62"/>
      <c r="I42" s="63"/>
      <c r="J42" s="66"/>
    </row>
    <row r="43" spans="1:10">
      <c r="A43" s="129" t="s">
        <v>251</v>
      </c>
      <c r="B43" s="65" t="s">
        <v>252</v>
      </c>
      <c r="C43" s="63" t="s">
        <v>172</v>
      </c>
      <c r="D43" s="64">
        <v>2026</v>
      </c>
      <c r="E43" s="65"/>
      <c r="F43" s="63"/>
      <c r="G43" s="66"/>
      <c r="H43" s="62"/>
      <c r="I43" s="63"/>
      <c r="J43" s="66"/>
    </row>
    <row r="44" spans="1:10">
      <c r="A44" s="129" t="s">
        <v>251</v>
      </c>
      <c r="B44" s="65" t="s">
        <v>253</v>
      </c>
      <c r="C44" s="63" t="s">
        <v>172</v>
      </c>
      <c r="D44" s="64">
        <v>2026</v>
      </c>
      <c r="E44" s="65"/>
      <c r="F44" s="63"/>
      <c r="G44" s="66"/>
      <c r="H44" s="62"/>
      <c r="I44" s="63"/>
      <c r="J44" s="66"/>
    </row>
    <row r="45" spans="1:10">
      <c r="A45" s="129" t="s">
        <v>251</v>
      </c>
      <c r="B45" s="65" t="s">
        <v>254</v>
      </c>
      <c r="C45" s="63" t="s">
        <v>255</v>
      </c>
      <c r="D45" s="64">
        <v>2034</v>
      </c>
      <c r="E45" s="65"/>
      <c r="F45" s="63"/>
      <c r="G45" s="66"/>
      <c r="H45" s="62"/>
      <c r="I45" s="63"/>
      <c r="J45" s="66"/>
    </row>
    <row r="46" spans="1:10">
      <c r="A46" s="129" t="s">
        <v>90</v>
      </c>
      <c r="B46" s="65" t="s">
        <v>256</v>
      </c>
      <c r="C46" s="63" t="s">
        <v>172</v>
      </c>
      <c r="D46" s="64" t="s">
        <v>191</v>
      </c>
      <c r="E46" s="65"/>
      <c r="F46" s="63"/>
      <c r="G46" s="66"/>
      <c r="H46" s="62"/>
      <c r="I46" s="63"/>
      <c r="J46" s="66"/>
    </row>
    <row r="47" spans="1:10" ht="15" thickBot="1">
      <c r="A47" s="133" t="s">
        <v>84</v>
      </c>
      <c r="B47" s="71" t="s">
        <v>257</v>
      </c>
      <c r="C47" s="73" t="s">
        <v>172</v>
      </c>
      <c r="D47" s="74">
        <v>2025</v>
      </c>
      <c r="E47" s="71"/>
      <c r="F47" s="73"/>
      <c r="G47" s="75"/>
      <c r="H47" s="72"/>
      <c r="I47" s="73"/>
      <c r="J47" s="75"/>
    </row>
    <row r="48" spans="1:10">
      <c r="A48" s="132" t="s">
        <v>83</v>
      </c>
      <c r="B48" s="99" t="s">
        <v>258</v>
      </c>
      <c r="C48" s="100" t="s">
        <v>172</v>
      </c>
      <c r="D48" s="101">
        <v>2026</v>
      </c>
      <c r="E48" s="97" t="s">
        <v>259</v>
      </c>
      <c r="F48" s="96" t="s">
        <v>260</v>
      </c>
      <c r="G48" s="98">
        <v>2032</v>
      </c>
      <c r="H48" s="115" t="s">
        <v>261</v>
      </c>
      <c r="I48" s="100" t="s">
        <v>262</v>
      </c>
      <c r="J48" s="102">
        <v>2026</v>
      </c>
    </row>
    <row r="49" spans="1:10">
      <c r="A49" s="129" t="s">
        <v>67</v>
      </c>
      <c r="B49" s="65" t="s">
        <v>263</v>
      </c>
      <c r="C49" s="63" t="s">
        <v>172</v>
      </c>
      <c r="D49" s="64">
        <v>2026</v>
      </c>
      <c r="E49" s="84" t="s">
        <v>264</v>
      </c>
      <c r="F49" s="85" t="s">
        <v>260</v>
      </c>
      <c r="G49" s="86">
        <v>2032</v>
      </c>
      <c r="H49" s="62" t="s">
        <v>265</v>
      </c>
      <c r="I49" s="63" t="s">
        <v>262</v>
      </c>
      <c r="J49" s="66">
        <v>2032</v>
      </c>
    </row>
    <row r="50" spans="1:10">
      <c r="A50" s="129" t="s">
        <v>67</v>
      </c>
      <c r="B50" s="65" t="s">
        <v>266</v>
      </c>
      <c r="C50" s="63" t="s">
        <v>267</v>
      </c>
      <c r="D50" s="64" t="s">
        <v>191</v>
      </c>
      <c r="E50" s="65" t="s">
        <v>268</v>
      </c>
      <c r="F50" s="63" t="s">
        <v>269</v>
      </c>
      <c r="G50" s="66">
        <v>2035</v>
      </c>
      <c r="H50" s="62"/>
      <c r="I50" s="63"/>
      <c r="J50" s="66"/>
    </row>
    <row r="51" spans="1:10">
      <c r="A51" s="129" t="s">
        <v>270</v>
      </c>
      <c r="B51" s="65" t="s">
        <v>271</v>
      </c>
      <c r="C51" s="63" t="s">
        <v>172</v>
      </c>
      <c r="D51" s="64">
        <v>2027</v>
      </c>
      <c r="E51" s="97" t="s">
        <v>272</v>
      </c>
      <c r="F51" s="96" t="s">
        <v>260</v>
      </c>
      <c r="G51" s="98">
        <v>2026</v>
      </c>
      <c r="H51" s="119"/>
      <c r="I51" s="85"/>
      <c r="J51" s="86"/>
    </row>
    <row r="52" spans="1:10">
      <c r="A52" s="129" t="s">
        <v>270</v>
      </c>
      <c r="B52" s="65" t="s">
        <v>273</v>
      </c>
      <c r="C52" s="63" t="s">
        <v>274</v>
      </c>
      <c r="D52" s="64" t="s">
        <v>191</v>
      </c>
      <c r="E52" s="84"/>
      <c r="F52" s="85"/>
      <c r="G52" s="86"/>
      <c r="H52" s="119"/>
      <c r="I52" s="85"/>
      <c r="J52" s="86"/>
    </row>
    <row r="53" spans="1:10">
      <c r="A53" s="129" t="s">
        <v>270</v>
      </c>
      <c r="B53" s="65" t="s">
        <v>275</v>
      </c>
      <c r="C53" s="63" t="s">
        <v>276</v>
      </c>
      <c r="D53" s="64" t="s">
        <v>191</v>
      </c>
      <c r="E53" s="84"/>
      <c r="F53" s="85"/>
      <c r="G53" s="86"/>
      <c r="H53" s="119"/>
      <c r="I53" s="85"/>
      <c r="J53" s="86"/>
    </row>
    <row r="54" spans="1:10">
      <c r="A54" s="129" t="s">
        <v>80</v>
      </c>
      <c r="B54" s="65" t="s">
        <v>277</v>
      </c>
      <c r="C54" s="63" t="s">
        <v>172</v>
      </c>
      <c r="D54" s="64">
        <v>2030</v>
      </c>
      <c r="E54" s="84"/>
      <c r="F54" s="85"/>
      <c r="G54" s="86"/>
      <c r="H54" s="119"/>
      <c r="I54" s="85"/>
      <c r="J54" s="86"/>
    </row>
    <row r="55" spans="1:10">
      <c r="A55" s="129" t="s">
        <v>80</v>
      </c>
      <c r="B55" s="65" t="s">
        <v>278</v>
      </c>
      <c r="C55" s="63" t="s">
        <v>279</v>
      </c>
      <c r="D55" s="64">
        <v>2028</v>
      </c>
      <c r="E55" s="87"/>
      <c r="F55" s="89"/>
      <c r="G55" s="91"/>
      <c r="H55" s="88"/>
      <c r="I55" s="89"/>
      <c r="J55" s="91"/>
    </row>
    <row r="56" spans="1:10">
      <c r="A56" s="129" t="s">
        <v>80</v>
      </c>
      <c r="B56" s="65" t="s">
        <v>280</v>
      </c>
      <c r="C56" s="63" t="s">
        <v>281</v>
      </c>
      <c r="D56" s="64" t="s">
        <v>191</v>
      </c>
      <c r="E56" s="87"/>
      <c r="F56" s="89"/>
      <c r="G56" s="91"/>
      <c r="H56" s="88"/>
      <c r="I56" s="89"/>
      <c r="J56" s="91"/>
    </row>
    <row r="57" spans="1:10">
      <c r="A57" s="129" t="s">
        <v>82</v>
      </c>
      <c r="B57" s="65" t="s">
        <v>282</v>
      </c>
      <c r="C57" s="63" t="s">
        <v>172</v>
      </c>
      <c r="D57" s="64">
        <v>2028</v>
      </c>
      <c r="E57" s="87"/>
      <c r="F57" s="89"/>
      <c r="G57" s="91"/>
      <c r="H57" s="88"/>
      <c r="I57" s="89"/>
      <c r="J57" s="91"/>
    </row>
    <row r="58" spans="1:10">
      <c r="A58" s="129" t="s">
        <v>82</v>
      </c>
      <c r="B58" s="65" t="s">
        <v>283</v>
      </c>
      <c r="C58" s="63" t="s">
        <v>284</v>
      </c>
      <c r="D58" s="64" t="s">
        <v>191</v>
      </c>
      <c r="E58" s="65"/>
      <c r="F58" s="63"/>
      <c r="G58" s="66"/>
      <c r="H58" s="62"/>
      <c r="I58" s="63"/>
      <c r="J58" s="66"/>
    </row>
    <row r="59" spans="1:10">
      <c r="A59" s="129" t="s">
        <v>285</v>
      </c>
      <c r="B59" s="65" t="s">
        <v>286</v>
      </c>
      <c r="C59" s="63" t="s">
        <v>172</v>
      </c>
      <c r="D59" s="64" t="s">
        <v>191</v>
      </c>
      <c r="E59" s="84"/>
      <c r="F59" s="85"/>
      <c r="G59" s="86"/>
      <c r="H59" s="119"/>
      <c r="I59" s="85"/>
      <c r="J59" s="86"/>
    </row>
    <row r="60" spans="1:10">
      <c r="A60" s="129" t="s">
        <v>88</v>
      </c>
      <c r="B60" s="65" t="s">
        <v>287</v>
      </c>
      <c r="C60" s="63" t="s">
        <v>172</v>
      </c>
      <c r="D60" s="64" t="s">
        <v>191</v>
      </c>
      <c r="E60" s="84"/>
      <c r="F60" s="85"/>
      <c r="G60" s="86"/>
      <c r="H60" s="119"/>
      <c r="I60" s="85"/>
      <c r="J60" s="86"/>
    </row>
    <row r="61" spans="1:10" ht="15" thickBot="1">
      <c r="A61" s="133" t="s">
        <v>35</v>
      </c>
      <c r="B61" s="117" t="s">
        <v>288</v>
      </c>
      <c r="C61" s="73" t="s">
        <v>172</v>
      </c>
      <c r="D61" s="74">
        <v>2026</v>
      </c>
      <c r="E61" s="71" t="s">
        <v>289</v>
      </c>
      <c r="F61" s="73" t="s">
        <v>290</v>
      </c>
      <c r="G61" s="75"/>
      <c r="H61" s="72"/>
      <c r="I61" s="73"/>
      <c r="J61" s="75"/>
    </row>
    <row r="62" spans="1:10">
      <c r="A62" s="132" t="s">
        <v>32</v>
      </c>
      <c r="B62" s="99" t="s">
        <v>291</v>
      </c>
      <c r="C62" s="100" t="s">
        <v>172</v>
      </c>
      <c r="D62" s="102">
        <v>2023</v>
      </c>
      <c r="E62" s="99" t="s">
        <v>292</v>
      </c>
      <c r="F62" s="100" t="s">
        <v>293</v>
      </c>
      <c r="G62" s="102">
        <v>2027</v>
      </c>
      <c r="H62" s="99"/>
      <c r="I62" s="100"/>
      <c r="J62" s="102"/>
    </row>
    <row r="63" spans="1:10">
      <c r="A63" s="145" t="s">
        <v>294</v>
      </c>
      <c r="B63" s="97" t="s">
        <v>295</v>
      </c>
      <c r="C63" s="96" t="s">
        <v>296</v>
      </c>
      <c r="D63" s="98">
        <v>2026</v>
      </c>
      <c r="E63" s="65" t="s">
        <v>297</v>
      </c>
      <c r="F63" s="63" t="s">
        <v>298</v>
      </c>
      <c r="G63" s="66">
        <v>2030</v>
      </c>
      <c r="H63" s="97"/>
      <c r="I63" s="96"/>
      <c r="J63" s="98"/>
    </row>
    <row r="64" spans="1:10">
      <c r="A64" s="129" t="s">
        <v>299</v>
      </c>
      <c r="B64" s="65" t="s">
        <v>300</v>
      </c>
      <c r="C64" s="63" t="s">
        <v>172</v>
      </c>
      <c r="D64" s="66">
        <v>2026</v>
      </c>
      <c r="E64" s="97" t="s">
        <v>301</v>
      </c>
      <c r="F64" s="96" t="s">
        <v>302</v>
      </c>
      <c r="G64" s="98">
        <v>2030</v>
      </c>
      <c r="H64" s="65"/>
      <c r="I64" s="63"/>
      <c r="J64" s="66"/>
    </row>
    <row r="65" spans="1:10">
      <c r="A65" s="129" t="s">
        <v>303</v>
      </c>
      <c r="B65" s="65" t="s">
        <v>304</v>
      </c>
      <c r="C65" s="63" t="s">
        <v>172</v>
      </c>
      <c r="D65" s="66">
        <v>2029</v>
      </c>
      <c r="E65" s="65" t="s">
        <v>305</v>
      </c>
      <c r="F65" s="63" t="s">
        <v>306</v>
      </c>
      <c r="G65" s="66">
        <v>2025</v>
      </c>
      <c r="H65" s="65"/>
      <c r="I65" s="63"/>
      <c r="J65" s="66"/>
    </row>
    <row r="66" spans="1:10">
      <c r="A66" s="125" t="s">
        <v>307</v>
      </c>
      <c r="B66" s="65" t="s">
        <v>308</v>
      </c>
      <c r="C66" s="63" t="s">
        <v>309</v>
      </c>
      <c r="D66" s="66">
        <v>2027</v>
      </c>
      <c r="E66" s="65" t="s">
        <v>310</v>
      </c>
      <c r="F66" s="63" t="s">
        <v>311</v>
      </c>
      <c r="G66" s="66">
        <v>2035</v>
      </c>
      <c r="H66" s="65"/>
      <c r="I66" s="63"/>
      <c r="J66" s="66"/>
    </row>
    <row r="67" spans="1:10">
      <c r="A67" s="129" t="s">
        <v>307</v>
      </c>
      <c r="B67" s="65" t="s">
        <v>312</v>
      </c>
      <c r="C67" s="63" t="s">
        <v>309</v>
      </c>
      <c r="D67" s="66">
        <v>2034</v>
      </c>
      <c r="E67" s="65" t="s">
        <v>313</v>
      </c>
      <c r="F67" s="63" t="s">
        <v>314</v>
      </c>
      <c r="G67" s="66">
        <v>2026</v>
      </c>
      <c r="H67" s="65"/>
      <c r="I67" s="63"/>
      <c r="J67" s="66"/>
    </row>
    <row r="68" spans="1:10">
      <c r="A68" s="129" t="s">
        <v>307</v>
      </c>
      <c r="B68" s="65" t="s">
        <v>315</v>
      </c>
      <c r="C68" s="63" t="s">
        <v>316</v>
      </c>
      <c r="D68" s="91" t="s">
        <v>191</v>
      </c>
      <c r="E68" s="65" t="s">
        <v>317</v>
      </c>
      <c r="F68" s="63" t="s">
        <v>318</v>
      </c>
      <c r="G68" s="66">
        <v>2035</v>
      </c>
      <c r="H68" s="65"/>
      <c r="I68" s="63"/>
      <c r="J68" s="66"/>
    </row>
    <row r="69" spans="1:10">
      <c r="A69" s="129" t="s">
        <v>87</v>
      </c>
      <c r="B69" s="87" t="s">
        <v>319</v>
      </c>
      <c r="C69" s="63" t="s">
        <v>172</v>
      </c>
      <c r="D69" s="91">
        <v>2025</v>
      </c>
      <c r="E69" s="65" t="s">
        <v>320</v>
      </c>
      <c r="F69" s="63" t="s">
        <v>318</v>
      </c>
      <c r="G69" s="66">
        <v>2035</v>
      </c>
      <c r="H69" s="65"/>
      <c r="I69" s="63"/>
      <c r="J69" s="66"/>
    </row>
    <row r="70" spans="1:10" ht="15" thickBot="1">
      <c r="A70" s="133" t="s">
        <v>30</v>
      </c>
      <c r="B70" s="71" t="s">
        <v>321</v>
      </c>
      <c r="C70" s="73" t="s">
        <v>172</v>
      </c>
      <c r="D70" s="75">
        <v>2026</v>
      </c>
      <c r="E70" s="71"/>
      <c r="F70" s="73"/>
      <c r="G70" s="75"/>
      <c r="H70" s="71"/>
      <c r="I70" s="73"/>
      <c r="J70" s="75"/>
    </row>
    <row r="71" spans="1:10">
      <c r="A71" s="146" t="s">
        <v>322</v>
      </c>
      <c r="B71" s="227"/>
      <c r="C71" s="89" t="s">
        <v>172</v>
      </c>
      <c r="D71" s="91">
        <v>2027</v>
      </c>
      <c r="E71" s="65"/>
      <c r="F71" s="63"/>
      <c r="G71" s="66"/>
      <c r="H71" s="65"/>
      <c r="I71" s="63"/>
      <c r="J71" s="66"/>
    </row>
    <row r="72" spans="1:10" ht="15" thickBot="1">
      <c r="A72" s="147" t="s">
        <v>323</v>
      </c>
      <c r="B72" s="228"/>
      <c r="C72" s="73" t="s">
        <v>172</v>
      </c>
      <c r="D72" s="75">
        <v>2026</v>
      </c>
      <c r="E72" s="71"/>
      <c r="F72" s="73"/>
      <c r="G72" s="75"/>
      <c r="H72" s="71"/>
      <c r="I72" s="73"/>
      <c r="J72" s="75"/>
    </row>
    <row r="78" spans="1:10">
      <c r="E78" s="52"/>
      <c r="F78" s="52"/>
      <c r="G78" s="83"/>
      <c r="H78" s="52"/>
      <c r="I78" s="52"/>
      <c r="J78" s="83"/>
    </row>
    <row r="79" spans="1:10" ht="15" thickBot="1">
      <c r="A79" s="37" t="s">
        <v>324</v>
      </c>
      <c r="E79" s="52"/>
      <c r="F79" s="52"/>
      <c r="G79" s="83"/>
      <c r="H79" s="52"/>
      <c r="I79" s="52"/>
      <c r="J79" s="83"/>
    </row>
    <row r="80" spans="1:10" s="48" customFormat="1" ht="15" thickBot="1">
      <c r="A80" s="118" t="s">
        <v>164</v>
      </c>
      <c r="B80" s="92" t="s">
        <v>165</v>
      </c>
      <c r="C80" s="93" t="s">
        <v>166</v>
      </c>
      <c r="D80" s="94" t="s">
        <v>167</v>
      </c>
      <c r="E80" s="104" t="s">
        <v>168</v>
      </c>
      <c r="F80" s="105" t="s">
        <v>166</v>
      </c>
      <c r="G80" s="106" t="s">
        <v>167</v>
      </c>
      <c r="H80" s="92" t="s">
        <v>169</v>
      </c>
      <c r="I80" s="93" t="s">
        <v>166</v>
      </c>
      <c r="J80" s="94" t="s">
        <v>167</v>
      </c>
    </row>
    <row r="81" spans="1:10">
      <c r="A81" s="130" t="s">
        <v>170</v>
      </c>
      <c r="B81" s="99" t="s">
        <v>171</v>
      </c>
      <c r="C81" s="100" t="s">
        <v>172</v>
      </c>
      <c r="D81" s="102">
        <v>2023</v>
      </c>
      <c r="E81" s="99" t="s">
        <v>173</v>
      </c>
      <c r="F81" s="100" t="s">
        <v>174</v>
      </c>
      <c r="G81" s="102">
        <v>2031</v>
      </c>
      <c r="H81" s="99" t="s">
        <v>175</v>
      </c>
      <c r="I81" s="100" t="s">
        <v>176</v>
      </c>
      <c r="J81" s="102">
        <v>2028</v>
      </c>
    </row>
    <row r="82" spans="1:10">
      <c r="A82" s="125" t="s">
        <v>170</v>
      </c>
      <c r="B82" s="65" t="s">
        <v>177</v>
      </c>
      <c r="C82" s="63" t="s">
        <v>172</v>
      </c>
      <c r="D82" s="66">
        <v>2023</v>
      </c>
      <c r="E82" s="65" t="s">
        <v>178</v>
      </c>
      <c r="F82" s="63" t="s">
        <v>174</v>
      </c>
      <c r="G82" s="66">
        <v>2031</v>
      </c>
      <c r="H82" s="65"/>
      <c r="I82" s="63"/>
      <c r="J82" s="66"/>
    </row>
    <row r="83" spans="1:10">
      <c r="A83" s="125" t="s">
        <v>170</v>
      </c>
      <c r="B83" s="65" t="s">
        <v>179</v>
      </c>
      <c r="C83" s="63" t="s">
        <v>180</v>
      </c>
      <c r="D83" s="66">
        <v>2026</v>
      </c>
      <c r="E83" s="65"/>
      <c r="F83" s="63"/>
      <c r="G83" s="66"/>
      <c r="H83" s="65"/>
      <c r="I83" s="63"/>
      <c r="J83" s="66"/>
    </row>
    <row r="84" spans="1:10">
      <c r="A84" s="125" t="s">
        <v>170</v>
      </c>
      <c r="B84" s="65" t="s">
        <v>182</v>
      </c>
      <c r="C84" s="63" t="s">
        <v>183</v>
      </c>
      <c r="D84" s="66">
        <v>2029</v>
      </c>
      <c r="E84" s="65"/>
      <c r="F84" s="63"/>
      <c r="G84" s="66"/>
      <c r="H84" s="65"/>
      <c r="I84" s="63"/>
      <c r="J84" s="66"/>
    </row>
    <row r="85" spans="1:10">
      <c r="A85" s="125" t="s">
        <v>186</v>
      </c>
      <c r="B85" s="65" t="s">
        <v>187</v>
      </c>
      <c r="C85" s="63" t="s">
        <v>172</v>
      </c>
      <c r="D85" s="66">
        <v>2029</v>
      </c>
      <c r="E85" s="65"/>
      <c r="F85" s="63"/>
      <c r="G85" s="66"/>
      <c r="H85" s="65"/>
      <c r="I85" s="63"/>
      <c r="J85" s="66"/>
    </row>
    <row r="86" spans="1:10">
      <c r="A86" s="125" t="s">
        <v>186</v>
      </c>
      <c r="B86" s="65" t="s">
        <v>188</v>
      </c>
      <c r="C86" s="63" t="s">
        <v>172</v>
      </c>
      <c r="D86" s="66">
        <v>2028</v>
      </c>
      <c r="E86" s="65"/>
      <c r="F86" s="63"/>
      <c r="G86" s="66"/>
      <c r="H86" s="65"/>
      <c r="I86" s="63"/>
      <c r="J86" s="66"/>
    </row>
    <row r="87" spans="1:10">
      <c r="A87" s="125" t="s">
        <v>63</v>
      </c>
      <c r="B87" s="65" t="s">
        <v>192</v>
      </c>
      <c r="C87" s="63" t="s">
        <v>172</v>
      </c>
      <c r="D87" s="66">
        <v>2028</v>
      </c>
      <c r="E87" s="65"/>
      <c r="F87" s="63"/>
      <c r="G87" s="66"/>
      <c r="H87" s="65"/>
      <c r="I87" s="63"/>
      <c r="J87" s="66"/>
    </row>
    <row r="88" spans="1:10">
      <c r="A88" s="125" t="s">
        <v>63</v>
      </c>
      <c r="B88" s="65" t="s">
        <v>193</v>
      </c>
      <c r="C88" s="63" t="s">
        <v>172</v>
      </c>
      <c r="D88" s="66">
        <v>2028</v>
      </c>
      <c r="E88" s="65"/>
      <c r="F88" s="63"/>
      <c r="G88" s="66"/>
      <c r="H88" s="65"/>
      <c r="I88" s="63"/>
      <c r="J88" s="66"/>
    </row>
    <row r="89" spans="1:10">
      <c r="A89" s="125" t="s">
        <v>196</v>
      </c>
      <c r="B89" s="65" t="s">
        <v>197</v>
      </c>
      <c r="C89" s="63" t="s">
        <v>172</v>
      </c>
      <c r="D89" s="66">
        <v>2028</v>
      </c>
      <c r="E89" s="65"/>
      <c r="F89" s="63"/>
      <c r="G89" s="66"/>
      <c r="H89" s="65"/>
      <c r="I89" s="63"/>
      <c r="J89" s="66"/>
    </row>
    <row r="90" spans="1:10">
      <c r="A90" s="125" t="s">
        <v>196</v>
      </c>
      <c r="B90" s="65" t="s">
        <v>198</v>
      </c>
      <c r="C90" s="63" t="s">
        <v>172</v>
      </c>
      <c r="D90" s="66">
        <v>2028</v>
      </c>
      <c r="E90" s="65"/>
      <c r="F90" s="63"/>
      <c r="G90" s="66"/>
      <c r="H90" s="65"/>
      <c r="I90" s="63"/>
      <c r="J90" s="66"/>
    </row>
    <row r="91" spans="1:10">
      <c r="A91" s="125" t="s">
        <v>196</v>
      </c>
      <c r="B91" s="65" t="s">
        <v>199</v>
      </c>
      <c r="C91" s="63" t="s">
        <v>200</v>
      </c>
      <c r="D91" s="66" t="s">
        <v>191</v>
      </c>
      <c r="E91" s="65"/>
      <c r="F91" s="63"/>
      <c r="G91" s="66"/>
      <c r="H91" s="65"/>
      <c r="I91" s="63"/>
      <c r="J91" s="66"/>
    </row>
    <row r="92" spans="1:10">
      <c r="A92" s="125" t="s">
        <v>58</v>
      </c>
      <c r="B92" s="65" t="s">
        <v>203</v>
      </c>
      <c r="C92" s="63" t="s">
        <v>172</v>
      </c>
      <c r="D92" s="66">
        <v>2024</v>
      </c>
      <c r="E92" s="65"/>
      <c r="F92" s="63"/>
      <c r="G92" s="66"/>
      <c r="H92" s="65"/>
      <c r="I92" s="63"/>
      <c r="J92" s="66"/>
    </row>
    <row r="93" spans="1:10">
      <c r="A93" s="125" t="s">
        <v>40</v>
      </c>
      <c r="B93" s="65" t="s">
        <v>207</v>
      </c>
      <c r="C93" s="63" t="s">
        <v>172</v>
      </c>
      <c r="D93" s="66">
        <v>2030</v>
      </c>
      <c r="E93" s="65"/>
      <c r="F93" s="63"/>
      <c r="G93" s="66"/>
      <c r="H93" s="65"/>
      <c r="I93" s="63"/>
      <c r="J93" s="66"/>
    </row>
    <row r="94" spans="1:10">
      <c r="A94" s="125" t="s">
        <v>45</v>
      </c>
      <c r="B94" s="65" t="s">
        <v>203</v>
      </c>
      <c r="C94" s="63" t="s">
        <v>172</v>
      </c>
      <c r="D94" s="66">
        <v>2024</v>
      </c>
      <c r="E94" s="65"/>
      <c r="F94" s="63"/>
      <c r="G94" s="66"/>
      <c r="H94" s="65"/>
      <c r="I94" s="63"/>
      <c r="J94" s="66"/>
    </row>
    <row r="95" spans="1:10">
      <c r="A95" s="125" t="s">
        <v>46</v>
      </c>
      <c r="B95" s="65" t="s">
        <v>203</v>
      </c>
      <c r="C95" s="63" t="s">
        <v>172</v>
      </c>
      <c r="D95" s="66">
        <v>2023</v>
      </c>
      <c r="E95" s="65"/>
      <c r="F95" s="63"/>
      <c r="G95" s="66"/>
      <c r="H95" s="65"/>
      <c r="I95" s="63"/>
      <c r="J95" s="66"/>
    </row>
    <row r="96" spans="1:10">
      <c r="A96" s="150" t="s">
        <v>208</v>
      </c>
      <c r="B96" s="65" t="s">
        <v>209</v>
      </c>
      <c r="C96" s="63" t="s">
        <v>172</v>
      </c>
      <c r="D96" s="66">
        <v>2027</v>
      </c>
      <c r="E96" s="65" t="s">
        <v>210</v>
      </c>
      <c r="F96" s="63" t="s">
        <v>211</v>
      </c>
      <c r="G96" s="66">
        <v>2029</v>
      </c>
      <c r="H96" s="65"/>
      <c r="I96" s="63"/>
      <c r="J96" s="66"/>
    </row>
    <row r="97" spans="1:10" ht="15" thickBot="1">
      <c r="A97" s="126" t="s">
        <v>212</v>
      </c>
      <c r="B97" s="71" t="s">
        <v>213</v>
      </c>
      <c r="C97" s="73" t="s">
        <v>214</v>
      </c>
      <c r="D97" s="75">
        <v>2029</v>
      </c>
      <c r="E97" s="71" t="s">
        <v>215</v>
      </c>
      <c r="F97" s="73" t="s">
        <v>211</v>
      </c>
      <c r="G97" s="75"/>
      <c r="H97" s="71"/>
      <c r="I97" s="73"/>
      <c r="J97" s="75"/>
    </row>
    <row r="98" spans="1:10">
      <c r="A98" s="141" t="s">
        <v>216</v>
      </c>
      <c r="B98" s="99" t="s">
        <v>217</v>
      </c>
      <c r="C98" s="100" t="s">
        <v>172</v>
      </c>
      <c r="D98" s="102">
        <v>2023</v>
      </c>
      <c r="E98" s="99" t="s">
        <v>231</v>
      </c>
      <c r="F98" s="100" t="s">
        <v>219</v>
      </c>
      <c r="G98" s="102">
        <v>2028</v>
      </c>
      <c r="H98" s="99" t="s">
        <v>220</v>
      </c>
      <c r="I98" s="100" t="s">
        <v>221</v>
      </c>
      <c r="J98" s="102">
        <v>2030</v>
      </c>
    </row>
    <row r="99" spans="1:10">
      <c r="A99" s="120" t="s">
        <v>216</v>
      </c>
      <c r="B99" s="65" t="s">
        <v>222</v>
      </c>
      <c r="C99" s="63" t="s">
        <v>223</v>
      </c>
      <c r="D99" s="66">
        <v>2026</v>
      </c>
      <c r="E99" s="65"/>
      <c r="F99" s="63"/>
      <c r="G99" s="66"/>
      <c r="H99" s="65"/>
      <c r="I99" s="63"/>
      <c r="J99" s="66"/>
    </row>
    <row r="100" spans="1:10">
      <c r="A100" s="120" t="s">
        <v>229</v>
      </c>
      <c r="B100" s="65" t="s">
        <v>230</v>
      </c>
      <c r="C100" s="63" t="s">
        <v>172</v>
      </c>
      <c r="D100" s="66">
        <v>2026</v>
      </c>
      <c r="E100" s="65"/>
      <c r="F100" s="63"/>
      <c r="G100" s="66"/>
      <c r="H100" s="65"/>
      <c r="I100" s="63"/>
      <c r="J100" s="66"/>
    </row>
    <row r="101" spans="1:10">
      <c r="A101" s="120" t="s">
        <v>229</v>
      </c>
      <c r="B101" s="65" t="s">
        <v>232</v>
      </c>
      <c r="C101" s="63" t="s">
        <v>172</v>
      </c>
      <c r="D101" s="66">
        <v>2025</v>
      </c>
      <c r="E101" s="65"/>
      <c r="F101" s="63"/>
      <c r="G101" s="66"/>
      <c r="H101" s="84"/>
      <c r="I101" s="85"/>
      <c r="J101" s="86"/>
    </row>
    <row r="102" spans="1:10">
      <c r="A102" s="120" t="s">
        <v>236</v>
      </c>
      <c r="B102" s="65" t="s">
        <v>237</v>
      </c>
      <c r="C102" s="63" t="s">
        <v>172</v>
      </c>
      <c r="D102" s="66">
        <v>2026</v>
      </c>
      <c r="E102" s="65"/>
      <c r="F102" s="63"/>
      <c r="G102" s="66"/>
      <c r="H102" s="65"/>
      <c r="I102" s="63"/>
      <c r="J102" s="66"/>
    </row>
    <row r="103" spans="1:10">
      <c r="A103" s="129" t="s">
        <v>236</v>
      </c>
      <c r="B103" s="65" t="s">
        <v>238</v>
      </c>
      <c r="C103" s="63" t="s">
        <v>172</v>
      </c>
      <c r="D103" s="64">
        <v>2027</v>
      </c>
      <c r="E103" s="84"/>
      <c r="F103" s="85"/>
      <c r="G103" s="86"/>
      <c r="H103" s="119"/>
      <c r="I103" s="85"/>
      <c r="J103" s="86"/>
    </row>
    <row r="104" spans="1:10">
      <c r="A104" s="129" t="s">
        <v>236</v>
      </c>
      <c r="B104" s="65" t="s">
        <v>239</v>
      </c>
      <c r="C104" s="63" t="s">
        <v>172</v>
      </c>
      <c r="D104" s="64">
        <v>2026</v>
      </c>
      <c r="E104" s="84"/>
      <c r="F104" s="85"/>
      <c r="G104" s="86"/>
      <c r="H104" s="119"/>
      <c r="I104" s="85"/>
      <c r="J104" s="86"/>
    </row>
    <row r="105" spans="1:10">
      <c r="A105" s="120" t="s">
        <v>236</v>
      </c>
      <c r="B105" s="65" t="s">
        <v>240</v>
      </c>
      <c r="C105" s="63" t="s">
        <v>241</v>
      </c>
      <c r="D105" s="66">
        <v>2029</v>
      </c>
      <c r="E105" s="65"/>
      <c r="F105" s="63"/>
      <c r="G105" s="66"/>
      <c r="H105" s="65"/>
      <c r="I105" s="63"/>
      <c r="J105" s="66"/>
    </row>
    <row r="106" spans="1:10">
      <c r="A106" s="120" t="s">
        <v>43</v>
      </c>
      <c r="B106" s="65" t="s">
        <v>242</v>
      </c>
      <c r="C106" s="63" t="s">
        <v>243</v>
      </c>
      <c r="D106" s="66">
        <v>2027</v>
      </c>
      <c r="E106" s="65"/>
      <c r="F106" s="63"/>
      <c r="G106" s="66"/>
      <c r="H106" s="65"/>
      <c r="I106" s="63"/>
      <c r="J106" s="66"/>
    </row>
    <row r="107" spans="1:10">
      <c r="A107" s="120" t="s">
        <v>244</v>
      </c>
      <c r="B107" s="65" t="s">
        <v>245</v>
      </c>
      <c r="C107" s="63" t="s">
        <v>172</v>
      </c>
      <c r="D107" s="66">
        <v>2028</v>
      </c>
      <c r="E107" s="65"/>
      <c r="F107" s="63"/>
      <c r="G107" s="66"/>
      <c r="H107" s="65"/>
      <c r="I107" s="63"/>
      <c r="J107" s="66"/>
    </row>
    <row r="108" spans="1:10">
      <c r="A108" s="120" t="s">
        <v>244</v>
      </c>
      <c r="B108" s="65" t="s">
        <v>246</v>
      </c>
      <c r="C108" s="63" t="s">
        <v>172</v>
      </c>
      <c r="D108" s="66">
        <v>2028</v>
      </c>
      <c r="E108" s="65"/>
      <c r="F108" s="63"/>
      <c r="G108" s="66"/>
      <c r="H108" s="65"/>
      <c r="I108" s="63"/>
      <c r="J108" s="66"/>
    </row>
    <row r="109" spans="1:10">
      <c r="A109" s="120" t="s">
        <v>247</v>
      </c>
      <c r="B109" s="65" t="s">
        <v>248</v>
      </c>
      <c r="C109" s="63" t="s">
        <v>172</v>
      </c>
      <c r="D109" s="91">
        <v>2027</v>
      </c>
      <c r="E109" s="87"/>
      <c r="F109" s="89"/>
      <c r="G109" s="91"/>
      <c r="H109" s="87"/>
      <c r="I109" s="89"/>
      <c r="J109" s="91"/>
    </row>
    <row r="110" spans="1:10">
      <c r="A110" s="142" t="s">
        <v>251</v>
      </c>
      <c r="B110" s="87" t="s">
        <v>252</v>
      </c>
      <c r="C110" s="89" t="s">
        <v>172</v>
      </c>
      <c r="D110" s="91">
        <v>2026</v>
      </c>
      <c r="E110" s="87"/>
      <c r="F110" s="89"/>
      <c r="G110" s="91"/>
      <c r="H110" s="87"/>
      <c r="I110" s="89"/>
      <c r="J110" s="91"/>
    </row>
    <row r="111" spans="1:10">
      <c r="A111" s="120" t="s">
        <v>251</v>
      </c>
      <c r="B111" s="65" t="s">
        <v>253</v>
      </c>
      <c r="C111" s="63" t="s">
        <v>172</v>
      </c>
      <c r="D111" s="66">
        <v>2026</v>
      </c>
      <c r="E111" s="65"/>
      <c r="F111" s="63"/>
      <c r="G111" s="66"/>
      <c r="H111" s="65"/>
      <c r="I111" s="63"/>
      <c r="J111" s="66"/>
    </row>
    <row r="112" spans="1:10" ht="15" thickBot="1">
      <c r="A112" s="143" t="s">
        <v>84</v>
      </c>
      <c r="B112" s="71" t="s">
        <v>257</v>
      </c>
      <c r="C112" s="73" t="s">
        <v>172</v>
      </c>
      <c r="D112" s="75">
        <v>2025</v>
      </c>
      <c r="E112" s="117"/>
      <c r="F112" s="59"/>
      <c r="G112" s="144"/>
      <c r="H112" s="117"/>
      <c r="I112" s="59"/>
      <c r="J112" s="144"/>
    </row>
    <row r="113" spans="1:10">
      <c r="A113" s="131" t="s">
        <v>83</v>
      </c>
      <c r="B113" s="97" t="s">
        <v>258</v>
      </c>
      <c r="C113" s="96" t="s">
        <v>172</v>
      </c>
      <c r="D113" s="98">
        <v>2026</v>
      </c>
      <c r="E113" s="97" t="s">
        <v>272</v>
      </c>
      <c r="F113" s="96" t="s">
        <v>260</v>
      </c>
      <c r="G113" s="98">
        <v>2026</v>
      </c>
      <c r="H113" s="97" t="s">
        <v>261</v>
      </c>
      <c r="I113" s="96" t="s">
        <v>262</v>
      </c>
      <c r="J113" s="98">
        <v>2026</v>
      </c>
    </row>
    <row r="114" spans="1:10">
      <c r="A114" s="125" t="s">
        <v>67</v>
      </c>
      <c r="B114" s="65" t="s">
        <v>263</v>
      </c>
      <c r="C114" s="63" t="s">
        <v>172</v>
      </c>
      <c r="D114" s="66">
        <v>2026</v>
      </c>
      <c r="E114" s="65"/>
      <c r="F114" s="63"/>
      <c r="G114" s="66"/>
      <c r="H114" s="65"/>
      <c r="I114" s="63"/>
      <c r="J114" s="66"/>
    </row>
    <row r="115" spans="1:10">
      <c r="A115" s="125" t="s">
        <v>270</v>
      </c>
      <c r="B115" s="65" t="s">
        <v>271</v>
      </c>
      <c r="C115" s="63" t="s">
        <v>172</v>
      </c>
      <c r="D115" s="66">
        <v>2027</v>
      </c>
      <c r="E115" s="65"/>
      <c r="F115" s="63"/>
      <c r="G115" s="66"/>
      <c r="H115" s="65"/>
      <c r="I115" s="63"/>
      <c r="J115" s="66"/>
    </row>
    <row r="116" spans="1:10">
      <c r="A116" s="125" t="s">
        <v>270</v>
      </c>
      <c r="B116" s="65" t="s">
        <v>273</v>
      </c>
      <c r="C116" s="63" t="s">
        <v>274</v>
      </c>
      <c r="D116" s="66" t="s">
        <v>191</v>
      </c>
      <c r="E116" s="65"/>
      <c r="F116" s="63"/>
      <c r="G116" s="66"/>
      <c r="H116" s="65"/>
      <c r="I116" s="63"/>
      <c r="J116" s="66"/>
    </row>
    <row r="117" spans="1:10">
      <c r="A117" s="125" t="s">
        <v>80</v>
      </c>
      <c r="B117" s="65" t="s">
        <v>277</v>
      </c>
      <c r="C117" s="63" t="s">
        <v>172</v>
      </c>
      <c r="D117" s="66">
        <v>2028</v>
      </c>
      <c r="E117" s="65"/>
      <c r="F117" s="63"/>
      <c r="G117" s="66"/>
      <c r="H117" s="65"/>
      <c r="I117" s="63"/>
      <c r="J117" s="66"/>
    </row>
    <row r="118" spans="1:10">
      <c r="A118" s="125" t="s">
        <v>80</v>
      </c>
      <c r="B118" s="65" t="s">
        <v>278</v>
      </c>
      <c r="C118" s="63" t="s">
        <v>279</v>
      </c>
      <c r="D118" s="66" t="s">
        <v>191</v>
      </c>
      <c r="E118" s="65"/>
      <c r="F118" s="63"/>
      <c r="G118" s="66"/>
      <c r="H118" s="65"/>
      <c r="I118" s="63"/>
      <c r="J118" s="66"/>
    </row>
    <row r="119" spans="1:10">
      <c r="A119" s="125" t="s">
        <v>82</v>
      </c>
      <c r="B119" s="65" t="s">
        <v>282</v>
      </c>
      <c r="C119" s="63" t="s">
        <v>172</v>
      </c>
      <c r="D119" s="66">
        <v>2029</v>
      </c>
      <c r="E119" s="65"/>
      <c r="F119" s="63"/>
      <c r="G119" s="66"/>
      <c r="H119" s="65"/>
      <c r="I119" s="63"/>
      <c r="J119" s="66"/>
    </row>
    <row r="120" spans="1:10" ht="15" thickBot="1">
      <c r="A120" s="128" t="s">
        <v>35</v>
      </c>
      <c r="B120" s="117" t="s">
        <v>288</v>
      </c>
      <c r="C120" s="73" t="s">
        <v>172</v>
      </c>
      <c r="D120" s="75">
        <v>2026</v>
      </c>
      <c r="E120" s="71" t="s">
        <v>289</v>
      </c>
      <c r="F120" s="73" t="s">
        <v>290</v>
      </c>
      <c r="G120" s="75"/>
      <c r="H120" s="71"/>
      <c r="I120" s="73"/>
      <c r="J120" s="75"/>
    </row>
    <row r="121" spans="1:10">
      <c r="A121" s="131" t="s">
        <v>32</v>
      </c>
      <c r="B121" s="97" t="s">
        <v>291</v>
      </c>
      <c r="C121" s="96" t="s">
        <v>172</v>
      </c>
      <c r="D121" s="98">
        <v>2023</v>
      </c>
      <c r="E121" s="97" t="s">
        <v>292</v>
      </c>
      <c r="F121" s="96" t="s">
        <v>293</v>
      </c>
      <c r="G121" s="98">
        <v>2027</v>
      </c>
      <c r="H121" s="97"/>
      <c r="I121" s="96"/>
      <c r="J121" s="98"/>
    </row>
    <row r="122" spans="1:10">
      <c r="A122" s="145" t="s">
        <v>294</v>
      </c>
      <c r="B122" s="97" t="s">
        <v>295</v>
      </c>
      <c r="C122" s="96" t="s">
        <v>296</v>
      </c>
      <c r="D122" s="98">
        <v>2026</v>
      </c>
      <c r="E122" s="97" t="s">
        <v>305</v>
      </c>
      <c r="F122" s="96" t="s">
        <v>306</v>
      </c>
      <c r="G122" s="98">
        <v>2025</v>
      </c>
      <c r="H122" s="97"/>
      <c r="I122" s="96"/>
      <c r="J122" s="98"/>
    </row>
    <row r="123" spans="1:10">
      <c r="A123" s="125" t="s">
        <v>299</v>
      </c>
      <c r="B123" s="65" t="s">
        <v>300</v>
      </c>
      <c r="C123" s="63" t="s">
        <v>172</v>
      </c>
      <c r="D123" s="66">
        <v>2029</v>
      </c>
      <c r="E123" s="65" t="s">
        <v>297</v>
      </c>
      <c r="F123" s="63" t="s">
        <v>298</v>
      </c>
      <c r="G123" s="66">
        <v>2027</v>
      </c>
      <c r="H123" s="65"/>
      <c r="I123" s="63"/>
      <c r="J123" s="66"/>
    </row>
    <row r="124" spans="1:10">
      <c r="A124" s="125" t="s">
        <v>303</v>
      </c>
      <c r="B124" s="65" t="s">
        <v>304</v>
      </c>
      <c r="C124" s="63" t="s">
        <v>172</v>
      </c>
      <c r="D124" s="66">
        <v>2035</v>
      </c>
      <c r="E124" s="65" t="s">
        <v>313</v>
      </c>
      <c r="F124" s="63" t="s">
        <v>314</v>
      </c>
      <c r="G124" s="66">
        <v>2026</v>
      </c>
      <c r="H124" s="65"/>
      <c r="I124" s="63"/>
      <c r="J124" s="66"/>
    </row>
    <row r="125" spans="1:10">
      <c r="A125" s="125" t="s">
        <v>307</v>
      </c>
      <c r="B125" s="65" t="s">
        <v>308</v>
      </c>
      <c r="C125" s="63" t="s">
        <v>309</v>
      </c>
      <c r="D125" s="66">
        <v>2027</v>
      </c>
      <c r="E125" s="65" t="s">
        <v>325</v>
      </c>
      <c r="F125" s="63" t="s">
        <v>314</v>
      </c>
      <c r="G125" s="66">
        <v>2035</v>
      </c>
      <c r="H125" s="65"/>
      <c r="I125" s="63"/>
      <c r="J125" s="66"/>
    </row>
    <row r="126" spans="1:10">
      <c r="A126" s="125" t="s">
        <v>87</v>
      </c>
      <c r="B126" s="65" t="s">
        <v>319</v>
      </c>
      <c r="C126" s="63" t="s">
        <v>172</v>
      </c>
      <c r="D126" s="66">
        <v>2026</v>
      </c>
      <c r="E126" s="65"/>
      <c r="F126" s="63"/>
      <c r="G126" s="66"/>
      <c r="H126" s="65"/>
      <c r="I126" s="63"/>
      <c r="J126" s="66"/>
    </row>
    <row r="127" spans="1:10" ht="15" thickBot="1">
      <c r="A127" s="128" t="s">
        <v>30</v>
      </c>
      <c r="B127" s="71" t="s">
        <v>326</v>
      </c>
      <c r="C127" s="73" t="s">
        <v>172</v>
      </c>
      <c r="D127" s="75">
        <v>2027</v>
      </c>
      <c r="E127" s="71"/>
      <c r="F127" s="73"/>
      <c r="G127" s="75"/>
      <c r="H127" s="71"/>
      <c r="I127" s="73"/>
      <c r="J127" s="75"/>
    </row>
    <row r="128" spans="1:10">
      <c r="A128" s="146" t="s">
        <v>322</v>
      </c>
      <c r="B128" s="227"/>
      <c r="C128" s="89" t="s">
        <v>172</v>
      </c>
      <c r="D128" s="91">
        <v>2027</v>
      </c>
      <c r="E128" s="65"/>
      <c r="F128" s="63"/>
      <c r="G128" s="66"/>
      <c r="H128" s="65"/>
      <c r="I128" s="63"/>
      <c r="J128" s="66"/>
    </row>
    <row r="129" spans="1:10" ht="15" thickBot="1">
      <c r="A129" s="147" t="s">
        <v>323</v>
      </c>
      <c r="B129" s="228"/>
      <c r="C129" s="73" t="s">
        <v>172</v>
      </c>
      <c r="D129" s="75">
        <v>2026</v>
      </c>
      <c r="E129" s="71"/>
      <c r="F129" s="73"/>
      <c r="G129" s="75"/>
      <c r="H129" s="71"/>
      <c r="I129" s="73"/>
      <c r="J129" s="75"/>
    </row>
    <row r="133" spans="1:10">
      <c r="E133" s="52"/>
      <c r="F133" s="52"/>
      <c r="G133" s="83"/>
      <c r="H133" s="52"/>
      <c r="I133" s="52"/>
      <c r="J133" s="83"/>
    </row>
    <row r="134" spans="1:10" ht="15" thickBot="1">
      <c r="A134" s="37" t="s">
        <v>327</v>
      </c>
      <c r="E134" s="52"/>
      <c r="F134" s="52"/>
      <c r="G134" s="83"/>
      <c r="H134" s="52"/>
      <c r="I134" s="52"/>
      <c r="J134" s="83"/>
    </row>
    <row r="135" spans="1:10" ht="15" thickBot="1">
      <c r="A135" s="118" t="s">
        <v>164</v>
      </c>
      <c r="B135" s="92" t="s">
        <v>165</v>
      </c>
      <c r="C135" s="93" t="s">
        <v>166</v>
      </c>
      <c r="D135" s="94" t="s">
        <v>167</v>
      </c>
      <c r="E135" s="104" t="s">
        <v>168</v>
      </c>
      <c r="F135" s="105" t="s">
        <v>166</v>
      </c>
      <c r="G135" s="106" t="s">
        <v>167</v>
      </c>
      <c r="H135" s="92" t="s">
        <v>169</v>
      </c>
      <c r="I135" s="93" t="s">
        <v>166</v>
      </c>
      <c r="J135" s="94" t="s">
        <v>167</v>
      </c>
    </row>
    <row r="136" spans="1:10">
      <c r="A136" s="123" t="s">
        <v>170</v>
      </c>
      <c r="B136" s="127" t="s">
        <v>171</v>
      </c>
      <c r="C136" s="108" t="s">
        <v>172</v>
      </c>
      <c r="D136" s="109">
        <v>2023</v>
      </c>
      <c r="E136" s="99"/>
      <c r="F136" s="100"/>
      <c r="G136" s="102"/>
      <c r="H136" s="99"/>
      <c r="I136" s="100"/>
      <c r="J136" s="102"/>
    </row>
    <row r="137" spans="1:10">
      <c r="A137" s="124" t="s">
        <v>170</v>
      </c>
      <c r="B137" s="58" t="s">
        <v>177</v>
      </c>
      <c r="C137" s="57" t="s">
        <v>172</v>
      </c>
      <c r="D137" s="103">
        <v>2023</v>
      </c>
      <c r="E137" s="65"/>
      <c r="F137" s="63"/>
      <c r="G137" s="66"/>
      <c r="H137" s="65"/>
      <c r="I137" s="63"/>
      <c r="J137" s="66"/>
    </row>
    <row r="138" spans="1:10">
      <c r="A138" s="125" t="s">
        <v>170</v>
      </c>
      <c r="B138" s="65" t="s">
        <v>179</v>
      </c>
      <c r="C138" s="63" t="s">
        <v>180</v>
      </c>
      <c r="D138" s="66">
        <v>2026</v>
      </c>
      <c r="E138" s="65"/>
      <c r="F138" s="63"/>
      <c r="G138" s="66"/>
      <c r="H138" s="65"/>
      <c r="I138" s="63"/>
      <c r="J138" s="66"/>
    </row>
    <row r="139" spans="1:10">
      <c r="A139" s="125" t="s">
        <v>170</v>
      </c>
      <c r="B139" s="65" t="s">
        <v>182</v>
      </c>
      <c r="C139" s="63" t="s">
        <v>183</v>
      </c>
      <c r="D139" s="66">
        <v>2030</v>
      </c>
      <c r="E139" s="65"/>
      <c r="F139" s="63"/>
      <c r="G139" s="66"/>
      <c r="H139" s="65"/>
      <c r="I139" s="63"/>
      <c r="J139" s="66"/>
    </row>
    <row r="140" spans="1:10">
      <c r="A140" s="125" t="s">
        <v>186</v>
      </c>
      <c r="B140" s="65" t="s">
        <v>187</v>
      </c>
      <c r="C140" s="63" t="s">
        <v>172</v>
      </c>
      <c r="D140" s="66">
        <v>2030</v>
      </c>
      <c r="E140" s="65"/>
      <c r="F140" s="63"/>
      <c r="G140" s="66"/>
      <c r="H140" s="65"/>
      <c r="I140" s="63"/>
      <c r="J140" s="66"/>
    </row>
    <row r="141" spans="1:10">
      <c r="A141" s="125" t="s">
        <v>186</v>
      </c>
      <c r="B141" s="65" t="s">
        <v>188</v>
      </c>
      <c r="C141" s="63" t="s">
        <v>172</v>
      </c>
      <c r="D141" s="66">
        <v>2029</v>
      </c>
      <c r="E141" s="65"/>
      <c r="F141" s="63"/>
      <c r="G141" s="66"/>
      <c r="H141" s="65"/>
      <c r="I141" s="63"/>
      <c r="J141" s="66"/>
    </row>
    <row r="142" spans="1:10">
      <c r="A142" s="125" t="s">
        <v>63</v>
      </c>
      <c r="B142" s="65" t="s">
        <v>192</v>
      </c>
      <c r="C142" s="63" t="s">
        <v>172</v>
      </c>
      <c r="D142" s="66">
        <v>2028</v>
      </c>
      <c r="E142" s="65"/>
      <c r="F142" s="63"/>
      <c r="G142" s="66"/>
      <c r="H142" s="65"/>
      <c r="I142" s="63"/>
      <c r="J142" s="66"/>
    </row>
    <row r="143" spans="1:10">
      <c r="A143" s="125" t="s">
        <v>63</v>
      </c>
      <c r="B143" s="65" t="s">
        <v>193</v>
      </c>
      <c r="C143" s="63" t="s">
        <v>172</v>
      </c>
      <c r="D143" s="66">
        <v>2028</v>
      </c>
      <c r="E143" s="65"/>
      <c r="F143" s="63"/>
      <c r="G143" s="66"/>
      <c r="H143" s="65"/>
      <c r="I143" s="63"/>
      <c r="J143" s="66"/>
    </row>
    <row r="144" spans="1:10">
      <c r="A144" s="122" t="s">
        <v>196</v>
      </c>
      <c r="B144" s="62" t="s">
        <v>197</v>
      </c>
      <c r="C144" s="63" t="s">
        <v>172</v>
      </c>
      <c r="D144" s="64">
        <v>2028</v>
      </c>
      <c r="E144" s="65"/>
      <c r="F144" s="63"/>
      <c r="G144" s="66"/>
      <c r="H144" s="65"/>
      <c r="I144" s="63"/>
      <c r="J144" s="66"/>
    </row>
    <row r="145" spans="1:10">
      <c r="A145" s="125" t="s">
        <v>196</v>
      </c>
      <c r="B145" s="65" t="s">
        <v>198</v>
      </c>
      <c r="C145" s="63" t="s">
        <v>172</v>
      </c>
      <c r="D145" s="66">
        <v>2028</v>
      </c>
      <c r="E145" s="65"/>
      <c r="F145" s="63"/>
      <c r="G145" s="66"/>
      <c r="H145" s="65"/>
      <c r="I145" s="63"/>
      <c r="J145" s="66"/>
    </row>
    <row r="146" spans="1:10">
      <c r="A146" s="124" t="s">
        <v>58</v>
      </c>
      <c r="B146" s="65" t="s">
        <v>203</v>
      </c>
      <c r="C146" s="63" t="s">
        <v>172</v>
      </c>
      <c r="D146" s="66">
        <v>2024</v>
      </c>
      <c r="E146" s="65"/>
      <c r="F146" s="63"/>
      <c r="G146" s="66"/>
      <c r="H146" s="65"/>
      <c r="I146" s="63"/>
      <c r="J146" s="66"/>
    </row>
    <row r="147" spans="1:10">
      <c r="A147" s="124" t="s">
        <v>40</v>
      </c>
      <c r="B147" s="65" t="s">
        <v>207</v>
      </c>
      <c r="C147" s="63" t="s">
        <v>172</v>
      </c>
      <c r="D147" s="66" t="s">
        <v>191</v>
      </c>
      <c r="E147" s="65"/>
      <c r="F147" s="63"/>
      <c r="G147" s="66"/>
      <c r="H147" s="65"/>
      <c r="I147" s="63"/>
      <c r="J147" s="66"/>
    </row>
    <row r="148" spans="1:10">
      <c r="A148" s="124" t="s">
        <v>45</v>
      </c>
      <c r="B148" s="65" t="s">
        <v>203</v>
      </c>
      <c r="C148" s="63" t="s">
        <v>172</v>
      </c>
      <c r="D148" s="66">
        <v>2024</v>
      </c>
      <c r="E148" s="65"/>
      <c r="F148" s="63"/>
      <c r="G148" s="66"/>
      <c r="H148" s="65"/>
      <c r="I148" s="63"/>
      <c r="J148" s="66"/>
    </row>
    <row r="149" spans="1:10">
      <c r="A149" s="124" t="s">
        <v>46</v>
      </c>
      <c r="B149" s="65" t="s">
        <v>203</v>
      </c>
      <c r="C149" s="63" t="s">
        <v>172</v>
      </c>
      <c r="D149" s="66">
        <v>2023</v>
      </c>
      <c r="E149" s="65"/>
      <c r="F149" s="63"/>
      <c r="G149" s="66"/>
      <c r="H149" s="65"/>
      <c r="I149" s="63"/>
      <c r="J149" s="66"/>
    </row>
    <row r="150" spans="1:10">
      <c r="A150" s="150" t="s">
        <v>208</v>
      </c>
      <c r="B150" s="87" t="s">
        <v>209</v>
      </c>
      <c r="C150" s="89" t="s">
        <v>172</v>
      </c>
      <c r="D150" s="91">
        <v>2027</v>
      </c>
      <c r="E150" s="87"/>
      <c r="F150" s="89"/>
      <c r="G150" s="91"/>
      <c r="H150" s="87"/>
      <c r="I150" s="89"/>
      <c r="J150" s="91"/>
    </row>
    <row r="151" spans="1:10" ht="15" thickBot="1">
      <c r="A151" s="126" t="s">
        <v>212</v>
      </c>
      <c r="B151" s="71" t="s">
        <v>213</v>
      </c>
      <c r="C151" s="73" t="s">
        <v>214</v>
      </c>
      <c r="D151" s="75">
        <v>2030</v>
      </c>
      <c r="E151" s="71" t="s">
        <v>210</v>
      </c>
      <c r="F151" s="73" t="s">
        <v>211</v>
      </c>
      <c r="G151" s="75">
        <v>2029</v>
      </c>
      <c r="H151" s="71"/>
      <c r="I151" s="73"/>
      <c r="J151" s="75"/>
    </row>
    <row r="152" spans="1:10">
      <c r="A152" s="134" t="s">
        <v>216</v>
      </c>
      <c r="B152" s="127" t="s">
        <v>217</v>
      </c>
      <c r="C152" s="108" t="s">
        <v>172</v>
      </c>
      <c r="D152" s="109">
        <v>2023</v>
      </c>
      <c r="E152" s="99" t="s">
        <v>231</v>
      </c>
      <c r="F152" s="100" t="s">
        <v>219</v>
      </c>
      <c r="G152" s="102">
        <v>2028</v>
      </c>
      <c r="H152" s="99" t="s">
        <v>220</v>
      </c>
      <c r="I152" s="100" t="s">
        <v>221</v>
      </c>
      <c r="J152" s="102">
        <v>2030</v>
      </c>
    </row>
    <row r="153" spans="1:10">
      <c r="A153" s="120" t="s">
        <v>216</v>
      </c>
      <c r="B153" s="65" t="s">
        <v>222</v>
      </c>
      <c r="C153" s="63" t="s">
        <v>223</v>
      </c>
      <c r="D153" s="66">
        <v>2026</v>
      </c>
      <c r="E153" s="97"/>
      <c r="F153" s="96"/>
      <c r="G153" s="98"/>
      <c r="H153" s="97"/>
      <c r="I153" s="96"/>
      <c r="J153" s="98"/>
    </row>
    <row r="154" spans="1:10">
      <c r="A154" s="120" t="s">
        <v>229</v>
      </c>
      <c r="B154" s="65" t="s">
        <v>230</v>
      </c>
      <c r="C154" s="63" t="s">
        <v>172</v>
      </c>
      <c r="D154" s="66">
        <v>2026</v>
      </c>
      <c r="E154" s="65"/>
      <c r="F154" s="63"/>
      <c r="G154" s="66"/>
      <c r="H154" s="65"/>
      <c r="I154" s="63"/>
      <c r="J154" s="66"/>
    </row>
    <row r="155" spans="1:10">
      <c r="A155" s="120" t="s">
        <v>229</v>
      </c>
      <c r="B155" s="65" t="s">
        <v>232</v>
      </c>
      <c r="C155" s="63" t="s">
        <v>172</v>
      </c>
      <c r="D155" s="66">
        <v>2025</v>
      </c>
      <c r="E155" s="65"/>
      <c r="F155" s="63"/>
      <c r="G155" s="66"/>
      <c r="H155" s="84"/>
      <c r="I155" s="85"/>
      <c r="J155" s="86"/>
    </row>
    <row r="156" spans="1:10">
      <c r="A156" s="135" t="s">
        <v>236</v>
      </c>
      <c r="B156" s="58" t="s">
        <v>237</v>
      </c>
      <c r="C156" s="57" t="s">
        <v>172</v>
      </c>
      <c r="D156" s="103">
        <v>2026</v>
      </c>
      <c r="E156" s="65"/>
      <c r="F156" s="63"/>
      <c r="G156" s="66"/>
      <c r="H156" s="65"/>
      <c r="I156" s="63"/>
      <c r="J156" s="66"/>
    </row>
    <row r="157" spans="1:10">
      <c r="A157" s="129" t="s">
        <v>236</v>
      </c>
      <c r="B157" s="65" t="s">
        <v>238</v>
      </c>
      <c r="C157" s="63" t="s">
        <v>172</v>
      </c>
      <c r="D157" s="64">
        <v>2027</v>
      </c>
      <c r="E157" s="84"/>
      <c r="F157" s="85"/>
      <c r="G157" s="86"/>
      <c r="H157" s="119"/>
      <c r="I157" s="85"/>
      <c r="J157" s="86"/>
    </row>
    <row r="158" spans="1:10">
      <c r="A158" s="129" t="s">
        <v>236</v>
      </c>
      <c r="B158" s="65" t="s">
        <v>239</v>
      </c>
      <c r="C158" s="63" t="s">
        <v>172</v>
      </c>
      <c r="D158" s="64">
        <v>2026</v>
      </c>
      <c r="E158" s="84"/>
      <c r="F158" s="85"/>
      <c r="G158" s="86"/>
      <c r="H158" s="119"/>
      <c r="I158" s="85"/>
      <c r="J158" s="86"/>
    </row>
    <row r="159" spans="1:10">
      <c r="A159" s="120" t="s">
        <v>236</v>
      </c>
      <c r="B159" s="65" t="s">
        <v>240</v>
      </c>
      <c r="C159" s="63" t="s">
        <v>241</v>
      </c>
      <c r="D159" s="66">
        <v>2030</v>
      </c>
      <c r="E159" s="65"/>
      <c r="F159" s="63"/>
      <c r="G159" s="66"/>
      <c r="H159" s="65"/>
      <c r="I159" s="63"/>
      <c r="J159" s="66"/>
    </row>
    <row r="160" spans="1:10">
      <c r="A160" s="120" t="s">
        <v>43</v>
      </c>
      <c r="B160" s="65" t="s">
        <v>242</v>
      </c>
      <c r="C160" s="63" t="s">
        <v>243</v>
      </c>
      <c r="D160" s="66">
        <v>2027</v>
      </c>
      <c r="E160" s="65"/>
      <c r="F160" s="63"/>
      <c r="G160" s="66"/>
      <c r="H160" s="65"/>
      <c r="I160" s="63"/>
      <c r="J160" s="66"/>
    </row>
    <row r="161" spans="1:10">
      <c r="A161" s="120" t="s">
        <v>244</v>
      </c>
      <c r="B161" s="65" t="s">
        <v>245</v>
      </c>
      <c r="C161" s="63" t="s">
        <v>172</v>
      </c>
      <c r="D161" s="66">
        <v>2029</v>
      </c>
      <c r="E161" s="65"/>
      <c r="F161" s="63"/>
      <c r="G161" s="66"/>
      <c r="H161" s="65"/>
      <c r="I161" s="63"/>
      <c r="J161" s="66"/>
    </row>
    <row r="162" spans="1:10">
      <c r="A162" s="120" t="s">
        <v>244</v>
      </c>
      <c r="B162" s="65" t="s">
        <v>246</v>
      </c>
      <c r="C162" s="63" t="s">
        <v>172</v>
      </c>
      <c r="D162" s="66">
        <v>2029</v>
      </c>
      <c r="E162" s="65"/>
      <c r="F162" s="63"/>
      <c r="G162" s="66"/>
      <c r="H162" s="65"/>
      <c r="I162" s="63"/>
      <c r="J162" s="66"/>
    </row>
    <row r="163" spans="1:10">
      <c r="A163" s="120" t="s">
        <v>247</v>
      </c>
      <c r="B163" s="65" t="s">
        <v>248</v>
      </c>
      <c r="C163" s="63" t="s">
        <v>172</v>
      </c>
      <c r="D163" s="91">
        <v>2027</v>
      </c>
      <c r="E163" s="65"/>
      <c r="F163" s="63"/>
      <c r="G163" s="66"/>
      <c r="H163" s="65"/>
      <c r="I163" s="63"/>
      <c r="J163" s="66"/>
    </row>
    <row r="164" spans="1:10">
      <c r="A164" s="135" t="s">
        <v>251</v>
      </c>
      <c r="B164" s="58" t="s">
        <v>252</v>
      </c>
      <c r="C164" s="57" t="s">
        <v>172</v>
      </c>
      <c r="D164" s="103">
        <v>2026</v>
      </c>
      <c r="E164" s="65"/>
      <c r="F164" s="63"/>
      <c r="G164" s="66"/>
      <c r="H164" s="65"/>
      <c r="I164" s="63"/>
      <c r="J164" s="66"/>
    </row>
    <row r="165" spans="1:10">
      <c r="A165" s="135" t="s">
        <v>251</v>
      </c>
      <c r="B165" s="58" t="s">
        <v>253</v>
      </c>
      <c r="C165" s="57" t="s">
        <v>172</v>
      </c>
      <c r="D165" s="103">
        <v>2026</v>
      </c>
      <c r="E165" s="65"/>
      <c r="F165" s="63"/>
      <c r="G165" s="66"/>
      <c r="H165" s="65"/>
      <c r="I165" s="63"/>
      <c r="J165" s="66"/>
    </row>
    <row r="166" spans="1:10" ht="15" thickBot="1">
      <c r="A166" s="143" t="s">
        <v>84</v>
      </c>
      <c r="B166" s="71" t="s">
        <v>257</v>
      </c>
      <c r="C166" s="73" t="s">
        <v>172</v>
      </c>
      <c r="D166" s="75">
        <v>2025</v>
      </c>
      <c r="E166" s="117"/>
      <c r="F166" s="59"/>
      <c r="G166" s="144"/>
      <c r="H166" s="117"/>
      <c r="I166" s="59"/>
      <c r="J166" s="144"/>
    </row>
    <row r="167" spans="1:10">
      <c r="A167" s="148" t="s">
        <v>67</v>
      </c>
      <c r="B167" s="95" t="s">
        <v>263</v>
      </c>
      <c r="C167" s="96" t="s">
        <v>172</v>
      </c>
      <c r="D167" s="149">
        <v>2026</v>
      </c>
      <c r="E167" s="138" t="s">
        <v>272</v>
      </c>
      <c r="F167" s="139" t="s">
        <v>260</v>
      </c>
      <c r="G167" s="140">
        <v>2026</v>
      </c>
      <c r="H167" s="138" t="s">
        <v>261</v>
      </c>
      <c r="I167" s="139" t="s">
        <v>262</v>
      </c>
      <c r="J167" s="140">
        <v>2026</v>
      </c>
    </row>
    <row r="168" spans="1:10">
      <c r="A168" s="122" t="s">
        <v>270</v>
      </c>
      <c r="B168" s="62" t="s">
        <v>271</v>
      </c>
      <c r="C168" s="63" t="s">
        <v>172</v>
      </c>
      <c r="D168" s="64">
        <v>2027</v>
      </c>
      <c r="E168" s="65"/>
      <c r="F168" s="63"/>
      <c r="G168" s="66"/>
      <c r="H168" s="65"/>
      <c r="I168" s="63"/>
      <c r="J168" s="66"/>
    </row>
    <row r="169" spans="1:10">
      <c r="A169" s="121" t="s">
        <v>80</v>
      </c>
      <c r="B169" s="62" t="s">
        <v>277</v>
      </c>
      <c r="C169" s="89" t="s">
        <v>172</v>
      </c>
      <c r="D169" s="90">
        <v>2029</v>
      </c>
      <c r="E169" s="65"/>
      <c r="F169" s="63"/>
      <c r="G169" s="66"/>
      <c r="H169" s="65"/>
      <c r="I169" s="63"/>
      <c r="J169" s="66"/>
    </row>
    <row r="170" spans="1:10">
      <c r="A170" s="122" t="s">
        <v>82</v>
      </c>
      <c r="B170" s="62" t="s">
        <v>282</v>
      </c>
      <c r="C170" s="63" t="s">
        <v>172</v>
      </c>
      <c r="D170" s="64">
        <v>2030</v>
      </c>
      <c r="E170" s="87"/>
      <c r="F170" s="89"/>
      <c r="G170" s="91"/>
      <c r="H170" s="87"/>
      <c r="I170" s="89"/>
      <c r="J170" s="91"/>
    </row>
    <row r="171" spans="1:10" ht="15" thickBot="1">
      <c r="A171" s="137" t="s">
        <v>35</v>
      </c>
      <c r="B171" s="60" t="s">
        <v>288</v>
      </c>
      <c r="C171" s="73" t="s">
        <v>172</v>
      </c>
      <c r="D171" s="61">
        <v>2026</v>
      </c>
      <c r="E171" s="71" t="s">
        <v>289</v>
      </c>
      <c r="F171" s="73" t="s">
        <v>290</v>
      </c>
      <c r="G171" s="75"/>
      <c r="H171" s="71"/>
      <c r="I171" s="73"/>
      <c r="J171" s="75"/>
    </row>
    <row r="172" spans="1:10">
      <c r="A172" s="134" t="s">
        <v>32</v>
      </c>
      <c r="B172" s="107" t="s">
        <v>291</v>
      </c>
      <c r="C172" s="108" t="s">
        <v>172</v>
      </c>
      <c r="D172" s="110">
        <v>2023</v>
      </c>
      <c r="E172" s="99" t="s">
        <v>292</v>
      </c>
      <c r="F172" s="100" t="s">
        <v>293</v>
      </c>
      <c r="G172" s="102">
        <v>2027</v>
      </c>
      <c r="H172" s="99"/>
      <c r="I172" s="100"/>
      <c r="J172" s="102"/>
    </row>
    <row r="173" spans="1:10">
      <c r="A173" s="145" t="s">
        <v>294</v>
      </c>
      <c r="B173" s="97" t="s">
        <v>295</v>
      </c>
      <c r="C173" s="96" t="s">
        <v>296</v>
      </c>
      <c r="D173" s="98">
        <v>2026</v>
      </c>
      <c r="E173" s="65" t="s">
        <v>305</v>
      </c>
      <c r="F173" s="63" t="s">
        <v>306</v>
      </c>
      <c r="G173" s="66">
        <v>2025</v>
      </c>
      <c r="H173" s="65"/>
      <c r="I173" s="63"/>
      <c r="J173" s="66"/>
    </row>
    <row r="174" spans="1:10">
      <c r="A174" s="120" t="s">
        <v>307</v>
      </c>
      <c r="B174" s="62" t="s">
        <v>308</v>
      </c>
      <c r="C174" s="63" t="s">
        <v>309</v>
      </c>
      <c r="D174" s="64">
        <v>2027</v>
      </c>
      <c r="E174" s="65" t="s">
        <v>313</v>
      </c>
      <c r="F174" s="63" t="s">
        <v>314</v>
      </c>
      <c r="G174" s="66">
        <v>2026</v>
      </c>
      <c r="H174" s="65"/>
      <c r="I174" s="63"/>
      <c r="J174" s="66"/>
    </row>
    <row r="175" spans="1:10" ht="15" thickBot="1">
      <c r="A175" s="136" t="s">
        <v>30</v>
      </c>
      <c r="B175" s="72" t="s">
        <v>319</v>
      </c>
      <c r="C175" s="73" t="s">
        <v>172</v>
      </c>
      <c r="D175" s="74">
        <v>2028</v>
      </c>
      <c r="E175" s="71" t="s">
        <v>325</v>
      </c>
      <c r="F175" s="73" t="s">
        <v>314</v>
      </c>
      <c r="G175" s="75">
        <v>2035</v>
      </c>
      <c r="H175" s="71"/>
      <c r="I175" s="73"/>
      <c r="J175" s="75"/>
    </row>
    <row r="176" spans="1:10">
      <c r="A176" s="135" t="s">
        <v>322</v>
      </c>
      <c r="B176" s="229"/>
      <c r="C176" s="89" t="s">
        <v>172</v>
      </c>
      <c r="D176" s="90">
        <v>2027</v>
      </c>
      <c r="E176" s="65"/>
      <c r="F176" s="63"/>
      <c r="G176" s="66"/>
      <c r="H176" s="65"/>
      <c r="I176" s="63"/>
      <c r="J176" s="66"/>
    </row>
    <row r="177" spans="1:10" ht="15" thickBot="1">
      <c r="A177" s="136" t="s">
        <v>323</v>
      </c>
      <c r="B177" s="230"/>
      <c r="C177" s="73" t="s">
        <v>172</v>
      </c>
      <c r="D177" s="74">
        <v>2026</v>
      </c>
      <c r="E177" s="71"/>
      <c r="F177" s="73"/>
      <c r="G177" s="75"/>
      <c r="H177" s="71"/>
      <c r="I177" s="73"/>
      <c r="J177" s="75"/>
    </row>
    <row r="180" spans="1:10">
      <c r="A180" s="48" t="s">
        <v>328</v>
      </c>
    </row>
    <row r="181" spans="1:10">
      <c r="A181" s="48" t="s">
        <v>329</v>
      </c>
    </row>
    <row r="182" spans="1:10">
      <c r="A182" s="48" t="s">
        <v>330</v>
      </c>
    </row>
    <row r="183" spans="1:10">
      <c r="A183" s="48" t="s">
        <v>331</v>
      </c>
    </row>
    <row r="184" spans="1:10">
      <c r="A184" s="48" t="s">
        <v>332</v>
      </c>
    </row>
    <row r="185" spans="1:10">
      <c r="A185" s="48" t="s">
        <v>333</v>
      </c>
    </row>
    <row r="186" spans="1:10">
      <c r="A186" s="48" t="s">
        <v>334</v>
      </c>
    </row>
    <row r="187" spans="1:10">
      <c r="A187" s="48" t="s">
        <v>335</v>
      </c>
    </row>
    <row r="188" spans="1:10">
      <c r="A188" s="48" t="s">
        <v>336</v>
      </c>
    </row>
    <row r="189" spans="1:10">
      <c r="A189" s="48" t="s">
        <v>337</v>
      </c>
    </row>
    <row r="190" spans="1:10">
      <c r="A190" s="48" t="s">
        <v>338</v>
      </c>
    </row>
    <row r="191" spans="1:10">
      <c r="A191" s="48" t="s">
        <v>339</v>
      </c>
    </row>
    <row r="192" spans="1:10">
      <c r="A192" s="48" t="s">
        <v>340</v>
      </c>
    </row>
    <row r="193" spans="1:1">
      <c r="A193" s="48" t="s">
        <v>341</v>
      </c>
    </row>
    <row r="194" spans="1:1">
      <c r="A194" s="48" t="s">
        <v>342</v>
      </c>
    </row>
    <row r="195" spans="1:1">
      <c r="A195" s="48" t="s">
        <v>343</v>
      </c>
    </row>
    <row r="196" spans="1:1">
      <c r="A196" s="48" t="s">
        <v>344</v>
      </c>
    </row>
    <row r="197" spans="1:1">
      <c r="A197" s="48" t="s">
        <v>345</v>
      </c>
    </row>
  </sheetData>
  <sortState xmlns:xlrd2="http://schemas.microsoft.com/office/spreadsheetml/2017/richdata2" ref="A184:A197">
    <sortCondition ref="A184:A197"/>
  </sortState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7" ma:contentTypeDescription="Create a new document." ma:contentTypeScope="" ma:versionID="d5fb31da9a69ab909e9c794f9fb151bd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89349fb864ef67cc53d88d2da92ebc81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787cdf0-0bfe-4b44-926d-f49baf1faca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e62ca5-22ea-47d8-bfd0-cf180537c997">
      <UserInfo>
        <DisplayName/>
        <AccountId xsi:nil="true"/>
        <AccountType/>
      </UserInfo>
    </SharedWithUsers>
    <lcf76f155ced4ddcb4097134ff3c332f xmlns="58dd876c-ba06-4341-9d47-b53ee198fe78">
      <Terms xmlns="http://schemas.microsoft.com/office/infopath/2007/PartnerControls"/>
    </lcf76f155ced4ddcb4097134ff3c332f>
    <TaxCatchAll xmlns="cce62ca5-22ea-47d8-bfd0-cf180537c9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592E50-20DF-4BED-9355-382EE9CEE09D}"/>
</file>

<file path=customXml/itemProps2.xml><?xml version="1.0" encoding="utf-8"?>
<ds:datastoreItem xmlns:ds="http://schemas.openxmlformats.org/officeDocument/2006/customXml" ds:itemID="{0F53B4AD-C524-455F-A93E-EE7EA7E9014E}"/>
</file>

<file path=customXml/itemProps3.xml><?xml version="1.0" encoding="utf-8"?>
<ds:datastoreItem xmlns:ds="http://schemas.openxmlformats.org/officeDocument/2006/customXml" ds:itemID="{99A54DB9-EF9E-404C-B41F-BE190FBE1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Block Load Forecast Method</dc:title>
  <dc:subject/>
  <dc:creator>Rodney Bray</dc:creator>
  <cp:keywords/>
  <dc:description/>
  <cp:lastModifiedBy>Matthew Bianchin</cp:lastModifiedBy>
  <cp:revision/>
  <dcterms:created xsi:type="dcterms:W3CDTF">2015-06-05T18:17:20Z</dcterms:created>
  <dcterms:modified xsi:type="dcterms:W3CDTF">2025-01-23T00:09:02Z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0x010100BE463E5E62BF724086D347C959262467</vt:lpwstr>
  </property>
  <property fmtid="{D5CDD505-2E9C-101B-9397-08002B2CF9AE}" pid="3" name="MediaServiceImageTags">
    <vt:lpwstr/>
  </property>
  <property fmtid="{D5CDD505-2E9C-101B-9397-08002B2CF9AE}" pid="4" name="Order">
    <vt:r8>674700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