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sites/Teams_EDPR2026-2031/Shared Documents/General/4000 Submissions/4040 - Initial Proposal/4040.8.4 Final RIN attachments and supporting documents - public/"/>
    </mc:Choice>
  </mc:AlternateContent>
  <xr:revisionPtr revIDLastSave="185" documentId="13_ncr:1_{4B9537FE-47C3-4028-A88E-4481A468730B}" xr6:coauthVersionLast="47" xr6:coauthVersionMax="47" xr10:uidLastSave="{338292A8-DF2E-4480-9212-28A52E07FF37}"/>
  <bookViews>
    <workbookView xWindow="0" yWindow="-16320" windowWidth="29040" windowHeight="15840" firstSheet="1" activeTab="7" xr2:uid="{1C041BA9-FB27-4171-8099-D689B32CC288}"/>
  </bookViews>
  <sheets>
    <sheet name="Ratings" sheetId="1" r:id="rId1"/>
    <sheet name="Customers" sheetId="34" r:id="rId2"/>
    <sheet name="Population" sheetId="33" r:id="rId3"/>
    <sheet name="Historical" sheetId="3" r:id="rId4"/>
    <sheet name="Summer 10PoE" sheetId="6" r:id="rId5"/>
    <sheet name="Winter 10PoE" sheetId="12" r:id="rId6"/>
    <sheet name="Summer 50PoE" sheetId="7" r:id="rId7"/>
    <sheet name="Winter 50PoE" sheetId="13" r:id="rId8"/>
    <sheet name="REFCL" sheetId="35" r:id="rId9"/>
    <sheet name="EUE" sheetId="2" r:id="rId10"/>
    <sheet name="Costs" sheetId="14" r:id="rId11"/>
    <sheet name="NPV" sheetId="26" r:id="rId12"/>
  </sheets>
  <definedNames>
    <definedName name="_xlnm._FilterDatabase" localSheetId="10" hidden="1">Costs!$A$21:$Z$59</definedName>
    <definedName name="Fifty_POE_WEIGHTING">EUE!#REF!</definedName>
    <definedName name="NA">#REF!</definedName>
    <definedName name="Option_3">#REF!</definedName>
    <definedName name="Option_4">#REF!</definedName>
    <definedName name="Option_5">#REF!</definedName>
    <definedName name="Ten_POE_WEIGHTING">EUE!#REF!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4" l="1"/>
  <c r="E10" i="14"/>
  <c r="C9" i="26"/>
  <c r="I9" i="26" s="1"/>
  <c r="C8" i="26"/>
  <c r="I8" i="26" s="1"/>
  <c r="J9" i="26"/>
  <c r="D9" i="26"/>
  <c r="D8" i="26"/>
  <c r="E8" i="26" s="1"/>
  <c r="L1" i="2"/>
  <c r="L8" i="26" l="1"/>
  <c r="K8" i="26"/>
  <c r="K9" i="26"/>
  <c r="L9" i="26"/>
  <c r="E9" i="26"/>
  <c r="K40" i="14"/>
  <c r="G36" i="14"/>
  <c r="G35" i="14"/>
  <c r="G26" i="14"/>
  <c r="L3" i="35" l="1"/>
  <c r="P21" i="3"/>
  <c r="D3" i="35"/>
  <c r="E3" i="35" s="1"/>
  <c r="F3" i="35" s="1"/>
  <c r="G3" i="35" s="1"/>
  <c r="H3" i="35" s="1"/>
  <c r="I3" i="35" s="1"/>
  <c r="J3" i="35" s="1"/>
  <c r="K3" i="35" s="1"/>
  <c r="C61" i="2"/>
  <c r="C60" i="2"/>
  <c r="C59" i="2"/>
  <c r="C58" i="2"/>
  <c r="C57" i="2"/>
  <c r="C56" i="2"/>
  <c r="C55" i="2"/>
  <c r="C54" i="2"/>
  <c r="K57" i="2"/>
  <c r="K58" i="2"/>
  <c r="K59" i="2"/>
  <c r="J61" i="2"/>
  <c r="J60" i="2"/>
  <c r="K55" i="2"/>
  <c r="K56" i="2"/>
  <c r="J58" i="2"/>
  <c r="J59" i="2"/>
  <c r="X40" i="2"/>
  <c r="Y40" i="2" s="1"/>
  <c r="Z40" i="2" s="1"/>
  <c r="X39" i="2"/>
  <c r="Y39" i="2" s="1"/>
  <c r="Z39" i="2" s="1"/>
  <c r="Y38" i="2"/>
  <c r="Z38" i="2" s="1"/>
  <c r="X38" i="2"/>
  <c r="Q40" i="2"/>
  <c r="R40" i="2" s="1"/>
  <c r="S40" i="2" s="1"/>
  <c r="Q39" i="2"/>
  <c r="R39" i="2" s="1"/>
  <c r="S39" i="2" s="1"/>
  <c r="R38" i="2"/>
  <c r="S38" i="2" s="1"/>
  <c r="Q38" i="2"/>
  <c r="K41" i="2"/>
  <c r="L41" i="2" s="1"/>
  <c r="J41" i="2"/>
  <c r="J40" i="2"/>
  <c r="K40" i="2" s="1"/>
  <c r="L40" i="2" s="1"/>
  <c r="J39" i="2"/>
  <c r="K39" i="2" s="1"/>
  <c r="L39" i="2" s="1"/>
  <c r="K38" i="2"/>
  <c r="L38" i="2" s="1"/>
  <c r="J38" i="2"/>
  <c r="L23" i="2" l="1"/>
  <c r="K23" i="2"/>
  <c r="J23" i="2"/>
  <c r="W15" i="2"/>
  <c r="W16" i="2" s="1"/>
  <c r="W14" i="2"/>
  <c r="P16" i="2"/>
  <c r="P15" i="2"/>
  <c r="P14" i="2"/>
  <c r="I14" i="2"/>
  <c r="I15" i="2" s="1"/>
  <c r="I16" i="2" s="1"/>
  <c r="B14" i="2"/>
  <c r="B15" i="2" s="1"/>
  <c r="B16" i="2" s="1"/>
  <c r="B29" i="2"/>
  <c r="B30" i="2" s="1"/>
  <c r="B31" i="2" s="1"/>
  <c r="I29" i="2"/>
  <c r="I30" i="2" s="1"/>
  <c r="I31" i="2" s="1"/>
  <c r="P29" i="2"/>
  <c r="P30" i="2" s="1"/>
  <c r="P31" i="2" s="1"/>
  <c r="W29" i="2"/>
  <c r="W30" i="2" s="1"/>
  <c r="W31" i="2" s="1"/>
  <c r="W44" i="2"/>
  <c r="W45" i="2" s="1"/>
  <c r="W46" i="2" s="1"/>
  <c r="P44" i="2"/>
  <c r="P45" i="2" s="1"/>
  <c r="P46" i="2" s="1"/>
  <c r="I44" i="2"/>
  <c r="I45" i="2" s="1"/>
  <c r="I46" i="2" s="1"/>
  <c r="B46" i="2"/>
  <c r="B45" i="2"/>
  <c r="B44" i="2"/>
  <c r="V1" i="2" l="1"/>
  <c r="H24" i="14" s="1"/>
  <c r="J24" i="14" s="1"/>
  <c r="B60" i="13" l="1"/>
  <c r="B70" i="13" s="1"/>
  <c r="B71" i="13" s="1"/>
  <c r="B60" i="12"/>
  <c r="B61" i="12" s="1"/>
  <c r="L61" i="12"/>
  <c r="K61" i="12"/>
  <c r="J61" i="12"/>
  <c r="I61" i="12"/>
  <c r="H61" i="12"/>
  <c r="G61" i="12"/>
  <c r="F61" i="12"/>
  <c r="E61" i="12"/>
  <c r="L61" i="7"/>
  <c r="K61" i="7"/>
  <c r="J61" i="7"/>
  <c r="I61" i="7"/>
  <c r="H61" i="7"/>
  <c r="G61" i="7"/>
  <c r="F61" i="7"/>
  <c r="E61" i="7"/>
  <c r="L61" i="13"/>
  <c r="K61" i="13"/>
  <c r="J61" i="13"/>
  <c r="I61" i="13"/>
  <c r="H61" i="13"/>
  <c r="G61" i="13"/>
  <c r="F61" i="13"/>
  <c r="E61" i="13"/>
  <c r="L61" i="6"/>
  <c r="K61" i="6"/>
  <c r="J61" i="6"/>
  <c r="I61" i="6"/>
  <c r="H61" i="6"/>
  <c r="G61" i="6"/>
  <c r="F61" i="6"/>
  <c r="E61" i="6"/>
  <c r="D61" i="12"/>
  <c r="D61" i="7"/>
  <c r="D61" i="13"/>
  <c r="D61" i="6"/>
  <c r="B70" i="6"/>
  <c r="B70" i="7"/>
  <c r="B71" i="7"/>
  <c r="B71" i="6"/>
  <c r="B61" i="7"/>
  <c r="B61" i="6"/>
  <c r="B60" i="7"/>
  <c r="B60" i="6"/>
  <c r="B61" i="13" l="1"/>
  <c r="B70" i="12"/>
  <c r="B71" i="12" s="1"/>
  <c r="P88" i="12"/>
  <c r="X88" i="12" s="1"/>
  <c r="P88" i="7"/>
  <c r="P88" i="13"/>
  <c r="W88" i="13" s="1"/>
  <c r="P88" i="6"/>
  <c r="P87" i="12"/>
  <c r="P87" i="7"/>
  <c r="U87" i="7" s="1"/>
  <c r="P87" i="13"/>
  <c r="R87" i="13" s="1"/>
  <c r="P87" i="6"/>
  <c r="P80" i="12"/>
  <c r="P80" i="7"/>
  <c r="P80" i="13"/>
  <c r="P80" i="6"/>
  <c r="P68" i="12"/>
  <c r="Q68" i="12" s="1"/>
  <c r="P68" i="7"/>
  <c r="P68" i="13"/>
  <c r="P68" i="6"/>
  <c r="T68" i="6" s="1"/>
  <c r="Y70" i="12"/>
  <c r="X70" i="12"/>
  <c r="W70" i="12"/>
  <c r="V70" i="12"/>
  <c r="U70" i="12"/>
  <c r="T70" i="12"/>
  <c r="S70" i="12"/>
  <c r="R70" i="12"/>
  <c r="Y70" i="7"/>
  <c r="X70" i="7"/>
  <c r="W70" i="7"/>
  <c r="V70" i="7"/>
  <c r="U70" i="7"/>
  <c r="T70" i="7"/>
  <c r="S70" i="7"/>
  <c r="R70" i="7"/>
  <c r="Y70" i="13"/>
  <c r="X70" i="13"/>
  <c r="W70" i="13"/>
  <c r="V70" i="13"/>
  <c r="U70" i="13"/>
  <c r="T70" i="13"/>
  <c r="S70" i="13"/>
  <c r="R70" i="13"/>
  <c r="Y70" i="6"/>
  <c r="X70" i="6"/>
  <c r="W70" i="6"/>
  <c r="V70" i="6"/>
  <c r="U70" i="6"/>
  <c r="T70" i="6"/>
  <c r="S70" i="6"/>
  <c r="R70" i="6"/>
  <c r="Q70" i="12"/>
  <c r="Q70" i="7"/>
  <c r="Q70" i="13"/>
  <c r="Q70" i="6"/>
  <c r="P69" i="12"/>
  <c r="P69" i="7"/>
  <c r="P69" i="13"/>
  <c r="P69" i="6"/>
  <c r="P82" i="12"/>
  <c r="Q82" i="12" s="1"/>
  <c r="P82" i="7"/>
  <c r="Q82" i="7" s="1"/>
  <c r="P82" i="13"/>
  <c r="W82" i="13" s="1"/>
  <c r="P82" i="6"/>
  <c r="R82" i="6" s="1"/>
  <c r="P64" i="12"/>
  <c r="V64" i="12" s="1"/>
  <c r="P64" i="7"/>
  <c r="W64" i="7" s="1"/>
  <c r="P64" i="13"/>
  <c r="P64" i="6"/>
  <c r="W64" i="6" s="1"/>
  <c r="P48" i="12"/>
  <c r="W48" i="12" s="1"/>
  <c r="P48" i="7"/>
  <c r="Y48" i="7" s="1"/>
  <c r="P48" i="13"/>
  <c r="V48" i="13" s="1"/>
  <c r="P48" i="6"/>
  <c r="Y48" i="6" s="1"/>
  <c r="Y92" i="12"/>
  <c r="X92" i="12"/>
  <c r="W92" i="12"/>
  <c r="V92" i="12"/>
  <c r="U92" i="12"/>
  <c r="T92" i="12"/>
  <c r="S92" i="12"/>
  <c r="R92" i="12"/>
  <c r="Q92" i="12"/>
  <c r="Y92" i="7"/>
  <c r="X92" i="7"/>
  <c r="W92" i="7"/>
  <c r="V92" i="7"/>
  <c r="U92" i="7"/>
  <c r="T92" i="7"/>
  <c r="S92" i="7"/>
  <c r="R92" i="7"/>
  <c r="Q92" i="7"/>
  <c r="Y92" i="13"/>
  <c r="X92" i="13"/>
  <c r="W92" i="13"/>
  <c r="V92" i="13"/>
  <c r="U92" i="13"/>
  <c r="T92" i="13"/>
  <c r="S92" i="13"/>
  <c r="R92" i="13"/>
  <c r="Q92" i="13"/>
  <c r="Y92" i="6"/>
  <c r="X92" i="6"/>
  <c r="W92" i="6"/>
  <c r="V92" i="6"/>
  <c r="U92" i="6"/>
  <c r="T92" i="6"/>
  <c r="S92" i="6"/>
  <c r="R92" i="6"/>
  <c r="Q92" i="6"/>
  <c r="Y77" i="12"/>
  <c r="X77" i="12"/>
  <c r="W77" i="12"/>
  <c r="V77" i="12"/>
  <c r="U77" i="12"/>
  <c r="T77" i="12"/>
  <c r="S77" i="12"/>
  <c r="R77" i="12"/>
  <c r="Q77" i="12"/>
  <c r="Y77" i="7"/>
  <c r="X77" i="7"/>
  <c r="W77" i="7"/>
  <c r="V77" i="7"/>
  <c r="U77" i="7"/>
  <c r="T77" i="7"/>
  <c r="S77" i="7"/>
  <c r="R77" i="7"/>
  <c r="Q77" i="7"/>
  <c r="Y77" i="13"/>
  <c r="X77" i="13"/>
  <c r="W77" i="13"/>
  <c r="V77" i="13"/>
  <c r="U77" i="13"/>
  <c r="T77" i="13"/>
  <c r="S77" i="13"/>
  <c r="R77" i="13"/>
  <c r="Q77" i="13"/>
  <c r="Y77" i="6"/>
  <c r="X77" i="6"/>
  <c r="W77" i="6"/>
  <c r="V77" i="6"/>
  <c r="U77" i="6"/>
  <c r="T77" i="6"/>
  <c r="S77" i="6"/>
  <c r="R77" i="6"/>
  <c r="Q77" i="6"/>
  <c r="Y60" i="12"/>
  <c r="X60" i="12"/>
  <c r="W60" i="12"/>
  <c r="V60" i="12"/>
  <c r="U60" i="12"/>
  <c r="T60" i="12"/>
  <c r="S60" i="12"/>
  <c r="R60" i="12"/>
  <c r="Y60" i="7"/>
  <c r="X60" i="7"/>
  <c r="W60" i="7"/>
  <c r="V60" i="7"/>
  <c r="U60" i="7"/>
  <c r="T60" i="7"/>
  <c r="S60" i="7"/>
  <c r="R60" i="7"/>
  <c r="Y60" i="13"/>
  <c r="X60" i="13"/>
  <c r="W60" i="13"/>
  <c r="V60" i="13"/>
  <c r="U60" i="13"/>
  <c r="T60" i="13"/>
  <c r="S60" i="13"/>
  <c r="R60" i="13"/>
  <c r="Y60" i="6"/>
  <c r="X60" i="6"/>
  <c r="W60" i="6"/>
  <c r="V60" i="6"/>
  <c r="U60" i="6"/>
  <c r="T60" i="6"/>
  <c r="S60" i="6"/>
  <c r="R60" i="6"/>
  <c r="Q60" i="12"/>
  <c r="Q60" i="7"/>
  <c r="Q60" i="13"/>
  <c r="Q60" i="6"/>
  <c r="O59" i="13"/>
  <c r="O76" i="13"/>
  <c r="O59" i="12"/>
  <c r="O76" i="12"/>
  <c r="O77" i="6"/>
  <c r="O77" i="7"/>
  <c r="O92" i="13"/>
  <c r="O77" i="13"/>
  <c r="O60" i="13"/>
  <c r="O92" i="12"/>
  <c r="O77" i="12"/>
  <c r="O60" i="12"/>
  <c r="O92" i="7"/>
  <c r="O92" i="6"/>
  <c r="N92" i="12"/>
  <c r="N92" i="7"/>
  <c r="N92" i="13"/>
  <c r="N92" i="6"/>
  <c r="N77" i="12"/>
  <c r="N77" i="7"/>
  <c r="N77" i="13"/>
  <c r="N77" i="6"/>
  <c r="O60" i="7"/>
  <c r="O60" i="6"/>
  <c r="N60" i="12"/>
  <c r="N60" i="7"/>
  <c r="N60" i="13"/>
  <c r="N60" i="6"/>
  <c r="P83" i="12"/>
  <c r="X83" i="12" s="1"/>
  <c r="P83" i="7"/>
  <c r="W83" i="7" s="1"/>
  <c r="P83" i="13"/>
  <c r="S83" i="13" s="1"/>
  <c r="P83" i="6"/>
  <c r="P65" i="12"/>
  <c r="P65" i="7"/>
  <c r="X65" i="7" s="1"/>
  <c r="P65" i="13"/>
  <c r="W65" i="13" s="1"/>
  <c r="P65" i="6"/>
  <c r="T65" i="6" s="1"/>
  <c r="P49" i="12"/>
  <c r="U49" i="12" s="1"/>
  <c r="P49" i="7"/>
  <c r="U49" i="7" s="1"/>
  <c r="P49" i="13"/>
  <c r="V49" i="13" s="1"/>
  <c r="P49" i="6"/>
  <c r="R49" i="6" s="1"/>
  <c r="Y76" i="12"/>
  <c r="X76" i="12"/>
  <c r="W76" i="12"/>
  <c r="V76" i="12"/>
  <c r="U76" i="12"/>
  <c r="T76" i="12"/>
  <c r="S76" i="12"/>
  <c r="R76" i="12"/>
  <c r="Q76" i="12"/>
  <c r="Y76" i="7"/>
  <c r="X76" i="7"/>
  <c r="W76" i="7"/>
  <c r="V76" i="7"/>
  <c r="U76" i="7"/>
  <c r="T76" i="7"/>
  <c r="S76" i="7"/>
  <c r="R76" i="7"/>
  <c r="Q76" i="7"/>
  <c r="Y76" i="13"/>
  <c r="X76" i="13"/>
  <c r="W76" i="13"/>
  <c r="V76" i="13"/>
  <c r="U76" i="13"/>
  <c r="T76" i="13"/>
  <c r="S76" i="13"/>
  <c r="R76" i="13"/>
  <c r="Q76" i="13"/>
  <c r="Y76" i="6"/>
  <c r="X76" i="6"/>
  <c r="W76" i="6"/>
  <c r="V76" i="6"/>
  <c r="U76" i="6"/>
  <c r="T76" i="6"/>
  <c r="S76" i="6"/>
  <c r="R76" i="6"/>
  <c r="Q76" i="6"/>
  <c r="Y59" i="12"/>
  <c r="X59" i="12"/>
  <c r="W59" i="12"/>
  <c r="V59" i="12"/>
  <c r="U59" i="12"/>
  <c r="T59" i="12"/>
  <c r="S59" i="12"/>
  <c r="R59" i="12"/>
  <c r="Q59" i="12"/>
  <c r="Y59" i="7"/>
  <c r="X59" i="7"/>
  <c r="W59" i="7"/>
  <c r="V59" i="7"/>
  <c r="U59" i="7"/>
  <c r="T59" i="7"/>
  <c r="S59" i="7"/>
  <c r="R59" i="7"/>
  <c r="Q59" i="7"/>
  <c r="Y59" i="13"/>
  <c r="X59" i="13"/>
  <c r="W59" i="13"/>
  <c r="V59" i="13"/>
  <c r="U59" i="13"/>
  <c r="T59" i="13"/>
  <c r="S59" i="13"/>
  <c r="R59" i="13"/>
  <c r="Q59" i="13"/>
  <c r="Y59" i="6"/>
  <c r="X59" i="6"/>
  <c r="W59" i="6"/>
  <c r="V59" i="6"/>
  <c r="U59" i="6"/>
  <c r="T59" i="6"/>
  <c r="S59" i="6"/>
  <c r="R59" i="6"/>
  <c r="Q59" i="6"/>
  <c r="O76" i="7"/>
  <c r="O76" i="6"/>
  <c r="N76" i="12"/>
  <c r="N76" i="7"/>
  <c r="N76" i="13"/>
  <c r="N76" i="6"/>
  <c r="O59" i="7"/>
  <c r="O59" i="6"/>
  <c r="N59" i="12"/>
  <c r="N59" i="7"/>
  <c r="N59" i="13"/>
  <c r="N59" i="6"/>
  <c r="S50" i="12"/>
  <c r="U50" i="13"/>
  <c r="V50" i="6"/>
  <c r="P52" i="12"/>
  <c r="Y52" i="12" s="1"/>
  <c r="P52" i="7"/>
  <c r="X52" i="7" s="1"/>
  <c r="P52" i="13"/>
  <c r="U52" i="13" s="1"/>
  <c r="P52" i="6"/>
  <c r="U52" i="6" s="1"/>
  <c r="X89" i="12"/>
  <c r="K71" i="12" s="1"/>
  <c r="W89" i="12"/>
  <c r="J71" i="12" s="1"/>
  <c r="V89" i="12"/>
  <c r="I71" i="12" s="1"/>
  <c r="U89" i="12"/>
  <c r="H71" i="12" s="1"/>
  <c r="T89" i="12"/>
  <c r="G71" i="12" s="1"/>
  <c r="S89" i="12"/>
  <c r="F71" i="12" s="1"/>
  <c r="R89" i="12"/>
  <c r="E71" i="12" s="1"/>
  <c r="X89" i="7"/>
  <c r="K71" i="7" s="1"/>
  <c r="W89" i="7"/>
  <c r="J71" i="7" s="1"/>
  <c r="V89" i="7"/>
  <c r="I71" i="7" s="1"/>
  <c r="U89" i="7"/>
  <c r="H71" i="7" s="1"/>
  <c r="T89" i="7"/>
  <c r="G71" i="7" s="1"/>
  <c r="S89" i="7"/>
  <c r="F71" i="7" s="1"/>
  <c r="R89" i="7"/>
  <c r="E71" i="7" s="1"/>
  <c r="X89" i="13"/>
  <c r="K71" i="13" s="1"/>
  <c r="W89" i="13"/>
  <c r="J71" i="13" s="1"/>
  <c r="V89" i="13"/>
  <c r="I71" i="13" s="1"/>
  <c r="U89" i="13"/>
  <c r="H71" i="13" s="1"/>
  <c r="T89" i="13"/>
  <c r="G71" i="13" s="1"/>
  <c r="S89" i="13"/>
  <c r="F71" i="13" s="1"/>
  <c r="R89" i="13"/>
  <c r="E71" i="13" s="1"/>
  <c r="X89" i="6"/>
  <c r="K71" i="6" s="1"/>
  <c r="W89" i="6"/>
  <c r="J71" i="6" s="1"/>
  <c r="V89" i="6"/>
  <c r="I71" i="6" s="1"/>
  <c r="U89" i="6"/>
  <c r="H71" i="6" s="1"/>
  <c r="T89" i="6"/>
  <c r="G71" i="6" s="1"/>
  <c r="S89" i="6"/>
  <c r="F71" i="6" s="1"/>
  <c r="R89" i="6"/>
  <c r="E71" i="6" s="1"/>
  <c r="Q89" i="12"/>
  <c r="D71" i="12" s="1"/>
  <c r="Q89" i="7"/>
  <c r="D71" i="7" s="1"/>
  <c r="Q89" i="13"/>
  <c r="D71" i="13" s="1"/>
  <c r="Q89" i="6"/>
  <c r="D71" i="6" s="1"/>
  <c r="Y87" i="12"/>
  <c r="X87" i="12"/>
  <c r="W87" i="12"/>
  <c r="V87" i="12"/>
  <c r="U87" i="12"/>
  <c r="T87" i="12"/>
  <c r="S87" i="12"/>
  <c r="R87" i="12"/>
  <c r="Q87" i="12"/>
  <c r="X87" i="7"/>
  <c r="W87" i="7"/>
  <c r="V87" i="7"/>
  <c r="T87" i="7"/>
  <c r="S87" i="7"/>
  <c r="X87" i="13"/>
  <c r="T87" i="13"/>
  <c r="S87" i="13"/>
  <c r="Y87" i="6"/>
  <c r="X87" i="6"/>
  <c r="W87" i="6"/>
  <c r="V87" i="6"/>
  <c r="U87" i="6"/>
  <c r="T87" i="6"/>
  <c r="S87" i="6"/>
  <c r="R87" i="6"/>
  <c r="Q87" i="6"/>
  <c r="Y82" i="12"/>
  <c r="X82" i="12"/>
  <c r="V82" i="12"/>
  <c r="U82" i="12"/>
  <c r="T82" i="12"/>
  <c r="S82" i="12"/>
  <c r="R82" i="12"/>
  <c r="W82" i="7"/>
  <c r="V82" i="7"/>
  <c r="U82" i="7"/>
  <c r="S82" i="7"/>
  <c r="R82" i="7"/>
  <c r="Y82" i="13"/>
  <c r="X82" i="13"/>
  <c r="T82" i="13"/>
  <c r="S82" i="13"/>
  <c r="R82" i="13"/>
  <c r="Y82" i="6"/>
  <c r="X82" i="6"/>
  <c r="W82" i="6"/>
  <c r="V82" i="6"/>
  <c r="U82" i="6"/>
  <c r="T82" i="6"/>
  <c r="S82" i="6"/>
  <c r="Q82" i="6"/>
  <c r="Y81" i="12"/>
  <c r="X81" i="12"/>
  <c r="W81" i="12"/>
  <c r="V81" i="12"/>
  <c r="U81" i="12"/>
  <c r="T81" i="12"/>
  <c r="S81" i="12"/>
  <c r="R81" i="12"/>
  <c r="Q81" i="12"/>
  <c r="Y81" i="7"/>
  <c r="X81" i="7"/>
  <c r="W81" i="7"/>
  <c r="V81" i="7"/>
  <c r="U81" i="7"/>
  <c r="T81" i="7"/>
  <c r="S81" i="7"/>
  <c r="R81" i="7"/>
  <c r="Q81" i="7"/>
  <c r="Y81" i="13"/>
  <c r="X81" i="13"/>
  <c r="W81" i="13"/>
  <c r="V81" i="13"/>
  <c r="U81" i="13"/>
  <c r="T81" i="13"/>
  <c r="S81" i="13"/>
  <c r="R81" i="13"/>
  <c r="Q81" i="13"/>
  <c r="Y81" i="6"/>
  <c r="X81" i="6"/>
  <c r="W81" i="6"/>
  <c r="V81" i="6"/>
  <c r="U81" i="6"/>
  <c r="T81" i="6"/>
  <c r="S81" i="6"/>
  <c r="R81" i="6"/>
  <c r="Q81" i="6"/>
  <c r="Y73" i="12"/>
  <c r="X73" i="12"/>
  <c r="W73" i="12"/>
  <c r="V73" i="12"/>
  <c r="U73" i="12"/>
  <c r="T73" i="12"/>
  <c r="S73" i="12"/>
  <c r="R73" i="12"/>
  <c r="Q73" i="12"/>
  <c r="Y72" i="12"/>
  <c r="X72" i="12"/>
  <c r="W72" i="12"/>
  <c r="V72" i="12"/>
  <c r="U72" i="12"/>
  <c r="T72" i="12"/>
  <c r="S72" i="12"/>
  <c r="R72" i="12"/>
  <c r="Q72" i="12"/>
  <c r="Y71" i="12"/>
  <c r="X71" i="12"/>
  <c r="W71" i="12"/>
  <c r="V71" i="12"/>
  <c r="U71" i="12"/>
  <c r="T71" i="12"/>
  <c r="S71" i="12"/>
  <c r="R71" i="12"/>
  <c r="Q71" i="12"/>
  <c r="Y73" i="7"/>
  <c r="X73" i="7"/>
  <c r="W73" i="7"/>
  <c r="V73" i="7"/>
  <c r="U73" i="7"/>
  <c r="T73" i="7"/>
  <c r="S73" i="7"/>
  <c r="R73" i="7"/>
  <c r="Q73" i="7"/>
  <c r="Y72" i="7"/>
  <c r="X72" i="7"/>
  <c r="W72" i="7"/>
  <c r="V72" i="7"/>
  <c r="U72" i="7"/>
  <c r="T72" i="7"/>
  <c r="S72" i="7"/>
  <c r="R72" i="7"/>
  <c r="Q72" i="7"/>
  <c r="Y71" i="7"/>
  <c r="X71" i="7"/>
  <c r="W71" i="7"/>
  <c r="V71" i="7"/>
  <c r="U71" i="7"/>
  <c r="T71" i="7"/>
  <c r="S71" i="7"/>
  <c r="R71" i="7"/>
  <c r="Q71" i="7"/>
  <c r="Y73" i="13"/>
  <c r="X73" i="13"/>
  <c r="W73" i="13"/>
  <c r="V73" i="13"/>
  <c r="U73" i="13"/>
  <c r="T73" i="13"/>
  <c r="S73" i="13"/>
  <c r="R73" i="13"/>
  <c r="Q73" i="13"/>
  <c r="Y72" i="13"/>
  <c r="X72" i="13"/>
  <c r="W72" i="13"/>
  <c r="V72" i="13"/>
  <c r="U72" i="13"/>
  <c r="T72" i="13"/>
  <c r="S72" i="13"/>
  <c r="R72" i="13"/>
  <c r="Q72" i="13"/>
  <c r="Y71" i="13"/>
  <c r="X71" i="13"/>
  <c r="W71" i="13"/>
  <c r="V71" i="13"/>
  <c r="U71" i="13"/>
  <c r="T71" i="13"/>
  <c r="S71" i="13"/>
  <c r="R71" i="13"/>
  <c r="Q71" i="13"/>
  <c r="Y73" i="6"/>
  <c r="X73" i="6"/>
  <c r="W73" i="6"/>
  <c r="V73" i="6"/>
  <c r="U73" i="6"/>
  <c r="T73" i="6"/>
  <c r="S73" i="6"/>
  <c r="R73" i="6"/>
  <c r="Q73" i="6"/>
  <c r="Y72" i="6"/>
  <c r="X72" i="6"/>
  <c r="W72" i="6"/>
  <c r="V72" i="6"/>
  <c r="U72" i="6"/>
  <c r="T72" i="6"/>
  <c r="S72" i="6"/>
  <c r="R72" i="6"/>
  <c r="Q72" i="6"/>
  <c r="Y71" i="6"/>
  <c r="X71" i="6"/>
  <c r="W71" i="6"/>
  <c r="V71" i="6"/>
  <c r="U71" i="6"/>
  <c r="T71" i="6"/>
  <c r="S71" i="6"/>
  <c r="R71" i="6"/>
  <c r="Q71" i="6"/>
  <c r="X68" i="12"/>
  <c r="W68" i="12"/>
  <c r="V68" i="12"/>
  <c r="T68" i="12"/>
  <c r="S68" i="12"/>
  <c r="R68" i="12"/>
  <c r="Y68" i="7"/>
  <c r="X68" i="7"/>
  <c r="W68" i="7"/>
  <c r="V68" i="7"/>
  <c r="U68" i="7"/>
  <c r="T68" i="7"/>
  <c r="S68" i="7"/>
  <c r="R68" i="7"/>
  <c r="Q68" i="7"/>
  <c r="Y68" i="13"/>
  <c r="X68" i="13"/>
  <c r="W68" i="13"/>
  <c r="V68" i="13"/>
  <c r="U68" i="13"/>
  <c r="T68" i="13"/>
  <c r="S68" i="13"/>
  <c r="R68" i="13"/>
  <c r="Q68" i="13"/>
  <c r="Y68" i="6"/>
  <c r="W68" i="6"/>
  <c r="V68" i="6"/>
  <c r="U68" i="6"/>
  <c r="R68" i="6"/>
  <c r="Y64" i="12"/>
  <c r="X64" i="12"/>
  <c r="W64" i="12"/>
  <c r="U64" i="12"/>
  <c r="T64" i="12"/>
  <c r="S64" i="12"/>
  <c r="R64" i="12"/>
  <c r="Q64" i="12"/>
  <c r="Y64" i="7"/>
  <c r="X64" i="7"/>
  <c r="V64" i="7"/>
  <c r="U64" i="7"/>
  <c r="T64" i="7"/>
  <c r="R64" i="7"/>
  <c r="Q64" i="7"/>
  <c r="Y64" i="13"/>
  <c r="X64" i="13"/>
  <c r="W64" i="13"/>
  <c r="V64" i="13"/>
  <c r="U64" i="13"/>
  <c r="T64" i="13"/>
  <c r="S64" i="13"/>
  <c r="R64" i="13"/>
  <c r="Q64" i="13"/>
  <c r="Y64" i="6"/>
  <c r="X64" i="6"/>
  <c r="U64" i="6"/>
  <c r="T64" i="6"/>
  <c r="R64" i="6"/>
  <c r="Q64" i="6"/>
  <c r="Y48" i="12"/>
  <c r="X48" i="12"/>
  <c r="R48" i="12"/>
  <c r="W48" i="7"/>
  <c r="V48" i="7"/>
  <c r="U48" i="7"/>
  <c r="T48" i="7"/>
  <c r="Q48" i="7"/>
  <c r="Y48" i="13"/>
  <c r="X48" i="13"/>
  <c r="W48" i="13"/>
  <c r="U48" i="13"/>
  <c r="T48" i="13"/>
  <c r="S48" i="13"/>
  <c r="R48" i="13"/>
  <c r="Q48" i="13"/>
  <c r="R48" i="6"/>
  <c r="Q48" i="6"/>
  <c r="T53" i="7"/>
  <c r="S53" i="6"/>
  <c r="Y56" i="12"/>
  <c r="X56" i="12"/>
  <c r="W56" i="12"/>
  <c r="V56" i="12"/>
  <c r="U56" i="12"/>
  <c r="T56" i="12"/>
  <c r="S56" i="12"/>
  <c r="R56" i="12"/>
  <c r="Q56" i="12"/>
  <c r="Y55" i="12"/>
  <c r="X55" i="12"/>
  <c r="W55" i="12"/>
  <c r="V55" i="12"/>
  <c r="U55" i="12"/>
  <c r="T55" i="12"/>
  <c r="S55" i="12"/>
  <c r="R55" i="12"/>
  <c r="Q55" i="12"/>
  <c r="Y54" i="12"/>
  <c r="X54" i="12"/>
  <c r="W54" i="12"/>
  <c r="V54" i="12"/>
  <c r="U54" i="12"/>
  <c r="T54" i="12"/>
  <c r="S54" i="12"/>
  <c r="R54" i="12"/>
  <c r="Y56" i="7"/>
  <c r="X56" i="7"/>
  <c r="W56" i="7"/>
  <c r="V56" i="7"/>
  <c r="U56" i="7"/>
  <c r="T56" i="7"/>
  <c r="S56" i="7"/>
  <c r="R56" i="7"/>
  <c r="Q56" i="7"/>
  <c r="Y55" i="7"/>
  <c r="X55" i="7"/>
  <c r="W55" i="7"/>
  <c r="V55" i="7"/>
  <c r="U55" i="7"/>
  <c r="T55" i="7"/>
  <c r="S55" i="7"/>
  <c r="R55" i="7"/>
  <c r="Q55" i="7"/>
  <c r="Y54" i="7"/>
  <c r="X54" i="7"/>
  <c r="W54" i="7"/>
  <c r="V54" i="7"/>
  <c r="U54" i="7"/>
  <c r="T54" i="7"/>
  <c r="S54" i="7"/>
  <c r="R54" i="7"/>
  <c r="Y56" i="13"/>
  <c r="X56" i="13"/>
  <c r="W56" i="13"/>
  <c r="V56" i="13"/>
  <c r="U56" i="13"/>
  <c r="T56" i="13"/>
  <c r="S56" i="13"/>
  <c r="R56" i="13"/>
  <c r="Q56" i="13"/>
  <c r="Y55" i="13"/>
  <c r="X55" i="13"/>
  <c r="W55" i="13"/>
  <c r="V55" i="13"/>
  <c r="U55" i="13"/>
  <c r="T55" i="13"/>
  <c r="S55" i="13"/>
  <c r="R55" i="13"/>
  <c r="Q55" i="13"/>
  <c r="Y54" i="13"/>
  <c r="X54" i="13"/>
  <c r="W54" i="13"/>
  <c r="V54" i="13"/>
  <c r="U54" i="13"/>
  <c r="T54" i="13"/>
  <c r="S54" i="13"/>
  <c r="R54" i="13"/>
  <c r="Y56" i="6"/>
  <c r="X56" i="6"/>
  <c r="W56" i="6"/>
  <c r="V56" i="6"/>
  <c r="U56" i="6"/>
  <c r="T56" i="6"/>
  <c r="S56" i="6"/>
  <c r="R56" i="6"/>
  <c r="Q56" i="6"/>
  <c r="Y55" i="6"/>
  <c r="X55" i="6"/>
  <c r="W55" i="6"/>
  <c r="V55" i="6"/>
  <c r="U55" i="6"/>
  <c r="T55" i="6"/>
  <c r="S55" i="6"/>
  <c r="R55" i="6"/>
  <c r="Q55" i="6"/>
  <c r="Y54" i="6"/>
  <c r="X54" i="6"/>
  <c r="W54" i="6"/>
  <c r="V54" i="6"/>
  <c r="U54" i="6"/>
  <c r="T54" i="6"/>
  <c r="S54" i="6"/>
  <c r="R54" i="6"/>
  <c r="Q54" i="12"/>
  <c r="Q54" i="7"/>
  <c r="Q54" i="13"/>
  <c r="Q54" i="6"/>
  <c r="Y84" i="12"/>
  <c r="X84" i="12"/>
  <c r="W84" i="12"/>
  <c r="V84" i="12"/>
  <c r="U84" i="12"/>
  <c r="T84" i="12"/>
  <c r="S84" i="12"/>
  <c r="R84" i="12"/>
  <c r="Y84" i="7"/>
  <c r="X84" i="7"/>
  <c r="W84" i="7"/>
  <c r="V84" i="7"/>
  <c r="U84" i="7"/>
  <c r="T84" i="7"/>
  <c r="S84" i="7"/>
  <c r="R84" i="7"/>
  <c r="Y84" i="13"/>
  <c r="X84" i="13"/>
  <c r="W84" i="13"/>
  <c r="V84" i="13"/>
  <c r="U84" i="13"/>
  <c r="T84" i="13"/>
  <c r="S84" i="13"/>
  <c r="R84" i="13"/>
  <c r="Y84" i="6"/>
  <c r="X84" i="6"/>
  <c r="W84" i="6"/>
  <c r="V84" i="6"/>
  <c r="U84" i="6"/>
  <c r="T84" i="6"/>
  <c r="S84" i="6"/>
  <c r="R84" i="6"/>
  <c r="Q84" i="12"/>
  <c r="Q84" i="7"/>
  <c r="Q84" i="13"/>
  <c r="Q84" i="6"/>
  <c r="S63" i="12"/>
  <c r="Q63" i="12"/>
  <c r="R63" i="7"/>
  <c r="S63" i="13"/>
  <c r="R63" i="13"/>
  <c r="P63" i="12"/>
  <c r="V63" i="12" s="1"/>
  <c r="P63" i="7"/>
  <c r="S63" i="7" s="1"/>
  <c r="P63" i="13"/>
  <c r="Y63" i="13" s="1"/>
  <c r="P63" i="6"/>
  <c r="Y63" i="6" s="1"/>
  <c r="P47" i="12"/>
  <c r="V47" i="12" s="1"/>
  <c r="P47" i="7"/>
  <c r="S47" i="7" s="1"/>
  <c r="P47" i="13"/>
  <c r="U47" i="13" s="1"/>
  <c r="P47" i="6"/>
  <c r="Y47" i="6" s="1"/>
  <c r="X91" i="12"/>
  <c r="W91" i="12"/>
  <c r="V91" i="12"/>
  <c r="U91" i="12"/>
  <c r="T91" i="12"/>
  <c r="S91" i="12"/>
  <c r="R91" i="12"/>
  <c r="Q91" i="12"/>
  <c r="X91" i="7"/>
  <c r="W91" i="7"/>
  <c r="V91" i="7"/>
  <c r="U91" i="7"/>
  <c r="T91" i="7"/>
  <c r="S91" i="7"/>
  <c r="R91" i="7"/>
  <c r="Q91" i="7"/>
  <c r="X91" i="13"/>
  <c r="W91" i="13"/>
  <c r="V91" i="13"/>
  <c r="U91" i="13"/>
  <c r="T91" i="13"/>
  <c r="S91" i="13"/>
  <c r="R91" i="13"/>
  <c r="Q91" i="13"/>
  <c r="X91" i="6"/>
  <c r="W91" i="6"/>
  <c r="V91" i="6"/>
  <c r="U91" i="6"/>
  <c r="T91" i="6"/>
  <c r="S91" i="6"/>
  <c r="R91" i="6"/>
  <c r="Q91" i="6"/>
  <c r="X75" i="12"/>
  <c r="W75" i="12"/>
  <c r="V75" i="12"/>
  <c r="U75" i="12"/>
  <c r="T75" i="12"/>
  <c r="S75" i="12"/>
  <c r="R75" i="12"/>
  <c r="Q75" i="12"/>
  <c r="X75" i="7"/>
  <c r="W75" i="7"/>
  <c r="V75" i="7"/>
  <c r="U75" i="7"/>
  <c r="T75" i="7"/>
  <c r="S75" i="7"/>
  <c r="R75" i="7"/>
  <c r="Q75" i="7"/>
  <c r="X75" i="13"/>
  <c r="W75" i="13"/>
  <c r="V75" i="13"/>
  <c r="U75" i="13"/>
  <c r="T75" i="13"/>
  <c r="S75" i="13"/>
  <c r="R75" i="13"/>
  <c r="Q75" i="13"/>
  <c r="X75" i="6"/>
  <c r="W75" i="6"/>
  <c r="V75" i="6"/>
  <c r="U75" i="6"/>
  <c r="T75" i="6"/>
  <c r="S75" i="6"/>
  <c r="R75" i="6"/>
  <c r="Q75" i="6"/>
  <c r="X58" i="12"/>
  <c r="W58" i="12"/>
  <c r="V58" i="12"/>
  <c r="U58" i="12"/>
  <c r="T58" i="12"/>
  <c r="S58" i="12"/>
  <c r="R58" i="12"/>
  <c r="X58" i="7"/>
  <c r="W58" i="7"/>
  <c r="V58" i="7"/>
  <c r="U58" i="7"/>
  <c r="T58" i="7"/>
  <c r="S58" i="7"/>
  <c r="R58" i="7"/>
  <c r="X58" i="13"/>
  <c r="W58" i="13"/>
  <c r="V58" i="13"/>
  <c r="U58" i="13"/>
  <c r="T58" i="13"/>
  <c r="S58" i="13"/>
  <c r="R58" i="13"/>
  <c r="X58" i="6"/>
  <c r="W58" i="6"/>
  <c r="V58" i="6"/>
  <c r="U58" i="6"/>
  <c r="T58" i="6"/>
  <c r="S58" i="6"/>
  <c r="R58" i="6"/>
  <c r="Q58" i="12"/>
  <c r="Q58" i="7"/>
  <c r="Q58" i="13"/>
  <c r="Q58" i="6"/>
  <c r="O58" i="13"/>
  <c r="O75" i="13"/>
  <c r="O91" i="13"/>
  <c r="O58" i="12"/>
  <c r="O75" i="12"/>
  <c r="O91" i="12"/>
  <c r="O91" i="7"/>
  <c r="O91" i="6"/>
  <c r="N91" i="12"/>
  <c r="N91" i="7"/>
  <c r="N91" i="13"/>
  <c r="N91" i="6"/>
  <c r="O75" i="7"/>
  <c r="O75" i="6"/>
  <c r="N75" i="12"/>
  <c r="N75" i="7"/>
  <c r="N75" i="13"/>
  <c r="N75" i="6"/>
  <c r="O58" i="7"/>
  <c r="O58" i="6"/>
  <c r="N58" i="12"/>
  <c r="N58" i="7"/>
  <c r="N58" i="13"/>
  <c r="N58" i="6"/>
  <c r="O90" i="13"/>
  <c r="O74" i="13"/>
  <c r="O57" i="13"/>
  <c r="O57" i="12"/>
  <c r="O74" i="12"/>
  <c r="O90" i="12"/>
  <c r="X90" i="12"/>
  <c r="W90" i="12"/>
  <c r="V90" i="12"/>
  <c r="U90" i="12"/>
  <c r="T90" i="12"/>
  <c r="S90" i="12"/>
  <c r="R90" i="12"/>
  <c r="Q90" i="12"/>
  <c r="X90" i="7"/>
  <c r="W90" i="7"/>
  <c r="V90" i="7"/>
  <c r="U90" i="7"/>
  <c r="T90" i="7"/>
  <c r="S90" i="7"/>
  <c r="R90" i="7"/>
  <c r="Q90" i="7"/>
  <c r="X90" i="13"/>
  <c r="W90" i="13"/>
  <c r="V90" i="13"/>
  <c r="U90" i="13"/>
  <c r="T90" i="13"/>
  <c r="S90" i="13"/>
  <c r="R90" i="13"/>
  <c r="Q90" i="13"/>
  <c r="X90" i="6"/>
  <c r="W90" i="6"/>
  <c r="V90" i="6"/>
  <c r="U90" i="6"/>
  <c r="T90" i="6"/>
  <c r="S90" i="6"/>
  <c r="R90" i="6"/>
  <c r="Q90" i="6"/>
  <c r="X74" i="12"/>
  <c r="W74" i="12"/>
  <c r="V74" i="12"/>
  <c r="U74" i="12"/>
  <c r="T74" i="12"/>
  <c r="S74" i="12"/>
  <c r="R74" i="12"/>
  <c r="Q74" i="12"/>
  <c r="X74" i="7"/>
  <c r="W74" i="7"/>
  <c r="V74" i="7"/>
  <c r="U74" i="7"/>
  <c r="T74" i="7"/>
  <c r="S74" i="7"/>
  <c r="R74" i="7"/>
  <c r="Q74" i="7"/>
  <c r="X74" i="13"/>
  <c r="W74" i="13"/>
  <c r="V74" i="13"/>
  <c r="U74" i="13"/>
  <c r="T74" i="13"/>
  <c r="S74" i="13"/>
  <c r="R74" i="13"/>
  <c r="Q74" i="13"/>
  <c r="X74" i="6"/>
  <c r="W74" i="6"/>
  <c r="V74" i="6"/>
  <c r="U74" i="6"/>
  <c r="T74" i="6"/>
  <c r="S74" i="6"/>
  <c r="R74" i="6"/>
  <c r="Q74" i="6"/>
  <c r="X57" i="12"/>
  <c r="W57" i="12"/>
  <c r="V57" i="12"/>
  <c r="U57" i="12"/>
  <c r="T57" i="12"/>
  <c r="S57" i="12"/>
  <c r="R57" i="12"/>
  <c r="X57" i="7"/>
  <c r="W57" i="7"/>
  <c r="V57" i="7"/>
  <c r="U57" i="7"/>
  <c r="T57" i="7"/>
  <c r="S57" i="7"/>
  <c r="R57" i="7"/>
  <c r="X57" i="13"/>
  <c r="W57" i="13"/>
  <c r="V57" i="13"/>
  <c r="U57" i="13"/>
  <c r="T57" i="13"/>
  <c r="S57" i="13"/>
  <c r="R57" i="13"/>
  <c r="X57" i="6"/>
  <c r="W57" i="6"/>
  <c r="V57" i="6"/>
  <c r="U57" i="6"/>
  <c r="T57" i="6"/>
  <c r="S57" i="6"/>
  <c r="R57" i="6"/>
  <c r="Q57" i="12"/>
  <c r="Q57" i="7"/>
  <c r="Q57" i="13"/>
  <c r="Q57" i="6"/>
  <c r="O57" i="7"/>
  <c r="O57" i="6"/>
  <c r="N57" i="12"/>
  <c r="N57" i="7"/>
  <c r="N57" i="13"/>
  <c r="N57" i="6"/>
  <c r="O90" i="7"/>
  <c r="O90" i="6"/>
  <c r="N90" i="12"/>
  <c r="N90" i="7"/>
  <c r="N90" i="13"/>
  <c r="N90" i="6"/>
  <c r="O74" i="7"/>
  <c r="O74" i="6"/>
  <c r="N74" i="12"/>
  <c r="N74" i="7"/>
  <c r="N74" i="13"/>
  <c r="N74" i="6"/>
  <c r="W88" i="12"/>
  <c r="R88" i="12"/>
  <c r="Q88" i="12"/>
  <c r="X88" i="7"/>
  <c r="W88" i="7"/>
  <c r="V88" i="7"/>
  <c r="U88" i="7"/>
  <c r="T88" i="7"/>
  <c r="S88" i="7"/>
  <c r="R88" i="7"/>
  <c r="Q88" i="7"/>
  <c r="V88" i="13"/>
  <c r="U88" i="13"/>
  <c r="T88" i="13"/>
  <c r="S88" i="13"/>
  <c r="R88" i="13"/>
  <c r="Q88" i="13"/>
  <c r="X88" i="6"/>
  <c r="W88" i="6"/>
  <c r="V88" i="6"/>
  <c r="U88" i="6"/>
  <c r="T88" i="6"/>
  <c r="S88" i="6"/>
  <c r="R88" i="6"/>
  <c r="Q88" i="6"/>
  <c r="X69" i="12"/>
  <c r="W69" i="12"/>
  <c r="V69" i="12"/>
  <c r="U69" i="12"/>
  <c r="T69" i="12"/>
  <c r="S69" i="12"/>
  <c r="R69" i="12"/>
  <c r="Q69" i="12"/>
  <c r="X69" i="7"/>
  <c r="W69" i="7"/>
  <c r="V69" i="7"/>
  <c r="U69" i="7"/>
  <c r="T69" i="7"/>
  <c r="S69" i="7"/>
  <c r="R69" i="7"/>
  <c r="Q69" i="7"/>
  <c r="X69" i="13"/>
  <c r="W69" i="13"/>
  <c r="V69" i="13"/>
  <c r="U69" i="13"/>
  <c r="T69" i="13"/>
  <c r="S69" i="13"/>
  <c r="R69" i="13"/>
  <c r="Q69" i="13"/>
  <c r="X69" i="6"/>
  <c r="W69" i="6"/>
  <c r="V69" i="6"/>
  <c r="U69" i="6"/>
  <c r="T69" i="6"/>
  <c r="S69" i="6"/>
  <c r="R69" i="6"/>
  <c r="Q69" i="6"/>
  <c r="U53" i="7"/>
  <c r="V53" i="6"/>
  <c r="X67" i="12"/>
  <c r="W67" i="12"/>
  <c r="V67" i="12"/>
  <c r="U67" i="12"/>
  <c r="T67" i="12"/>
  <c r="S67" i="12"/>
  <c r="R67" i="12"/>
  <c r="Q67" i="12"/>
  <c r="X67" i="7"/>
  <c r="K60" i="7" s="1"/>
  <c r="W67" i="7"/>
  <c r="J60" i="7" s="1"/>
  <c r="V67" i="7"/>
  <c r="I60" i="7" s="1"/>
  <c r="U67" i="7"/>
  <c r="H60" i="7" s="1"/>
  <c r="T67" i="7"/>
  <c r="S67" i="7"/>
  <c r="R67" i="7"/>
  <c r="Q67" i="7"/>
  <c r="X67" i="13"/>
  <c r="W67" i="13"/>
  <c r="V67" i="13"/>
  <c r="U67" i="13"/>
  <c r="T67" i="13"/>
  <c r="G60" i="13" s="1"/>
  <c r="S67" i="13"/>
  <c r="F60" i="13" s="1"/>
  <c r="R67" i="13"/>
  <c r="Q67" i="13"/>
  <c r="D60" i="13" s="1"/>
  <c r="X67" i="6"/>
  <c r="K60" i="6" s="1"/>
  <c r="W67" i="6"/>
  <c r="V67" i="6"/>
  <c r="U67" i="6"/>
  <c r="T67" i="6"/>
  <c r="S67" i="6"/>
  <c r="R67" i="6"/>
  <c r="Q67" i="6"/>
  <c r="X51" i="12"/>
  <c r="W51" i="12"/>
  <c r="V51" i="12"/>
  <c r="U51" i="12"/>
  <c r="T51" i="12"/>
  <c r="S51" i="12"/>
  <c r="R51" i="12"/>
  <c r="X51" i="7"/>
  <c r="W51" i="7"/>
  <c r="V51" i="7"/>
  <c r="U51" i="7"/>
  <c r="T51" i="7"/>
  <c r="S51" i="7"/>
  <c r="R51" i="7"/>
  <c r="X51" i="13"/>
  <c r="W51" i="13"/>
  <c r="V51" i="13"/>
  <c r="U51" i="13"/>
  <c r="T51" i="13"/>
  <c r="S51" i="13"/>
  <c r="R51" i="13"/>
  <c r="X51" i="6"/>
  <c r="W51" i="6"/>
  <c r="V51" i="6"/>
  <c r="U51" i="6"/>
  <c r="T51" i="6"/>
  <c r="S51" i="6"/>
  <c r="R51" i="6"/>
  <c r="Q51" i="12"/>
  <c r="Q51" i="7"/>
  <c r="Q51" i="13"/>
  <c r="Q51" i="6"/>
  <c r="X85" i="12"/>
  <c r="W85" i="12"/>
  <c r="V85" i="12"/>
  <c r="U85" i="12"/>
  <c r="T85" i="12"/>
  <c r="S85" i="12"/>
  <c r="R85" i="12"/>
  <c r="Q85" i="12"/>
  <c r="X85" i="7"/>
  <c r="W85" i="7"/>
  <c r="V85" i="7"/>
  <c r="U85" i="7"/>
  <c r="T85" i="7"/>
  <c r="S85" i="7"/>
  <c r="R85" i="7"/>
  <c r="Q85" i="7"/>
  <c r="X85" i="13"/>
  <c r="W85" i="13"/>
  <c r="V85" i="13"/>
  <c r="U85" i="13"/>
  <c r="T85" i="13"/>
  <c r="S85" i="13"/>
  <c r="R85" i="13"/>
  <c r="Q85" i="13"/>
  <c r="X85" i="6"/>
  <c r="W85" i="6"/>
  <c r="V85" i="6"/>
  <c r="U85" i="6"/>
  <c r="T85" i="6"/>
  <c r="S85" i="6"/>
  <c r="R85" i="6"/>
  <c r="Q85" i="6"/>
  <c r="X66" i="12"/>
  <c r="W66" i="12"/>
  <c r="V66" i="12"/>
  <c r="U66" i="12"/>
  <c r="T66" i="12"/>
  <c r="S66" i="12"/>
  <c r="R66" i="12"/>
  <c r="Q66" i="12"/>
  <c r="X66" i="7"/>
  <c r="W66" i="7"/>
  <c r="V66" i="7"/>
  <c r="U66" i="7"/>
  <c r="T66" i="7"/>
  <c r="S66" i="7"/>
  <c r="R66" i="7"/>
  <c r="Q66" i="7"/>
  <c r="X66" i="13"/>
  <c r="W66" i="13"/>
  <c r="V66" i="13"/>
  <c r="U66" i="13"/>
  <c r="T66" i="13"/>
  <c r="S66" i="13"/>
  <c r="R66" i="13"/>
  <c r="Q66" i="13"/>
  <c r="X66" i="6"/>
  <c r="W66" i="6"/>
  <c r="V66" i="6"/>
  <c r="U66" i="6"/>
  <c r="T66" i="6"/>
  <c r="S66" i="6"/>
  <c r="R66" i="6"/>
  <c r="Q66" i="6"/>
  <c r="X50" i="12"/>
  <c r="W50" i="12"/>
  <c r="V50" i="12"/>
  <c r="U50" i="12"/>
  <c r="T50" i="12"/>
  <c r="R50" i="12"/>
  <c r="X50" i="7"/>
  <c r="W50" i="7"/>
  <c r="V50" i="7"/>
  <c r="U50" i="7"/>
  <c r="T50" i="7"/>
  <c r="S50" i="7"/>
  <c r="R50" i="7"/>
  <c r="U50" i="6"/>
  <c r="T50" i="6"/>
  <c r="S50" i="6"/>
  <c r="R50" i="6"/>
  <c r="Q50" i="12"/>
  <c r="Q50" i="7"/>
  <c r="V83" i="12"/>
  <c r="U83" i="12"/>
  <c r="S83" i="12"/>
  <c r="Q83" i="12"/>
  <c r="X83" i="7"/>
  <c r="U83" i="7"/>
  <c r="X83" i="13"/>
  <c r="W83" i="13"/>
  <c r="T83" i="13"/>
  <c r="R83" i="13"/>
  <c r="X83" i="6"/>
  <c r="W83" i="6"/>
  <c r="V83" i="6"/>
  <c r="U83" i="6"/>
  <c r="T83" i="6"/>
  <c r="S83" i="6"/>
  <c r="R83" i="6"/>
  <c r="Q83" i="6"/>
  <c r="X65" i="12"/>
  <c r="W65" i="12"/>
  <c r="V65" i="12"/>
  <c r="U65" i="12"/>
  <c r="T65" i="12"/>
  <c r="S65" i="12"/>
  <c r="R65" i="12"/>
  <c r="Q65" i="12"/>
  <c r="V65" i="13"/>
  <c r="U65" i="13"/>
  <c r="X65" i="6"/>
  <c r="U65" i="6"/>
  <c r="W49" i="12"/>
  <c r="V49" i="12"/>
  <c r="W49" i="7"/>
  <c r="K54" i="2"/>
  <c r="J57" i="2"/>
  <c r="J56" i="2"/>
  <c r="J55" i="2"/>
  <c r="J54" i="2"/>
  <c r="S64" i="6" l="1"/>
  <c r="V64" i="6"/>
  <c r="S48" i="6"/>
  <c r="T48" i="6"/>
  <c r="U48" i="6"/>
  <c r="V48" i="6"/>
  <c r="W48" i="6"/>
  <c r="X48" i="6"/>
  <c r="H60" i="13"/>
  <c r="J60" i="13"/>
  <c r="K60" i="13"/>
  <c r="I60" i="13"/>
  <c r="E60" i="13"/>
  <c r="F60" i="7"/>
  <c r="G60" i="7"/>
  <c r="D60" i="7"/>
  <c r="E60" i="7"/>
  <c r="I60" i="12"/>
  <c r="J60" i="12"/>
  <c r="G60" i="12"/>
  <c r="H60" i="12"/>
  <c r="D60" i="12"/>
  <c r="K60" i="12"/>
  <c r="E60" i="12"/>
  <c r="F60" i="12"/>
  <c r="H60" i="6"/>
  <c r="I60" i="6"/>
  <c r="F60" i="6"/>
  <c r="G60" i="6"/>
  <c r="D60" i="6"/>
  <c r="J60" i="6"/>
  <c r="E60" i="6"/>
  <c r="Q49" i="12"/>
  <c r="V49" i="6"/>
  <c r="V49" i="7"/>
  <c r="V65" i="6"/>
  <c r="W65" i="6"/>
  <c r="X65" i="13"/>
  <c r="Q65" i="6"/>
  <c r="R65" i="6"/>
  <c r="S65" i="6"/>
  <c r="T83" i="12"/>
  <c r="Q83" i="13"/>
  <c r="W83" i="12"/>
  <c r="R83" i="12"/>
  <c r="U83" i="13"/>
  <c r="V83" i="13"/>
  <c r="V83" i="7"/>
  <c r="X88" i="13"/>
  <c r="T88" i="12"/>
  <c r="S88" i="12"/>
  <c r="U88" i="12"/>
  <c r="V88" i="12"/>
  <c r="U87" i="13"/>
  <c r="V87" i="13"/>
  <c r="Y87" i="7"/>
  <c r="W87" i="13"/>
  <c r="Y87" i="13"/>
  <c r="Q87" i="7"/>
  <c r="R87" i="7"/>
  <c r="Q87" i="13"/>
  <c r="X68" i="6"/>
  <c r="U68" i="12"/>
  <c r="Y68" i="12"/>
  <c r="Q68" i="6"/>
  <c r="S68" i="6"/>
  <c r="Q82" i="13"/>
  <c r="T82" i="7"/>
  <c r="W82" i="12"/>
  <c r="U82" i="13"/>
  <c r="X82" i="7"/>
  <c r="V82" i="13"/>
  <c r="Y82" i="7"/>
  <c r="S64" i="7"/>
  <c r="R48" i="7"/>
  <c r="S48" i="7"/>
  <c r="X48" i="7"/>
  <c r="Q48" i="12"/>
  <c r="S48" i="12"/>
  <c r="T48" i="12"/>
  <c r="U48" i="12"/>
  <c r="V48" i="12"/>
  <c r="T63" i="7"/>
  <c r="R49" i="12"/>
  <c r="Y63" i="7"/>
  <c r="S52" i="6"/>
  <c r="T49" i="12"/>
  <c r="W63" i="12"/>
  <c r="X49" i="12"/>
  <c r="Q65" i="7"/>
  <c r="S47" i="13"/>
  <c r="Y63" i="12"/>
  <c r="X49" i="7"/>
  <c r="R65" i="7"/>
  <c r="V47" i="7"/>
  <c r="S65" i="7"/>
  <c r="W47" i="7"/>
  <c r="Q49" i="7"/>
  <c r="T65" i="7"/>
  <c r="X47" i="7"/>
  <c r="X49" i="6"/>
  <c r="R49" i="13"/>
  <c r="S49" i="13"/>
  <c r="W47" i="12"/>
  <c r="U63" i="13"/>
  <c r="W52" i="6"/>
  <c r="T63" i="13"/>
  <c r="T52" i="6"/>
  <c r="T49" i="13"/>
  <c r="X47" i="12"/>
  <c r="V63" i="13"/>
  <c r="X63" i="12"/>
  <c r="Y52" i="6"/>
  <c r="Q49" i="6"/>
  <c r="U49" i="13"/>
  <c r="Y47" i="12"/>
  <c r="W63" i="13"/>
  <c r="Q49" i="13"/>
  <c r="R63" i="6"/>
  <c r="X49" i="13"/>
  <c r="R47" i="13"/>
  <c r="S63" i="6"/>
  <c r="U63" i="7"/>
  <c r="T63" i="6"/>
  <c r="V63" i="7"/>
  <c r="Q63" i="6"/>
  <c r="W49" i="13"/>
  <c r="R49" i="7"/>
  <c r="T49" i="6"/>
  <c r="S49" i="7"/>
  <c r="T47" i="13"/>
  <c r="V63" i="6"/>
  <c r="W63" i="7"/>
  <c r="S49" i="6"/>
  <c r="U49" i="6"/>
  <c r="T49" i="7"/>
  <c r="U47" i="7"/>
  <c r="Q63" i="13"/>
  <c r="X63" i="7"/>
  <c r="Q83" i="7"/>
  <c r="R83" i="7"/>
  <c r="S83" i="7"/>
  <c r="T83" i="7"/>
  <c r="Q65" i="13"/>
  <c r="U65" i="7"/>
  <c r="R65" i="13"/>
  <c r="V65" i="7"/>
  <c r="S65" i="13"/>
  <c r="W65" i="7"/>
  <c r="T65" i="13"/>
  <c r="W49" i="6"/>
  <c r="S49" i="12"/>
  <c r="Q47" i="13"/>
  <c r="T47" i="7"/>
  <c r="T47" i="6"/>
  <c r="W47" i="13"/>
  <c r="Q47" i="12"/>
  <c r="X52" i="13"/>
  <c r="R47" i="6"/>
  <c r="W50" i="6"/>
  <c r="V47" i="13"/>
  <c r="T50" i="13"/>
  <c r="U47" i="6"/>
  <c r="X47" i="13"/>
  <c r="R47" i="12"/>
  <c r="U63" i="6"/>
  <c r="X63" i="13"/>
  <c r="R63" i="12"/>
  <c r="W52" i="7"/>
  <c r="X50" i="6"/>
  <c r="V47" i="6"/>
  <c r="Y47" i="13"/>
  <c r="S47" i="12"/>
  <c r="R52" i="12"/>
  <c r="Q47" i="6"/>
  <c r="V50" i="13"/>
  <c r="W50" i="13"/>
  <c r="W47" i="6"/>
  <c r="Q47" i="7"/>
  <c r="T47" i="12"/>
  <c r="W63" i="6"/>
  <c r="Q63" i="7"/>
  <c r="T63" i="12"/>
  <c r="U52" i="12"/>
  <c r="R52" i="13"/>
  <c r="W52" i="13"/>
  <c r="X47" i="6"/>
  <c r="R47" i="7"/>
  <c r="U47" i="12"/>
  <c r="X63" i="6"/>
  <c r="U63" i="12"/>
  <c r="Q52" i="6"/>
  <c r="V52" i="13"/>
  <c r="S47" i="6"/>
  <c r="Y47" i="7"/>
  <c r="Q50" i="6"/>
  <c r="X50" i="13"/>
  <c r="R52" i="6"/>
  <c r="X52" i="6"/>
  <c r="R50" i="13"/>
  <c r="S50" i="13"/>
  <c r="Q50" i="13"/>
  <c r="Q52" i="12"/>
  <c r="Y52" i="7"/>
  <c r="Q52" i="7"/>
  <c r="R52" i="7"/>
  <c r="S52" i="7"/>
  <c r="S52" i="12"/>
  <c r="T52" i="12"/>
  <c r="Y52" i="13"/>
  <c r="T52" i="7"/>
  <c r="U52" i="7"/>
  <c r="V52" i="7"/>
  <c r="V52" i="12"/>
  <c r="X52" i="12"/>
  <c r="V52" i="6"/>
  <c r="Q53" i="6"/>
  <c r="Q52" i="13"/>
  <c r="W52" i="12"/>
  <c r="T53" i="6"/>
  <c r="S52" i="13"/>
  <c r="U53" i="6"/>
  <c r="T52" i="13"/>
  <c r="X53" i="6"/>
  <c r="V53" i="13"/>
  <c r="V53" i="7"/>
  <c r="X53" i="7"/>
  <c r="S53" i="7"/>
  <c r="T53" i="12"/>
  <c r="W53" i="6"/>
  <c r="W53" i="7"/>
  <c r="U53" i="12"/>
  <c r="R53" i="6"/>
  <c r="Q53" i="7"/>
  <c r="R53" i="7"/>
  <c r="L53" i="2"/>
  <c r="K53" i="2"/>
  <c r="J53" i="2"/>
  <c r="E53" i="2"/>
  <c r="D53" i="2"/>
  <c r="C53" i="2"/>
  <c r="W53" i="12" l="1"/>
  <c r="X53" i="12"/>
  <c r="V53" i="12"/>
  <c r="R53" i="12"/>
  <c r="Q53" i="12"/>
  <c r="S53" i="12"/>
  <c r="S53" i="13"/>
  <c r="R53" i="13"/>
  <c r="X53" i="13"/>
  <c r="Q53" i="13"/>
  <c r="W53" i="13"/>
  <c r="U53" i="13"/>
  <c r="T53" i="13"/>
  <c r="Z61" i="2"/>
  <c r="Y61" i="2"/>
  <c r="Z60" i="2"/>
  <c r="Y60" i="2"/>
  <c r="Z59" i="2"/>
  <c r="Y59" i="2"/>
  <c r="Z58" i="2"/>
  <c r="Y58" i="2"/>
  <c r="Z57" i="2"/>
  <c r="Y57" i="2"/>
  <c r="Z56" i="2"/>
  <c r="Y56" i="2"/>
  <c r="Z55" i="2"/>
  <c r="Y55" i="2"/>
  <c r="Z54" i="2"/>
  <c r="Y54" i="2"/>
  <c r="Z53" i="2"/>
  <c r="Y53" i="2"/>
  <c r="E76" i="2"/>
  <c r="D76" i="2"/>
  <c r="C76" i="2"/>
  <c r="E75" i="2"/>
  <c r="D75" i="2"/>
  <c r="C75" i="2"/>
  <c r="E74" i="2"/>
  <c r="D74" i="2"/>
  <c r="C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E68" i="2"/>
  <c r="D68" i="2"/>
  <c r="C68" i="2"/>
  <c r="B69" i="13" l="1"/>
  <c r="B69" i="12"/>
  <c r="B68" i="13"/>
  <c r="B68" i="12"/>
  <c r="B59" i="13"/>
  <c r="B59" i="12"/>
  <c r="B58" i="13"/>
  <c r="B58" i="12"/>
  <c r="B57" i="13"/>
  <c r="B57" i="12"/>
  <c r="B50" i="13"/>
  <c r="B50" i="12"/>
  <c r="B49" i="13"/>
  <c r="B49" i="12"/>
  <c r="B48" i="13"/>
  <c r="B48" i="12"/>
  <c r="B47" i="13"/>
  <c r="B47" i="12"/>
  <c r="B47" i="7"/>
  <c r="B48" i="7"/>
  <c r="B49" i="7"/>
  <c r="K69" i="13"/>
  <c r="J69" i="13"/>
  <c r="I69" i="13"/>
  <c r="H69" i="13"/>
  <c r="G69" i="13"/>
  <c r="F69" i="13"/>
  <c r="E69" i="13"/>
  <c r="D69" i="13"/>
  <c r="A69" i="13"/>
  <c r="C68" i="13"/>
  <c r="G68" i="13" s="1"/>
  <c r="A68" i="13"/>
  <c r="A59" i="13"/>
  <c r="A58" i="13"/>
  <c r="G57" i="13"/>
  <c r="G59" i="13" s="1"/>
  <c r="D57" i="13"/>
  <c r="D59" i="13" s="1"/>
  <c r="C57" i="13"/>
  <c r="C59" i="13" s="1"/>
  <c r="A57" i="13"/>
  <c r="C50" i="13"/>
  <c r="A50" i="13"/>
  <c r="L49" i="13"/>
  <c r="K49" i="13"/>
  <c r="J49" i="13"/>
  <c r="I49" i="13"/>
  <c r="H49" i="13"/>
  <c r="G49" i="13"/>
  <c r="F49" i="13"/>
  <c r="E49" i="13"/>
  <c r="D49" i="13"/>
  <c r="A49" i="13"/>
  <c r="C48" i="13"/>
  <c r="K48" i="13" s="1"/>
  <c r="A48" i="13"/>
  <c r="K47" i="13"/>
  <c r="K50" i="13" s="1"/>
  <c r="J47" i="13"/>
  <c r="J50" i="13" s="1"/>
  <c r="I47" i="13"/>
  <c r="I50" i="13" s="1"/>
  <c r="H47" i="13"/>
  <c r="H50" i="13" s="1"/>
  <c r="G47" i="13"/>
  <c r="G50" i="13" s="1"/>
  <c r="F47" i="13"/>
  <c r="F50" i="13" s="1"/>
  <c r="E47" i="13"/>
  <c r="E50" i="13" s="1"/>
  <c r="D47" i="13"/>
  <c r="D50" i="13" s="1"/>
  <c r="A47" i="13"/>
  <c r="K69" i="7"/>
  <c r="J69" i="7"/>
  <c r="I69" i="7"/>
  <c r="H69" i="7"/>
  <c r="G69" i="7"/>
  <c r="F69" i="7"/>
  <c r="E69" i="7"/>
  <c r="D69" i="7"/>
  <c r="B69" i="7"/>
  <c r="A69" i="7"/>
  <c r="C68" i="7"/>
  <c r="G68" i="7" s="1"/>
  <c r="B68" i="7"/>
  <c r="A68" i="7"/>
  <c r="B59" i="7"/>
  <c r="A59" i="7"/>
  <c r="B58" i="7"/>
  <c r="A58" i="7"/>
  <c r="C57" i="7"/>
  <c r="C59" i="7" s="1"/>
  <c r="B57" i="7"/>
  <c r="A57" i="7"/>
  <c r="C50" i="7"/>
  <c r="B50" i="7"/>
  <c r="A50" i="7"/>
  <c r="L49" i="7"/>
  <c r="K49" i="7"/>
  <c r="J49" i="7"/>
  <c r="I49" i="7"/>
  <c r="H49" i="7"/>
  <c r="G49" i="7"/>
  <c r="F49" i="7"/>
  <c r="E49" i="7"/>
  <c r="D49" i="7"/>
  <c r="A49" i="7"/>
  <c r="C48" i="7"/>
  <c r="K48" i="7" s="1"/>
  <c r="A48" i="7"/>
  <c r="K47" i="7"/>
  <c r="K50" i="7" s="1"/>
  <c r="J47" i="7"/>
  <c r="J50" i="7" s="1"/>
  <c r="I47" i="7"/>
  <c r="I50" i="7" s="1"/>
  <c r="H47" i="7"/>
  <c r="H50" i="7" s="1"/>
  <c r="G47" i="7"/>
  <c r="G50" i="7" s="1"/>
  <c r="F47" i="7"/>
  <c r="F50" i="7" s="1"/>
  <c r="E47" i="7"/>
  <c r="E50" i="7" s="1"/>
  <c r="D47" i="7"/>
  <c r="D50" i="7" s="1"/>
  <c r="A47" i="7"/>
  <c r="K69" i="12"/>
  <c r="J69" i="12"/>
  <c r="I69" i="12"/>
  <c r="H69" i="12"/>
  <c r="G69" i="12"/>
  <c r="F69" i="12"/>
  <c r="E69" i="12"/>
  <c r="D69" i="12"/>
  <c r="A69" i="12"/>
  <c r="C68" i="12"/>
  <c r="F68" i="12" s="1"/>
  <c r="A68" i="12"/>
  <c r="A59" i="12"/>
  <c r="A58" i="12"/>
  <c r="C57" i="12"/>
  <c r="J57" i="12" s="1"/>
  <c r="J59" i="12" s="1"/>
  <c r="A57" i="12"/>
  <c r="C50" i="12"/>
  <c r="A50" i="12"/>
  <c r="L49" i="12"/>
  <c r="K49" i="12"/>
  <c r="J49" i="12"/>
  <c r="I49" i="12"/>
  <c r="H49" i="12"/>
  <c r="G49" i="12"/>
  <c r="F49" i="12"/>
  <c r="E49" i="12"/>
  <c r="D49" i="12"/>
  <c r="A49" i="12"/>
  <c r="C48" i="12"/>
  <c r="K48" i="12" s="1"/>
  <c r="A48" i="12"/>
  <c r="K47" i="12"/>
  <c r="K50" i="12" s="1"/>
  <c r="J47" i="12"/>
  <c r="J50" i="12" s="1"/>
  <c r="I47" i="12"/>
  <c r="I50" i="12" s="1"/>
  <c r="H47" i="12"/>
  <c r="H50" i="12" s="1"/>
  <c r="G47" i="12"/>
  <c r="G50" i="12" s="1"/>
  <c r="F47" i="12"/>
  <c r="F50" i="12" s="1"/>
  <c r="E47" i="12"/>
  <c r="E50" i="12" s="1"/>
  <c r="D47" i="12"/>
  <c r="D50" i="12" s="1"/>
  <c r="A47" i="12"/>
  <c r="C50" i="6"/>
  <c r="B50" i="6"/>
  <c r="A50" i="6"/>
  <c r="B59" i="6"/>
  <c r="A59" i="6"/>
  <c r="B47" i="6"/>
  <c r="A47" i="6"/>
  <c r="B57" i="6"/>
  <c r="A57" i="6"/>
  <c r="C57" i="6"/>
  <c r="D57" i="6" s="1"/>
  <c r="D59" i="6" s="1"/>
  <c r="F47" i="6"/>
  <c r="F50" i="6" s="1"/>
  <c r="C68" i="6"/>
  <c r="K69" i="6"/>
  <c r="J69" i="6"/>
  <c r="I69" i="6"/>
  <c r="H69" i="6"/>
  <c r="G69" i="6"/>
  <c r="F69" i="6"/>
  <c r="E69" i="6"/>
  <c r="D69" i="6"/>
  <c r="B69" i="6"/>
  <c r="A69" i="6"/>
  <c r="B68" i="6"/>
  <c r="A68" i="6"/>
  <c r="B58" i="6"/>
  <c r="A58" i="6"/>
  <c r="L49" i="6"/>
  <c r="K49" i="6"/>
  <c r="J49" i="6"/>
  <c r="I49" i="6"/>
  <c r="H49" i="6"/>
  <c r="G49" i="6"/>
  <c r="F49" i="6"/>
  <c r="E49" i="6"/>
  <c r="D49" i="6"/>
  <c r="K47" i="6"/>
  <c r="K50" i="6" s="1"/>
  <c r="J47" i="6"/>
  <c r="J50" i="6" s="1"/>
  <c r="I47" i="6"/>
  <c r="I50" i="6" s="1"/>
  <c r="H47" i="6"/>
  <c r="H50" i="6" s="1"/>
  <c r="G47" i="6"/>
  <c r="G50" i="6" s="1"/>
  <c r="E47" i="6"/>
  <c r="E50" i="6" s="1"/>
  <c r="D47" i="6"/>
  <c r="D50" i="6" s="1"/>
  <c r="G57" i="7" l="1"/>
  <c r="G59" i="7" s="1"/>
  <c r="H57" i="6"/>
  <c r="H59" i="6" s="1"/>
  <c r="J57" i="6"/>
  <c r="J59" i="6" s="1"/>
  <c r="C58" i="6"/>
  <c r="K58" i="6" s="1"/>
  <c r="I57" i="7"/>
  <c r="I59" i="7" s="1"/>
  <c r="D48" i="7"/>
  <c r="F48" i="7"/>
  <c r="H48" i="7"/>
  <c r="C58" i="7"/>
  <c r="G58" i="7" s="1"/>
  <c r="J48" i="7"/>
  <c r="D48" i="13"/>
  <c r="C59" i="6"/>
  <c r="F48" i="13"/>
  <c r="H68" i="7"/>
  <c r="J48" i="13"/>
  <c r="E48" i="7"/>
  <c r="J57" i="7"/>
  <c r="J59" i="7" s="1"/>
  <c r="E48" i="12"/>
  <c r="F48" i="12"/>
  <c r="E68" i="7"/>
  <c r="J68" i="13"/>
  <c r="G48" i="12"/>
  <c r="F68" i="7"/>
  <c r="J48" i="12"/>
  <c r="G68" i="12"/>
  <c r="E48" i="13"/>
  <c r="F57" i="13"/>
  <c r="F59" i="13" s="1"/>
  <c r="H68" i="12"/>
  <c r="D48" i="12"/>
  <c r="I68" i="12"/>
  <c r="G48" i="13"/>
  <c r="I57" i="13"/>
  <c r="I59" i="13" s="1"/>
  <c r="K57" i="12"/>
  <c r="K59" i="12" s="1"/>
  <c r="H48" i="12"/>
  <c r="H48" i="13"/>
  <c r="H68" i="13"/>
  <c r="E57" i="6"/>
  <c r="E59" i="6" s="1"/>
  <c r="G48" i="7"/>
  <c r="D57" i="7"/>
  <c r="D59" i="7" s="1"/>
  <c r="I48" i="13"/>
  <c r="E57" i="13"/>
  <c r="E59" i="13" s="1"/>
  <c r="I68" i="13"/>
  <c r="C58" i="13"/>
  <c r="K68" i="13"/>
  <c r="H57" i="13"/>
  <c r="H59" i="13" s="1"/>
  <c r="D68" i="13"/>
  <c r="E68" i="13"/>
  <c r="J57" i="13"/>
  <c r="J59" i="13" s="1"/>
  <c r="F68" i="13"/>
  <c r="K57" i="13"/>
  <c r="K59" i="13" s="1"/>
  <c r="E57" i="7"/>
  <c r="E59" i="7" s="1"/>
  <c r="I68" i="7"/>
  <c r="I48" i="7"/>
  <c r="F57" i="7"/>
  <c r="F59" i="7" s="1"/>
  <c r="J58" i="7"/>
  <c r="J68" i="7"/>
  <c r="K68" i="7"/>
  <c r="H57" i="7"/>
  <c r="H59" i="7" s="1"/>
  <c r="D68" i="7"/>
  <c r="K57" i="7"/>
  <c r="K59" i="7" s="1"/>
  <c r="E57" i="12"/>
  <c r="E59" i="12" s="1"/>
  <c r="I48" i="12"/>
  <c r="F57" i="12"/>
  <c r="F59" i="12" s="1"/>
  <c r="J68" i="12"/>
  <c r="C59" i="12"/>
  <c r="D57" i="12"/>
  <c r="D59" i="12" s="1"/>
  <c r="C58" i="12"/>
  <c r="K68" i="12"/>
  <c r="H57" i="12"/>
  <c r="H59" i="12" s="1"/>
  <c r="D68" i="12"/>
  <c r="G57" i="12"/>
  <c r="G59" i="12" s="1"/>
  <c r="I57" i="12"/>
  <c r="I59" i="12" s="1"/>
  <c r="E68" i="12"/>
  <c r="E68" i="6"/>
  <c r="F68" i="6"/>
  <c r="H68" i="6"/>
  <c r="D68" i="6"/>
  <c r="J68" i="6"/>
  <c r="K68" i="6"/>
  <c r="G68" i="6"/>
  <c r="I68" i="6"/>
  <c r="H58" i="6"/>
  <c r="C48" i="6"/>
  <c r="F58" i="6"/>
  <c r="I57" i="6"/>
  <c r="I59" i="6" s="1"/>
  <c r="G58" i="6"/>
  <c r="I58" i="6"/>
  <c r="J58" i="6"/>
  <c r="D58" i="6"/>
  <c r="F57" i="6"/>
  <c r="F59" i="6" s="1"/>
  <c r="G57" i="6"/>
  <c r="G59" i="6" s="1"/>
  <c r="K57" i="6"/>
  <c r="K59" i="6" s="1"/>
  <c r="C4" i="3"/>
  <c r="D4" i="3"/>
  <c r="E4" i="3"/>
  <c r="F4" i="3"/>
  <c r="G4" i="3"/>
  <c r="H58" i="7" l="1"/>
  <c r="F58" i="7"/>
  <c r="E58" i="6"/>
  <c r="I58" i="7"/>
  <c r="K58" i="7"/>
  <c r="E58" i="7"/>
  <c r="D58" i="7"/>
  <c r="G58" i="13"/>
  <c r="F58" i="13"/>
  <c r="J58" i="13"/>
  <c r="E58" i="13"/>
  <c r="D58" i="13"/>
  <c r="K58" i="13"/>
  <c r="I58" i="13"/>
  <c r="H58" i="13"/>
  <c r="F58" i="12"/>
  <c r="K58" i="12"/>
  <c r="E58" i="12"/>
  <c r="D58" i="12"/>
  <c r="J58" i="12"/>
  <c r="I58" i="12"/>
  <c r="H58" i="12"/>
  <c r="G58" i="12"/>
  <c r="J48" i="6"/>
  <c r="I48" i="6"/>
  <c r="H48" i="6"/>
  <c r="G48" i="6"/>
  <c r="F48" i="6"/>
  <c r="E48" i="6"/>
  <c r="K48" i="6"/>
  <c r="D48" i="6"/>
  <c r="K4" i="6"/>
  <c r="J4" i="6"/>
  <c r="I4" i="6"/>
  <c r="H4" i="6"/>
  <c r="G4" i="6"/>
  <c r="F4" i="6"/>
  <c r="E4" i="6"/>
  <c r="D4" i="6"/>
  <c r="C4" i="6"/>
  <c r="T22" i="3"/>
  <c r="S22" i="3" s="1"/>
  <c r="R22" i="3" s="1"/>
  <c r="Q22" i="3" s="1"/>
  <c r="P22" i="3" s="1"/>
  <c r="T23" i="3"/>
  <c r="S23" i="3" s="1"/>
  <c r="R23" i="3" s="1"/>
  <c r="Q23" i="3" s="1"/>
  <c r="P23" i="3" s="1"/>
  <c r="Q20" i="3"/>
  <c r="P20" i="3" s="1"/>
  <c r="R20" i="3"/>
  <c r="P23" i="13" l="1"/>
  <c r="P22" i="13"/>
  <c r="P23" i="7"/>
  <c r="P22" i="7"/>
  <c r="P23" i="12"/>
  <c r="P22" i="12"/>
  <c r="P21" i="6"/>
  <c r="O21" i="6"/>
  <c r="Q22" i="6"/>
  <c r="R22" i="6" s="1"/>
  <c r="Q23" i="6"/>
  <c r="Q23" i="7" s="1"/>
  <c r="X20" i="13"/>
  <c r="X20" i="7"/>
  <c r="X20" i="12"/>
  <c r="X20" i="6"/>
  <c r="Q23" i="12" l="1"/>
  <c r="R23" i="6"/>
  <c r="R23" i="7" s="1"/>
  <c r="Q23" i="13"/>
  <c r="S22" i="6"/>
  <c r="R22" i="12"/>
  <c r="R22" i="13"/>
  <c r="R22" i="7"/>
  <c r="Q22" i="12"/>
  <c r="Q22" i="13"/>
  <c r="Q22" i="7"/>
  <c r="Q21" i="6"/>
  <c r="Q21" i="7" s="1"/>
  <c r="T21" i="3"/>
  <c r="S21" i="3" s="1"/>
  <c r="R21" i="3" s="1"/>
  <c r="Q21" i="3" s="1"/>
  <c r="P21" i="12"/>
  <c r="P21" i="13"/>
  <c r="P21" i="7"/>
  <c r="K4" i="13"/>
  <c r="J4" i="13"/>
  <c r="I4" i="13"/>
  <c r="H4" i="13"/>
  <c r="G4" i="13"/>
  <c r="F4" i="13"/>
  <c r="E4" i="13"/>
  <c r="D4" i="13"/>
  <c r="C4" i="13"/>
  <c r="K4" i="7"/>
  <c r="J4" i="7"/>
  <c r="I4" i="7"/>
  <c r="H4" i="7"/>
  <c r="G4" i="7"/>
  <c r="F4" i="7"/>
  <c r="E4" i="7"/>
  <c r="D4" i="7"/>
  <c r="C4" i="7"/>
  <c r="K4" i="12"/>
  <c r="J4" i="12"/>
  <c r="I4" i="12"/>
  <c r="H4" i="12"/>
  <c r="G4" i="12"/>
  <c r="F4" i="12"/>
  <c r="E4" i="12"/>
  <c r="D4" i="12"/>
  <c r="C4" i="12"/>
  <c r="B4" i="12"/>
  <c r="B3" i="12"/>
  <c r="B2" i="12"/>
  <c r="B4" i="13"/>
  <c r="B3" i="13"/>
  <c r="B2" i="13"/>
  <c r="B4" i="7"/>
  <c r="B3" i="7"/>
  <c r="B2" i="7"/>
  <c r="B3" i="6"/>
  <c r="B2" i="6"/>
  <c r="A4" i="13"/>
  <c r="A4" i="7"/>
  <c r="A4" i="12"/>
  <c r="B4" i="6"/>
  <c r="A4" i="6"/>
  <c r="R23" i="12" l="1"/>
  <c r="R23" i="13"/>
  <c r="S23" i="6"/>
  <c r="L4" i="7"/>
  <c r="T23" i="6"/>
  <c r="S23" i="7"/>
  <c r="S23" i="12"/>
  <c r="S23" i="13"/>
  <c r="L4" i="13"/>
  <c r="T22" i="6"/>
  <c r="S22" i="13"/>
  <c r="S22" i="12"/>
  <c r="S22" i="7"/>
  <c r="Q21" i="12"/>
  <c r="Q21" i="13"/>
  <c r="L4" i="12"/>
  <c r="R21" i="6"/>
  <c r="R21" i="13"/>
  <c r="R21" i="7"/>
  <c r="S21" i="6"/>
  <c r="R21" i="12"/>
  <c r="B4" i="3"/>
  <c r="A4" i="3"/>
  <c r="C43" i="2"/>
  <c r="C44" i="2" s="1"/>
  <c r="C45" i="2" s="1"/>
  <c r="C46" i="2" s="1"/>
  <c r="D43" i="2"/>
  <c r="E43" i="2"/>
  <c r="J43" i="2"/>
  <c r="K43" i="2"/>
  <c r="L43" i="2"/>
  <c r="D44" i="2"/>
  <c r="D45" i="2" s="1"/>
  <c r="D46" i="2" s="1"/>
  <c r="E44" i="2"/>
  <c r="E45" i="2" s="1"/>
  <c r="E46" i="2" s="1"/>
  <c r="O89" i="12"/>
  <c r="O88" i="12"/>
  <c r="O87" i="12"/>
  <c r="O86" i="12"/>
  <c r="O85" i="12"/>
  <c r="O84" i="12"/>
  <c r="O83" i="12"/>
  <c r="O82" i="12"/>
  <c r="O81" i="12"/>
  <c r="O80" i="12"/>
  <c r="O73" i="12"/>
  <c r="O72" i="12"/>
  <c r="O71" i="12"/>
  <c r="O70" i="12"/>
  <c r="O69" i="12"/>
  <c r="O68" i="12"/>
  <c r="O67" i="12"/>
  <c r="O66" i="12"/>
  <c r="O65" i="12"/>
  <c r="O64" i="12"/>
  <c r="O63" i="12"/>
  <c r="O56" i="12"/>
  <c r="O55" i="12"/>
  <c r="O54" i="12"/>
  <c r="O53" i="12"/>
  <c r="O52" i="12"/>
  <c r="O51" i="12"/>
  <c r="O50" i="12"/>
  <c r="O49" i="12"/>
  <c r="O48" i="12"/>
  <c r="O47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O89" i="13"/>
  <c r="O88" i="13"/>
  <c r="O87" i="13"/>
  <c r="O86" i="13"/>
  <c r="O85" i="13"/>
  <c r="O84" i="13"/>
  <c r="O83" i="13"/>
  <c r="O82" i="13"/>
  <c r="O81" i="13"/>
  <c r="O80" i="13"/>
  <c r="O73" i="13"/>
  <c r="O72" i="13"/>
  <c r="O71" i="13"/>
  <c r="O70" i="13"/>
  <c r="O69" i="13"/>
  <c r="O68" i="13"/>
  <c r="O67" i="13"/>
  <c r="O66" i="13"/>
  <c r="O65" i="13"/>
  <c r="O64" i="13"/>
  <c r="O63" i="13"/>
  <c r="O56" i="13"/>
  <c r="O55" i="13"/>
  <c r="O54" i="13"/>
  <c r="O53" i="13"/>
  <c r="O52" i="13"/>
  <c r="O51" i="13"/>
  <c r="O50" i="13"/>
  <c r="O49" i="13"/>
  <c r="O48" i="13"/>
  <c r="O47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2" i="13"/>
  <c r="O89" i="7"/>
  <c r="N89" i="7"/>
  <c r="O88" i="7"/>
  <c r="N88" i="7"/>
  <c r="O87" i="7"/>
  <c r="N87" i="7"/>
  <c r="O86" i="7"/>
  <c r="N86" i="7"/>
  <c r="O85" i="7"/>
  <c r="N85" i="7"/>
  <c r="O84" i="7"/>
  <c r="N84" i="7"/>
  <c r="O83" i="7"/>
  <c r="N83" i="7"/>
  <c r="O82" i="7"/>
  <c r="N82" i="7"/>
  <c r="O81" i="7"/>
  <c r="N81" i="7"/>
  <c r="O80" i="7"/>
  <c r="N80" i="7"/>
  <c r="N79" i="7"/>
  <c r="O73" i="7"/>
  <c r="N73" i="7"/>
  <c r="O72" i="7"/>
  <c r="N72" i="7"/>
  <c r="O71" i="7"/>
  <c r="N71" i="7"/>
  <c r="O70" i="7"/>
  <c r="N70" i="7"/>
  <c r="O69" i="7"/>
  <c r="N69" i="7"/>
  <c r="O68" i="7"/>
  <c r="N68" i="7"/>
  <c r="O67" i="7"/>
  <c r="N67" i="7"/>
  <c r="O66" i="7"/>
  <c r="N66" i="7"/>
  <c r="O65" i="7"/>
  <c r="N65" i="7"/>
  <c r="O64" i="7"/>
  <c r="N64" i="7"/>
  <c r="O63" i="7"/>
  <c r="N63" i="7"/>
  <c r="N62" i="7"/>
  <c r="O56" i="7"/>
  <c r="N56" i="7"/>
  <c r="O55" i="7"/>
  <c r="N55" i="7"/>
  <c r="O54" i="7"/>
  <c r="N54" i="7"/>
  <c r="O53" i="7"/>
  <c r="N53" i="7"/>
  <c r="O52" i="7"/>
  <c r="N52" i="7"/>
  <c r="O51" i="7"/>
  <c r="N51" i="7"/>
  <c r="O50" i="7"/>
  <c r="N50" i="7"/>
  <c r="O49" i="7"/>
  <c r="N49" i="7"/>
  <c r="O48" i="7"/>
  <c r="N48" i="7"/>
  <c r="O47" i="7"/>
  <c r="N47" i="7"/>
  <c r="B45" i="7"/>
  <c r="O23" i="7"/>
  <c r="N23" i="7"/>
  <c r="O22" i="7"/>
  <c r="N22" i="7"/>
  <c r="O21" i="7"/>
  <c r="N21" i="7"/>
  <c r="Y20" i="7"/>
  <c r="O20" i="7"/>
  <c r="N20" i="7"/>
  <c r="O19" i="7"/>
  <c r="N19" i="7"/>
  <c r="Y18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Y89" i="7"/>
  <c r="L71" i="7" s="1"/>
  <c r="O7" i="7"/>
  <c r="N7" i="7"/>
  <c r="O6" i="7"/>
  <c r="N6" i="7"/>
  <c r="O5" i="7"/>
  <c r="N5" i="7"/>
  <c r="O4" i="7"/>
  <c r="N4" i="7"/>
  <c r="O3" i="7"/>
  <c r="N3" i="7"/>
  <c r="M3" i="7"/>
  <c r="M4" i="7" s="1"/>
  <c r="A3" i="7"/>
  <c r="O2" i="7"/>
  <c r="N2" i="7"/>
  <c r="A2" i="7"/>
  <c r="O1" i="7"/>
  <c r="O45" i="7" s="1"/>
  <c r="N1" i="7"/>
  <c r="C1" i="7"/>
  <c r="P1" i="7" s="1"/>
  <c r="N89" i="13"/>
  <c r="N88" i="13"/>
  <c r="N87" i="13"/>
  <c r="N86" i="13"/>
  <c r="N85" i="13"/>
  <c r="N84" i="13"/>
  <c r="N83" i="13"/>
  <c r="N82" i="13"/>
  <c r="N81" i="13"/>
  <c r="N80" i="13"/>
  <c r="N79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56" i="13"/>
  <c r="N55" i="13"/>
  <c r="N54" i="13"/>
  <c r="N53" i="13"/>
  <c r="N52" i="13"/>
  <c r="N51" i="13"/>
  <c r="N50" i="13"/>
  <c r="N49" i="13"/>
  <c r="N48" i="13"/>
  <c r="N47" i="13"/>
  <c r="B45" i="13"/>
  <c r="N23" i="13"/>
  <c r="N22" i="13"/>
  <c r="N21" i="13"/>
  <c r="Y20" i="13"/>
  <c r="N20" i="13"/>
  <c r="N19" i="13"/>
  <c r="Y18" i="13"/>
  <c r="N18" i="13"/>
  <c r="N17" i="13"/>
  <c r="N16" i="13"/>
  <c r="N15" i="13"/>
  <c r="N14" i="13"/>
  <c r="N13" i="13"/>
  <c r="N12" i="13"/>
  <c r="N11" i="13"/>
  <c r="N10" i="13"/>
  <c r="N9" i="13"/>
  <c r="N8" i="13"/>
  <c r="Y89" i="13"/>
  <c r="L71" i="13" s="1"/>
  <c r="N7" i="13"/>
  <c r="N6" i="13"/>
  <c r="N5" i="13"/>
  <c r="N4" i="13"/>
  <c r="N3" i="13"/>
  <c r="A3" i="13"/>
  <c r="N2" i="13"/>
  <c r="A2" i="13"/>
  <c r="O1" i="13"/>
  <c r="O45" i="13" s="1"/>
  <c r="N1" i="13"/>
  <c r="C1" i="13"/>
  <c r="P1" i="13" s="1"/>
  <c r="N89" i="12"/>
  <c r="N88" i="12"/>
  <c r="N87" i="12"/>
  <c r="N86" i="12"/>
  <c r="N85" i="12"/>
  <c r="N84" i="12"/>
  <c r="N83" i="12"/>
  <c r="N82" i="12"/>
  <c r="N81" i="12"/>
  <c r="N80" i="12"/>
  <c r="N79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56" i="12"/>
  <c r="N55" i="12"/>
  <c r="N54" i="12"/>
  <c r="N53" i="12"/>
  <c r="N52" i="12"/>
  <c r="N51" i="12"/>
  <c r="N50" i="12"/>
  <c r="N49" i="12"/>
  <c r="N48" i="12"/>
  <c r="N47" i="12"/>
  <c r="B45" i="12"/>
  <c r="N23" i="12"/>
  <c r="N22" i="12"/>
  <c r="N21" i="12"/>
  <c r="Y20" i="12"/>
  <c r="N20" i="12"/>
  <c r="N19" i="12"/>
  <c r="Y18" i="12"/>
  <c r="N18" i="12"/>
  <c r="N17" i="12"/>
  <c r="N16" i="12"/>
  <c r="N15" i="12"/>
  <c r="N14" i="12"/>
  <c r="N13" i="12"/>
  <c r="N12" i="12"/>
  <c r="N11" i="12"/>
  <c r="N10" i="12"/>
  <c r="N9" i="12"/>
  <c r="N8" i="12"/>
  <c r="Y89" i="12"/>
  <c r="L71" i="12" s="1"/>
  <c r="N7" i="12"/>
  <c r="N6" i="12"/>
  <c r="N5" i="12"/>
  <c r="N4" i="12"/>
  <c r="N3" i="12"/>
  <c r="A3" i="12"/>
  <c r="N2" i="12"/>
  <c r="M1" i="12"/>
  <c r="A2" i="12"/>
  <c r="O1" i="12"/>
  <c r="O45" i="12" s="1"/>
  <c r="N1" i="12"/>
  <c r="C1" i="12"/>
  <c r="P1" i="12" s="1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O3" i="3"/>
  <c r="N3" i="3"/>
  <c r="B3" i="3"/>
  <c r="A3" i="3"/>
  <c r="O2" i="3"/>
  <c r="N2" i="3"/>
  <c r="B2" i="3"/>
  <c r="A2" i="3"/>
  <c r="O89" i="6"/>
  <c r="N89" i="6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3" i="6"/>
  <c r="N73" i="6"/>
  <c r="O72" i="6"/>
  <c r="N72" i="6"/>
  <c r="O71" i="6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B49" i="6"/>
  <c r="A49" i="6"/>
  <c r="O48" i="6"/>
  <c r="N48" i="6"/>
  <c r="B48" i="6"/>
  <c r="A48" i="6"/>
  <c r="O47" i="6"/>
  <c r="N47" i="6"/>
  <c r="A3" i="6"/>
  <c r="A2" i="6"/>
  <c r="Y89" i="6"/>
  <c r="L71" i="6" s="1"/>
  <c r="Y18" i="6"/>
  <c r="Y20" i="6"/>
  <c r="N79" i="6"/>
  <c r="N62" i="6"/>
  <c r="F11" i="33"/>
  <c r="E11" i="33"/>
  <c r="E10" i="33"/>
  <c r="E9" i="33"/>
  <c r="E8" i="33"/>
  <c r="E7" i="33"/>
  <c r="E6" i="33"/>
  <c r="E5" i="33"/>
  <c r="E4" i="33"/>
  <c r="E3" i="33"/>
  <c r="E2" i="33"/>
  <c r="Y21" i="6" l="1"/>
  <c r="Y91" i="6"/>
  <c r="Y75" i="6"/>
  <c r="Y58" i="6"/>
  <c r="Y91" i="7"/>
  <c r="Y75" i="7"/>
  <c r="Y58" i="7"/>
  <c r="Y58" i="13"/>
  <c r="Y91" i="13"/>
  <c r="Y75" i="13"/>
  <c r="Y91" i="12"/>
  <c r="Y75" i="12"/>
  <c r="Y58" i="12"/>
  <c r="L47" i="13"/>
  <c r="L50" i="13" s="1"/>
  <c r="L57" i="13"/>
  <c r="L59" i="13" s="1"/>
  <c r="L69" i="13"/>
  <c r="L57" i="7"/>
  <c r="L59" i="7" s="1"/>
  <c r="L69" i="7"/>
  <c r="L47" i="7"/>
  <c r="L50" i="7" s="1"/>
  <c r="Y53" i="7"/>
  <c r="Y88" i="7"/>
  <c r="Y69" i="7"/>
  <c r="Y65" i="7"/>
  <c r="Y83" i="7"/>
  <c r="Y49" i="7"/>
  <c r="M2" i="12"/>
  <c r="L48" i="12"/>
  <c r="L68" i="12"/>
  <c r="L58" i="12"/>
  <c r="Y51" i="13"/>
  <c r="Y67" i="13"/>
  <c r="L60" i="13" s="1"/>
  <c r="Y90" i="13"/>
  <c r="Y74" i="13"/>
  <c r="Y57" i="13"/>
  <c r="Y65" i="13"/>
  <c r="Y49" i="13"/>
  <c r="Y83" i="13"/>
  <c r="Y51" i="6"/>
  <c r="Y67" i="6"/>
  <c r="Y88" i="12"/>
  <c r="Y69" i="12"/>
  <c r="Y53" i="12"/>
  <c r="Y85" i="13"/>
  <c r="Y66" i="13"/>
  <c r="Y50" i="13"/>
  <c r="M2" i="7"/>
  <c r="L48" i="7"/>
  <c r="L68" i="7"/>
  <c r="L58" i="7"/>
  <c r="U22" i="6"/>
  <c r="T22" i="13"/>
  <c r="T22" i="12"/>
  <c r="T22" i="7"/>
  <c r="M3" i="13"/>
  <c r="M4" i="13" s="1"/>
  <c r="L48" i="13"/>
  <c r="L68" i="13"/>
  <c r="L58" i="13"/>
  <c r="Y90" i="6"/>
  <c r="Y57" i="6"/>
  <c r="Y74" i="6"/>
  <c r="M1" i="13"/>
  <c r="Y69" i="13"/>
  <c r="Y88" i="13"/>
  <c r="Y53" i="13"/>
  <c r="Y67" i="12"/>
  <c r="Y51" i="12"/>
  <c r="Y57" i="12"/>
  <c r="Y74" i="12"/>
  <c r="Y90" i="12"/>
  <c r="Y53" i="6"/>
  <c r="Y88" i="6"/>
  <c r="Y69" i="6"/>
  <c r="Y85" i="12"/>
  <c r="Y66" i="12"/>
  <c r="Y50" i="12"/>
  <c r="Y57" i="7"/>
  <c r="Y90" i="7"/>
  <c r="Y74" i="7"/>
  <c r="Y49" i="6"/>
  <c r="Y65" i="6"/>
  <c r="Y83" i="6"/>
  <c r="Y51" i="7"/>
  <c r="Y67" i="7"/>
  <c r="L60" i="7" s="1"/>
  <c r="L47" i="12"/>
  <c r="L50" i="12" s="1"/>
  <c r="L69" i="12"/>
  <c r="L57" i="12"/>
  <c r="L59" i="12" s="1"/>
  <c r="Y83" i="12"/>
  <c r="Y65" i="12"/>
  <c r="Y49" i="12"/>
  <c r="Y66" i="7"/>
  <c r="Y85" i="7"/>
  <c r="Y50" i="7"/>
  <c r="Y50" i="6"/>
  <c r="Y85" i="6"/>
  <c r="Y66" i="6"/>
  <c r="U23" i="6"/>
  <c r="T23" i="13"/>
  <c r="T23" i="12"/>
  <c r="T23" i="7"/>
  <c r="T21" i="6"/>
  <c r="S21" i="7"/>
  <c r="S21" i="13"/>
  <c r="S21" i="12"/>
  <c r="M3" i="12"/>
  <c r="M4" i="12" s="1"/>
  <c r="M1" i="7"/>
  <c r="D1" i="7"/>
  <c r="D1" i="13"/>
  <c r="M2" i="13"/>
  <c r="D1" i="12"/>
  <c r="L60" i="12" l="1"/>
  <c r="L60" i="6"/>
  <c r="V23" i="6"/>
  <c r="U23" i="7"/>
  <c r="U23" i="13"/>
  <c r="U23" i="12"/>
  <c r="V22" i="6"/>
  <c r="U22" i="13"/>
  <c r="U22" i="12"/>
  <c r="U22" i="7"/>
  <c r="T21" i="12"/>
  <c r="T21" i="7"/>
  <c r="T21" i="13"/>
  <c r="U21" i="6"/>
  <c r="Q1" i="12"/>
  <c r="Q45" i="12" s="1"/>
  <c r="E1" i="12"/>
  <c r="D45" i="12"/>
  <c r="D45" i="13"/>
  <c r="Q1" i="13"/>
  <c r="Q45" i="13" s="1"/>
  <c r="E1" i="13"/>
  <c r="D45" i="7"/>
  <c r="Q1" i="7"/>
  <c r="Q45" i="7" s="1"/>
  <c r="E1" i="7"/>
  <c r="W22" i="6" l="1"/>
  <c r="V22" i="13"/>
  <c r="V22" i="12"/>
  <c r="V22" i="7"/>
  <c r="W23" i="6"/>
  <c r="V23" i="12"/>
  <c r="V23" i="13"/>
  <c r="V23" i="7"/>
  <c r="U21" i="13"/>
  <c r="V21" i="6"/>
  <c r="U21" i="12"/>
  <c r="U21" i="7"/>
  <c r="F1" i="7"/>
  <c r="E45" i="7"/>
  <c r="R1" i="7"/>
  <c r="R45" i="7" s="1"/>
  <c r="E45" i="13"/>
  <c r="R1" i="13"/>
  <c r="R45" i="13" s="1"/>
  <c r="F1" i="13"/>
  <c r="R1" i="12"/>
  <c r="R45" i="12" s="1"/>
  <c r="F1" i="12"/>
  <c r="E45" i="12"/>
  <c r="X23" i="6" l="1"/>
  <c r="W23" i="13"/>
  <c r="W23" i="12"/>
  <c r="W23" i="7"/>
  <c r="X22" i="6"/>
  <c r="W22" i="13"/>
  <c r="W22" i="7"/>
  <c r="W22" i="12"/>
  <c r="W21" i="6"/>
  <c r="V21" i="12"/>
  <c r="V21" i="7"/>
  <c r="V21" i="13"/>
  <c r="F45" i="7"/>
  <c r="S1" i="7"/>
  <c r="S45" i="7" s="1"/>
  <c r="G1" i="7"/>
  <c r="G1" i="12"/>
  <c r="S1" i="12"/>
  <c r="S45" i="12" s="1"/>
  <c r="F45" i="12"/>
  <c r="F45" i="13"/>
  <c r="S1" i="13"/>
  <c r="S45" i="13" s="1"/>
  <c r="G1" i="13"/>
  <c r="X22" i="7" l="1"/>
  <c r="Y22" i="7" s="1"/>
  <c r="X22" i="13"/>
  <c r="Y22" i="13" s="1"/>
  <c r="X22" i="12"/>
  <c r="Y22" i="12" s="1"/>
  <c r="Y22" i="6"/>
  <c r="X23" i="13"/>
  <c r="Y23" i="13" s="1"/>
  <c r="X23" i="12"/>
  <c r="Y23" i="12" s="1"/>
  <c r="X23" i="7"/>
  <c r="Y23" i="7" s="1"/>
  <c r="Y23" i="6"/>
  <c r="X21" i="6"/>
  <c r="W21" i="7"/>
  <c r="W21" i="13"/>
  <c r="W21" i="12"/>
  <c r="T1" i="12"/>
  <c r="T45" i="12" s="1"/>
  <c r="G45" i="12"/>
  <c r="H1" i="12"/>
  <c r="T1" i="13"/>
  <c r="T45" i="13" s="1"/>
  <c r="H1" i="13"/>
  <c r="G45" i="13"/>
  <c r="G45" i="7"/>
  <c r="T1" i="7"/>
  <c r="T45" i="7" s="1"/>
  <c r="H1" i="7"/>
  <c r="X21" i="7" l="1"/>
  <c r="Y21" i="7" s="1"/>
  <c r="X21" i="12"/>
  <c r="Y21" i="12" s="1"/>
  <c r="X21" i="13"/>
  <c r="Y21" i="13" s="1"/>
  <c r="H45" i="13"/>
  <c r="I1" i="13"/>
  <c r="U1" i="13"/>
  <c r="U45" i="13" s="1"/>
  <c r="H45" i="7"/>
  <c r="U1" i="7"/>
  <c r="U45" i="7" s="1"/>
  <c r="I1" i="7"/>
  <c r="H45" i="12"/>
  <c r="U1" i="12"/>
  <c r="U45" i="12" s="1"/>
  <c r="I1" i="12"/>
  <c r="I45" i="7" l="1"/>
  <c r="V1" i="7"/>
  <c r="V45" i="7" s="1"/>
  <c r="J1" i="7"/>
  <c r="I45" i="13"/>
  <c r="V1" i="13"/>
  <c r="V45" i="13" s="1"/>
  <c r="J1" i="13"/>
  <c r="J1" i="12"/>
  <c r="V1" i="12"/>
  <c r="V45" i="12" s="1"/>
  <c r="I45" i="12"/>
  <c r="J45" i="13" l="1"/>
  <c r="W1" i="13"/>
  <c r="W45" i="13" s="1"/>
  <c r="K1" i="13"/>
  <c r="W1" i="7"/>
  <c r="W45" i="7" s="1"/>
  <c r="K1" i="7"/>
  <c r="J45" i="7"/>
  <c r="J45" i="12"/>
  <c r="W1" i="12"/>
  <c r="W45" i="12" s="1"/>
  <c r="K1" i="12"/>
  <c r="L1" i="12" l="1"/>
  <c r="K45" i="12"/>
  <c r="X1" i="12"/>
  <c r="X45" i="12" s="1"/>
  <c r="L1" i="7"/>
  <c r="K45" i="7"/>
  <c r="X1" i="7"/>
  <c r="X45" i="7" s="1"/>
  <c r="X1" i="13"/>
  <c r="X45" i="13" s="1"/>
  <c r="K45" i="13"/>
  <c r="L1" i="13"/>
  <c r="L45" i="13" l="1"/>
  <c r="Y1" i="13"/>
  <c r="Y45" i="13" s="1"/>
  <c r="L45" i="12"/>
  <c r="Y1" i="12"/>
  <c r="Y45" i="12" s="1"/>
  <c r="L45" i="7"/>
  <c r="Y1" i="7"/>
  <c r="Y45" i="7" s="1"/>
  <c r="Z88" i="2" l="1"/>
  <c r="Y88" i="2"/>
  <c r="Z87" i="2"/>
  <c r="Y87" i="2"/>
  <c r="Z86" i="2"/>
  <c r="Y86" i="2"/>
  <c r="T85" i="2"/>
  <c r="T84" i="2"/>
  <c r="AX84" i="2" s="1"/>
  <c r="T83" i="2"/>
  <c r="T82" i="2"/>
  <c r="T81" i="2"/>
  <c r="AX81" i="2" s="1"/>
  <c r="T80" i="2"/>
  <c r="V80" i="2" s="1"/>
  <c r="U85" i="2"/>
  <c r="V85" i="2"/>
  <c r="AZ85" i="2" s="1"/>
  <c r="W85" i="2"/>
  <c r="BA85" i="2" s="1"/>
  <c r="X85" i="2"/>
  <c r="BB85" i="2" s="1"/>
  <c r="Y85" i="2"/>
  <c r="BC85" i="2" s="1"/>
  <c r="Z85" i="2"/>
  <c r="BD85" i="2" s="1"/>
  <c r="R10" i="14"/>
  <c r="R11" i="14" s="1"/>
  <c r="R12" i="14" s="1"/>
  <c r="R13" i="14" s="1"/>
  <c r="R14" i="14" s="1"/>
  <c r="R15" i="14" s="1"/>
  <c r="R16" i="14" s="1"/>
  <c r="R17" i="14" s="1"/>
  <c r="R18" i="14" s="1"/>
  <c r="R19" i="14" s="1"/>
  <c r="Q10" i="14"/>
  <c r="Q11" i="14" s="1"/>
  <c r="Q12" i="14" s="1"/>
  <c r="Q13" i="14" s="1"/>
  <c r="Q14" i="14" s="1"/>
  <c r="Q15" i="14" s="1"/>
  <c r="Q16" i="14" s="1"/>
  <c r="Q17" i="14" s="1"/>
  <c r="Q18" i="14" s="1"/>
  <c r="Q19" i="14" s="1"/>
  <c r="F31" i="26"/>
  <c r="E31" i="26"/>
  <c r="F30" i="26"/>
  <c r="E30" i="26"/>
  <c r="F29" i="26"/>
  <c r="E29" i="26"/>
  <c r="F28" i="26"/>
  <c r="E28" i="26"/>
  <c r="F27" i="26"/>
  <c r="E27" i="26"/>
  <c r="D22" i="26"/>
  <c r="D21" i="26"/>
  <c r="H22" i="26"/>
  <c r="H21" i="26"/>
  <c r="D8" i="14"/>
  <c r="L8" i="14"/>
  <c r="Z84" i="2"/>
  <c r="Y84" i="2"/>
  <c r="BC84" i="2" s="1"/>
  <c r="X84" i="2"/>
  <c r="BB84" i="2" s="1"/>
  <c r="W84" i="2"/>
  <c r="BA84" i="2" s="1"/>
  <c r="V84" i="2"/>
  <c r="AZ84" i="2" s="1"/>
  <c r="U84" i="2"/>
  <c r="AY84" i="2" s="1"/>
  <c r="Z83" i="2"/>
  <c r="BD83" i="2" s="1"/>
  <c r="Y83" i="2"/>
  <c r="BC83" i="2" s="1"/>
  <c r="X83" i="2"/>
  <c r="BB83" i="2" s="1"/>
  <c r="W83" i="2"/>
  <c r="BA83" i="2" s="1"/>
  <c r="V83" i="2"/>
  <c r="AZ83" i="2" s="1"/>
  <c r="U83" i="2"/>
  <c r="AY83" i="2" s="1"/>
  <c r="Z82" i="2"/>
  <c r="BD82" i="2" s="1"/>
  <c r="Y82" i="2"/>
  <c r="BC82" i="2" s="1"/>
  <c r="X82" i="2"/>
  <c r="BB82" i="2" s="1"/>
  <c r="W82" i="2"/>
  <c r="BA82" i="2" s="1"/>
  <c r="V82" i="2"/>
  <c r="AZ82" i="2" s="1"/>
  <c r="U82" i="2"/>
  <c r="AY82" i="2" s="1"/>
  <c r="Z81" i="2"/>
  <c r="BD81" i="2" s="1"/>
  <c r="Y81" i="2"/>
  <c r="BC81" i="2" s="1"/>
  <c r="X81" i="2"/>
  <c r="BB81" i="2" s="1"/>
  <c r="W81" i="2"/>
  <c r="BA81" i="2" s="1"/>
  <c r="V81" i="2"/>
  <c r="AZ81" i="2" s="1"/>
  <c r="U81" i="2"/>
  <c r="AY81" i="2" s="1"/>
  <c r="BD84" i="2"/>
  <c r="U5" i="14"/>
  <c r="V5" i="14" s="1"/>
  <c r="W5" i="14" s="1"/>
  <c r="X5" i="14" s="1"/>
  <c r="Y5" i="14" s="1"/>
  <c r="Z5" i="14" s="1"/>
  <c r="J8" i="14"/>
  <c r="M5" i="14"/>
  <c r="N5" i="14" s="1"/>
  <c r="O5" i="14" s="1"/>
  <c r="P5" i="14" s="1"/>
  <c r="Q5" i="14" s="1"/>
  <c r="R5" i="14" s="1"/>
  <c r="AX82" i="2" l="1"/>
  <c r="AX83" i="2"/>
  <c r="Y80" i="2"/>
  <c r="W80" i="2"/>
  <c r="X80" i="2"/>
  <c r="Z80" i="2"/>
  <c r="U80" i="2"/>
  <c r="AY89" i="2"/>
  <c r="AY85" i="2"/>
  <c r="AX85" i="2"/>
  <c r="BC87" i="2"/>
  <c r="BD87" i="2"/>
  <c r="BC86" i="2"/>
  <c r="BD86" i="2"/>
  <c r="R8" i="14"/>
  <c r="Q8" i="14"/>
  <c r="I8" i="14"/>
  <c r="AX89" i="2" l="1"/>
  <c r="BD89" i="2"/>
  <c r="BD88" i="2"/>
  <c r="BC88" i="2"/>
  <c r="BA89" i="2"/>
  <c r="BC89" i="2" l="1"/>
  <c r="AZ89" i="2"/>
  <c r="BB89" i="2"/>
  <c r="BG66" i="2" l="1"/>
  <c r="P10" i="14" l="1"/>
  <c r="Y28" i="2"/>
  <c r="Y29" i="2" s="1"/>
  <c r="Y30" i="2" s="1"/>
  <c r="Y31" i="2" s="1"/>
  <c r="X28" i="2"/>
  <c r="X29" i="2" s="1"/>
  <c r="X30" i="2" s="1"/>
  <c r="X31" i="2" s="1"/>
  <c r="Z28" i="2"/>
  <c r="Z29" i="2" s="1"/>
  <c r="Z30" i="2" s="1"/>
  <c r="Z31" i="2" s="1"/>
  <c r="P11" i="14" l="1"/>
  <c r="P12" i="14" s="1"/>
  <c r="P13" i="14" s="1"/>
  <c r="P14" i="14" s="1"/>
  <c r="P15" i="14" s="1"/>
  <c r="P16" i="14" s="1"/>
  <c r="P17" i="14" s="1"/>
  <c r="P18" i="14" s="1"/>
  <c r="P19" i="14" s="1"/>
  <c r="P8" i="14" s="1"/>
  <c r="W28" i="2"/>
  <c r="S13" i="2" l="1"/>
  <c r="R13" i="2"/>
  <c r="Q13" i="2"/>
  <c r="C13" i="2" l="1"/>
  <c r="S28" i="2" l="1"/>
  <c r="S29" i="2" s="1"/>
  <c r="S30" i="2" s="1"/>
  <c r="S31" i="2" s="1"/>
  <c r="R28" i="2"/>
  <c r="R29" i="2" s="1"/>
  <c r="R30" i="2" s="1"/>
  <c r="R31" i="2" s="1"/>
  <c r="Q28" i="2"/>
  <c r="Q29" i="2" s="1"/>
  <c r="Q30" i="2" s="1"/>
  <c r="Q31" i="2" s="1"/>
  <c r="P28" i="2"/>
  <c r="L28" i="2"/>
  <c r="L29" i="2" s="1"/>
  <c r="L30" i="2" s="1"/>
  <c r="L31" i="2" s="1"/>
  <c r="K28" i="2"/>
  <c r="K29" i="2" s="1"/>
  <c r="K30" i="2" s="1"/>
  <c r="K31" i="2" s="1"/>
  <c r="J28" i="2"/>
  <c r="J29" i="2" s="1"/>
  <c r="J30" i="2" s="1"/>
  <c r="J31" i="2" s="1"/>
  <c r="E28" i="2"/>
  <c r="D28" i="2"/>
  <c r="C28" i="2"/>
  <c r="W13" i="2"/>
  <c r="S14" i="2"/>
  <c r="S15" i="2" s="1"/>
  <c r="S16" i="2" s="1"/>
  <c r="R14" i="2"/>
  <c r="R15" i="2" s="1"/>
  <c r="R16" i="2" s="1"/>
  <c r="Q14" i="2"/>
  <c r="Q15" i="2" s="1"/>
  <c r="Q16" i="2" s="1"/>
  <c r="P13" i="2"/>
  <c r="L13" i="2"/>
  <c r="L14" i="2" s="1"/>
  <c r="L15" i="2" s="1"/>
  <c r="L16" i="2" s="1"/>
  <c r="K13" i="2"/>
  <c r="K14" i="2" s="1"/>
  <c r="K15" i="2" s="1"/>
  <c r="K16" i="2" s="1"/>
  <c r="J13" i="2"/>
  <c r="J14" i="2" s="1"/>
  <c r="J15" i="2" s="1"/>
  <c r="J16" i="2" s="1"/>
  <c r="E13" i="2"/>
  <c r="E14" i="2" s="1"/>
  <c r="E15" i="2" s="1"/>
  <c r="E16" i="2" s="1"/>
  <c r="D13" i="2"/>
  <c r="D14" i="2" s="1"/>
  <c r="D15" i="2" s="1"/>
  <c r="D16" i="2" s="1"/>
  <c r="C14" i="2"/>
  <c r="C15" i="2" s="1"/>
  <c r="C16" i="2" s="1"/>
  <c r="T86" i="2" l="1"/>
  <c r="AX86" i="2" s="1"/>
  <c r="X86" i="2"/>
  <c r="BB86" i="2" s="1"/>
  <c r="C29" i="2"/>
  <c r="U86" i="2"/>
  <c r="AY86" i="2" s="1"/>
  <c r="D29" i="2"/>
  <c r="V86" i="2"/>
  <c r="AZ86" i="2" s="1"/>
  <c r="E29" i="2"/>
  <c r="W86" i="2"/>
  <c r="BA86" i="2" s="1"/>
  <c r="AF52" i="2"/>
  <c r="AM52" i="2"/>
  <c r="AT52" i="2"/>
  <c r="BA52" i="2"/>
  <c r="AF7" i="2"/>
  <c r="AM7" i="2"/>
  <c r="AT7" i="2"/>
  <c r="BA7" i="2"/>
  <c r="AF22" i="2"/>
  <c r="AM22" i="2"/>
  <c r="AT22" i="2"/>
  <c r="BA22" i="2"/>
  <c r="BI52" i="2" l="1"/>
  <c r="D30" i="2"/>
  <c r="V87" i="2"/>
  <c r="AZ87" i="2" s="1"/>
  <c r="E30" i="2"/>
  <c r="W87" i="2"/>
  <c r="BA87" i="2" s="1"/>
  <c r="C30" i="2"/>
  <c r="AG30" i="2" s="1"/>
  <c r="U87" i="2"/>
  <c r="AY87" i="2" s="1"/>
  <c r="X87" i="2"/>
  <c r="BB87" i="2" s="1"/>
  <c r="AF30" i="2"/>
  <c r="T87" i="2"/>
  <c r="AX87" i="2" s="1"/>
  <c r="BG61" i="2"/>
  <c r="BF58" i="2"/>
  <c r="BG57" i="2"/>
  <c r="BF57" i="2"/>
  <c r="BG56" i="2"/>
  <c r="BF56" i="2"/>
  <c r="BG54" i="2"/>
  <c r="BC60" i="2"/>
  <c r="BG59" i="2"/>
  <c r="BF59" i="2"/>
  <c r="BE59" i="2"/>
  <c r="BD57" i="2"/>
  <c r="BC57" i="2"/>
  <c r="BE55" i="2"/>
  <c r="BF54" i="2"/>
  <c r="BE54" i="2"/>
  <c r="BD54" i="2"/>
  <c r="BE53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BG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F68" i="2"/>
  <c r="BA67" i="2"/>
  <c r="AT67" i="2"/>
  <c r="AM67" i="2"/>
  <c r="AF67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BG60" i="2"/>
  <c r="BF60" i="2"/>
  <c r="BE60" i="2"/>
  <c r="BD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BG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BE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BG55" i="2"/>
  <c r="BF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BG53" i="2"/>
  <c r="BF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BA37" i="2"/>
  <c r="AT37" i="2"/>
  <c r="AM37" i="2"/>
  <c r="AF37" i="2"/>
  <c r="BG31" i="2"/>
  <c r="BF31" i="2"/>
  <c r="BE31" i="2"/>
  <c r="BD31" i="2"/>
  <c r="BC31" i="2"/>
  <c r="BB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BG30" i="2"/>
  <c r="BF30" i="2"/>
  <c r="BE30" i="2"/>
  <c r="BD30" i="2"/>
  <c r="BC30" i="2"/>
  <c r="BB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BG29" i="2"/>
  <c r="BF29" i="2"/>
  <c r="BE29" i="2"/>
  <c r="BD29" i="2"/>
  <c r="BC29" i="2"/>
  <c r="BB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BG28" i="2"/>
  <c r="BF28" i="2"/>
  <c r="BE28" i="2"/>
  <c r="BD28" i="2"/>
  <c r="BC28" i="2"/>
  <c r="BB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BG16" i="2"/>
  <c r="BF16" i="2"/>
  <c r="BE16" i="2"/>
  <c r="BD16" i="2"/>
  <c r="BC16" i="2"/>
  <c r="BB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BG15" i="2"/>
  <c r="BF15" i="2"/>
  <c r="BE15" i="2"/>
  <c r="BD15" i="2"/>
  <c r="BC15" i="2"/>
  <c r="BB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BG14" i="2"/>
  <c r="BF14" i="2"/>
  <c r="BE14" i="2"/>
  <c r="BD14" i="2"/>
  <c r="BC14" i="2"/>
  <c r="BB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BG13" i="2"/>
  <c r="BF13" i="2"/>
  <c r="BE13" i="2"/>
  <c r="BD13" i="2"/>
  <c r="BC13" i="2"/>
  <c r="BB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E64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E49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F34" i="2"/>
  <c r="AE34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F19" i="2"/>
  <c r="AE19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F4" i="2"/>
  <c r="AE4" i="2"/>
  <c r="AS76" i="2"/>
  <c r="AR76" i="2"/>
  <c r="AS75" i="2"/>
  <c r="AR75" i="2"/>
  <c r="AS72" i="2"/>
  <c r="AR72" i="2"/>
  <c r="AS71" i="2"/>
  <c r="AR71" i="2"/>
  <c r="AS70" i="2"/>
  <c r="AR70" i="2"/>
  <c r="AS69" i="2"/>
  <c r="AR68" i="2"/>
  <c r="BG76" i="2"/>
  <c r="BF76" i="2"/>
  <c r="BG75" i="2"/>
  <c r="BF75" i="2"/>
  <c r="BG74" i="2"/>
  <c r="BF74" i="2"/>
  <c r="BG73" i="2"/>
  <c r="BF73" i="2"/>
  <c r="BG72" i="2"/>
  <c r="BF72" i="2"/>
  <c r="BG71" i="2"/>
  <c r="BF71" i="2"/>
  <c r="BF70" i="2"/>
  <c r="BG69" i="2"/>
  <c r="BF69" i="2"/>
  <c r="AG68" i="2"/>
  <c r="BI59" i="2" l="1"/>
  <c r="BI53" i="2"/>
  <c r="BI60" i="2"/>
  <c r="BI54" i="2"/>
  <c r="BI61" i="2"/>
  <c r="BI55" i="2"/>
  <c r="BI57" i="2"/>
  <c r="BI58" i="2"/>
  <c r="BI56" i="2"/>
  <c r="AJ31" i="2"/>
  <c r="X88" i="2"/>
  <c r="BB88" i="2" s="1"/>
  <c r="C31" i="2"/>
  <c r="AG31" i="2" s="1"/>
  <c r="U88" i="2"/>
  <c r="AY88" i="2" s="1"/>
  <c r="E31" i="2"/>
  <c r="AI31" i="2" s="1"/>
  <c r="W88" i="2"/>
  <c r="BA88" i="2" s="1"/>
  <c r="AF31" i="2"/>
  <c r="T88" i="2"/>
  <c r="AX88" i="2" s="1"/>
  <c r="D31" i="2"/>
  <c r="AH31" i="2" s="1"/>
  <c r="V88" i="2"/>
  <c r="AZ88" i="2" s="1"/>
  <c r="B45" i="6" l="1"/>
  <c r="AF14" i="2" l="1"/>
  <c r="Q89" i="2"/>
  <c r="P89" i="2"/>
  <c r="O89" i="2"/>
  <c r="N89" i="2"/>
  <c r="M89" i="2"/>
  <c r="L89" i="2"/>
  <c r="K89" i="2"/>
  <c r="Q88" i="2"/>
  <c r="P88" i="2"/>
  <c r="O88" i="2"/>
  <c r="N88" i="2"/>
  <c r="M88" i="2"/>
  <c r="L88" i="2"/>
  <c r="K88" i="2"/>
  <c r="Q87" i="2"/>
  <c r="P87" i="2"/>
  <c r="O87" i="2"/>
  <c r="N87" i="2"/>
  <c r="M87" i="2"/>
  <c r="L87" i="2"/>
  <c r="K87" i="2"/>
  <c r="Q86" i="2"/>
  <c r="P86" i="2"/>
  <c r="O86" i="2"/>
  <c r="N86" i="2"/>
  <c r="M86" i="2"/>
  <c r="L86" i="2"/>
  <c r="K86" i="2"/>
  <c r="Q85" i="2"/>
  <c r="P85" i="2"/>
  <c r="O85" i="2"/>
  <c r="N85" i="2"/>
  <c r="M85" i="2"/>
  <c r="L85" i="2"/>
  <c r="K85" i="2"/>
  <c r="Q84" i="2"/>
  <c r="P84" i="2"/>
  <c r="O84" i="2"/>
  <c r="N84" i="2"/>
  <c r="M84" i="2"/>
  <c r="L84" i="2"/>
  <c r="K84" i="2"/>
  <c r="Q83" i="2"/>
  <c r="P83" i="2"/>
  <c r="O83" i="2"/>
  <c r="N83" i="2"/>
  <c r="M83" i="2"/>
  <c r="L83" i="2"/>
  <c r="K83" i="2"/>
  <c r="Q82" i="2"/>
  <c r="P82" i="2"/>
  <c r="O82" i="2"/>
  <c r="N82" i="2"/>
  <c r="M82" i="2"/>
  <c r="L82" i="2"/>
  <c r="K82" i="2"/>
  <c r="Q81" i="2"/>
  <c r="P81" i="2"/>
  <c r="O81" i="2"/>
  <c r="N81" i="2"/>
  <c r="M81" i="2"/>
  <c r="L81" i="2"/>
  <c r="K81" i="2"/>
  <c r="K80" i="2"/>
  <c r="I34" i="2"/>
  <c r="AM34" i="2" s="1"/>
  <c r="C34" i="2"/>
  <c r="I19" i="2"/>
  <c r="C19" i="2"/>
  <c r="AQ83" i="2" l="1"/>
  <c r="D83" i="2"/>
  <c r="AH83" i="2" s="1"/>
  <c r="V12" i="14" s="1"/>
  <c r="AO87" i="2"/>
  <c r="B87" i="2"/>
  <c r="AF87" i="2" s="1"/>
  <c r="T16" i="14" s="1"/>
  <c r="AT86" i="2"/>
  <c r="G86" i="2"/>
  <c r="AK86" i="2" s="1"/>
  <c r="Y15" i="14" s="1"/>
  <c r="AS83" i="2"/>
  <c r="F83" i="2"/>
  <c r="AJ83" i="2" s="1"/>
  <c r="X12" i="14" s="1"/>
  <c r="AO82" i="2"/>
  <c r="B82" i="2"/>
  <c r="AF82" i="2" s="1"/>
  <c r="T11" i="14" s="1"/>
  <c r="AO89" i="2"/>
  <c r="T19" i="14" s="1"/>
  <c r="B89" i="2"/>
  <c r="AF89" i="2" s="1"/>
  <c r="T18" i="14" s="1"/>
  <c r="AS87" i="2"/>
  <c r="F87" i="2"/>
  <c r="AJ87" i="2" s="1"/>
  <c r="X16" i="14" s="1"/>
  <c r="AQ89" i="2"/>
  <c r="D89" i="2"/>
  <c r="AH89" i="2" s="1"/>
  <c r="V18" i="14" s="1"/>
  <c r="AR83" i="2"/>
  <c r="E83" i="2"/>
  <c r="AI83" i="2" s="1"/>
  <c r="W12" i="14" s="1"/>
  <c r="H81" i="2"/>
  <c r="AL81" i="2" s="1"/>
  <c r="Z10" i="14" s="1"/>
  <c r="AU81" i="2"/>
  <c r="AR85" i="2"/>
  <c r="E85" i="2"/>
  <c r="AI85" i="2" s="1"/>
  <c r="W14" i="14" s="1"/>
  <c r="AS85" i="2"/>
  <c r="F85" i="2"/>
  <c r="AJ85" i="2" s="1"/>
  <c r="X14" i="14" s="1"/>
  <c r="AP89" i="2"/>
  <c r="U19" i="14" s="1"/>
  <c r="C89" i="2"/>
  <c r="AG89" i="2" s="1"/>
  <c r="U18" i="14" s="1"/>
  <c r="F82" i="2"/>
  <c r="AJ82" i="2" s="1"/>
  <c r="X11" i="14" s="1"/>
  <c r="AS82" i="2"/>
  <c r="AO86" i="2"/>
  <c r="B86" i="2"/>
  <c r="AF86" i="2" s="1"/>
  <c r="T15" i="14" s="1"/>
  <c r="AT87" i="2"/>
  <c r="G87" i="2"/>
  <c r="AK87" i="2" s="1"/>
  <c r="Y16" i="14" s="1"/>
  <c r="AR89" i="2"/>
  <c r="E89" i="2"/>
  <c r="AI89" i="2" s="1"/>
  <c r="W18" i="14" s="1"/>
  <c r="AO85" i="2"/>
  <c r="B85" i="2"/>
  <c r="AF85" i="2" s="1"/>
  <c r="T14" i="14" s="1"/>
  <c r="AU86" i="2"/>
  <c r="H86" i="2"/>
  <c r="AL86" i="2" s="1"/>
  <c r="Z15" i="14" s="1"/>
  <c r="AU88" i="2"/>
  <c r="H88" i="2"/>
  <c r="AL88" i="2" s="1"/>
  <c r="Z17" i="14" s="1"/>
  <c r="AO84" i="2"/>
  <c r="B84" i="2"/>
  <c r="AF84" i="2" s="1"/>
  <c r="T13" i="14" s="1"/>
  <c r="E82" i="2"/>
  <c r="AI82" i="2" s="1"/>
  <c r="W11" i="14" s="1"/>
  <c r="AR82" i="2"/>
  <c r="E84" i="2"/>
  <c r="AI84" i="2" s="1"/>
  <c r="W13" i="14" s="1"/>
  <c r="AR84" i="2"/>
  <c r="AS89" i="2"/>
  <c r="F89" i="2"/>
  <c r="AJ89" i="2" s="1"/>
  <c r="X18" i="14" s="1"/>
  <c r="AR88" i="2"/>
  <c r="E88" i="2"/>
  <c r="AI88" i="2" s="1"/>
  <c r="W17" i="14" s="1"/>
  <c r="AT88" i="2"/>
  <c r="G88" i="2"/>
  <c r="AK88" i="2" s="1"/>
  <c r="Y17" i="14" s="1"/>
  <c r="AP82" i="2"/>
  <c r="C82" i="2"/>
  <c r="AG82" i="2" s="1"/>
  <c r="U11" i="14" s="1"/>
  <c r="D82" i="2"/>
  <c r="AH82" i="2" s="1"/>
  <c r="V11" i="14" s="1"/>
  <c r="AQ82" i="2"/>
  <c r="AU85" i="2"/>
  <c r="H85" i="2"/>
  <c r="AL85" i="2" s="1"/>
  <c r="Z14" i="14" s="1"/>
  <c r="AO81" i="2"/>
  <c r="B81" i="2"/>
  <c r="AF81" i="2" s="1"/>
  <c r="T10" i="14" s="1"/>
  <c r="AP86" i="2"/>
  <c r="C86" i="2"/>
  <c r="AG86" i="2" s="1"/>
  <c r="U15" i="14" s="1"/>
  <c r="AP81" i="2"/>
  <c r="C81" i="2"/>
  <c r="AG81" i="2" s="1"/>
  <c r="U10" i="14" s="1"/>
  <c r="AU82" i="2"/>
  <c r="H82" i="2"/>
  <c r="AL82" i="2" s="1"/>
  <c r="Z11" i="14" s="1"/>
  <c r="F84" i="2"/>
  <c r="AJ84" i="2" s="1"/>
  <c r="X13" i="14" s="1"/>
  <c r="AS84" i="2"/>
  <c r="AQ86" i="2"/>
  <c r="D86" i="2"/>
  <c r="AH86" i="2" s="1"/>
  <c r="V15" i="14" s="1"/>
  <c r="AO88" i="2"/>
  <c r="B88" i="2"/>
  <c r="AF88" i="2" s="1"/>
  <c r="T17" i="14" s="1"/>
  <c r="AT89" i="2"/>
  <c r="Y19" i="14" s="1"/>
  <c r="G89" i="2"/>
  <c r="AK89" i="2" s="1"/>
  <c r="Y18" i="14" s="1"/>
  <c r="AS81" i="2"/>
  <c r="F81" i="2"/>
  <c r="AJ81" i="2" s="1"/>
  <c r="X10" i="14" s="1"/>
  <c r="AP85" i="2"/>
  <c r="C85" i="2"/>
  <c r="AG85" i="2" s="1"/>
  <c r="U14" i="14" s="1"/>
  <c r="AQ85" i="2"/>
  <c r="D85" i="2"/>
  <c r="AH85" i="2" s="1"/>
  <c r="V14" i="14" s="1"/>
  <c r="G83" i="2"/>
  <c r="AK83" i="2" s="1"/>
  <c r="Y12" i="14" s="1"/>
  <c r="AT83" i="2"/>
  <c r="AU83" i="2"/>
  <c r="H83" i="2"/>
  <c r="AL83" i="2" s="1"/>
  <c r="Z12" i="14" s="1"/>
  <c r="AT85" i="2"/>
  <c r="G85" i="2"/>
  <c r="AK85" i="2" s="1"/>
  <c r="Y14" i="14" s="1"/>
  <c r="AP84" i="2"/>
  <c r="C84" i="2"/>
  <c r="AG84" i="2" s="1"/>
  <c r="U13" i="14" s="1"/>
  <c r="D84" i="2"/>
  <c r="AH84" i="2" s="1"/>
  <c r="V13" i="14" s="1"/>
  <c r="AQ84" i="2"/>
  <c r="AU87" i="2"/>
  <c r="H87" i="2"/>
  <c r="AL87" i="2" s="1"/>
  <c r="Z16" i="14" s="1"/>
  <c r="AQ81" i="2"/>
  <c r="D81" i="2"/>
  <c r="AH81" i="2" s="1"/>
  <c r="V10" i="14" s="1"/>
  <c r="AO83" i="2"/>
  <c r="B83" i="2"/>
  <c r="AF83" i="2" s="1"/>
  <c r="T12" i="14" s="1"/>
  <c r="G84" i="2"/>
  <c r="AK84" i="2" s="1"/>
  <c r="Y13" i="14" s="1"/>
  <c r="AT84" i="2"/>
  <c r="E86" i="2"/>
  <c r="AI86" i="2" s="1"/>
  <c r="W15" i="14" s="1"/>
  <c r="AR86" i="2"/>
  <c r="AP88" i="2"/>
  <c r="C88" i="2"/>
  <c r="AG88" i="2" s="1"/>
  <c r="U17" i="14" s="1"/>
  <c r="AU89" i="2"/>
  <c r="Z19" i="14" s="1"/>
  <c r="H89" i="2"/>
  <c r="AL89" i="2" s="1"/>
  <c r="Z18" i="14" s="1"/>
  <c r="G81" i="2"/>
  <c r="AK81" i="2" s="1"/>
  <c r="Y10" i="14" s="1"/>
  <c r="AT81" i="2"/>
  <c r="AS88" i="2"/>
  <c r="F88" i="2"/>
  <c r="AJ88" i="2" s="1"/>
  <c r="X17" i="14" s="1"/>
  <c r="AP87" i="2"/>
  <c r="C87" i="2"/>
  <c r="AG87" i="2" s="1"/>
  <c r="U16" i="14" s="1"/>
  <c r="AQ87" i="2"/>
  <c r="D87" i="2"/>
  <c r="AH87" i="2" s="1"/>
  <c r="V16" i="14" s="1"/>
  <c r="AR87" i="2"/>
  <c r="E87" i="2"/>
  <c r="AI87" i="2" s="1"/>
  <c r="W16" i="14" s="1"/>
  <c r="Q80" i="2"/>
  <c r="P80" i="2"/>
  <c r="O80" i="2"/>
  <c r="AO80" i="2"/>
  <c r="L80" i="2"/>
  <c r="N80" i="2"/>
  <c r="M80" i="2"/>
  <c r="D80" i="2" s="1"/>
  <c r="B80" i="2"/>
  <c r="AT82" i="2"/>
  <c r="G82" i="2"/>
  <c r="AK82" i="2" s="1"/>
  <c r="Y11" i="14" s="1"/>
  <c r="AR81" i="2"/>
  <c r="E81" i="2"/>
  <c r="AI81" i="2" s="1"/>
  <c r="W10" i="14" s="1"/>
  <c r="C83" i="2"/>
  <c r="AG83" i="2" s="1"/>
  <c r="U12" i="14" s="1"/>
  <c r="AP83" i="2"/>
  <c r="AU84" i="2"/>
  <c r="H84" i="2"/>
  <c r="AL84" i="2" s="1"/>
  <c r="Z13" i="14" s="1"/>
  <c r="AS86" i="2"/>
  <c r="F86" i="2"/>
  <c r="AJ86" i="2" s="1"/>
  <c r="X15" i="14" s="1"/>
  <c r="AQ88" i="2"/>
  <c r="D88" i="2"/>
  <c r="AH88" i="2" s="1"/>
  <c r="V17" i="14" s="1"/>
  <c r="AQ80" i="2"/>
  <c r="D19" i="2"/>
  <c r="AH19" i="2" s="1"/>
  <c r="AG19" i="2"/>
  <c r="J34" i="2"/>
  <c r="AN34" i="2" s="1"/>
  <c r="AG34" i="2"/>
  <c r="P19" i="2"/>
  <c r="AM19" i="2"/>
  <c r="BA29" i="2"/>
  <c r="BA28" i="2"/>
  <c r="BA13" i="2"/>
  <c r="P34" i="2"/>
  <c r="AF15" i="2"/>
  <c r="Q34" i="2"/>
  <c r="AU34" i="2" s="1"/>
  <c r="D34" i="2"/>
  <c r="AH34" i="2" s="1"/>
  <c r="E19" i="2"/>
  <c r="AI19" i="2" s="1"/>
  <c r="K19" i="2"/>
  <c r="AO19" i="2" s="1"/>
  <c r="J19" i="2"/>
  <c r="AN19" i="2" s="1"/>
  <c r="AP80" i="2" l="1"/>
  <c r="C80" i="2"/>
  <c r="E80" i="2"/>
  <c r="AR80" i="2"/>
  <c r="W19" i="2"/>
  <c r="BA19" i="2" s="1"/>
  <c r="AT19" i="2"/>
  <c r="W34" i="2"/>
  <c r="BA34" i="2" s="1"/>
  <c r="AT34" i="2"/>
  <c r="BA30" i="2"/>
  <c r="BA14" i="2"/>
  <c r="BA31" i="2"/>
  <c r="AF16" i="2"/>
  <c r="K34" i="2"/>
  <c r="AO34" i="2" s="1"/>
  <c r="E34" i="2"/>
  <c r="AI34" i="2" s="1"/>
  <c r="X34" i="2"/>
  <c r="BB34" i="2" s="1"/>
  <c r="Q19" i="2"/>
  <c r="AU19" i="2" s="1"/>
  <c r="R19" i="2"/>
  <c r="AV19" i="2" s="1"/>
  <c r="L19" i="2"/>
  <c r="AP19" i="2" s="1"/>
  <c r="F19" i="2"/>
  <c r="AJ19" i="2" s="1"/>
  <c r="AS80" i="2" l="1"/>
  <c r="F80" i="2"/>
  <c r="BA16" i="2"/>
  <c r="BA15" i="2"/>
  <c r="F34" i="2"/>
  <c r="AJ34" i="2" s="1"/>
  <c r="L34" i="2"/>
  <c r="AP34" i="2" s="1"/>
  <c r="R34" i="2"/>
  <c r="AV34" i="2" s="1"/>
  <c r="X19" i="2"/>
  <c r="BB19" i="2" s="1"/>
  <c r="M19" i="2"/>
  <c r="AQ19" i="2" s="1"/>
  <c r="G19" i="2"/>
  <c r="AK19" i="2" s="1"/>
  <c r="Y19" i="2"/>
  <c r="BC19" i="2" s="1"/>
  <c r="S19" i="2"/>
  <c r="AW19" i="2" s="1"/>
  <c r="AT80" i="2" l="1"/>
  <c r="G80" i="2"/>
  <c r="M34" i="2"/>
  <c r="AQ34" i="2" s="1"/>
  <c r="G34" i="2"/>
  <c r="AK34" i="2" s="1"/>
  <c r="Y34" i="2"/>
  <c r="BC34" i="2" s="1"/>
  <c r="S34" i="2"/>
  <c r="AW34" i="2" s="1"/>
  <c r="N19" i="2"/>
  <c r="AR19" i="2" s="1"/>
  <c r="H19" i="2"/>
  <c r="AL19" i="2" s="1"/>
  <c r="T19" i="2"/>
  <c r="AX19" i="2" s="1"/>
  <c r="Z19" i="2"/>
  <c r="BD19" i="2" s="1"/>
  <c r="AU80" i="2" l="1"/>
  <c r="H80" i="2"/>
  <c r="Z34" i="2"/>
  <c r="BD34" i="2" s="1"/>
  <c r="N34" i="2"/>
  <c r="AR34" i="2" s="1"/>
  <c r="H34" i="2"/>
  <c r="AL34" i="2" s="1"/>
  <c r="T34" i="2"/>
  <c r="AX34" i="2" s="1"/>
  <c r="AA19" i="2"/>
  <c r="BE19" i="2" s="1"/>
  <c r="U19" i="2"/>
  <c r="AY19" i="2" s="1"/>
  <c r="O19" i="2"/>
  <c r="AS19" i="2" s="1"/>
  <c r="AA34" i="2" l="1"/>
  <c r="BE34" i="2" s="1"/>
  <c r="O34" i="2"/>
  <c r="AS34" i="2" s="1"/>
  <c r="U34" i="2"/>
  <c r="AY34" i="2" s="1"/>
  <c r="V19" i="2"/>
  <c r="AZ19" i="2" s="1"/>
  <c r="AB19" i="2"/>
  <c r="BF19" i="2" s="1"/>
  <c r="AB34" i="2" l="1"/>
  <c r="BF34" i="2" s="1"/>
  <c r="V34" i="2"/>
  <c r="AZ34" i="2" s="1"/>
  <c r="AC19" i="2"/>
  <c r="BG19" i="2" s="1"/>
  <c r="AC34" i="2" l="1"/>
  <c r="BG34" i="2" s="1"/>
  <c r="O23" i="6" l="1"/>
  <c r="N23" i="6"/>
  <c r="O22" i="6"/>
  <c r="N22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  <c r="O2" i="6"/>
  <c r="N2" i="6"/>
  <c r="I4" i="2"/>
  <c r="C4" i="2"/>
  <c r="N1" i="6"/>
  <c r="C1" i="6"/>
  <c r="A7" i="2" s="1"/>
  <c r="L47" i="6" l="1"/>
  <c r="L50" i="6" s="1"/>
  <c r="L69" i="6"/>
  <c r="L57" i="6"/>
  <c r="L59" i="6" s="1"/>
  <c r="L4" i="6"/>
  <c r="M1" i="6"/>
  <c r="P4" i="2"/>
  <c r="AM4" i="2"/>
  <c r="D4" i="2"/>
  <c r="AG4" i="2"/>
  <c r="AE7" i="2"/>
  <c r="A52" i="2"/>
  <c r="A8" i="2"/>
  <c r="A22" i="2"/>
  <c r="A80" i="2"/>
  <c r="K4" i="2"/>
  <c r="J4" i="2"/>
  <c r="AE80" i="2" l="1"/>
  <c r="L58" i="6"/>
  <c r="L68" i="6"/>
  <c r="L48" i="6"/>
  <c r="Q4" i="2"/>
  <c r="AN4" i="2"/>
  <c r="R4" i="2"/>
  <c r="AO4" i="2"/>
  <c r="E4" i="2"/>
  <c r="AH4" i="2"/>
  <c r="W4" i="2"/>
  <c r="BA4" i="2" s="1"/>
  <c r="AT4" i="2"/>
  <c r="AE22" i="2"/>
  <c r="A23" i="2"/>
  <c r="AE52" i="2"/>
  <c r="A53" i="2"/>
  <c r="AN80" i="2"/>
  <c r="AE81" i="2"/>
  <c r="AE82" i="2" s="1"/>
  <c r="AE83" i="2" s="1"/>
  <c r="AE84" i="2" s="1"/>
  <c r="AE85" i="2" s="1"/>
  <c r="AE86" i="2" s="1"/>
  <c r="AE87" i="2" s="1"/>
  <c r="AE88" i="2" s="1"/>
  <c r="AE89" i="2" s="1"/>
  <c r="A67" i="2"/>
  <c r="A81" i="2"/>
  <c r="A82" i="2" s="1"/>
  <c r="A83" i="2" s="1"/>
  <c r="A84" i="2" s="1"/>
  <c r="A85" i="2" s="1"/>
  <c r="A86" i="2" s="1"/>
  <c r="A87" i="2" s="1"/>
  <c r="A88" i="2" s="1"/>
  <c r="A89" i="2" s="1"/>
  <c r="J80" i="2"/>
  <c r="A37" i="2"/>
  <c r="Y4" i="2" l="1"/>
  <c r="BC4" i="2" s="1"/>
  <c r="AV4" i="2"/>
  <c r="F4" i="2"/>
  <c r="AI4" i="2"/>
  <c r="L4" i="2"/>
  <c r="X4" i="2"/>
  <c r="BB4" i="2" s="1"/>
  <c r="AU4" i="2"/>
  <c r="AN81" i="2"/>
  <c r="AN82" i="2" s="1"/>
  <c r="AN83" i="2" s="1"/>
  <c r="AN84" i="2" s="1"/>
  <c r="AN85" i="2" s="1"/>
  <c r="AN86" i="2" s="1"/>
  <c r="AN87" i="2" s="1"/>
  <c r="AN88" i="2" s="1"/>
  <c r="AN89" i="2" s="1"/>
  <c r="AW80" i="2"/>
  <c r="AW81" i="2" s="1"/>
  <c r="AW82" i="2" s="1"/>
  <c r="AW83" i="2" s="1"/>
  <c r="AW84" i="2" s="1"/>
  <c r="AW85" i="2" s="1"/>
  <c r="AW86" i="2" s="1"/>
  <c r="AW87" i="2" s="1"/>
  <c r="AW88" i="2" s="1"/>
  <c r="AW89" i="2" s="1"/>
  <c r="AE37" i="2"/>
  <c r="A38" i="2"/>
  <c r="AE67" i="2"/>
  <c r="A68" i="2"/>
  <c r="AE68" i="2" s="1"/>
  <c r="J81" i="2"/>
  <c r="J82" i="2" s="1"/>
  <c r="J83" i="2" s="1"/>
  <c r="J84" i="2" s="1"/>
  <c r="J85" i="2" s="1"/>
  <c r="J86" i="2" s="1"/>
  <c r="J87" i="2" s="1"/>
  <c r="J88" i="2" s="1"/>
  <c r="J89" i="2" s="1"/>
  <c r="S80" i="2"/>
  <c r="S81" i="2" s="1"/>
  <c r="S82" i="2" s="1"/>
  <c r="S83" i="2" s="1"/>
  <c r="S84" i="2" s="1"/>
  <c r="S85" i="2" s="1"/>
  <c r="S86" i="2" s="1"/>
  <c r="S87" i="2" s="1"/>
  <c r="S88" i="2" s="1"/>
  <c r="S89" i="2" s="1"/>
  <c r="S4" i="2" l="1"/>
  <c r="AP4" i="2"/>
  <c r="M4" i="2"/>
  <c r="AJ4" i="2"/>
  <c r="G4" i="2"/>
  <c r="N4" i="2" l="1"/>
  <c r="AK4" i="2"/>
  <c r="H4" i="2"/>
  <c r="T4" i="2"/>
  <c r="AQ4" i="2"/>
  <c r="Z4" i="2"/>
  <c r="BD4" i="2" s="1"/>
  <c r="AW4" i="2"/>
  <c r="AA4" i="2" l="1"/>
  <c r="BE4" i="2" s="1"/>
  <c r="AX4" i="2"/>
  <c r="O4" i="2"/>
  <c r="AL4" i="2"/>
  <c r="U4" i="2"/>
  <c r="AR4" i="2"/>
  <c r="AB4" i="2" l="1"/>
  <c r="BF4" i="2" s="1"/>
  <c r="AY4" i="2"/>
  <c r="V4" i="2"/>
  <c r="AS4" i="2"/>
  <c r="AC4" i="2" l="1"/>
  <c r="BG4" i="2" s="1"/>
  <c r="AZ4" i="2"/>
  <c r="B43" i="34" l="1"/>
  <c r="C15" i="33"/>
  <c r="B15" i="33"/>
  <c r="F7" i="33"/>
  <c r="F6" i="33"/>
  <c r="F5" i="33"/>
  <c r="D11" i="33"/>
  <c r="D10" i="33"/>
  <c r="F10" i="33" s="1"/>
  <c r="D9" i="33"/>
  <c r="D8" i="33"/>
  <c r="F8" i="33" s="1"/>
  <c r="D7" i="33"/>
  <c r="D6" i="33"/>
  <c r="D5" i="33"/>
  <c r="D4" i="33"/>
  <c r="F4" i="33" s="1"/>
  <c r="D3" i="33"/>
  <c r="F3" i="33" s="1"/>
  <c r="D2" i="33"/>
  <c r="F2" i="33" s="1"/>
  <c r="D15" i="33" l="1"/>
  <c r="E15" i="33" s="1"/>
  <c r="F15" i="33" s="1"/>
  <c r="F9" i="33"/>
  <c r="H8" i="14" l="1"/>
  <c r="K49" i="2" l="1"/>
  <c r="L49" i="2"/>
  <c r="F49" i="2"/>
  <c r="T49" i="2"/>
  <c r="G49" i="2"/>
  <c r="H49" i="2"/>
  <c r="B49" i="2"/>
  <c r="C49" i="2"/>
  <c r="D49" i="2"/>
  <c r="E49" i="2"/>
  <c r="G1" i="3"/>
  <c r="O1" i="6"/>
  <c r="O45" i="6" s="1"/>
  <c r="D64" i="2" l="1"/>
  <c r="AH64" i="2" s="1"/>
  <c r="AH49" i="2"/>
  <c r="H64" i="2"/>
  <c r="AL64" i="2" s="1"/>
  <c r="AL49" i="2"/>
  <c r="E64" i="2"/>
  <c r="AI64" i="2" s="1"/>
  <c r="AI49" i="2"/>
  <c r="C64" i="2"/>
  <c r="AG64" i="2" s="1"/>
  <c r="AG49" i="2"/>
  <c r="B64" i="2"/>
  <c r="AF64" i="2" s="1"/>
  <c r="AF49" i="2"/>
  <c r="G64" i="2"/>
  <c r="AK64" i="2" s="1"/>
  <c r="AK49" i="2"/>
  <c r="T64" i="2"/>
  <c r="AX64" i="2" s="1"/>
  <c r="AX49" i="2"/>
  <c r="F64" i="2"/>
  <c r="AJ64" i="2" s="1"/>
  <c r="AJ49" i="2"/>
  <c r="L64" i="2"/>
  <c r="AP64" i="2" s="1"/>
  <c r="AP49" i="2"/>
  <c r="K64" i="2"/>
  <c r="AO64" i="2" s="1"/>
  <c r="AO49" i="2"/>
  <c r="J49" i="2"/>
  <c r="M49" i="2"/>
  <c r="P1" i="6"/>
  <c r="AA49" i="2"/>
  <c r="O49" i="2"/>
  <c r="R49" i="2"/>
  <c r="I49" i="2"/>
  <c r="N49" i="2"/>
  <c r="Q49" i="2"/>
  <c r="F1" i="3"/>
  <c r="T1" i="3"/>
  <c r="U1" i="3"/>
  <c r="D1" i="6"/>
  <c r="D45" i="6" s="1"/>
  <c r="AA64" i="2" l="1"/>
  <c r="BE64" i="2" s="1"/>
  <c r="BE49" i="2"/>
  <c r="M64" i="2"/>
  <c r="AQ64" i="2" s="1"/>
  <c r="AQ49" i="2"/>
  <c r="J64" i="2"/>
  <c r="AN64" i="2" s="1"/>
  <c r="AN49" i="2"/>
  <c r="N64" i="2"/>
  <c r="AR64" i="2" s="1"/>
  <c r="AR49" i="2"/>
  <c r="Q64" i="2"/>
  <c r="AU64" i="2" s="1"/>
  <c r="AU49" i="2"/>
  <c r="I64" i="2"/>
  <c r="AM64" i="2" s="1"/>
  <c r="AM49" i="2"/>
  <c r="R64" i="2"/>
  <c r="AV64" i="2" s="1"/>
  <c r="AV49" i="2"/>
  <c r="O64" i="2"/>
  <c r="AS64" i="2" s="1"/>
  <c r="AS49" i="2"/>
  <c r="S49" i="2"/>
  <c r="V49" i="2"/>
  <c r="P49" i="2"/>
  <c r="U49" i="2"/>
  <c r="X49" i="2"/>
  <c r="Y49" i="2"/>
  <c r="E1" i="3"/>
  <c r="S1" i="3"/>
  <c r="Q1" i="6"/>
  <c r="Q45" i="6" s="1"/>
  <c r="E1" i="6"/>
  <c r="E45" i="6" s="1"/>
  <c r="Y64" i="2" l="1"/>
  <c r="BC64" i="2" s="1"/>
  <c r="BC49" i="2"/>
  <c r="X64" i="2"/>
  <c r="BB64" i="2" s="1"/>
  <c r="BB49" i="2"/>
  <c r="V64" i="2"/>
  <c r="AZ64" i="2" s="1"/>
  <c r="AZ49" i="2"/>
  <c r="S64" i="2"/>
  <c r="AW64" i="2" s="1"/>
  <c r="AW49" i="2"/>
  <c r="U64" i="2"/>
  <c r="AY64" i="2" s="1"/>
  <c r="AY49" i="2"/>
  <c r="P64" i="2"/>
  <c r="AT64" i="2" s="1"/>
  <c r="AT49" i="2"/>
  <c r="Z49" i="2"/>
  <c r="AB49" i="2"/>
  <c r="W49" i="2"/>
  <c r="AC49" i="2"/>
  <c r="D1" i="3"/>
  <c r="R1" i="3"/>
  <c r="F1" i="6"/>
  <c r="F45" i="6" s="1"/>
  <c r="R1" i="6"/>
  <c r="R45" i="6" s="1"/>
  <c r="AC64" i="2" l="1"/>
  <c r="BG64" i="2" s="1"/>
  <c r="BG49" i="2"/>
  <c r="AB64" i="2"/>
  <c r="BF64" i="2" s="1"/>
  <c r="BF49" i="2"/>
  <c r="W64" i="2"/>
  <c r="BA64" i="2" s="1"/>
  <c r="BA49" i="2"/>
  <c r="Z64" i="2"/>
  <c r="BD64" i="2" s="1"/>
  <c r="BD49" i="2"/>
  <c r="C1" i="3"/>
  <c r="P1" i="3" s="1"/>
  <c r="Q1" i="3"/>
  <c r="G1" i="6"/>
  <c r="G45" i="6" s="1"/>
  <c r="S1" i="6"/>
  <c r="S45" i="6" s="1"/>
  <c r="H1" i="6" l="1"/>
  <c r="H45" i="6" s="1"/>
  <c r="T1" i="6"/>
  <c r="T45" i="6" s="1"/>
  <c r="U1" i="6" l="1"/>
  <c r="U45" i="6" s="1"/>
  <c r="M3" i="6"/>
  <c r="M4" i="6" s="1"/>
  <c r="M2" i="6"/>
  <c r="I1" i="6"/>
  <c r="I45" i="6" s="1"/>
  <c r="V1" i="6" l="1"/>
  <c r="V45" i="6" s="1"/>
  <c r="J1" i="6"/>
  <c r="J45" i="6" s="1"/>
  <c r="W1" i="6" l="1"/>
  <c r="W45" i="6" s="1"/>
  <c r="K1" i="6"/>
  <c r="K45" i="6" s="1"/>
  <c r="X1" i="6" l="1"/>
  <c r="X45" i="6" s="1"/>
  <c r="L1" i="6"/>
  <c r="L45" i="6" s="1"/>
  <c r="Y1" i="6" l="1"/>
  <c r="Y45" i="6" s="1"/>
  <c r="A10" i="14" l="1"/>
  <c r="A11" i="14" s="1"/>
  <c r="A12" i="14" s="1"/>
  <c r="A13" i="14" s="1"/>
  <c r="A14" i="14" s="1"/>
  <c r="A15" i="14" s="1"/>
  <c r="A16" i="14" s="1"/>
  <c r="A17" i="14" s="1"/>
  <c r="A18" i="14" s="1"/>
  <c r="A19" i="14" s="1"/>
  <c r="E5" i="14"/>
  <c r="H38" i="14" l="1"/>
  <c r="H50" i="14"/>
  <c r="H45" i="14"/>
  <c r="H27" i="14"/>
  <c r="H31" i="14"/>
  <c r="J31" i="14" s="1"/>
  <c r="H39" i="14"/>
  <c r="H51" i="14"/>
  <c r="H40" i="14"/>
  <c r="H52" i="14"/>
  <c r="H33" i="14"/>
  <c r="H47" i="14"/>
  <c r="H22" i="14"/>
  <c r="J22" i="14" s="1"/>
  <c r="H23" i="14"/>
  <c r="H41" i="14"/>
  <c r="H53" i="14"/>
  <c r="H57" i="14"/>
  <c r="H46" i="14"/>
  <c r="H49" i="14"/>
  <c r="H42" i="14"/>
  <c r="H54" i="14"/>
  <c r="H58" i="14"/>
  <c r="H59" i="14"/>
  <c r="H28" i="14"/>
  <c r="H25" i="14"/>
  <c r="J25" i="14" s="1"/>
  <c r="J26" i="14" s="1"/>
  <c r="H43" i="14"/>
  <c r="H55" i="14"/>
  <c r="H44" i="14"/>
  <c r="H56" i="14"/>
  <c r="H26" i="14"/>
  <c r="H35" i="14"/>
  <c r="H48" i="14"/>
  <c r="H29" i="14"/>
  <c r="J29" i="14" s="1"/>
  <c r="F5" i="14"/>
  <c r="C10" i="14"/>
  <c r="B10" i="14"/>
  <c r="H36" i="14" l="1"/>
  <c r="H30" i="14"/>
  <c r="H32" i="14"/>
  <c r="H37" i="14"/>
  <c r="H34" i="14"/>
  <c r="G5" i="14"/>
  <c r="B11" i="14"/>
  <c r="B12" i="14" s="1"/>
  <c r="B13" i="14" s="1"/>
  <c r="B14" i="14" s="1"/>
  <c r="B15" i="14" s="1"/>
  <c r="B16" i="14" s="1"/>
  <c r="B17" i="14" s="1"/>
  <c r="B18" i="14" s="1"/>
  <c r="B19" i="14" s="1"/>
  <c r="C11" i="14"/>
  <c r="C12" i="14" s="1"/>
  <c r="C13" i="14" s="1"/>
  <c r="C14" i="14" s="1"/>
  <c r="C15" i="14" s="1"/>
  <c r="C16" i="14" s="1"/>
  <c r="C17" i="14" s="1"/>
  <c r="C18" i="14" s="1"/>
  <c r="C19" i="14" s="1"/>
  <c r="L7" i="14" l="1"/>
  <c r="C4" i="26" s="1"/>
  <c r="D7" i="14"/>
  <c r="B4" i="26" s="1"/>
  <c r="Q7" i="14"/>
  <c r="P7" i="14"/>
  <c r="R7" i="14"/>
  <c r="J7" i="14"/>
  <c r="I7" i="14"/>
  <c r="H5" i="14"/>
  <c r="I5" i="14" s="1"/>
  <c r="J5" i="14" s="1"/>
  <c r="H7" i="14"/>
  <c r="I4" i="26" l="1"/>
  <c r="G22" i="26" l="1"/>
  <c r="C22" i="26"/>
  <c r="B22" i="26"/>
  <c r="C21" i="26"/>
  <c r="G21" i="26"/>
  <c r="B21" i="26" l="1"/>
  <c r="A54" i="2" l="1"/>
  <c r="A69" i="2"/>
  <c r="AE38" i="2"/>
  <c r="AE23" i="2"/>
  <c r="J30" i="14" s="1"/>
  <c r="A9" i="2"/>
  <c r="AE9" i="2" s="1"/>
  <c r="AE8" i="2"/>
  <c r="J28" i="14" s="1"/>
  <c r="A10" i="2" l="1"/>
  <c r="AE10" i="2" s="1"/>
  <c r="AE53" i="2"/>
  <c r="J36" i="14" s="1"/>
  <c r="J35" i="14" s="1"/>
  <c r="AE69" i="2"/>
  <c r="A70" i="2"/>
  <c r="A55" i="2"/>
  <c r="AE54" i="2"/>
  <c r="A24" i="2"/>
  <c r="A39" i="2"/>
  <c r="A11" i="2" l="1"/>
  <c r="A40" i="2"/>
  <c r="AE39" i="2"/>
  <c r="A25" i="2"/>
  <c r="AE24" i="2"/>
  <c r="A12" i="2"/>
  <c r="AE11" i="2"/>
  <c r="A56" i="2"/>
  <c r="AE55" i="2"/>
  <c r="A71" i="2"/>
  <c r="AE70" i="2"/>
  <c r="J37" i="14" l="1"/>
  <c r="AE71" i="2"/>
  <c r="A72" i="2"/>
  <c r="AE56" i="2"/>
  <c r="A57" i="2"/>
  <c r="A13" i="2"/>
  <c r="AE12" i="2"/>
  <c r="A26" i="2"/>
  <c r="AE25" i="2"/>
  <c r="AE40" i="2"/>
  <c r="A41" i="2"/>
  <c r="AE41" i="2" l="1"/>
  <c r="J27" i="14" s="1"/>
  <c r="A42" i="2"/>
  <c r="AE26" i="2"/>
  <c r="A27" i="2"/>
  <c r="A14" i="2"/>
  <c r="AE13" i="2"/>
  <c r="A58" i="2"/>
  <c r="AE57" i="2"/>
  <c r="A73" i="2"/>
  <c r="AE72" i="2"/>
  <c r="A15" i="2" l="1"/>
  <c r="AE14" i="2"/>
  <c r="A74" i="2"/>
  <c r="AE73" i="2"/>
  <c r="A28" i="2"/>
  <c r="AE27" i="2"/>
  <c r="A59" i="2"/>
  <c r="AE58" i="2"/>
  <c r="A43" i="2"/>
  <c r="AE42" i="2"/>
  <c r="AE43" i="2" l="1"/>
  <c r="A44" i="2"/>
  <c r="AE59" i="2"/>
  <c r="A60" i="2"/>
  <c r="A29" i="2"/>
  <c r="AE28" i="2"/>
  <c r="AE74" i="2"/>
  <c r="A75" i="2"/>
  <c r="AE15" i="2"/>
  <c r="A16" i="2"/>
  <c r="AE16" i="2" s="1"/>
  <c r="AE75" i="2" l="1"/>
  <c r="A76" i="2"/>
  <c r="AE76" i="2" s="1"/>
  <c r="AE29" i="2"/>
  <c r="A30" i="2"/>
  <c r="A61" i="2"/>
  <c r="AE61" i="2" s="1"/>
  <c r="J32" i="14" s="1"/>
  <c r="AE60" i="2"/>
  <c r="J33" i="14" s="1"/>
  <c r="J34" i="14" s="1"/>
  <c r="A45" i="2"/>
  <c r="AE44" i="2"/>
  <c r="F11" i="14" l="1"/>
  <c r="F16" i="14"/>
  <c r="F9" i="14"/>
  <c r="G12" i="14"/>
  <c r="F14" i="14"/>
  <c r="E15" i="14"/>
  <c r="E12" i="14"/>
  <c r="G16" i="14"/>
  <c r="F18" i="14"/>
  <c r="G14" i="14"/>
  <c r="E16" i="14"/>
  <c r="G13" i="14"/>
  <c r="E18" i="14"/>
  <c r="G11" i="14"/>
  <c r="G18" i="14"/>
  <c r="F12" i="14"/>
  <c r="E17" i="14"/>
  <c r="E9" i="14"/>
  <c r="G10" i="14"/>
  <c r="F13" i="14"/>
  <c r="G17" i="14"/>
  <c r="G15" i="14"/>
  <c r="G9" i="14"/>
  <c r="E13" i="14"/>
  <c r="E11" i="14"/>
  <c r="E14" i="14"/>
  <c r="F10" i="14"/>
  <c r="F17" i="14"/>
  <c r="F15" i="14"/>
  <c r="A46" i="2"/>
  <c r="AE46" i="2" s="1"/>
  <c r="AE45" i="2"/>
  <c r="A31" i="2"/>
  <c r="AE31" i="2" s="1"/>
  <c r="AE30" i="2"/>
  <c r="O10" i="14" l="1"/>
  <c r="G8" i="14"/>
  <c r="G7" i="14"/>
  <c r="B7" i="26" s="1"/>
  <c r="M10" i="14"/>
  <c r="E8" i="14"/>
  <c r="E7" i="14"/>
  <c r="B5" i="26" s="1"/>
  <c r="N10" i="14"/>
  <c r="F8" i="14"/>
  <c r="F7" i="14"/>
  <c r="B6" i="26" s="1"/>
  <c r="AF80" i="2"/>
  <c r="T9" i="14" s="1"/>
  <c r="AG80" i="2"/>
  <c r="U9" i="14" s="1"/>
  <c r="AX80" i="2"/>
  <c r="N11" i="14" l="1"/>
  <c r="N12" i="14" s="1"/>
  <c r="N13" i="14" s="1"/>
  <c r="N14" i="14" s="1"/>
  <c r="N15" i="14" s="1"/>
  <c r="N16" i="14" s="1"/>
  <c r="N17" i="14" s="1"/>
  <c r="N18" i="14" s="1"/>
  <c r="N19" i="14" s="1"/>
  <c r="N8" i="14" s="1"/>
  <c r="M11" i="14"/>
  <c r="M12" i="14" s="1"/>
  <c r="M13" i="14" s="1"/>
  <c r="M14" i="14" s="1"/>
  <c r="M15" i="14" s="1"/>
  <c r="M16" i="14" s="1"/>
  <c r="M17" i="14" s="1"/>
  <c r="M18" i="14" s="1"/>
  <c r="M19" i="14" s="1"/>
  <c r="M8" i="14" s="1"/>
  <c r="O11" i="14"/>
  <c r="O12" i="14" s="1"/>
  <c r="O13" i="14" s="1"/>
  <c r="O14" i="14" s="1"/>
  <c r="O15" i="14" s="1"/>
  <c r="O16" i="14" s="1"/>
  <c r="O17" i="14" s="1"/>
  <c r="O18" i="14" s="1"/>
  <c r="O19" i="14" s="1"/>
  <c r="O8" i="14" s="1"/>
  <c r="T8" i="14"/>
  <c r="T7" i="14"/>
  <c r="D4" i="26" s="1"/>
  <c r="AY80" i="2"/>
  <c r="U7" i="14"/>
  <c r="D5" i="26" s="1"/>
  <c r="U8" i="14"/>
  <c r="N7" i="14" l="1"/>
  <c r="C6" i="26" s="1"/>
  <c r="I6" i="26" s="1"/>
  <c r="O7" i="14"/>
  <c r="C7" i="26" s="1"/>
  <c r="I7" i="26" s="1"/>
  <c r="M7" i="14"/>
  <c r="C5" i="26" s="1"/>
  <c r="I5" i="26" s="1"/>
  <c r="E4" i="26"/>
  <c r="J4" i="26"/>
  <c r="H16" i="26" s="1"/>
  <c r="J5" i="26"/>
  <c r="AH80" i="2"/>
  <c r="V9" i="14" s="1"/>
  <c r="AZ80" i="2"/>
  <c r="E5" i="26" l="1"/>
  <c r="D16" i="26"/>
  <c r="G16" i="26"/>
  <c r="C16" i="26"/>
  <c r="K4" i="26"/>
  <c r="B16" i="26" s="1"/>
  <c r="H17" i="26"/>
  <c r="D17" i="26"/>
  <c r="K5" i="26"/>
  <c r="L5" i="26"/>
  <c r="G17" i="26"/>
  <c r="C17" i="26"/>
  <c r="AI80" i="2"/>
  <c r="W9" i="14" s="1"/>
  <c r="V7" i="14"/>
  <c r="D6" i="26" s="1"/>
  <c r="V8" i="14"/>
  <c r="BA80" i="2"/>
  <c r="M9" i="26" l="1"/>
  <c r="M8" i="26"/>
  <c r="F9" i="26"/>
  <c r="F8" i="26"/>
  <c r="E6" i="26"/>
  <c r="J6" i="26"/>
  <c r="B17" i="26"/>
  <c r="AJ80" i="2"/>
  <c r="X9" i="14" s="1"/>
  <c r="W7" i="14"/>
  <c r="D7" i="26" s="1"/>
  <c r="W8" i="14"/>
  <c r="BB80" i="2"/>
  <c r="E7" i="26" l="1"/>
  <c r="J7" i="26"/>
  <c r="H18" i="26"/>
  <c r="D18" i="26"/>
  <c r="K6" i="26"/>
  <c r="L6" i="26"/>
  <c r="G18" i="26"/>
  <c r="C18" i="26"/>
  <c r="AK80" i="2"/>
  <c r="Y9" i="14" s="1"/>
  <c r="AL80" i="2"/>
  <c r="Z9" i="14" s="1"/>
  <c r="X8" i="14"/>
  <c r="X7" i="14"/>
  <c r="BD80" i="2"/>
  <c r="BC80" i="2"/>
  <c r="L7" i="26" l="1"/>
  <c r="K7" i="26"/>
  <c r="B19" i="26" s="1"/>
  <c r="C19" i="26"/>
  <c r="D19" i="26"/>
  <c r="G19" i="26"/>
  <c r="H19" i="26"/>
  <c r="B18" i="26"/>
  <c r="Y8" i="14"/>
  <c r="Y7" i="14"/>
  <c r="Z7" i="14"/>
  <c r="Z8" i="14"/>
  <c r="F6" i="26" l="1"/>
  <c r="F5" i="26"/>
  <c r="F7" i="26"/>
  <c r="F4" i="26"/>
  <c r="H20" i="26"/>
  <c r="H31" i="26" s="1"/>
  <c r="D20" i="26"/>
  <c r="G20" i="26"/>
  <c r="C20" i="26"/>
  <c r="D28" i="26" l="1"/>
  <c r="D27" i="26"/>
  <c r="D30" i="26"/>
  <c r="D29" i="26"/>
  <c r="D31" i="26"/>
  <c r="G28" i="26"/>
  <c r="G27" i="26"/>
  <c r="G31" i="26"/>
  <c r="G29" i="26"/>
  <c r="G30" i="26"/>
  <c r="B20" i="26"/>
  <c r="M6" i="26"/>
  <c r="M4" i="26"/>
  <c r="M5" i="26"/>
  <c r="M7" i="26"/>
  <c r="C31" i="26"/>
  <c r="C30" i="26"/>
  <c r="C27" i="26"/>
  <c r="C29" i="26"/>
  <c r="H27" i="26"/>
  <c r="H30" i="26"/>
  <c r="H28" i="26"/>
  <c r="C28" i="26"/>
  <c r="H29" i="26"/>
  <c r="B27" i="26" l="1"/>
  <c r="B30" i="26"/>
  <c r="B28" i="26"/>
  <c r="B31" i="26"/>
  <c r="B29" i="26"/>
  <c r="Y86" i="6" l="1"/>
  <c r="L70" i="6" s="1"/>
  <c r="S86" i="6"/>
  <c r="F70" i="6" s="1"/>
  <c r="X86" i="6"/>
  <c r="K70" i="6" s="1"/>
  <c r="Q86" i="6"/>
  <c r="D70" i="6" s="1"/>
  <c r="T86" i="6"/>
  <c r="G70" i="6" s="1"/>
  <c r="R86" i="6"/>
  <c r="E70" i="6" s="1"/>
  <c r="U86" i="6"/>
  <c r="H70" i="6" s="1"/>
  <c r="V86" i="6"/>
  <c r="I70" i="6" s="1"/>
  <c r="W86" i="6"/>
  <c r="J70" i="6" s="1"/>
  <c r="Y86" i="13"/>
  <c r="L70" i="13" s="1"/>
  <c r="V86" i="13"/>
  <c r="I70" i="13" s="1"/>
  <c r="S86" i="13"/>
  <c r="F70" i="13" s="1"/>
  <c r="W86" i="13"/>
  <c r="J70" i="13" s="1"/>
  <c r="T86" i="13"/>
  <c r="G70" i="13" s="1"/>
  <c r="U86" i="13"/>
  <c r="H70" i="13" s="1"/>
  <c r="R86" i="13"/>
  <c r="E70" i="13" s="1"/>
  <c r="X86" i="13"/>
  <c r="K70" i="13" s="1"/>
  <c r="Q86" i="13"/>
  <c r="D70" i="13" s="1"/>
  <c r="Y86" i="7"/>
  <c r="L70" i="7" s="1"/>
  <c r="U86" i="7"/>
  <c r="H70" i="7" s="1"/>
  <c r="S86" i="7"/>
  <c r="F70" i="7" s="1"/>
  <c r="Q86" i="7"/>
  <c r="D70" i="7" s="1"/>
  <c r="T86" i="7"/>
  <c r="G70" i="7" s="1"/>
  <c r="V86" i="7"/>
  <c r="I70" i="7" s="1"/>
  <c r="R86" i="7"/>
  <c r="E70" i="7" s="1"/>
  <c r="W86" i="7"/>
  <c r="J70" i="7" s="1"/>
  <c r="X86" i="7"/>
  <c r="K70" i="7" s="1"/>
  <c r="X80" i="6"/>
  <c r="T80" i="6"/>
  <c r="Y80" i="6"/>
  <c r="V80" i="6"/>
  <c r="W80" i="6"/>
  <c r="R80" i="6"/>
  <c r="U80" i="6"/>
  <c r="S80" i="6"/>
  <c r="Q80" i="6"/>
  <c r="X80" i="13"/>
  <c r="Q80" i="13"/>
  <c r="Y86" i="12"/>
  <c r="L70" i="12" s="1"/>
  <c r="R86" i="12"/>
  <c r="E70" i="12" s="1"/>
  <c r="Q86" i="12"/>
  <c r="D70" i="12" s="1"/>
  <c r="T86" i="12"/>
  <c r="G70" i="12" s="1"/>
  <c r="U86" i="12"/>
  <c r="H70" i="12" s="1"/>
  <c r="X86" i="12"/>
  <c r="K70" i="12" s="1"/>
  <c r="S86" i="12"/>
  <c r="F70" i="12" s="1"/>
  <c r="W86" i="12"/>
  <c r="J70" i="12" s="1"/>
  <c r="V86" i="12"/>
  <c r="I70" i="12" s="1"/>
  <c r="X80" i="7"/>
  <c r="Q80" i="7"/>
  <c r="U80" i="7"/>
  <c r="R80" i="7"/>
  <c r="T80" i="7"/>
  <c r="V80" i="7"/>
  <c r="Y80" i="7"/>
  <c r="S80" i="7"/>
  <c r="W80" i="7"/>
  <c r="W80" i="12"/>
  <c r="R80" i="12"/>
  <c r="X80" i="12"/>
  <c r="S80" i="12"/>
  <c r="U80" i="12"/>
  <c r="Q80" i="12"/>
  <c r="U80" i="13" l="1"/>
  <c r="Y80" i="13"/>
  <c r="V80" i="13"/>
  <c r="T80" i="13"/>
  <c r="S80" i="13"/>
  <c r="V80" i="12"/>
  <c r="W80" i="13"/>
  <c r="Y80" i="12"/>
  <c r="T80" i="12"/>
  <c r="R80" i="13"/>
</calcChain>
</file>

<file path=xl/sharedStrings.xml><?xml version="1.0" encoding="utf-8"?>
<sst xmlns="http://schemas.openxmlformats.org/spreadsheetml/2006/main" count="419" uniqueCount="218">
  <si>
    <t>Zone Substation (MVA)</t>
  </si>
  <si>
    <t>Summer (N)</t>
  </si>
  <si>
    <t>Winter (N)</t>
  </si>
  <si>
    <t>Summer (N-1)</t>
  </si>
  <si>
    <t>Winter (N-1)</t>
  </si>
  <si>
    <t>Feeder (MVA)</t>
  </si>
  <si>
    <t>Summer</t>
  </si>
  <si>
    <t>Winter</t>
  </si>
  <si>
    <t>SBY</t>
  </si>
  <si>
    <t>SHM11</t>
  </si>
  <si>
    <t>SHM</t>
  </si>
  <si>
    <t>SHM12</t>
  </si>
  <si>
    <t>SHM14</t>
  </si>
  <si>
    <t>SHM21</t>
  </si>
  <si>
    <t>SBY Replace No.1 transformer</t>
  </si>
  <si>
    <t>SHM22</t>
  </si>
  <si>
    <t>SBY Replace No.1 &amp; 3 transformers</t>
  </si>
  <si>
    <t>SHM23</t>
  </si>
  <si>
    <t>SHM 3rd transformer</t>
  </si>
  <si>
    <t>SHM24</t>
  </si>
  <si>
    <t>PLN New zone substation</t>
  </si>
  <si>
    <t>SBY12</t>
  </si>
  <si>
    <t>SBY13</t>
  </si>
  <si>
    <t>SBY23</t>
  </si>
  <si>
    <t>SBY24</t>
  </si>
  <si>
    <t>SBY32</t>
  </si>
  <si>
    <t>SBY34</t>
  </si>
  <si>
    <t>SBY35</t>
  </si>
  <si>
    <t>SA 02</t>
  </si>
  <si>
    <t>SA 06</t>
  </si>
  <si>
    <t>SA 10</t>
  </si>
  <si>
    <t>SA 12</t>
  </si>
  <si>
    <t>ACR51070 (SBY13)</t>
  </si>
  <si>
    <t>Sub-transmission Loop (MVA)</t>
  </si>
  <si>
    <t>Line</t>
  </si>
  <si>
    <t>ACR55612 (SBY23)</t>
  </si>
  <si>
    <t>Overall N Rating</t>
  </si>
  <si>
    <t>sw51196 (SBY24)</t>
  </si>
  <si>
    <t>Overall N-1 Rating</t>
  </si>
  <si>
    <t>sw56781 (SBY24)</t>
  </si>
  <si>
    <t>KTS-SBY-SHM-GSB-WND</t>
  </si>
  <si>
    <t>KTS-SBY No.1</t>
  </si>
  <si>
    <t>KTS-SBY No.2</t>
  </si>
  <si>
    <t>SBY31 new</t>
  </si>
  <si>
    <t>KTS-SHM</t>
  </si>
  <si>
    <t>SBY22 new</t>
  </si>
  <si>
    <t>SBY-SHM</t>
  </si>
  <si>
    <t>SBY15 new</t>
  </si>
  <si>
    <t>SHM31 new</t>
  </si>
  <si>
    <t>SHM32 new</t>
  </si>
  <si>
    <t>SHM33 new</t>
  </si>
  <si>
    <t>PLN11 new</t>
  </si>
  <si>
    <t>PLN12 new</t>
  </si>
  <si>
    <t>PLN13 new</t>
  </si>
  <si>
    <t>ACR 51070 (SBY13) regulator</t>
  </si>
  <si>
    <t>SHM13 new</t>
  </si>
  <si>
    <t>SBY14 new</t>
  </si>
  <si>
    <t>ACR 55612 (SBY23) regulator</t>
  </si>
  <si>
    <t>sw 51196 upgrade</t>
  </si>
  <si>
    <t>sw 56781 upgrade</t>
  </si>
  <si>
    <t>Feeder</t>
  </si>
  <si>
    <t>Actual 2022</t>
  </si>
  <si>
    <t xml:space="preserve"> -   </t>
  </si>
  <si>
    <t>TOTAL</t>
  </si>
  <si>
    <t>Suburb</t>
  </si>
  <si>
    <t>Forecast 2046</t>
  </si>
  <si>
    <t>Increase</t>
  </si>
  <si>
    <t>% Increase</t>
  </si>
  <si>
    <t>% Increase (pa)</t>
  </si>
  <si>
    <t>Bulla / Wildwood (part)</t>
  </si>
  <si>
    <t>Clarkefield</t>
  </si>
  <si>
    <t>Gisborne South</t>
  </si>
  <si>
    <t xml:space="preserve">Sunbury </t>
  </si>
  <si>
    <t>Diggers Rest</t>
  </si>
  <si>
    <t>Plumpton area (part)</t>
  </si>
  <si>
    <t>Hillside</t>
  </si>
  <si>
    <t>Sydenham</t>
  </si>
  <si>
    <t>Taylors Lakes (part)</t>
  </si>
  <si>
    <t>Calder Park</t>
  </si>
  <si>
    <t>Network Asset (MVA)</t>
  </si>
  <si>
    <t>N-1 Rating</t>
  </si>
  <si>
    <t>Feeder (A)</t>
  </si>
  <si>
    <t>Rating</t>
  </si>
  <si>
    <t>Option 1 - Do Nothing</t>
  </si>
  <si>
    <t>ZSS/SubT Solutions Applied</t>
  </si>
  <si>
    <t>Xfer</t>
  </si>
  <si>
    <t>Feeder Solutions Applied</t>
  </si>
  <si>
    <t>Option 2</t>
  </si>
  <si>
    <t>Option 3</t>
  </si>
  <si>
    <t>SHM Bus 1&amp;2</t>
  </si>
  <si>
    <t>SHM Bus 3</t>
  </si>
  <si>
    <t>Option 4</t>
  </si>
  <si>
    <t>SHM Bus 1</t>
  </si>
  <si>
    <t>SHM Bus 2</t>
  </si>
  <si>
    <t>Actual</t>
  </si>
  <si>
    <t>Ico (OH)</t>
  </si>
  <si>
    <t>A/km</t>
  </si>
  <si>
    <t>Limit</t>
  </si>
  <si>
    <t>Ico (UG)</t>
  </si>
  <si>
    <t>Ico</t>
  </si>
  <si>
    <t>OH Growth km</t>
  </si>
  <si>
    <t>SHM-011</t>
  </si>
  <si>
    <t>SHM-012</t>
  </si>
  <si>
    <t>SHM-014</t>
  </si>
  <si>
    <t>SHM-021</t>
  </si>
  <si>
    <t>SHM-022</t>
  </si>
  <si>
    <t>SHM-023</t>
  </si>
  <si>
    <t>SHM-024</t>
  </si>
  <si>
    <t>Total</t>
  </si>
  <si>
    <t>UG Growth km</t>
  </si>
  <si>
    <t>Results from EUE modellling</t>
  </si>
  <si>
    <t>VCR</t>
  </si>
  <si>
    <t>$/MWh</t>
  </si>
  <si>
    <t>WACC</t>
  </si>
  <si>
    <t>O&amp;M</t>
  </si>
  <si>
    <t>Asset Life</t>
  </si>
  <si>
    <t>years</t>
  </si>
  <si>
    <t>Discount Rate</t>
  </si>
  <si>
    <t>Expected Unserved Energy for each Option (MWh) – Feeder (N) Overload (from NDS FDR EUE model)</t>
  </si>
  <si>
    <t>Value of Expected Unserved Energy for each Option ($k) – Feeder (N) Overload</t>
  </si>
  <si>
    <t>Option</t>
  </si>
  <si>
    <t>FDR</t>
  </si>
  <si>
    <t>Solution Applied</t>
  </si>
  <si>
    <t>Nil</t>
  </si>
  <si>
    <t>ACR51070</t>
  </si>
  <si>
    <t>ACR55612</t>
  </si>
  <si>
    <t>SW51196</t>
  </si>
  <si>
    <t>SW56781</t>
  </si>
  <si>
    <t>Expected Unserved Energy for each Option (MWh) – Zone Substations Overload (from NDS ZSS EUE model)</t>
  </si>
  <si>
    <t>Value of Expected Unserved Energy for each Option ($k) – Zone Substations Overload</t>
  </si>
  <si>
    <t>ZSS</t>
  </si>
  <si>
    <t>PLN</t>
  </si>
  <si>
    <t>8.4.1
8.4.2</t>
  </si>
  <si>
    <t>8.2.1
8.4.1 &amp; 2</t>
  </si>
  <si>
    <t>8.3.1
8.4.1 &amp; 2</t>
  </si>
  <si>
    <t>8.4.1 &amp; 2</t>
  </si>
  <si>
    <t>8.2.1</t>
  </si>
  <si>
    <t>Expected Unserved Energy for each Option (MWh) – SubT Overload (from NDS SUBT EUE model)</t>
  </si>
  <si>
    <t>Value of Expected Unserved Energy for each Option ($k) – SubT Overload</t>
  </si>
  <si>
    <t>SUBT</t>
  </si>
  <si>
    <t>Total EUE (MWh)</t>
  </si>
  <si>
    <t>Total EUE (MWh) - Zone Substations and Sub-Transmission</t>
  </si>
  <si>
    <t>Total EUE (MWh) - Distribution Feeders</t>
  </si>
  <si>
    <t>Total EUE ($k)</t>
  </si>
  <si>
    <t>Total EUE ($k) - Zone Substations and Sub-Transmission</t>
  </si>
  <si>
    <t>Total EUE ($k) - Distribution Feeders</t>
  </si>
  <si>
    <t>Cap</t>
  </si>
  <si>
    <t>for benefits moderation</t>
  </si>
  <si>
    <t>PV Risk Mitigation Option Costs and Timing</t>
  </si>
  <si>
    <t>Evaluation Period</t>
  </si>
  <si>
    <t>CAPEX PV RESULTS $m</t>
  </si>
  <si>
    <t>Capex Costs</t>
  </si>
  <si>
    <t>Opex Costs</t>
  </si>
  <si>
    <t>EUE Costs</t>
  </si>
  <si>
    <t>Year</t>
  </si>
  <si>
    <t>Ratio</t>
  </si>
  <si>
    <t>PV $m</t>
  </si>
  <si>
    <t>Sum $m</t>
  </si>
  <si>
    <t>Solutions</t>
  </si>
  <si>
    <t>Ref.</t>
  </si>
  <si>
    <t>Capex $m</t>
  </si>
  <si>
    <t>Annualised $k</t>
  </si>
  <si>
    <t>Network Limitation</t>
  </si>
  <si>
    <t>Optimum Timing</t>
  </si>
  <si>
    <t>New feeder SHM-013</t>
  </si>
  <si>
    <t>8.1.1</t>
  </si>
  <si>
    <t>2,3,4</t>
  </si>
  <si>
    <t>Load transfer SBY24 to SBY35</t>
  </si>
  <si>
    <t>8.1.2</t>
  </si>
  <si>
    <t>Install Regulator - SBY13</t>
  </si>
  <si>
    <t>8.1.3</t>
  </si>
  <si>
    <t>Augment steel section - SBY24</t>
  </si>
  <si>
    <t>8.1.4</t>
  </si>
  <si>
    <t>Install Regulator - SBY23</t>
  </si>
  <si>
    <t>8.1.5</t>
  </si>
  <si>
    <t>New feeder SBY-022</t>
  </si>
  <si>
    <t>8.1.6</t>
  </si>
  <si>
    <t>New feeder SBY-014</t>
  </si>
  <si>
    <t>8.1.7</t>
  </si>
  <si>
    <t>New feeder SBY-015</t>
  </si>
  <si>
    <t>8.1.8</t>
  </si>
  <si>
    <t>New 66/22 kV zone substation at PLN</t>
  </si>
  <si>
    <t>New feeders PLN11 and PLN12</t>
  </si>
  <si>
    <t>8.2.2</t>
  </si>
  <si>
    <t>3rd 66/22 kV transformer at SHM</t>
  </si>
  <si>
    <t>8.3.1</t>
  </si>
  <si>
    <t>New feeders SHM31 and SHM32</t>
  </si>
  <si>
    <t>8.3.2</t>
  </si>
  <si>
    <t>Upgrade SBY No.1 transformer to 20/33MVA</t>
  </si>
  <si>
    <t>8.4.1</t>
  </si>
  <si>
    <t>Upgrade SBY No.3 transformer to 20/33MVA</t>
  </si>
  <si>
    <t>8.4.2</t>
  </si>
  <si>
    <t>New feeder SBY-031</t>
  </si>
  <si>
    <t>8.4.3</t>
  </si>
  <si>
    <t>Base Case NPV ($ million)</t>
  </si>
  <si>
    <t xml:space="preserve">PV of Project Capital Cost </t>
  </si>
  <si>
    <t xml:space="preserve">PV of Annual O&amp;M Cost </t>
  </si>
  <si>
    <t>PV of EUE Cost</t>
  </si>
  <si>
    <t xml:space="preserve">PV of Total Costs </t>
  </si>
  <si>
    <t>Ranking</t>
  </si>
  <si>
    <t xml:space="preserve">PV of Capital and O&amp;M Cost </t>
  </si>
  <si>
    <t xml:space="preserve">PV of EUE Benefit </t>
  </si>
  <si>
    <t xml:space="preserve">NPV </t>
  </si>
  <si>
    <t xml:space="preserve">PVR </t>
  </si>
  <si>
    <t>Option 1</t>
  </si>
  <si>
    <t>Option 5</t>
  </si>
  <si>
    <t>Option 6</t>
  </si>
  <si>
    <t>Option 7</t>
  </si>
  <si>
    <t>Sensitivity NPV ($ million)</t>
  </si>
  <si>
    <t>Baseline</t>
  </si>
  <si>
    <t>Customer Benefit 10% Lower</t>
  </si>
  <si>
    <t>Customer Benefit 10% Higher</t>
  </si>
  <si>
    <t>Discount Rate 1% Higher</t>
  </si>
  <si>
    <t>Discount Rate 1% Lower</t>
  </si>
  <si>
    <t>Capital Costs 30% Higher</t>
  </si>
  <si>
    <t>Capital Costs 30% Lower</t>
  </si>
  <si>
    <t>Sensitivity Rank</t>
  </si>
  <si>
    <t>Yellow highlights copied from Sensitivities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</si>
</sst>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%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26CB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7DCCE0"/>
      </right>
      <top style="medium">
        <color rgb="FF7DCCE0"/>
      </top>
      <bottom style="thick">
        <color rgb="FF7DCCE0"/>
      </bottom>
      <diagonal/>
    </border>
    <border>
      <left/>
      <right/>
      <top style="medium">
        <color rgb="FF7DCCE0"/>
      </top>
      <bottom style="thick">
        <color rgb="FF7DCCE0"/>
      </bottom>
      <diagonal/>
    </border>
    <border>
      <left style="medium">
        <color rgb="FF26BCD7"/>
      </left>
      <right style="medium">
        <color rgb="FF26BCD7"/>
      </right>
      <top/>
      <bottom style="medium">
        <color rgb="FF26BCD7"/>
      </bottom>
      <diagonal/>
    </border>
    <border>
      <left/>
      <right style="medium">
        <color rgb="FF26BCD7"/>
      </right>
      <top/>
      <bottom style="medium">
        <color rgb="FF26BCD7"/>
      </bottom>
      <diagonal/>
    </border>
    <border>
      <left style="medium">
        <color rgb="FF26BCD7"/>
      </left>
      <right style="medium">
        <color rgb="FF26BCD7"/>
      </right>
      <top/>
      <bottom/>
      <diagonal/>
    </border>
    <border>
      <left/>
      <right style="medium">
        <color rgb="FF26BCD7"/>
      </right>
      <top/>
      <bottom/>
      <diagonal/>
    </border>
    <border>
      <left style="medium">
        <color rgb="FF26BCD7"/>
      </left>
      <right style="medium">
        <color rgb="FF26BCD7"/>
      </right>
      <top style="thick">
        <color rgb="FF7DCCE0"/>
      </top>
      <bottom/>
      <diagonal/>
    </border>
    <border>
      <left style="medium">
        <color rgb="FF26BCD7"/>
      </left>
      <right style="medium">
        <color rgb="FF26BCD7"/>
      </right>
      <top style="medium">
        <color rgb="FF26BCD7"/>
      </top>
      <bottom/>
      <diagonal/>
    </border>
    <border>
      <left style="medium">
        <color rgb="FF26BCD7"/>
      </left>
      <right/>
      <top style="thick">
        <color rgb="FF7DCCE0"/>
      </top>
      <bottom style="medium">
        <color rgb="FF26BCD7"/>
      </bottom>
      <diagonal/>
    </border>
    <border>
      <left/>
      <right/>
      <top style="thick">
        <color rgb="FF7DCCE0"/>
      </top>
      <bottom style="medium">
        <color rgb="FF26BCD7"/>
      </bottom>
      <diagonal/>
    </border>
    <border>
      <left/>
      <right style="medium">
        <color rgb="FF26BCD7"/>
      </right>
      <top style="thick">
        <color rgb="FF7DCCE0"/>
      </top>
      <bottom style="medium">
        <color rgb="FF26BCD7"/>
      </bottom>
      <diagonal/>
    </border>
    <border>
      <left/>
      <right/>
      <top/>
      <bottom style="medium">
        <color rgb="FF26BC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7" fillId="0" borderId="0" xfId="0" applyFont="1"/>
    <xf numFmtId="0" fontId="6" fillId="0" borderId="0" xfId="0" applyFont="1"/>
    <xf numFmtId="164" fontId="0" fillId="0" borderId="0" xfId="0" applyNumberFormat="1"/>
    <xf numFmtId="1" fontId="1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7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0" fillId="0" borderId="0" xfId="0" applyNumberFormat="1"/>
    <xf numFmtId="166" fontId="1" fillId="0" borderId="4" xfId="0" applyNumberFormat="1" applyFont="1" applyBorder="1" applyAlignment="1">
      <alignment horizontal="left" vertical="center" wrapText="1"/>
    </xf>
    <xf numFmtId="3" fontId="0" fillId="0" borderId="0" xfId="0" applyNumberFormat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left" vertical="center"/>
    </xf>
    <xf numFmtId="166" fontId="1" fillId="5" borderId="4" xfId="0" applyNumberFormat="1" applyFont="1" applyFill="1" applyBorder="1" applyAlignment="1">
      <alignment horizontal="left" vertical="center" wrapText="1"/>
    </xf>
    <xf numFmtId="0" fontId="12" fillId="0" borderId="0" xfId="0" applyFont="1"/>
    <xf numFmtId="1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6" fillId="6" borderId="13" xfId="0" applyFont="1" applyFill="1" applyBorder="1"/>
    <xf numFmtId="0" fontId="6" fillId="6" borderId="13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 wrapText="1"/>
    </xf>
    <xf numFmtId="0" fontId="6" fillId="0" borderId="13" xfId="0" applyFont="1" applyBorder="1"/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0" xfId="0" applyFont="1"/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13" xfId="0" applyBorder="1"/>
    <xf numFmtId="164" fontId="0" fillId="0" borderId="13" xfId="0" applyNumberFormat="1" applyBorder="1"/>
    <xf numFmtId="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1" fillId="0" borderId="0" xfId="0" applyFont="1"/>
    <xf numFmtId="1" fontId="11" fillId="0" borderId="0" xfId="0" applyNumberFormat="1" applyFont="1"/>
    <xf numFmtId="164" fontId="11" fillId="0" borderId="14" xfId="0" applyNumberFormat="1" applyFont="1" applyBorder="1" applyAlignment="1">
      <alignment horizontal="left"/>
    </xf>
    <xf numFmtId="164" fontId="11" fillId="0" borderId="15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6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0" fillId="4" borderId="0" xfId="0" applyNumberFormat="1" applyFill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5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" fontId="0" fillId="0" borderId="13" xfId="0" applyNumberFormat="1" applyBorder="1"/>
    <xf numFmtId="165" fontId="0" fillId="0" borderId="13" xfId="0" applyNumberFormat="1" applyBorder="1"/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4" fontId="11" fillId="0" borderId="13" xfId="0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164" fontId="0" fillId="0" borderId="13" xfId="0" applyNumberFormat="1" applyFill="1" applyBorder="1"/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F6D0A30-3C03-448A-9AFE-63EC4DCB2A63}"/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2764-8918-40BE-93A2-49D756F6AD2F}">
  <sheetPr codeName="Sheet1">
    <tabColor theme="5" tint="-0.499984740745262"/>
  </sheetPr>
  <dimension ref="A1:J82"/>
  <sheetViews>
    <sheetView workbookViewId="0">
      <selection activeCell="F59" sqref="F59"/>
    </sheetView>
  </sheetViews>
  <sheetFormatPr defaultRowHeight="14.1" customHeight="1" x14ac:dyDescent="0.25"/>
  <cols>
    <col min="1" max="1" width="29.7109375" customWidth="1"/>
    <col min="2" max="7" width="12.7109375" customWidth="1"/>
    <col min="8" max="8" width="27.42578125" bestFit="1" customWidth="1"/>
    <col min="9" max="22" width="12.7109375" customWidth="1"/>
  </cols>
  <sheetData>
    <row r="1" spans="1:10" ht="14.1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H1" s="1" t="s">
        <v>5</v>
      </c>
      <c r="I1" s="2" t="s">
        <v>6</v>
      </c>
      <c r="J1" s="2" t="s">
        <v>7</v>
      </c>
    </row>
    <row r="2" spans="1:10" ht="14.1" customHeight="1" thickTop="1" thickBot="1" x14ac:dyDescent="0.3">
      <c r="A2" s="4" t="s">
        <v>8</v>
      </c>
      <c r="B2" s="10">
        <v>65</v>
      </c>
      <c r="C2" s="10">
        <v>65</v>
      </c>
      <c r="D2" s="10">
        <v>38</v>
      </c>
      <c r="E2" s="10">
        <v>38</v>
      </c>
      <c r="H2" s="4" t="s">
        <v>9</v>
      </c>
      <c r="I2" s="79">
        <v>14.3</v>
      </c>
      <c r="J2" s="79">
        <v>14.3</v>
      </c>
    </row>
    <row r="3" spans="1:10" ht="14.1" customHeight="1" thickBot="1" x14ac:dyDescent="0.3">
      <c r="A3" s="4" t="s">
        <v>10</v>
      </c>
      <c r="B3" s="10">
        <v>66</v>
      </c>
      <c r="C3" s="10">
        <v>66</v>
      </c>
      <c r="D3" s="10">
        <v>38</v>
      </c>
      <c r="E3" s="10">
        <v>39.6</v>
      </c>
      <c r="H3" s="4" t="s">
        <v>11</v>
      </c>
      <c r="I3" s="79">
        <v>14.3</v>
      </c>
      <c r="J3" s="79">
        <v>14.3</v>
      </c>
    </row>
    <row r="4" spans="1:10" ht="14.1" customHeight="1" thickBot="1" x14ac:dyDescent="0.3">
      <c r="A4" s="4"/>
      <c r="B4" s="10"/>
      <c r="C4" s="10"/>
      <c r="D4" s="10"/>
      <c r="E4" s="10"/>
      <c r="H4" s="4" t="s">
        <v>12</v>
      </c>
      <c r="I4" s="79">
        <v>14.3</v>
      </c>
      <c r="J4" s="79">
        <v>14.3</v>
      </c>
    </row>
    <row r="5" spans="1:10" ht="14.1" customHeight="1" thickBot="1" x14ac:dyDescent="0.3">
      <c r="A5" s="4"/>
      <c r="B5" s="10"/>
      <c r="C5" s="10"/>
      <c r="D5" s="10"/>
      <c r="E5" s="10"/>
      <c r="H5" s="4" t="s">
        <v>13</v>
      </c>
      <c r="I5" s="79">
        <v>14.3</v>
      </c>
      <c r="J5" s="79">
        <v>14.3</v>
      </c>
    </row>
    <row r="6" spans="1:10" ht="14.1" customHeight="1" thickBot="1" x14ac:dyDescent="0.3">
      <c r="A6" s="4" t="s">
        <v>14</v>
      </c>
      <c r="B6" s="10">
        <v>82</v>
      </c>
      <c r="C6" s="10">
        <v>82</v>
      </c>
      <c r="D6" s="10">
        <v>49</v>
      </c>
      <c r="E6" s="10">
        <v>49</v>
      </c>
      <c r="H6" s="4" t="s">
        <v>15</v>
      </c>
      <c r="I6" s="79">
        <v>14.3</v>
      </c>
      <c r="J6" s="79">
        <v>14.3</v>
      </c>
    </row>
    <row r="7" spans="1:10" ht="14.1" customHeight="1" thickBot="1" x14ac:dyDescent="0.3">
      <c r="A7" s="4" t="s">
        <v>16</v>
      </c>
      <c r="B7" s="10">
        <v>99</v>
      </c>
      <c r="C7" s="10">
        <v>99</v>
      </c>
      <c r="D7" s="10">
        <v>76</v>
      </c>
      <c r="E7" s="10">
        <v>79.2</v>
      </c>
      <c r="H7" s="4" t="s">
        <v>17</v>
      </c>
      <c r="I7" s="79">
        <v>14.3</v>
      </c>
      <c r="J7" s="79">
        <v>14.3</v>
      </c>
    </row>
    <row r="8" spans="1:10" ht="14.1" customHeight="1" thickBot="1" x14ac:dyDescent="0.3">
      <c r="A8" s="4" t="s">
        <v>18</v>
      </c>
      <c r="B8" s="10">
        <v>99</v>
      </c>
      <c r="C8" s="10">
        <v>99</v>
      </c>
      <c r="D8" s="10">
        <v>76</v>
      </c>
      <c r="E8" s="10">
        <v>79.2</v>
      </c>
      <c r="H8" s="4" t="s">
        <v>19</v>
      </c>
      <c r="I8" s="79">
        <v>14.3</v>
      </c>
      <c r="J8" s="79">
        <v>14.3</v>
      </c>
    </row>
    <row r="9" spans="1:10" ht="14.1" customHeight="1" thickBot="1" x14ac:dyDescent="0.3">
      <c r="A9" s="4" t="s">
        <v>20</v>
      </c>
      <c r="B9" s="10">
        <v>33</v>
      </c>
      <c r="C9" s="10">
        <v>33</v>
      </c>
      <c r="D9" s="10">
        <v>0</v>
      </c>
      <c r="E9" s="10">
        <v>0</v>
      </c>
      <c r="H9" s="4" t="s">
        <v>21</v>
      </c>
      <c r="I9" s="79">
        <v>14.3</v>
      </c>
      <c r="J9" s="79">
        <v>14.3</v>
      </c>
    </row>
    <row r="10" spans="1:10" ht="14.1" customHeight="1" thickBot="1" x14ac:dyDescent="0.3">
      <c r="A10" s="4"/>
      <c r="B10" s="10"/>
      <c r="C10" s="10"/>
      <c r="D10" s="10"/>
      <c r="E10" s="10"/>
      <c r="H10" s="4" t="s">
        <v>22</v>
      </c>
      <c r="I10" s="79">
        <v>12.5</v>
      </c>
      <c r="J10" s="79">
        <v>14.1</v>
      </c>
    </row>
    <row r="11" spans="1:10" ht="14.1" customHeight="1" thickBot="1" x14ac:dyDescent="0.3">
      <c r="A11" s="4"/>
      <c r="B11" s="10"/>
      <c r="C11" s="10"/>
      <c r="D11" s="10"/>
      <c r="E11" s="10"/>
      <c r="H11" s="4" t="s">
        <v>23</v>
      </c>
      <c r="I11" s="79">
        <v>14.3</v>
      </c>
      <c r="J11" s="79">
        <v>14.3</v>
      </c>
    </row>
    <row r="12" spans="1:10" ht="14.1" customHeight="1" thickBot="1" x14ac:dyDescent="0.3">
      <c r="A12" s="4"/>
      <c r="B12" s="10"/>
      <c r="C12" s="10"/>
      <c r="D12" s="10"/>
      <c r="E12" s="10"/>
      <c r="H12" s="4" t="s">
        <v>24</v>
      </c>
      <c r="I12" s="79">
        <v>14.3</v>
      </c>
      <c r="J12" s="79">
        <v>14.3</v>
      </c>
    </row>
    <row r="13" spans="1:10" ht="14.1" customHeight="1" thickBot="1" x14ac:dyDescent="0.3">
      <c r="A13" s="4"/>
      <c r="B13" s="10"/>
      <c r="C13" s="10"/>
      <c r="D13" s="10"/>
      <c r="E13" s="10"/>
      <c r="H13" s="4" t="s">
        <v>25</v>
      </c>
      <c r="I13" s="79">
        <v>14.3</v>
      </c>
      <c r="J13" s="79">
        <v>14.3</v>
      </c>
    </row>
    <row r="14" spans="1:10" ht="14.1" customHeight="1" thickBot="1" x14ac:dyDescent="0.3">
      <c r="A14" s="4"/>
      <c r="B14" s="10"/>
      <c r="C14" s="10"/>
      <c r="D14" s="10"/>
      <c r="E14" s="10"/>
      <c r="H14" s="4" t="s">
        <v>26</v>
      </c>
      <c r="I14" s="79">
        <v>14.3</v>
      </c>
      <c r="J14" s="79">
        <v>14.3</v>
      </c>
    </row>
    <row r="15" spans="1:10" ht="14.1" customHeight="1" thickBot="1" x14ac:dyDescent="0.3">
      <c r="A15" s="4"/>
      <c r="B15" s="10"/>
      <c r="C15" s="10"/>
      <c r="D15" s="10"/>
      <c r="E15" s="10"/>
      <c r="H15" s="4" t="s">
        <v>27</v>
      </c>
      <c r="I15" s="79">
        <v>14.3</v>
      </c>
      <c r="J15" s="79">
        <v>14.3</v>
      </c>
    </row>
    <row r="16" spans="1:10" ht="14.1" customHeight="1" thickBot="1" x14ac:dyDescent="0.3">
      <c r="A16" s="4"/>
      <c r="B16" s="10"/>
      <c r="C16" s="10"/>
      <c r="D16" s="10"/>
      <c r="E16" s="10"/>
      <c r="H16" s="4" t="s">
        <v>28</v>
      </c>
      <c r="I16" s="79">
        <v>5.3</v>
      </c>
      <c r="J16" s="79">
        <v>7.4</v>
      </c>
    </row>
    <row r="17" spans="1:10" ht="14.1" customHeight="1" thickBot="1" x14ac:dyDescent="0.3">
      <c r="A17" s="4"/>
      <c r="B17" s="10"/>
      <c r="C17" s="10"/>
      <c r="D17" s="10"/>
      <c r="E17" s="10"/>
      <c r="H17" s="4" t="s">
        <v>29</v>
      </c>
      <c r="I17" s="79">
        <v>12</v>
      </c>
      <c r="J17" s="79">
        <v>12.8</v>
      </c>
    </row>
    <row r="18" spans="1:10" ht="14.1" customHeight="1" thickBot="1" x14ac:dyDescent="0.3">
      <c r="A18" s="4"/>
      <c r="B18" s="10"/>
      <c r="C18" s="10"/>
      <c r="D18" s="10"/>
      <c r="E18" s="10"/>
      <c r="H18" s="4" t="s">
        <v>30</v>
      </c>
      <c r="I18" s="79">
        <v>0</v>
      </c>
      <c r="J18" s="79">
        <v>0</v>
      </c>
    </row>
    <row r="19" spans="1:10" ht="14.1" customHeight="1" thickBot="1" x14ac:dyDescent="0.3">
      <c r="A19" s="4"/>
      <c r="B19" s="10"/>
      <c r="C19" s="10"/>
      <c r="D19" s="10"/>
      <c r="E19" s="10"/>
      <c r="H19" s="4" t="s">
        <v>31</v>
      </c>
      <c r="I19" s="79">
        <v>8.8000000000000007</v>
      </c>
      <c r="J19" s="79">
        <v>12.8</v>
      </c>
    </row>
    <row r="20" spans="1:10" ht="14.1" customHeight="1" thickBot="1" x14ac:dyDescent="0.3">
      <c r="H20" s="4" t="s">
        <v>32</v>
      </c>
      <c r="I20" s="79">
        <v>2</v>
      </c>
      <c r="J20" s="79">
        <v>2</v>
      </c>
    </row>
    <row r="21" spans="1:10" ht="14.1" customHeight="1" thickBot="1" x14ac:dyDescent="0.3">
      <c r="A21" s="1" t="s">
        <v>33</v>
      </c>
      <c r="B21" s="3" t="s">
        <v>6</v>
      </c>
      <c r="C21" s="3" t="s">
        <v>7</v>
      </c>
      <c r="D21" s="3" t="s">
        <v>34</v>
      </c>
      <c r="G21" s="8"/>
      <c r="H21" s="4" t="s">
        <v>35</v>
      </c>
      <c r="I21" s="79">
        <v>3</v>
      </c>
      <c r="J21" s="79">
        <v>3</v>
      </c>
    </row>
    <row r="22" spans="1:10" ht="14.1" customHeight="1" thickTop="1" thickBot="1" x14ac:dyDescent="0.3">
      <c r="A22" s="80"/>
      <c r="B22" s="81"/>
      <c r="C22" s="81"/>
      <c r="D22" s="82" t="s">
        <v>36</v>
      </c>
      <c r="G22" s="26"/>
      <c r="H22" s="4" t="s">
        <v>37</v>
      </c>
      <c r="I22" s="79">
        <v>1.5</v>
      </c>
      <c r="J22" s="79">
        <v>1.5</v>
      </c>
    </row>
    <row r="23" spans="1:10" ht="14.1" customHeight="1" thickBot="1" x14ac:dyDescent="0.3">
      <c r="A23" s="83"/>
      <c r="B23" s="81"/>
      <c r="C23" s="81"/>
      <c r="D23" s="82" t="s">
        <v>38</v>
      </c>
      <c r="G23" s="26"/>
      <c r="H23" s="4" t="s">
        <v>39</v>
      </c>
      <c r="I23" s="79">
        <v>0.6</v>
      </c>
      <c r="J23" s="79">
        <v>0.6</v>
      </c>
    </row>
    <row r="24" spans="1:10" ht="14.1" customHeight="1" thickBot="1" x14ac:dyDescent="0.3">
      <c r="A24" s="83"/>
      <c r="B24" s="26"/>
      <c r="C24" s="26"/>
      <c r="D24" s="84"/>
      <c r="G24" s="26"/>
      <c r="H24" s="4"/>
      <c r="I24" s="79"/>
      <c r="J24" s="79"/>
    </row>
    <row r="25" spans="1:10" ht="14.1" customHeight="1" thickBot="1" x14ac:dyDescent="0.3">
      <c r="A25" s="4"/>
      <c r="B25" s="10"/>
      <c r="C25" s="10"/>
      <c r="D25" s="85"/>
      <c r="G25" s="25"/>
      <c r="H25" s="4"/>
      <c r="I25" s="79"/>
      <c r="J25" s="79"/>
    </row>
    <row r="26" spans="1:10" ht="14.1" customHeight="1" thickTop="1" thickBot="1" x14ac:dyDescent="0.3">
      <c r="A26" s="80"/>
      <c r="B26" s="81"/>
      <c r="C26" s="81"/>
      <c r="D26" s="82" t="s">
        <v>36</v>
      </c>
      <c r="G26" s="25"/>
      <c r="H26" s="4"/>
      <c r="I26" s="79"/>
      <c r="J26" s="79"/>
    </row>
    <row r="27" spans="1:10" ht="14.1" customHeight="1" thickBot="1" x14ac:dyDescent="0.3">
      <c r="A27" s="83"/>
      <c r="B27" s="81"/>
      <c r="C27" s="81"/>
      <c r="D27" s="82" t="s">
        <v>38</v>
      </c>
      <c r="G27" s="26"/>
      <c r="H27" s="4"/>
      <c r="I27" s="79"/>
      <c r="J27" s="79"/>
    </row>
    <row r="28" spans="1:10" ht="14.1" customHeight="1" thickBot="1" x14ac:dyDescent="0.3">
      <c r="A28" s="83"/>
      <c r="B28" s="26"/>
      <c r="C28" s="26"/>
      <c r="D28" s="84"/>
      <c r="G28" s="26"/>
      <c r="H28" s="4"/>
      <c r="I28" s="79"/>
      <c r="J28" s="79"/>
    </row>
    <row r="29" spans="1:10" ht="14.1" customHeight="1" thickBot="1" x14ac:dyDescent="0.3">
      <c r="A29" s="4"/>
      <c r="B29" s="10"/>
      <c r="C29" s="10"/>
      <c r="D29" s="85"/>
      <c r="G29" s="15"/>
      <c r="H29" s="4"/>
      <c r="I29" s="79"/>
      <c r="J29" s="79"/>
    </row>
    <row r="30" spans="1:10" ht="14.1" customHeight="1" thickBot="1" x14ac:dyDescent="0.3">
      <c r="A30" s="86"/>
      <c r="B30" s="81"/>
      <c r="C30" s="81"/>
      <c r="D30" s="82" t="s">
        <v>36</v>
      </c>
      <c r="G30" s="15"/>
      <c r="H30" s="4"/>
      <c r="I30" s="79"/>
      <c r="J30" s="79"/>
    </row>
    <row r="31" spans="1:10" ht="14.1" customHeight="1" thickBot="1" x14ac:dyDescent="0.3">
      <c r="A31" s="83"/>
      <c r="B31" s="81"/>
      <c r="C31" s="81"/>
      <c r="D31" s="82" t="s">
        <v>38</v>
      </c>
      <c r="G31" s="15"/>
      <c r="H31" s="4"/>
      <c r="I31" s="79"/>
      <c r="J31" s="79"/>
    </row>
    <row r="32" spans="1:10" ht="14.1" customHeight="1" thickBot="1" x14ac:dyDescent="0.3">
      <c r="A32" s="83"/>
      <c r="B32" s="26"/>
      <c r="C32" s="26"/>
      <c r="D32" s="84"/>
      <c r="G32" s="15"/>
      <c r="H32" s="4"/>
      <c r="I32" s="79"/>
      <c r="J32" s="79"/>
    </row>
    <row r="33" spans="1:10" ht="14.1" customHeight="1" thickBot="1" x14ac:dyDescent="0.3">
      <c r="A33" s="83"/>
      <c r="B33" s="26"/>
      <c r="C33" s="26"/>
      <c r="D33" s="87"/>
      <c r="G33" s="27"/>
      <c r="H33" s="4"/>
      <c r="I33" s="79"/>
      <c r="J33" s="79"/>
    </row>
    <row r="34" spans="1:10" ht="14.1" customHeight="1" thickBot="1" x14ac:dyDescent="0.3">
      <c r="A34" s="83"/>
      <c r="B34" s="26"/>
      <c r="C34" s="26"/>
      <c r="D34" s="87"/>
      <c r="G34" s="27"/>
      <c r="H34" s="4"/>
      <c r="I34" s="79"/>
      <c r="J34" s="79"/>
    </row>
    <row r="35" spans="1:10" ht="14.1" customHeight="1" thickBot="1" x14ac:dyDescent="0.3">
      <c r="A35" s="83"/>
      <c r="B35" s="26"/>
      <c r="C35" s="26"/>
      <c r="D35" s="87"/>
      <c r="G35" s="27"/>
      <c r="H35" s="4"/>
      <c r="I35" s="79"/>
      <c r="J35" s="79"/>
    </row>
    <row r="36" spans="1:10" ht="14.1" customHeight="1" thickBot="1" x14ac:dyDescent="0.3">
      <c r="A36" s="4"/>
      <c r="B36" s="10"/>
      <c r="C36" s="10"/>
      <c r="D36" s="88"/>
      <c r="G36" s="27"/>
      <c r="H36" s="4"/>
      <c r="I36" s="79"/>
      <c r="J36" s="79"/>
    </row>
    <row r="37" spans="1:10" ht="14.1" customHeight="1" thickBot="1" x14ac:dyDescent="0.3">
      <c r="A37" s="86"/>
      <c r="B37" s="81"/>
      <c r="C37" s="81"/>
      <c r="D37" s="82" t="s">
        <v>36</v>
      </c>
      <c r="G37" s="27"/>
      <c r="H37" s="4"/>
      <c r="I37" s="79"/>
      <c r="J37" s="79"/>
    </row>
    <row r="38" spans="1:10" ht="14.1" customHeight="1" thickBot="1" x14ac:dyDescent="0.3">
      <c r="A38" s="83"/>
      <c r="B38" s="81"/>
      <c r="C38" s="81"/>
      <c r="D38" s="82" t="s">
        <v>38</v>
      </c>
      <c r="G38" s="27"/>
      <c r="H38" s="4"/>
      <c r="I38" s="79"/>
      <c r="J38" s="79"/>
    </row>
    <row r="39" spans="1:10" ht="14.1" customHeight="1" thickBot="1" x14ac:dyDescent="0.3">
      <c r="A39" s="83"/>
      <c r="B39" s="26"/>
      <c r="C39" s="26"/>
      <c r="D39" s="87"/>
      <c r="G39" s="27"/>
      <c r="H39" s="4"/>
      <c r="I39" s="79"/>
      <c r="J39" s="79"/>
    </row>
    <row r="40" spans="1:10" ht="14.1" customHeight="1" thickBot="1" x14ac:dyDescent="0.3">
      <c r="A40" s="83"/>
      <c r="B40" s="26"/>
      <c r="C40" s="26"/>
      <c r="D40" s="87"/>
      <c r="G40" s="27"/>
      <c r="H40" s="4"/>
      <c r="I40" s="79"/>
      <c r="J40" s="79"/>
    </row>
    <row r="41" spans="1:10" ht="14.1" customHeight="1" thickBot="1" x14ac:dyDescent="0.3">
      <c r="A41" s="4"/>
      <c r="B41" s="10"/>
      <c r="C41" s="10"/>
      <c r="D41" s="88"/>
      <c r="G41" s="27"/>
      <c r="H41" s="4"/>
      <c r="I41" s="79"/>
      <c r="J41" s="79"/>
    </row>
    <row r="42" spans="1:10" ht="14.1" customHeight="1" thickBot="1" x14ac:dyDescent="0.3">
      <c r="A42" s="86" t="s">
        <v>40</v>
      </c>
      <c r="B42" s="81">
        <v>290</v>
      </c>
      <c r="C42" s="81">
        <v>337</v>
      </c>
      <c r="D42" s="82" t="s">
        <v>36</v>
      </c>
      <c r="G42" s="27"/>
      <c r="H42" s="4"/>
      <c r="I42" s="79"/>
      <c r="J42" s="79"/>
    </row>
    <row r="43" spans="1:10" ht="14.1" customHeight="1" thickBot="1" x14ac:dyDescent="0.3">
      <c r="A43" s="83"/>
      <c r="B43" s="81">
        <v>180</v>
      </c>
      <c r="C43" s="81">
        <v>216</v>
      </c>
      <c r="D43" s="82" t="s">
        <v>38</v>
      </c>
      <c r="F43" s="11"/>
      <c r="G43" s="11"/>
      <c r="H43" s="4"/>
      <c r="I43" s="79"/>
      <c r="J43" s="79"/>
    </row>
    <row r="44" spans="1:10" ht="14.1" customHeight="1" thickBot="1" x14ac:dyDescent="0.3">
      <c r="A44" s="83"/>
      <c r="B44" s="26">
        <v>96</v>
      </c>
      <c r="C44" s="26">
        <v>116.6</v>
      </c>
      <c r="D44" s="87" t="s">
        <v>41</v>
      </c>
      <c r="H44" s="4"/>
      <c r="I44" s="79"/>
      <c r="J44" s="79"/>
    </row>
    <row r="45" spans="1:10" ht="14.1" customHeight="1" thickBot="1" x14ac:dyDescent="0.3">
      <c r="A45" s="83"/>
      <c r="B45" s="26">
        <v>94.3</v>
      </c>
      <c r="C45" s="26">
        <v>100.6</v>
      </c>
      <c r="D45" s="87" t="s">
        <v>42</v>
      </c>
      <c r="H45" s="4" t="s">
        <v>43</v>
      </c>
      <c r="I45" s="79">
        <v>14.3</v>
      </c>
      <c r="J45" s="79">
        <v>14.3</v>
      </c>
    </row>
    <row r="46" spans="1:10" ht="14.1" customHeight="1" thickBot="1" x14ac:dyDescent="0.3">
      <c r="A46" s="83"/>
      <c r="B46" s="26">
        <v>117.2</v>
      </c>
      <c r="C46" s="26">
        <v>128</v>
      </c>
      <c r="D46" s="87" t="s">
        <v>44</v>
      </c>
      <c r="H46" s="4" t="s">
        <v>45</v>
      </c>
      <c r="I46" s="79">
        <v>14.3</v>
      </c>
      <c r="J46" s="79">
        <v>14.3</v>
      </c>
    </row>
    <row r="47" spans="1:10" ht="14.1" customHeight="1" thickBot="1" x14ac:dyDescent="0.3">
      <c r="A47" s="4"/>
      <c r="B47" s="10">
        <v>117.2</v>
      </c>
      <c r="C47" s="10">
        <v>128</v>
      </c>
      <c r="D47" s="88" t="s">
        <v>46</v>
      </c>
      <c r="H47" s="4" t="s">
        <v>47</v>
      </c>
      <c r="I47" s="79">
        <v>14.3</v>
      </c>
      <c r="J47" s="79">
        <v>14.3</v>
      </c>
    </row>
    <row r="48" spans="1:10" ht="14.1" customHeight="1" thickBot="1" x14ac:dyDescent="0.3">
      <c r="A48" s="86"/>
      <c r="B48" s="81"/>
      <c r="C48" s="81"/>
      <c r="D48" s="82" t="s">
        <v>36</v>
      </c>
      <c r="H48" s="4" t="s">
        <v>48</v>
      </c>
      <c r="I48" s="79">
        <v>14.3</v>
      </c>
      <c r="J48" s="79">
        <v>14.3</v>
      </c>
    </row>
    <row r="49" spans="1:10" ht="14.1" customHeight="1" thickBot="1" x14ac:dyDescent="0.3">
      <c r="A49" s="83"/>
      <c r="B49" s="81"/>
      <c r="C49" s="81"/>
      <c r="D49" s="82" t="s">
        <v>38</v>
      </c>
      <c r="H49" s="4" t="s">
        <v>49</v>
      </c>
      <c r="I49" s="79">
        <v>14.3</v>
      </c>
      <c r="J49" s="79">
        <v>14.3</v>
      </c>
    </row>
    <row r="50" spans="1:10" ht="14.1" customHeight="1" thickBot="1" x14ac:dyDescent="0.3">
      <c r="A50" s="83"/>
      <c r="B50" s="26"/>
      <c r="C50" s="26"/>
      <c r="D50" s="87"/>
      <c r="H50" s="4" t="s">
        <v>50</v>
      </c>
      <c r="I50" s="79">
        <v>14.3</v>
      </c>
      <c r="J50" s="79">
        <v>14.3</v>
      </c>
    </row>
    <row r="51" spans="1:10" ht="14.1" customHeight="1" thickBot="1" x14ac:dyDescent="0.3">
      <c r="A51" s="83"/>
      <c r="B51" s="26"/>
      <c r="C51" s="26"/>
      <c r="D51" s="87"/>
      <c r="H51" s="4" t="s">
        <v>51</v>
      </c>
      <c r="I51" s="79">
        <v>14.3</v>
      </c>
      <c r="J51" s="79">
        <v>14.3</v>
      </c>
    </row>
    <row r="52" spans="1:10" ht="14.1" customHeight="1" thickBot="1" x14ac:dyDescent="0.3">
      <c r="A52" s="4"/>
      <c r="B52" s="10"/>
      <c r="C52" s="10"/>
      <c r="D52" s="88"/>
      <c r="H52" s="4" t="s">
        <v>52</v>
      </c>
      <c r="I52" s="79">
        <v>14.3</v>
      </c>
      <c r="J52" s="79">
        <v>14.3</v>
      </c>
    </row>
    <row r="53" spans="1:10" ht="14.1" customHeight="1" thickBot="1" x14ac:dyDescent="0.3">
      <c r="A53" s="86"/>
      <c r="B53" s="81"/>
      <c r="C53" s="81"/>
      <c r="D53" s="82" t="s">
        <v>36</v>
      </c>
      <c r="H53" s="4" t="s">
        <v>53</v>
      </c>
      <c r="I53" s="79">
        <v>14.3</v>
      </c>
      <c r="J53" s="79">
        <v>14.3</v>
      </c>
    </row>
    <row r="54" spans="1:10" ht="14.1" customHeight="1" thickBot="1" x14ac:dyDescent="0.3">
      <c r="A54" s="83"/>
      <c r="B54" s="81"/>
      <c r="C54" s="81"/>
      <c r="D54" s="82" t="s">
        <v>38</v>
      </c>
      <c r="H54" s="4" t="s">
        <v>54</v>
      </c>
      <c r="I54" s="79">
        <v>5.7</v>
      </c>
      <c r="J54" s="79">
        <v>5.7</v>
      </c>
    </row>
    <row r="55" spans="1:10" ht="14.1" customHeight="1" thickBot="1" x14ac:dyDescent="0.3">
      <c r="A55" s="83"/>
      <c r="B55" s="26"/>
      <c r="C55" s="26"/>
      <c r="D55" s="87"/>
      <c r="H55" s="4" t="s">
        <v>55</v>
      </c>
      <c r="I55" s="79">
        <v>14.3</v>
      </c>
      <c r="J55" s="79">
        <v>14.3</v>
      </c>
    </row>
    <row r="56" spans="1:10" ht="14.1" customHeight="1" thickBot="1" x14ac:dyDescent="0.3">
      <c r="A56" s="83"/>
      <c r="B56" s="26"/>
      <c r="C56" s="26"/>
      <c r="D56" s="87"/>
      <c r="H56" s="4" t="s">
        <v>56</v>
      </c>
      <c r="I56" s="79">
        <v>14.3</v>
      </c>
      <c r="J56" s="79">
        <v>14.3</v>
      </c>
    </row>
    <row r="57" spans="1:10" ht="14.1" customHeight="1" thickBot="1" x14ac:dyDescent="0.3">
      <c r="A57" s="4"/>
      <c r="B57" s="10"/>
      <c r="C57" s="10"/>
      <c r="D57" s="88"/>
      <c r="H57" s="4" t="s">
        <v>57</v>
      </c>
      <c r="I57" s="79">
        <v>9</v>
      </c>
      <c r="J57" s="79">
        <v>9</v>
      </c>
    </row>
    <row r="58" spans="1:10" ht="14.1" customHeight="1" thickBot="1" x14ac:dyDescent="0.3">
      <c r="A58" s="86"/>
      <c r="B58" s="81"/>
      <c r="C58" s="81"/>
      <c r="D58" s="82" t="s">
        <v>36</v>
      </c>
      <c r="H58" s="4" t="s">
        <v>58</v>
      </c>
      <c r="I58" s="79">
        <v>11</v>
      </c>
      <c r="J58" s="79">
        <v>11</v>
      </c>
    </row>
    <row r="59" spans="1:10" ht="14.1" customHeight="1" thickBot="1" x14ac:dyDescent="0.3">
      <c r="A59" s="83"/>
      <c r="B59" s="81"/>
      <c r="C59" s="81"/>
      <c r="D59" s="82" t="s">
        <v>38</v>
      </c>
      <c r="H59" s="4" t="s">
        <v>59</v>
      </c>
      <c r="I59" s="79">
        <v>11</v>
      </c>
      <c r="J59" s="79">
        <v>11</v>
      </c>
    </row>
    <row r="60" spans="1:10" ht="14.1" customHeight="1" x14ac:dyDescent="0.25">
      <c r="A60" s="83"/>
      <c r="B60" s="26"/>
      <c r="C60" s="26"/>
      <c r="D60" s="87"/>
    </row>
    <row r="61" spans="1:10" ht="14.1" customHeight="1" x14ac:dyDescent="0.25">
      <c r="A61" s="83"/>
      <c r="B61" s="26"/>
      <c r="C61" s="26"/>
      <c r="D61" s="87"/>
    </row>
    <row r="62" spans="1:10" ht="14.1" customHeight="1" thickBot="1" x14ac:dyDescent="0.3">
      <c r="A62" s="4"/>
      <c r="B62" s="10"/>
      <c r="C62" s="10"/>
      <c r="D62" s="88"/>
    </row>
    <row r="63" spans="1:10" ht="14.1" customHeight="1" thickTop="1" x14ac:dyDescent="0.25">
      <c r="A63" s="80"/>
      <c r="B63" s="81"/>
      <c r="C63" s="81"/>
      <c r="D63" s="82" t="s">
        <v>36</v>
      </c>
    </row>
    <row r="64" spans="1:10" ht="14.1" customHeight="1" x14ac:dyDescent="0.25">
      <c r="A64" s="83"/>
      <c r="B64" s="81"/>
      <c r="C64" s="81"/>
      <c r="D64" s="82" t="s">
        <v>38</v>
      </c>
    </row>
    <row r="65" spans="1:4" ht="14.1" customHeight="1" x14ac:dyDescent="0.25">
      <c r="A65" s="83"/>
      <c r="B65" s="26"/>
      <c r="C65" s="26"/>
      <c r="D65" s="84"/>
    </row>
    <row r="66" spans="1:4" ht="14.1" customHeight="1" thickBot="1" x14ac:dyDescent="0.3">
      <c r="A66" s="4"/>
      <c r="B66" s="10"/>
      <c r="C66" s="10"/>
      <c r="D66" s="85"/>
    </row>
    <row r="67" spans="1:4" ht="14.1" customHeight="1" thickTop="1" x14ac:dyDescent="0.25">
      <c r="A67" s="80"/>
      <c r="B67" s="81"/>
      <c r="C67" s="81"/>
      <c r="D67" s="82" t="s">
        <v>36</v>
      </c>
    </row>
    <row r="68" spans="1:4" ht="14.1" customHeight="1" x14ac:dyDescent="0.25">
      <c r="A68" s="83"/>
      <c r="B68" s="81"/>
      <c r="C68" s="81"/>
      <c r="D68" s="82" t="s">
        <v>38</v>
      </c>
    </row>
    <row r="69" spans="1:4" ht="14.1" customHeight="1" x14ac:dyDescent="0.25">
      <c r="A69" s="83"/>
      <c r="B69" s="26"/>
      <c r="C69" s="26"/>
      <c r="D69" s="84"/>
    </row>
    <row r="70" spans="1:4" ht="14.1" customHeight="1" thickBot="1" x14ac:dyDescent="0.3">
      <c r="A70" s="4"/>
      <c r="B70" s="10"/>
      <c r="C70" s="10"/>
      <c r="D70" s="85"/>
    </row>
    <row r="71" spans="1:4" ht="14.1" customHeight="1" x14ac:dyDescent="0.25">
      <c r="A71" s="86"/>
      <c r="B71" s="81"/>
      <c r="C71" s="81"/>
      <c r="D71" s="82" t="s">
        <v>36</v>
      </c>
    </row>
    <row r="72" spans="1:4" ht="14.1" customHeight="1" x14ac:dyDescent="0.25">
      <c r="A72" s="83"/>
      <c r="B72" s="81"/>
      <c r="C72" s="81"/>
      <c r="D72" s="82" t="s">
        <v>38</v>
      </c>
    </row>
    <row r="73" spans="1:4" ht="14.1" customHeight="1" x14ac:dyDescent="0.25">
      <c r="A73" s="83"/>
      <c r="B73" s="26"/>
      <c r="C73" s="26"/>
      <c r="D73" s="87"/>
    </row>
    <row r="74" spans="1:4" ht="14.1" customHeight="1" x14ac:dyDescent="0.25">
      <c r="A74" s="83"/>
      <c r="B74" s="26"/>
      <c r="C74" s="26"/>
      <c r="D74" s="87"/>
    </row>
    <row r="75" spans="1:4" ht="14.1" customHeight="1" x14ac:dyDescent="0.25">
      <c r="A75" s="83"/>
      <c r="B75" s="26"/>
      <c r="C75" s="26"/>
      <c r="D75" s="87"/>
    </row>
    <row r="76" spans="1:4" ht="14.1" customHeight="1" thickBot="1" x14ac:dyDescent="0.3">
      <c r="A76" s="4"/>
      <c r="B76" s="10"/>
      <c r="C76" s="10"/>
      <c r="D76" s="88"/>
    </row>
    <row r="77" spans="1:4" ht="14.1" customHeight="1" x14ac:dyDescent="0.25">
      <c r="A77" s="86"/>
      <c r="B77" s="81"/>
      <c r="C77" s="81"/>
      <c r="D77" s="82" t="s">
        <v>36</v>
      </c>
    </row>
    <row r="78" spans="1:4" ht="14.1" customHeight="1" x14ac:dyDescent="0.25">
      <c r="A78" s="83"/>
      <c r="B78" s="81"/>
      <c r="C78" s="81"/>
      <c r="D78" s="82" t="s">
        <v>38</v>
      </c>
    </row>
    <row r="79" spans="1:4" ht="14.1" customHeight="1" x14ac:dyDescent="0.25">
      <c r="A79" s="83"/>
      <c r="B79" s="26"/>
      <c r="C79" s="26"/>
      <c r="D79" s="87"/>
    </row>
    <row r="80" spans="1:4" ht="14.1" customHeight="1" x14ac:dyDescent="0.25">
      <c r="A80" s="83"/>
      <c r="B80" s="26"/>
      <c r="C80" s="26"/>
      <c r="D80" s="87"/>
    </row>
    <row r="81" spans="1:4" ht="14.1" customHeight="1" x14ac:dyDescent="0.25">
      <c r="A81" s="83"/>
      <c r="B81" s="26"/>
      <c r="C81" s="26"/>
      <c r="D81" s="87"/>
    </row>
    <row r="82" spans="1:4" ht="14.1" customHeight="1" thickBot="1" x14ac:dyDescent="0.3">
      <c r="A82" s="4"/>
      <c r="B82" s="10"/>
      <c r="C82" s="10"/>
      <c r="D82" s="8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C9DE-ECEA-4C85-A32A-8851E4860233}">
  <sheetPr codeName="Sheet10">
    <tabColor theme="4"/>
  </sheetPr>
  <dimension ref="A1:BL91"/>
  <sheetViews>
    <sheetView topLeftCell="Y51" zoomScale="115" zoomScaleNormal="115" workbookViewId="0">
      <selection activeCell="AG66" sqref="AG66"/>
    </sheetView>
  </sheetViews>
  <sheetFormatPr defaultRowHeight="15" x14ac:dyDescent="0.25"/>
  <cols>
    <col min="2" max="5" width="9.28515625" customWidth="1"/>
    <col min="9" max="9" width="9.28515625" customWidth="1"/>
    <col min="14" max="14" width="9.28515625" customWidth="1"/>
    <col min="20" max="21" width="9.28515625" customWidth="1"/>
    <col min="61" max="61" width="10.7109375" bestFit="1" customWidth="1"/>
    <col min="62" max="63" width="13.7109375" bestFit="1" customWidth="1"/>
  </cols>
  <sheetData>
    <row r="1" spans="1:59" x14ac:dyDescent="0.25">
      <c r="A1" s="13" t="s">
        <v>110</v>
      </c>
      <c r="G1" t="s">
        <v>111</v>
      </c>
      <c r="H1" s="99">
        <v>47905</v>
      </c>
      <c r="I1" t="s">
        <v>112</v>
      </c>
      <c r="K1" t="s">
        <v>113</v>
      </c>
      <c r="L1" s="100">
        <f>5.18%</f>
        <v>5.1799999999999999E-2</v>
      </c>
      <c r="N1" t="s">
        <v>114</v>
      </c>
      <c r="O1" s="100">
        <v>0.01</v>
      </c>
      <c r="Q1" t="s">
        <v>115</v>
      </c>
      <c r="R1" s="61">
        <v>45</v>
      </c>
      <c r="S1" t="s">
        <v>116</v>
      </c>
      <c r="U1" t="s">
        <v>117</v>
      </c>
      <c r="V1" s="94">
        <f>L1</f>
        <v>5.1799999999999999E-2</v>
      </c>
    </row>
    <row r="3" spans="1:59" s="20" customFormat="1" ht="15.75" customHeight="1" thickBot="1" x14ac:dyDescent="0.3">
      <c r="A3" s="21" t="s">
        <v>118</v>
      </c>
      <c r="AE3" s="21" t="s">
        <v>119</v>
      </c>
    </row>
    <row r="4" spans="1:59" s="20" customFormat="1" ht="15.75" customHeight="1" thickBot="1" x14ac:dyDescent="0.3">
      <c r="A4" s="1" t="s">
        <v>120</v>
      </c>
      <c r="B4" s="1">
        <v>1</v>
      </c>
      <c r="C4" s="1">
        <f>B4+1</f>
        <v>2</v>
      </c>
      <c r="D4" s="1">
        <f t="shared" ref="D4:H4" si="0">C4+1</f>
        <v>3</v>
      </c>
      <c r="E4" s="1">
        <f t="shared" si="0"/>
        <v>4</v>
      </c>
      <c r="F4" s="1">
        <f t="shared" si="0"/>
        <v>5</v>
      </c>
      <c r="G4" s="1">
        <f t="shared" si="0"/>
        <v>6</v>
      </c>
      <c r="H4" s="1">
        <f t="shared" si="0"/>
        <v>7</v>
      </c>
      <c r="I4" s="1">
        <f>B4</f>
        <v>1</v>
      </c>
      <c r="J4" s="1">
        <f t="shared" ref="J4:AC4" si="1">C4</f>
        <v>2</v>
      </c>
      <c r="K4" s="1">
        <f t="shared" si="1"/>
        <v>3</v>
      </c>
      <c r="L4" s="1">
        <f t="shared" si="1"/>
        <v>4</v>
      </c>
      <c r="M4" s="1">
        <f t="shared" si="1"/>
        <v>5</v>
      </c>
      <c r="N4" s="1">
        <f t="shared" si="1"/>
        <v>6</v>
      </c>
      <c r="O4" s="1">
        <f t="shared" si="1"/>
        <v>7</v>
      </c>
      <c r="P4" s="1">
        <f t="shared" si="1"/>
        <v>1</v>
      </c>
      <c r="Q4" s="1">
        <f t="shared" si="1"/>
        <v>2</v>
      </c>
      <c r="R4" s="1">
        <f t="shared" si="1"/>
        <v>3</v>
      </c>
      <c r="S4" s="1">
        <f t="shared" si="1"/>
        <v>4</v>
      </c>
      <c r="T4" s="1">
        <f t="shared" si="1"/>
        <v>5</v>
      </c>
      <c r="U4" s="1">
        <f t="shared" si="1"/>
        <v>6</v>
      </c>
      <c r="V4" s="1">
        <f t="shared" si="1"/>
        <v>7</v>
      </c>
      <c r="W4" s="1">
        <f t="shared" si="1"/>
        <v>1</v>
      </c>
      <c r="X4" s="1">
        <f t="shared" si="1"/>
        <v>2</v>
      </c>
      <c r="Y4" s="1">
        <f t="shared" si="1"/>
        <v>3</v>
      </c>
      <c r="Z4" s="1">
        <f t="shared" si="1"/>
        <v>4</v>
      </c>
      <c r="AA4" s="1">
        <f t="shared" si="1"/>
        <v>5</v>
      </c>
      <c r="AB4" s="1">
        <f t="shared" si="1"/>
        <v>6</v>
      </c>
      <c r="AC4" s="1">
        <f t="shared" si="1"/>
        <v>7</v>
      </c>
      <c r="AE4" s="1" t="str">
        <f>A4</f>
        <v>Option</v>
      </c>
      <c r="AF4" s="1">
        <f t="shared" ref="AF4:AF6" si="2">B4</f>
        <v>1</v>
      </c>
      <c r="AG4" s="1">
        <f t="shared" ref="AG4:AG6" si="3">C4</f>
        <v>2</v>
      </c>
      <c r="AH4" s="1">
        <f t="shared" ref="AH4:AH6" si="4">D4</f>
        <v>3</v>
      </c>
      <c r="AI4" s="1">
        <f t="shared" ref="AI4:AI6" si="5">E4</f>
        <v>4</v>
      </c>
      <c r="AJ4" s="1">
        <f t="shared" ref="AJ4:AJ6" si="6">F4</f>
        <v>5</v>
      </c>
      <c r="AK4" s="1">
        <f t="shared" ref="AK4:AK6" si="7">G4</f>
        <v>6</v>
      </c>
      <c r="AL4" s="1">
        <f t="shared" ref="AL4:AL6" si="8">H4</f>
        <v>7</v>
      </c>
      <c r="AM4" s="1">
        <f t="shared" ref="AM4:AM6" si="9">I4</f>
        <v>1</v>
      </c>
      <c r="AN4" s="1">
        <f t="shared" ref="AN4:AN6" si="10">J4</f>
        <v>2</v>
      </c>
      <c r="AO4" s="1">
        <f t="shared" ref="AO4:AO6" si="11">K4</f>
        <v>3</v>
      </c>
      <c r="AP4" s="1">
        <f t="shared" ref="AP4:AP6" si="12">L4</f>
        <v>4</v>
      </c>
      <c r="AQ4" s="1">
        <f t="shared" ref="AQ4:AQ6" si="13">M4</f>
        <v>5</v>
      </c>
      <c r="AR4" s="1">
        <f t="shared" ref="AR4:AR6" si="14">N4</f>
        <v>6</v>
      </c>
      <c r="AS4" s="1">
        <f t="shared" ref="AS4:AS6" si="15">O4</f>
        <v>7</v>
      </c>
      <c r="AT4" s="1">
        <f t="shared" ref="AT4:AT6" si="16">P4</f>
        <v>1</v>
      </c>
      <c r="AU4" s="1">
        <f t="shared" ref="AU4:AU6" si="17">Q4</f>
        <v>2</v>
      </c>
      <c r="AV4" s="1">
        <f t="shared" ref="AV4:AV6" si="18">R4</f>
        <v>3</v>
      </c>
      <c r="AW4" s="1">
        <f t="shared" ref="AW4:AW6" si="19">S4</f>
        <v>4</v>
      </c>
      <c r="AX4" s="1">
        <f t="shared" ref="AX4:AX6" si="20">T4</f>
        <v>5</v>
      </c>
      <c r="AY4" s="1">
        <f t="shared" ref="AY4:AY6" si="21">U4</f>
        <v>6</v>
      </c>
      <c r="AZ4" s="1">
        <f t="shared" ref="AZ4:AZ6" si="22">V4</f>
        <v>7</v>
      </c>
      <c r="BA4" s="1">
        <f t="shared" ref="BA4:BA6" si="23">W4</f>
        <v>1</v>
      </c>
      <c r="BB4" s="1">
        <f t="shared" ref="BB4:BB6" si="24">X4</f>
        <v>2</v>
      </c>
      <c r="BC4" s="1">
        <f t="shared" ref="BC4:BC6" si="25">Y4</f>
        <v>3</v>
      </c>
      <c r="BD4" s="1">
        <f t="shared" ref="BD4:BD6" si="26">Z4</f>
        <v>4</v>
      </c>
      <c r="BE4" s="1">
        <f t="shared" ref="BE4:BE6" si="27">AA4</f>
        <v>5</v>
      </c>
      <c r="BF4" s="1">
        <f t="shared" ref="BF4:BF6" si="28">AB4</f>
        <v>6</v>
      </c>
      <c r="BG4" s="1">
        <f t="shared" ref="BG4:BG6" si="29">AC4</f>
        <v>7</v>
      </c>
    </row>
    <row r="5" spans="1:59" s="20" customFormat="1" ht="15.75" customHeight="1" thickTop="1" thickBot="1" x14ac:dyDescent="0.3">
      <c r="A5" s="6" t="s">
        <v>121</v>
      </c>
      <c r="B5" s="104" t="s">
        <v>9</v>
      </c>
      <c r="C5" s="105"/>
      <c r="D5" s="105"/>
      <c r="E5" s="105"/>
      <c r="F5" s="105"/>
      <c r="G5" s="105"/>
      <c r="H5" s="106"/>
      <c r="I5" s="104" t="s">
        <v>12</v>
      </c>
      <c r="J5" s="105"/>
      <c r="K5" s="105"/>
      <c r="L5" s="105"/>
      <c r="M5" s="105"/>
      <c r="N5" s="105"/>
      <c r="O5" s="106"/>
      <c r="P5" s="104"/>
      <c r="Q5" s="105"/>
      <c r="R5" s="105"/>
      <c r="S5" s="105"/>
      <c r="T5" s="105"/>
      <c r="U5" s="105"/>
      <c r="V5" s="106"/>
      <c r="W5" s="104"/>
      <c r="X5" s="105"/>
      <c r="Y5" s="105"/>
      <c r="Z5" s="105"/>
      <c r="AA5" s="105"/>
      <c r="AB5" s="105"/>
      <c r="AC5" s="106"/>
      <c r="AE5" s="6" t="str">
        <f t="shared" ref="AE5:AE16" si="30">A5</f>
        <v>FDR</v>
      </c>
      <c r="AF5" s="104" t="str">
        <f t="shared" si="2"/>
        <v>SHM11</v>
      </c>
      <c r="AG5" s="105">
        <f t="shared" si="3"/>
        <v>0</v>
      </c>
      <c r="AH5" s="105">
        <f t="shared" si="4"/>
        <v>0</v>
      </c>
      <c r="AI5" s="105">
        <f t="shared" si="5"/>
        <v>0</v>
      </c>
      <c r="AJ5" s="105">
        <f t="shared" si="6"/>
        <v>0</v>
      </c>
      <c r="AK5" s="105">
        <f t="shared" si="7"/>
        <v>0</v>
      </c>
      <c r="AL5" s="106">
        <f t="shared" si="8"/>
        <v>0</v>
      </c>
      <c r="AM5" s="104" t="str">
        <f t="shared" si="9"/>
        <v>SHM14</v>
      </c>
      <c r="AN5" s="105">
        <f t="shared" si="10"/>
        <v>0</v>
      </c>
      <c r="AO5" s="105">
        <f t="shared" si="11"/>
        <v>0</v>
      </c>
      <c r="AP5" s="105">
        <f t="shared" si="12"/>
        <v>0</v>
      </c>
      <c r="AQ5" s="105">
        <f t="shared" si="13"/>
        <v>0</v>
      </c>
      <c r="AR5" s="105">
        <f t="shared" si="14"/>
        <v>0</v>
      </c>
      <c r="AS5" s="106">
        <f t="shared" si="15"/>
        <v>0</v>
      </c>
      <c r="AT5" s="104">
        <f t="shared" si="16"/>
        <v>0</v>
      </c>
      <c r="AU5" s="105">
        <f t="shared" si="17"/>
        <v>0</v>
      </c>
      <c r="AV5" s="105">
        <f t="shared" si="18"/>
        <v>0</v>
      </c>
      <c r="AW5" s="105">
        <f t="shared" si="19"/>
        <v>0</v>
      </c>
      <c r="AX5" s="105">
        <f t="shared" si="20"/>
        <v>0</v>
      </c>
      <c r="AY5" s="105">
        <f t="shared" si="21"/>
        <v>0</v>
      </c>
      <c r="AZ5" s="106">
        <f t="shared" si="22"/>
        <v>0</v>
      </c>
      <c r="BA5" s="104">
        <f t="shared" si="23"/>
        <v>0</v>
      </c>
      <c r="BB5" s="105">
        <f t="shared" si="24"/>
        <v>0</v>
      </c>
      <c r="BC5" s="105">
        <f t="shared" si="25"/>
        <v>0</v>
      </c>
      <c r="BD5" s="105">
        <f t="shared" si="26"/>
        <v>0</v>
      </c>
      <c r="BE5" s="105">
        <f t="shared" si="27"/>
        <v>0</v>
      </c>
      <c r="BF5" s="105">
        <f t="shared" si="28"/>
        <v>0</v>
      </c>
      <c r="BG5" s="106">
        <f t="shared" si="29"/>
        <v>0</v>
      </c>
    </row>
    <row r="6" spans="1:59" s="20" customFormat="1" ht="24.75" thickBot="1" x14ac:dyDescent="0.3">
      <c r="A6" s="6" t="s">
        <v>122</v>
      </c>
      <c r="B6" s="101" t="s">
        <v>123</v>
      </c>
      <c r="C6" s="101"/>
      <c r="D6" s="101"/>
      <c r="E6" s="101"/>
      <c r="F6" s="101"/>
      <c r="G6" s="101"/>
      <c r="H6" s="102"/>
      <c r="I6" s="101" t="s">
        <v>123</v>
      </c>
      <c r="J6" s="101"/>
      <c r="K6" s="101"/>
      <c r="L6" s="101"/>
      <c r="M6" s="101"/>
      <c r="N6" s="101"/>
      <c r="O6" s="102"/>
      <c r="P6" s="101"/>
      <c r="Q6" s="101"/>
      <c r="R6" s="101"/>
      <c r="S6" s="101"/>
      <c r="T6" s="101"/>
      <c r="U6" s="101"/>
      <c r="V6" s="102"/>
      <c r="W6" s="101"/>
      <c r="X6" s="101"/>
      <c r="Y6" s="101"/>
      <c r="Z6" s="101"/>
      <c r="AA6" s="101"/>
      <c r="AB6" s="101"/>
      <c r="AC6" s="102"/>
      <c r="AE6" s="6" t="str">
        <f t="shared" si="30"/>
        <v>Solution Applied</v>
      </c>
      <c r="AF6" s="30" t="str">
        <f t="shared" si="2"/>
        <v>Nil</v>
      </c>
      <c r="AG6" s="30">
        <f t="shared" si="3"/>
        <v>0</v>
      </c>
      <c r="AH6" s="30">
        <f t="shared" si="4"/>
        <v>0</v>
      </c>
      <c r="AI6" s="30">
        <f t="shared" si="5"/>
        <v>0</v>
      </c>
      <c r="AJ6" s="30">
        <f t="shared" si="6"/>
        <v>0</v>
      </c>
      <c r="AK6" s="30">
        <f t="shared" si="7"/>
        <v>0</v>
      </c>
      <c r="AL6" s="31">
        <f t="shared" si="8"/>
        <v>0</v>
      </c>
      <c r="AM6" s="30" t="str">
        <f t="shared" si="9"/>
        <v>Nil</v>
      </c>
      <c r="AN6" s="30">
        <f t="shared" si="10"/>
        <v>0</v>
      </c>
      <c r="AO6" s="30">
        <f t="shared" si="11"/>
        <v>0</v>
      </c>
      <c r="AP6" s="30">
        <f t="shared" si="12"/>
        <v>0</v>
      </c>
      <c r="AQ6" s="30">
        <f t="shared" si="13"/>
        <v>0</v>
      </c>
      <c r="AR6" s="30">
        <f t="shared" si="14"/>
        <v>0</v>
      </c>
      <c r="AS6" s="31">
        <f t="shared" si="15"/>
        <v>0</v>
      </c>
      <c r="AT6" s="30">
        <f t="shared" si="16"/>
        <v>0</v>
      </c>
      <c r="AU6" s="30">
        <f t="shared" si="17"/>
        <v>0</v>
      </c>
      <c r="AV6" s="30">
        <f t="shared" si="18"/>
        <v>0</v>
      </c>
      <c r="AW6" s="30">
        <f t="shared" si="19"/>
        <v>0</v>
      </c>
      <c r="AX6" s="30">
        <f t="shared" si="20"/>
        <v>0</v>
      </c>
      <c r="AY6" s="30">
        <f t="shared" si="21"/>
        <v>0</v>
      </c>
      <c r="AZ6" s="31">
        <f t="shared" si="22"/>
        <v>0</v>
      </c>
      <c r="BA6" s="30">
        <f t="shared" si="23"/>
        <v>0</v>
      </c>
      <c r="BB6" s="30">
        <f t="shared" si="24"/>
        <v>0</v>
      </c>
      <c r="BC6" s="30">
        <f t="shared" si="25"/>
        <v>0</v>
      </c>
      <c r="BD6" s="30">
        <f t="shared" si="26"/>
        <v>0</v>
      </c>
      <c r="BE6" s="30">
        <f t="shared" si="27"/>
        <v>0</v>
      </c>
      <c r="BF6" s="30">
        <f t="shared" si="28"/>
        <v>0</v>
      </c>
      <c r="BG6" s="31">
        <f t="shared" si="29"/>
        <v>0</v>
      </c>
    </row>
    <row r="7" spans="1:59" s="20" customFormat="1" ht="15.75" customHeight="1" thickBot="1" x14ac:dyDescent="0.3">
      <c r="A7" s="4">
        <f>'Summer 10PoE'!C1</f>
        <v>2025</v>
      </c>
      <c r="B7" s="42">
        <v>15.41346807396835</v>
      </c>
      <c r="C7" s="42"/>
      <c r="D7" s="42"/>
      <c r="E7" s="42"/>
      <c r="F7" s="42"/>
      <c r="G7" s="42"/>
      <c r="H7" s="42"/>
      <c r="I7" s="42">
        <v>0.56926378778674613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E7" s="4">
        <f t="shared" si="30"/>
        <v>2025</v>
      </c>
      <c r="AF7" s="32">
        <f>B7*$H$1/1000</f>
        <v>738.3821880834538</v>
      </c>
      <c r="AG7" s="32"/>
      <c r="AH7" s="32"/>
      <c r="AI7" s="32"/>
      <c r="AJ7" s="32"/>
      <c r="AK7" s="32"/>
      <c r="AL7" s="32"/>
      <c r="AM7" s="32">
        <f t="shared" ref="AM7:AM16" si="31">I7*$H$1/1000</f>
        <v>27.270581753924073</v>
      </c>
      <c r="AN7" s="32"/>
      <c r="AO7" s="32"/>
      <c r="AP7" s="32"/>
      <c r="AQ7" s="32"/>
      <c r="AR7" s="32"/>
      <c r="AS7" s="32"/>
      <c r="AT7" s="32">
        <f t="shared" ref="AT7:AT16" si="32">P7*$H$1/1000</f>
        <v>0</v>
      </c>
      <c r="AU7" s="32"/>
      <c r="AV7" s="32"/>
      <c r="AW7" s="32"/>
      <c r="AX7" s="32"/>
      <c r="AY7" s="32"/>
      <c r="AZ7" s="32"/>
      <c r="BA7" s="32">
        <f t="shared" ref="BA7:BA16" si="33">W7*$H$1/1000</f>
        <v>0</v>
      </c>
      <c r="BB7" s="32"/>
      <c r="BC7" s="32"/>
      <c r="BD7" s="32"/>
      <c r="BE7" s="32"/>
      <c r="BF7" s="32"/>
      <c r="BG7" s="32"/>
    </row>
    <row r="8" spans="1:59" s="20" customFormat="1" ht="15.75" customHeight="1" thickBot="1" x14ac:dyDescent="0.3">
      <c r="A8" s="4">
        <f>A7+1</f>
        <v>2026</v>
      </c>
      <c r="B8" s="42">
        <v>111.29247411958153</v>
      </c>
      <c r="C8" s="42">
        <v>0</v>
      </c>
      <c r="D8" s="42">
        <v>0</v>
      </c>
      <c r="E8" s="42">
        <v>0</v>
      </c>
      <c r="F8" s="42"/>
      <c r="G8" s="42"/>
      <c r="H8" s="42"/>
      <c r="I8" s="42">
        <v>14.107133572225926</v>
      </c>
      <c r="J8" s="42">
        <v>0</v>
      </c>
      <c r="K8" s="42">
        <v>0</v>
      </c>
      <c r="L8" s="42">
        <v>0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E8" s="4">
        <f t="shared" si="30"/>
        <v>2026</v>
      </c>
      <c r="AF8" s="32">
        <f t="shared" ref="AF8:AF16" si="34">B8*$H$1/1000</f>
        <v>5331.4659726985537</v>
      </c>
      <c r="AG8" s="32">
        <f t="shared" ref="AG8:AG16" si="35">C8*$H$1/1000</f>
        <v>0</v>
      </c>
      <c r="AH8" s="32">
        <f t="shared" ref="AH8:AH16" si="36">D8*$H$1/1000</f>
        <v>0</v>
      </c>
      <c r="AI8" s="32">
        <f t="shared" ref="AI8:AI16" si="37">E8*$H$1/1000</f>
        <v>0</v>
      </c>
      <c r="AJ8" s="32">
        <f t="shared" ref="AJ8:AJ16" si="38">F8*$H$1/1000</f>
        <v>0</v>
      </c>
      <c r="AK8" s="32">
        <f t="shared" ref="AK8:AK16" si="39">G8*$H$1/1000</f>
        <v>0</v>
      </c>
      <c r="AL8" s="32">
        <f t="shared" ref="AL8:AL16" si="40">H8*$H$1/1000</f>
        <v>0</v>
      </c>
      <c r="AM8" s="32">
        <f t="shared" si="31"/>
        <v>675.80223377748302</v>
      </c>
      <c r="AN8" s="32">
        <f t="shared" ref="AN8:AN16" si="41">J8*$H$1/1000</f>
        <v>0</v>
      </c>
      <c r="AO8" s="32">
        <f t="shared" ref="AO8:AO16" si="42">K8*$H$1/1000</f>
        <v>0</v>
      </c>
      <c r="AP8" s="32">
        <f t="shared" ref="AP8:AP16" si="43">L8*$H$1/1000</f>
        <v>0</v>
      </c>
      <c r="AQ8" s="32">
        <f t="shared" ref="AQ8:AQ16" si="44">M8*$H$1/1000</f>
        <v>0</v>
      </c>
      <c r="AR8" s="32">
        <f t="shared" ref="AR8:AR16" si="45">N8*$H$1/1000</f>
        <v>0</v>
      </c>
      <c r="AS8" s="32">
        <f t="shared" ref="AS8:AS16" si="46">O8*$H$1/1000</f>
        <v>0</v>
      </c>
      <c r="AT8" s="32">
        <f t="shared" si="32"/>
        <v>0</v>
      </c>
      <c r="AU8" s="32">
        <f t="shared" ref="AU8:AU16" si="47">Q8*$H$1/1000</f>
        <v>0</v>
      </c>
      <c r="AV8" s="32">
        <f t="shared" ref="AV8:AV16" si="48">R8*$H$1/1000</f>
        <v>0</v>
      </c>
      <c r="AW8" s="32">
        <f t="shared" ref="AW8:AW16" si="49">S8*$H$1/1000</f>
        <v>0</v>
      </c>
      <c r="AX8" s="32">
        <f t="shared" ref="AX8:AX16" si="50">T8*$H$1/1000</f>
        <v>0</v>
      </c>
      <c r="AY8" s="32">
        <f t="shared" ref="AY8:AY16" si="51">U8*$H$1/1000</f>
        <v>0</v>
      </c>
      <c r="AZ8" s="32">
        <f t="shared" ref="AZ8:AZ16" si="52">V8*$H$1/1000</f>
        <v>0</v>
      </c>
      <c r="BA8" s="32">
        <f t="shared" si="33"/>
        <v>0</v>
      </c>
      <c r="BB8" s="32">
        <f t="shared" ref="BB8:BB16" si="53">X8*$H$1/1000</f>
        <v>0</v>
      </c>
      <c r="BC8" s="32">
        <f t="shared" ref="BC8:BC16" si="54">Y8*$H$1/1000</f>
        <v>0</v>
      </c>
      <c r="BD8" s="32">
        <f t="shared" ref="BD8:BD16" si="55">Z8*$H$1/1000</f>
        <v>0</v>
      </c>
      <c r="BE8" s="32">
        <f t="shared" ref="BE8:BE16" si="56">AA8*$H$1/1000</f>
        <v>0</v>
      </c>
      <c r="BF8" s="32">
        <f t="shared" ref="BF8:BF16" si="57">AB8*$H$1/1000</f>
        <v>0</v>
      </c>
      <c r="BG8" s="32">
        <f t="shared" ref="BG8:BG16" si="58">AC8*$H$1/1000</f>
        <v>0</v>
      </c>
    </row>
    <row r="9" spans="1:59" s="20" customFormat="1" ht="15.75" customHeight="1" thickBot="1" x14ac:dyDescent="0.3">
      <c r="A9" s="4">
        <f t="shared" ref="A9:A16" si="59">A8+1</f>
        <v>2027</v>
      </c>
      <c r="B9" s="42">
        <v>227.10797423879603</v>
      </c>
      <c r="C9" s="42">
        <v>0</v>
      </c>
      <c r="D9" s="42">
        <v>0</v>
      </c>
      <c r="E9" s="42">
        <v>0</v>
      </c>
      <c r="F9" s="42"/>
      <c r="G9" s="42"/>
      <c r="H9" s="42"/>
      <c r="I9" s="42">
        <v>58.122524300667322</v>
      </c>
      <c r="J9" s="42">
        <v>0</v>
      </c>
      <c r="K9" s="42">
        <v>0</v>
      </c>
      <c r="L9" s="42">
        <v>0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E9" s="4">
        <f t="shared" si="30"/>
        <v>2027</v>
      </c>
      <c r="AF9" s="32">
        <f t="shared" si="34"/>
        <v>10879.607505909526</v>
      </c>
      <c r="AG9" s="32">
        <f t="shared" si="35"/>
        <v>0</v>
      </c>
      <c r="AH9" s="32">
        <f t="shared" si="36"/>
        <v>0</v>
      </c>
      <c r="AI9" s="32">
        <f t="shared" si="37"/>
        <v>0</v>
      </c>
      <c r="AJ9" s="32">
        <f t="shared" si="38"/>
        <v>0</v>
      </c>
      <c r="AK9" s="32">
        <f t="shared" si="39"/>
        <v>0</v>
      </c>
      <c r="AL9" s="32">
        <f t="shared" si="40"/>
        <v>0</v>
      </c>
      <c r="AM9" s="32">
        <f t="shared" si="31"/>
        <v>2784.3595266234679</v>
      </c>
      <c r="AN9" s="32">
        <f t="shared" si="41"/>
        <v>0</v>
      </c>
      <c r="AO9" s="32">
        <f t="shared" si="42"/>
        <v>0</v>
      </c>
      <c r="AP9" s="32">
        <f t="shared" si="43"/>
        <v>0</v>
      </c>
      <c r="AQ9" s="32">
        <f t="shared" si="44"/>
        <v>0</v>
      </c>
      <c r="AR9" s="32">
        <f t="shared" si="45"/>
        <v>0</v>
      </c>
      <c r="AS9" s="32">
        <f t="shared" si="46"/>
        <v>0</v>
      </c>
      <c r="AT9" s="32">
        <f t="shared" si="32"/>
        <v>0</v>
      </c>
      <c r="AU9" s="32">
        <f t="shared" si="47"/>
        <v>0</v>
      </c>
      <c r="AV9" s="32">
        <f t="shared" si="48"/>
        <v>0</v>
      </c>
      <c r="AW9" s="32">
        <f t="shared" si="49"/>
        <v>0</v>
      </c>
      <c r="AX9" s="32">
        <f t="shared" si="50"/>
        <v>0</v>
      </c>
      <c r="AY9" s="32">
        <f t="shared" si="51"/>
        <v>0</v>
      </c>
      <c r="AZ9" s="32">
        <f t="shared" si="52"/>
        <v>0</v>
      </c>
      <c r="BA9" s="32">
        <f t="shared" si="33"/>
        <v>0</v>
      </c>
      <c r="BB9" s="32">
        <f t="shared" si="53"/>
        <v>0</v>
      </c>
      <c r="BC9" s="32">
        <f t="shared" si="54"/>
        <v>0</v>
      </c>
      <c r="BD9" s="32">
        <f t="shared" si="55"/>
        <v>0</v>
      </c>
      <c r="BE9" s="32">
        <f t="shared" si="56"/>
        <v>0</v>
      </c>
      <c r="BF9" s="32">
        <f t="shared" si="57"/>
        <v>0</v>
      </c>
      <c r="BG9" s="32">
        <f t="shared" si="58"/>
        <v>0</v>
      </c>
    </row>
    <row r="10" spans="1:59" s="20" customFormat="1" ht="15.75" customHeight="1" thickBot="1" x14ac:dyDescent="0.3">
      <c r="A10" s="4">
        <f t="shared" si="59"/>
        <v>2028</v>
      </c>
      <c r="B10" s="42">
        <v>311.76010476055114</v>
      </c>
      <c r="C10" s="42">
        <v>0</v>
      </c>
      <c r="D10" s="42">
        <v>0</v>
      </c>
      <c r="E10" s="42">
        <v>0</v>
      </c>
      <c r="F10" s="42"/>
      <c r="G10" s="42"/>
      <c r="H10" s="42"/>
      <c r="I10" s="42">
        <v>130.64475056800055</v>
      </c>
      <c r="J10" s="42">
        <v>0</v>
      </c>
      <c r="K10" s="42">
        <v>0</v>
      </c>
      <c r="L10" s="42">
        <v>0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E10" s="4">
        <f t="shared" si="30"/>
        <v>2028</v>
      </c>
      <c r="AF10" s="32">
        <f t="shared" si="34"/>
        <v>14934.867818554201</v>
      </c>
      <c r="AG10" s="32">
        <f t="shared" si="35"/>
        <v>0</v>
      </c>
      <c r="AH10" s="32">
        <f t="shared" si="36"/>
        <v>0</v>
      </c>
      <c r="AI10" s="32">
        <f t="shared" si="37"/>
        <v>0</v>
      </c>
      <c r="AJ10" s="32">
        <f t="shared" si="38"/>
        <v>0</v>
      </c>
      <c r="AK10" s="32">
        <f t="shared" si="39"/>
        <v>0</v>
      </c>
      <c r="AL10" s="32">
        <f t="shared" si="40"/>
        <v>0</v>
      </c>
      <c r="AM10" s="32">
        <f t="shared" si="31"/>
        <v>6258.5367759600667</v>
      </c>
      <c r="AN10" s="32">
        <f t="shared" si="41"/>
        <v>0</v>
      </c>
      <c r="AO10" s="32">
        <f t="shared" si="42"/>
        <v>0</v>
      </c>
      <c r="AP10" s="32">
        <f t="shared" si="43"/>
        <v>0</v>
      </c>
      <c r="AQ10" s="32">
        <f t="shared" si="44"/>
        <v>0</v>
      </c>
      <c r="AR10" s="32">
        <f t="shared" si="45"/>
        <v>0</v>
      </c>
      <c r="AS10" s="32">
        <f t="shared" si="46"/>
        <v>0</v>
      </c>
      <c r="AT10" s="32">
        <f t="shared" si="32"/>
        <v>0</v>
      </c>
      <c r="AU10" s="32">
        <f t="shared" si="47"/>
        <v>0</v>
      </c>
      <c r="AV10" s="32">
        <f t="shared" si="48"/>
        <v>0</v>
      </c>
      <c r="AW10" s="32">
        <f t="shared" si="49"/>
        <v>0</v>
      </c>
      <c r="AX10" s="32">
        <f t="shared" si="50"/>
        <v>0</v>
      </c>
      <c r="AY10" s="32">
        <f t="shared" si="51"/>
        <v>0</v>
      </c>
      <c r="AZ10" s="32">
        <f t="shared" si="52"/>
        <v>0</v>
      </c>
      <c r="BA10" s="32">
        <f t="shared" si="33"/>
        <v>0</v>
      </c>
      <c r="BB10" s="32">
        <f t="shared" si="53"/>
        <v>0</v>
      </c>
      <c r="BC10" s="32">
        <f t="shared" si="54"/>
        <v>0</v>
      </c>
      <c r="BD10" s="32">
        <f t="shared" si="55"/>
        <v>0</v>
      </c>
      <c r="BE10" s="32">
        <f t="shared" si="56"/>
        <v>0</v>
      </c>
      <c r="BF10" s="32">
        <f t="shared" si="57"/>
        <v>0</v>
      </c>
      <c r="BG10" s="32">
        <f t="shared" si="58"/>
        <v>0</v>
      </c>
    </row>
    <row r="11" spans="1:59" s="20" customFormat="1" ht="15.75" customHeight="1" thickBot="1" x14ac:dyDescent="0.3">
      <c r="A11" s="4">
        <f t="shared" si="59"/>
        <v>2029</v>
      </c>
      <c r="B11" s="42">
        <v>356.06152497755869</v>
      </c>
      <c r="C11" s="42">
        <v>0</v>
      </c>
      <c r="D11" s="42">
        <v>0</v>
      </c>
      <c r="E11" s="42">
        <v>0</v>
      </c>
      <c r="F11" s="42"/>
      <c r="G11" s="42"/>
      <c r="H11" s="42"/>
      <c r="I11" s="42">
        <v>180.87153953343284</v>
      </c>
      <c r="J11" s="42">
        <v>0</v>
      </c>
      <c r="K11" s="42">
        <v>0</v>
      </c>
      <c r="L11" s="42"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E11" s="4">
        <f t="shared" si="30"/>
        <v>2029</v>
      </c>
      <c r="AF11" s="32">
        <f t="shared" si="34"/>
        <v>17057.12735404995</v>
      </c>
      <c r="AG11" s="32">
        <f t="shared" si="35"/>
        <v>0</v>
      </c>
      <c r="AH11" s="32">
        <f t="shared" si="36"/>
        <v>0</v>
      </c>
      <c r="AI11" s="32">
        <f t="shared" si="37"/>
        <v>0</v>
      </c>
      <c r="AJ11" s="32">
        <f t="shared" si="38"/>
        <v>0</v>
      </c>
      <c r="AK11" s="32">
        <f t="shared" si="39"/>
        <v>0</v>
      </c>
      <c r="AL11" s="32">
        <f t="shared" si="40"/>
        <v>0</v>
      </c>
      <c r="AM11" s="32">
        <f t="shared" si="31"/>
        <v>8664.6511013490999</v>
      </c>
      <c r="AN11" s="32">
        <f t="shared" si="41"/>
        <v>0</v>
      </c>
      <c r="AO11" s="32">
        <f t="shared" si="42"/>
        <v>0</v>
      </c>
      <c r="AP11" s="32">
        <f t="shared" si="43"/>
        <v>0</v>
      </c>
      <c r="AQ11" s="32">
        <f t="shared" si="44"/>
        <v>0</v>
      </c>
      <c r="AR11" s="32">
        <f t="shared" si="45"/>
        <v>0</v>
      </c>
      <c r="AS11" s="32">
        <f t="shared" si="46"/>
        <v>0</v>
      </c>
      <c r="AT11" s="32">
        <f t="shared" si="32"/>
        <v>0</v>
      </c>
      <c r="AU11" s="32">
        <f t="shared" si="47"/>
        <v>0</v>
      </c>
      <c r="AV11" s="32">
        <f t="shared" si="48"/>
        <v>0</v>
      </c>
      <c r="AW11" s="32">
        <f t="shared" si="49"/>
        <v>0</v>
      </c>
      <c r="AX11" s="32">
        <f t="shared" si="50"/>
        <v>0</v>
      </c>
      <c r="AY11" s="32">
        <f t="shared" si="51"/>
        <v>0</v>
      </c>
      <c r="AZ11" s="32">
        <f t="shared" si="52"/>
        <v>0</v>
      </c>
      <c r="BA11" s="32">
        <f t="shared" si="33"/>
        <v>0</v>
      </c>
      <c r="BB11" s="32">
        <f t="shared" si="53"/>
        <v>0</v>
      </c>
      <c r="BC11" s="32">
        <f t="shared" si="54"/>
        <v>0</v>
      </c>
      <c r="BD11" s="32">
        <f t="shared" si="55"/>
        <v>0</v>
      </c>
      <c r="BE11" s="32">
        <f t="shared" si="56"/>
        <v>0</v>
      </c>
      <c r="BF11" s="32">
        <f t="shared" si="57"/>
        <v>0</v>
      </c>
      <c r="BG11" s="32">
        <f t="shared" si="58"/>
        <v>0</v>
      </c>
    </row>
    <row r="12" spans="1:59" s="20" customFormat="1" ht="15.75" customHeight="1" thickBot="1" x14ac:dyDescent="0.3">
      <c r="A12" s="4">
        <f t="shared" si="59"/>
        <v>2030</v>
      </c>
      <c r="B12" s="42">
        <v>408.33991373541539</v>
      </c>
      <c r="C12" s="42">
        <v>0</v>
      </c>
      <c r="D12" s="42">
        <v>0</v>
      </c>
      <c r="E12" s="42">
        <v>0</v>
      </c>
      <c r="F12" s="42"/>
      <c r="G12" s="42"/>
      <c r="H12" s="42"/>
      <c r="I12" s="42">
        <v>237.51824350824728</v>
      </c>
      <c r="J12" s="42">
        <v>0</v>
      </c>
      <c r="K12" s="42">
        <v>0</v>
      </c>
      <c r="L12" s="42">
        <v>0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E12" s="4">
        <f t="shared" si="30"/>
        <v>2030</v>
      </c>
      <c r="AF12" s="32">
        <f t="shared" si="34"/>
        <v>19561.523567495075</v>
      </c>
      <c r="AG12" s="32">
        <f t="shared" si="35"/>
        <v>0</v>
      </c>
      <c r="AH12" s="32">
        <f t="shared" si="36"/>
        <v>0</v>
      </c>
      <c r="AI12" s="32">
        <f t="shared" si="37"/>
        <v>0</v>
      </c>
      <c r="AJ12" s="32">
        <f t="shared" si="38"/>
        <v>0</v>
      </c>
      <c r="AK12" s="32">
        <f t="shared" si="39"/>
        <v>0</v>
      </c>
      <c r="AL12" s="32">
        <f t="shared" si="40"/>
        <v>0</v>
      </c>
      <c r="AM12" s="32">
        <f t="shared" si="31"/>
        <v>11378.311455262587</v>
      </c>
      <c r="AN12" s="32">
        <f t="shared" si="41"/>
        <v>0</v>
      </c>
      <c r="AO12" s="32">
        <f t="shared" si="42"/>
        <v>0</v>
      </c>
      <c r="AP12" s="32">
        <f t="shared" si="43"/>
        <v>0</v>
      </c>
      <c r="AQ12" s="32">
        <f t="shared" si="44"/>
        <v>0</v>
      </c>
      <c r="AR12" s="32">
        <f t="shared" si="45"/>
        <v>0</v>
      </c>
      <c r="AS12" s="32">
        <f t="shared" si="46"/>
        <v>0</v>
      </c>
      <c r="AT12" s="32">
        <f t="shared" si="32"/>
        <v>0</v>
      </c>
      <c r="AU12" s="32">
        <f t="shared" si="47"/>
        <v>0</v>
      </c>
      <c r="AV12" s="32">
        <f t="shared" si="48"/>
        <v>0</v>
      </c>
      <c r="AW12" s="32">
        <f t="shared" si="49"/>
        <v>0</v>
      </c>
      <c r="AX12" s="32">
        <f t="shared" si="50"/>
        <v>0</v>
      </c>
      <c r="AY12" s="32">
        <f t="shared" si="51"/>
        <v>0</v>
      </c>
      <c r="AZ12" s="32">
        <f t="shared" si="52"/>
        <v>0</v>
      </c>
      <c r="BA12" s="32">
        <f t="shared" si="33"/>
        <v>0</v>
      </c>
      <c r="BB12" s="32">
        <f t="shared" si="53"/>
        <v>0</v>
      </c>
      <c r="BC12" s="32">
        <f t="shared" si="54"/>
        <v>0</v>
      </c>
      <c r="BD12" s="32">
        <f t="shared" si="55"/>
        <v>0</v>
      </c>
      <c r="BE12" s="32">
        <f t="shared" si="56"/>
        <v>0</v>
      </c>
      <c r="BF12" s="32">
        <f t="shared" si="57"/>
        <v>0</v>
      </c>
      <c r="BG12" s="32">
        <f t="shared" si="58"/>
        <v>0</v>
      </c>
    </row>
    <row r="13" spans="1:59" s="20" customFormat="1" ht="15.75" customHeight="1" thickBot="1" x14ac:dyDescent="0.3">
      <c r="A13" s="4">
        <f t="shared" si="59"/>
        <v>2031</v>
      </c>
      <c r="B13" s="42">
        <v>489.69516325820365</v>
      </c>
      <c r="C13" s="42">
        <f t="shared" ref="C13:W13" si="60">C12+C12-C10</f>
        <v>0</v>
      </c>
      <c r="D13" s="42">
        <f t="shared" si="60"/>
        <v>0</v>
      </c>
      <c r="E13" s="42">
        <f t="shared" si="60"/>
        <v>0</v>
      </c>
      <c r="F13" s="42"/>
      <c r="G13" s="42"/>
      <c r="H13" s="42"/>
      <c r="I13" s="42">
        <v>297.62474839812739</v>
      </c>
      <c r="J13" s="42">
        <f t="shared" si="60"/>
        <v>0</v>
      </c>
      <c r="K13" s="42">
        <f t="shared" si="60"/>
        <v>0</v>
      </c>
      <c r="L13" s="42">
        <f t="shared" si="60"/>
        <v>0</v>
      </c>
      <c r="M13" s="42"/>
      <c r="N13" s="42"/>
      <c r="O13" s="42"/>
      <c r="P13" s="42">
        <f t="shared" si="60"/>
        <v>0</v>
      </c>
      <c r="Q13" s="42">
        <f>Q12+Q12-Q11</f>
        <v>0</v>
      </c>
      <c r="R13" s="42">
        <f>R12+R12-R11</f>
        <v>0</v>
      </c>
      <c r="S13" s="42">
        <f>S12+S12-S11</f>
        <v>0</v>
      </c>
      <c r="T13" s="42"/>
      <c r="U13" s="42"/>
      <c r="V13" s="42"/>
      <c r="W13" s="42">
        <f t="shared" si="60"/>
        <v>0</v>
      </c>
      <c r="X13" s="42">
        <v>0</v>
      </c>
      <c r="Y13" s="42">
        <v>0</v>
      </c>
      <c r="Z13" s="42">
        <v>0</v>
      </c>
      <c r="AA13" s="42"/>
      <c r="AB13" s="42"/>
      <c r="AC13" s="42"/>
      <c r="AE13" s="4">
        <f t="shared" si="30"/>
        <v>2031</v>
      </c>
      <c r="AF13" s="32">
        <f t="shared" si="34"/>
        <v>23458.846795884245</v>
      </c>
      <c r="AG13" s="32">
        <f t="shared" si="35"/>
        <v>0</v>
      </c>
      <c r="AH13" s="32">
        <f t="shared" si="36"/>
        <v>0</v>
      </c>
      <c r="AI13" s="32">
        <f t="shared" si="37"/>
        <v>0</v>
      </c>
      <c r="AJ13" s="32">
        <f t="shared" si="38"/>
        <v>0</v>
      </c>
      <c r="AK13" s="32">
        <f t="shared" si="39"/>
        <v>0</v>
      </c>
      <c r="AL13" s="32">
        <f t="shared" si="40"/>
        <v>0</v>
      </c>
      <c r="AM13" s="32">
        <f t="shared" si="31"/>
        <v>14257.713572012291</v>
      </c>
      <c r="AN13" s="32">
        <f t="shared" si="41"/>
        <v>0</v>
      </c>
      <c r="AO13" s="32">
        <f t="shared" si="42"/>
        <v>0</v>
      </c>
      <c r="AP13" s="32">
        <f t="shared" si="43"/>
        <v>0</v>
      </c>
      <c r="AQ13" s="32">
        <f t="shared" si="44"/>
        <v>0</v>
      </c>
      <c r="AR13" s="32">
        <f t="shared" si="45"/>
        <v>0</v>
      </c>
      <c r="AS13" s="32">
        <f t="shared" si="46"/>
        <v>0</v>
      </c>
      <c r="AT13" s="32">
        <f t="shared" si="32"/>
        <v>0</v>
      </c>
      <c r="AU13" s="32">
        <f t="shared" si="47"/>
        <v>0</v>
      </c>
      <c r="AV13" s="32">
        <f t="shared" si="48"/>
        <v>0</v>
      </c>
      <c r="AW13" s="32">
        <f t="shared" si="49"/>
        <v>0</v>
      </c>
      <c r="AX13" s="32">
        <f t="shared" si="50"/>
        <v>0</v>
      </c>
      <c r="AY13" s="32">
        <f t="shared" si="51"/>
        <v>0</v>
      </c>
      <c r="AZ13" s="32">
        <f t="shared" si="52"/>
        <v>0</v>
      </c>
      <c r="BA13" s="32">
        <f t="shared" si="33"/>
        <v>0</v>
      </c>
      <c r="BB13" s="32">
        <f t="shared" si="53"/>
        <v>0</v>
      </c>
      <c r="BC13" s="32">
        <f t="shared" si="54"/>
        <v>0</v>
      </c>
      <c r="BD13" s="32">
        <f t="shared" si="55"/>
        <v>0</v>
      </c>
      <c r="BE13" s="32">
        <f t="shared" si="56"/>
        <v>0</v>
      </c>
      <c r="BF13" s="32">
        <f t="shared" si="57"/>
        <v>0</v>
      </c>
      <c r="BG13" s="32">
        <f t="shared" si="58"/>
        <v>0</v>
      </c>
    </row>
    <row r="14" spans="1:59" s="20" customFormat="1" ht="15.75" customHeight="1" thickBot="1" x14ac:dyDescent="0.3">
      <c r="A14" s="4">
        <f t="shared" si="59"/>
        <v>2032</v>
      </c>
      <c r="B14" s="42">
        <f>B13+B13-B12</f>
        <v>571.05041278099191</v>
      </c>
      <c r="C14" s="42">
        <f t="shared" ref="C14:S14" si="61">C13+C13-C11</f>
        <v>0</v>
      </c>
      <c r="D14" s="42">
        <f t="shared" si="61"/>
        <v>0</v>
      </c>
      <c r="E14" s="42">
        <f t="shared" si="61"/>
        <v>0</v>
      </c>
      <c r="F14" s="42"/>
      <c r="G14" s="42"/>
      <c r="H14" s="42"/>
      <c r="I14" s="42">
        <f>I13+I13-I12</f>
        <v>357.73125328800751</v>
      </c>
      <c r="J14" s="42">
        <f t="shared" si="61"/>
        <v>0</v>
      </c>
      <c r="K14" s="42">
        <f t="shared" si="61"/>
        <v>0</v>
      </c>
      <c r="L14" s="42">
        <f t="shared" si="61"/>
        <v>0</v>
      </c>
      <c r="M14" s="42"/>
      <c r="N14" s="42"/>
      <c r="O14" s="42"/>
      <c r="P14" s="42">
        <f>P13+P13-P12</f>
        <v>0</v>
      </c>
      <c r="Q14" s="42">
        <f t="shared" si="61"/>
        <v>0</v>
      </c>
      <c r="R14" s="42">
        <f t="shared" si="61"/>
        <v>0</v>
      </c>
      <c r="S14" s="42">
        <f t="shared" si="61"/>
        <v>0</v>
      </c>
      <c r="T14" s="42"/>
      <c r="U14" s="42"/>
      <c r="V14" s="42"/>
      <c r="W14" s="42">
        <f>W13+W13-W12</f>
        <v>0</v>
      </c>
      <c r="X14" s="42">
        <v>0</v>
      </c>
      <c r="Y14" s="42">
        <v>0</v>
      </c>
      <c r="Z14" s="42">
        <v>0</v>
      </c>
      <c r="AA14" s="42"/>
      <c r="AB14" s="42"/>
      <c r="AC14" s="42"/>
      <c r="AE14" s="4">
        <f t="shared" si="30"/>
        <v>2032</v>
      </c>
      <c r="AF14" s="32">
        <f t="shared" si="34"/>
        <v>27356.170024273419</v>
      </c>
      <c r="AG14" s="32">
        <f t="shared" si="35"/>
        <v>0</v>
      </c>
      <c r="AH14" s="32">
        <f t="shared" si="36"/>
        <v>0</v>
      </c>
      <c r="AI14" s="32">
        <f t="shared" si="37"/>
        <v>0</v>
      </c>
      <c r="AJ14" s="32">
        <f t="shared" si="38"/>
        <v>0</v>
      </c>
      <c r="AK14" s="32">
        <f t="shared" si="39"/>
        <v>0</v>
      </c>
      <c r="AL14" s="32">
        <f t="shared" si="40"/>
        <v>0</v>
      </c>
      <c r="AM14" s="32">
        <f t="shared" si="31"/>
        <v>17137.115688761998</v>
      </c>
      <c r="AN14" s="32">
        <f t="shared" si="41"/>
        <v>0</v>
      </c>
      <c r="AO14" s="32">
        <f t="shared" si="42"/>
        <v>0</v>
      </c>
      <c r="AP14" s="32">
        <f t="shared" si="43"/>
        <v>0</v>
      </c>
      <c r="AQ14" s="32">
        <f t="shared" si="44"/>
        <v>0</v>
      </c>
      <c r="AR14" s="32">
        <f t="shared" si="45"/>
        <v>0</v>
      </c>
      <c r="AS14" s="32">
        <f t="shared" si="46"/>
        <v>0</v>
      </c>
      <c r="AT14" s="32">
        <f t="shared" si="32"/>
        <v>0</v>
      </c>
      <c r="AU14" s="32">
        <f t="shared" si="47"/>
        <v>0</v>
      </c>
      <c r="AV14" s="32">
        <f t="shared" si="48"/>
        <v>0</v>
      </c>
      <c r="AW14" s="32">
        <f t="shared" si="49"/>
        <v>0</v>
      </c>
      <c r="AX14" s="32">
        <f t="shared" si="50"/>
        <v>0</v>
      </c>
      <c r="AY14" s="32">
        <f t="shared" si="51"/>
        <v>0</v>
      </c>
      <c r="AZ14" s="32">
        <f t="shared" si="52"/>
        <v>0</v>
      </c>
      <c r="BA14" s="32">
        <f t="shared" si="33"/>
        <v>0</v>
      </c>
      <c r="BB14" s="32">
        <f t="shared" si="53"/>
        <v>0</v>
      </c>
      <c r="BC14" s="32">
        <f t="shared" si="54"/>
        <v>0</v>
      </c>
      <c r="BD14" s="32">
        <f t="shared" si="55"/>
        <v>0</v>
      </c>
      <c r="BE14" s="32">
        <f t="shared" si="56"/>
        <v>0</v>
      </c>
      <c r="BF14" s="32">
        <f t="shared" si="57"/>
        <v>0</v>
      </c>
      <c r="BG14" s="32">
        <f t="shared" si="58"/>
        <v>0</v>
      </c>
    </row>
    <row r="15" spans="1:59" s="20" customFormat="1" ht="15.75" customHeight="1" thickBot="1" x14ac:dyDescent="0.3">
      <c r="A15" s="4">
        <f t="shared" si="59"/>
        <v>2033</v>
      </c>
      <c r="B15" s="42">
        <f t="shared" ref="B15:B16" si="62">B14+B14-B13</f>
        <v>652.40566230378022</v>
      </c>
      <c r="C15" s="42">
        <f t="shared" ref="C15:S15" si="63">C14+C14-C12</f>
        <v>0</v>
      </c>
      <c r="D15" s="42">
        <f t="shared" si="63"/>
        <v>0</v>
      </c>
      <c r="E15" s="42">
        <f t="shared" si="63"/>
        <v>0</v>
      </c>
      <c r="F15" s="42"/>
      <c r="G15" s="42"/>
      <c r="H15" s="42"/>
      <c r="I15" s="42">
        <f t="shared" ref="I15:I16" si="64">I14+I14-I13</f>
        <v>417.83775817788762</v>
      </c>
      <c r="J15" s="42">
        <f t="shared" si="63"/>
        <v>0</v>
      </c>
      <c r="K15" s="42">
        <f t="shared" si="63"/>
        <v>0</v>
      </c>
      <c r="L15" s="42">
        <f t="shared" si="63"/>
        <v>0</v>
      </c>
      <c r="M15" s="42"/>
      <c r="N15" s="42"/>
      <c r="O15" s="42"/>
      <c r="P15" s="42">
        <f t="shared" ref="P15:P16" si="65">P14+P14-P13</f>
        <v>0</v>
      </c>
      <c r="Q15" s="42">
        <f t="shared" si="63"/>
        <v>0</v>
      </c>
      <c r="R15" s="42">
        <f t="shared" si="63"/>
        <v>0</v>
      </c>
      <c r="S15" s="42">
        <f t="shared" si="63"/>
        <v>0</v>
      </c>
      <c r="T15" s="42"/>
      <c r="U15" s="42"/>
      <c r="V15" s="42"/>
      <c r="W15" s="42">
        <f t="shared" ref="W15:W16" si="66">W14+W14-W13</f>
        <v>0</v>
      </c>
      <c r="X15" s="42">
        <v>0</v>
      </c>
      <c r="Y15" s="42">
        <v>0</v>
      </c>
      <c r="Z15" s="42">
        <v>0</v>
      </c>
      <c r="AA15" s="42"/>
      <c r="AB15" s="42"/>
      <c r="AC15" s="42"/>
      <c r="AE15" s="4">
        <f t="shared" si="30"/>
        <v>2033</v>
      </c>
      <c r="AF15" s="32">
        <f t="shared" si="34"/>
        <v>31253.493252662593</v>
      </c>
      <c r="AG15" s="32">
        <f t="shared" si="35"/>
        <v>0</v>
      </c>
      <c r="AH15" s="32">
        <f t="shared" si="36"/>
        <v>0</v>
      </c>
      <c r="AI15" s="32">
        <f t="shared" si="37"/>
        <v>0</v>
      </c>
      <c r="AJ15" s="32">
        <f t="shared" si="38"/>
        <v>0</v>
      </c>
      <c r="AK15" s="32">
        <f t="shared" si="39"/>
        <v>0</v>
      </c>
      <c r="AL15" s="32">
        <f t="shared" si="40"/>
        <v>0</v>
      </c>
      <c r="AM15" s="32">
        <f t="shared" si="31"/>
        <v>20016.517805511707</v>
      </c>
      <c r="AN15" s="32">
        <f t="shared" si="41"/>
        <v>0</v>
      </c>
      <c r="AO15" s="32">
        <f t="shared" si="42"/>
        <v>0</v>
      </c>
      <c r="AP15" s="32">
        <f t="shared" si="43"/>
        <v>0</v>
      </c>
      <c r="AQ15" s="32">
        <f t="shared" si="44"/>
        <v>0</v>
      </c>
      <c r="AR15" s="32">
        <f t="shared" si="45"/>
        <v>0</v>
      </c>
      <c r="AS15" s="32">
        <f t="shared" si="46"/>
        <v>0</v>
      </c>
      <c r="AT15" s="32">
        <f t="shared" si="32"/>
        <v>0</v>
      </c>
      <c r="AU15" s="32">
        <f t="shared" si="47"/>
        <v>0</v>
      </c>
      <c r="AV15" s="32">
        <f t="shared" si="48"/>
        <v>0</v>
      </c>
      <c r="AW15" s="32">
        <f t="shared" si="49"/>
        <v>0</v>
      </c>
      <c r="AX15" s="32">
        <f t="shared" si="50"/>
        <v>0</v>
      </c>
      <c r="AY15" s="32">
        <f t="shared" si="51"/>
        <v>0</v>
      </c>
      <c r="AZ15" s="32">
        <f t="shared" si="52"/>
        <v>0</v>
      </c>
      <c r="BA15" s="32">
        <f t="shared" si="33"/>
        <v>0</v>
      </c>
      <c r="BB15" s="32">
        <f t="shared" si="53"/>
        <v>0</v>
      </c>
      <c r="BC15" s="32">
        <f t="shared" si="54"/>
        <v>0</v>
      </c>
      <c r="BD15" s="32">
        <f t="shared" si="55"/>
        <v>0</v>
      </c>
      <c r="BE15" s="32">
        <f t="shared" si="56"/>
        <v>0</v>
      </c>
      <c r="BF15" s="32">
        <f t="shared" si="57"/>
        <v>0</v>
      </c>
      <c r="BG15" s="32">
        <f t="shared" si="58"/>
        <v>0</v>
      </c>
    </row>
    <row r="16" spans="1:59" s="20" customFormat="1" ht="15.75" customHeight="1" thickBot="1" x14ac:dyDescent="0.3">
      <c r="A16" s="4">
        <f t="shared" si="59"/>
        <v>2034</v>
      </c>
      <c r="B16" s="42">
        <f t="shared" si="62"/>
        <v>733.76091182656853</v>
      </c>
      <c r="C16" s="42">
        <f t="shared" ref="C16:S16" si="67">C15+C15-C13</f>
        <v>0</v>
      </c>
      <c r="D16" s="42">
        <f t="shared" si="67"/>
        <v>0</v>
      </c>
      <c r="E16" s="42">
        <f t="shared" si="67"/>
        <v>0</v>
      </c>
      <c r="F16" s="42"/>
      <c r="G16" s="42"/>
      <c r="H16" s="42"/>
      <c r="I16" s="42">
        <f t="shared" si="64"/>
        <v>477.94426306776774</v>
      </c>
      <c r="J16" s="42">
        <f t="shared" si="67"/>
        <v>0</v>
      </c>
      <c r="K16" s="42">
        <f t="shared" si="67"/>
        <v>0</v>
      </c>
      <c r="L16" s="42">
        <f t="shared" si="67"/>
        <v>0</v>
      </c>
      <c r="M16" s="42"/>
      <c r="N16" s="42"/>
      <c r="O16" s="42"/>
      <c r="P16" s="42">
        <f t="shared" si="65"/>
        <v>0</v>
      </c>
      <c r="Q16" s="42">
        <f t="shared" si="67"/>
        <v>0</v>
      </c>
      <c r="R16" s="42">
        <f t="shared" si="67"/>
        <v>0</v>
      </c>
      <c r="S16" s="42">
        <f t="shared" si="67"/>
        <v>0</v>
      </c>
      <c r="T16" s="42"/>
      <c r="U16" s="42"/>
      <c r="V16" s="42"/>
      <c r="W16" s="42">
        <f t="shared" si="66"/>
        <v>0</v>
      </c>
      <c r="X16" s="42">
        <v>0</v>
      </c>
      <c r="Y16" s="42">
        <v>0</v>
      </c>
      <c r="Z16" s="42">
        <v>0</v>
      </c>
      <c r="AA16" s="42"/>
      <c r="AB16" s="42"/>
      <c r="AC16" s="42"/>
      <c r="AE16" s="4">
        <f t="shared" si="30"/>
        <v>2034</v>
      </c>
      <c r="AF16" s="32">
        <f t="shared" si="34"/>
        <v>35150.816481051763</v>
      </c>
      <c r="AG16" s="32">
        <f t="shared" si="35"/>
        <v>0</v>
      </c>
      <c r="AH16" s="32">
        <f t="shared" si="36"/>
        <v>0</v>
      </c>
      <c r="AI16" s="32">
        <f t="shared" si="37"/>
        <v>0</v>
      </c>
      <c r="AJ16" s="32">
        <f t="shared" si="38"/>
        <v>0</v>
      </c>
      <c r="AK16" s="32">
        <f t="shared" si="39"/>
        <v>0</v>
      </c>
      <c r="AL16" s="32">
        <f t="shared" si="40"/>
        <v>0</v>
      </c>
      <c r="AM16" s="32">
        <f t="shared" si="31"/>
        <v>22895.919922261412</v>
      </c>
      <c r="AN16" s="32">
        <f t="shared" si="41"/>
        <v>0</v>
      </c>
      <c r="AO16" s="32">
        <f t="shared" si="42"/>
        <v>0</v>
      </c>
      <c r="AP16" s="32">
        <f t="shared" si="43"/>
        <v>0</v>
      </c>
      <c r="AQ16" s="32">
        <f t="shared" si="44"/>
        <v>0</v>
      </c>
      <c r="AR16" s="32">
        <f t="shared" si="45"/>
        <v>0</v>
      </c>
      <c r="AS16" s="32">
        <f t="shared" si="46"/>
        <v>0</v>
      </c>
      <c r="AT16" s="32">
        <f t="shared" si="32"/>
        <v>0</v>
      </c>
      <c r="AU16" s="32">
        <f t="shared" si="47"/>
        <v>0</v>
      </c>
      <c r="AV16" s="32">
        <f t="shared" si="48"/>
        <v>0</v>
      </c>
      <c r="AW16" s="32">
        <f t="shared" si="49"/>
        <v>0</v>
      </c>
      <c r="AX16" s="32">
        <f t="shared" si="50"/>
        <v>0</v>
      </c>
      <c r="AY16" s="32">
        <f t="shared" si="51"/>
        <v>0</v>
      </c>
      <c r="AZ16" s="32">
        <f t="shared" si="52"/>
        <v>0</v>
      </c>
      <c r="BA16" s="32">
        <f t="shared" si="33"/>
        <v>0</v>
      </c>
      <c r="BB16" s="32">
        <f t="shared" si="53"/>
        <v>0</v>
      </c>
      <c r="BC16" s="32">
        <f t="shared" si="54"/>
        <v>0</v>
      </c>
      <c r="BD16" s="32">
        <f t="shared" si="55"/>
        <v>0</v>
      </c>
      <c r="BE16" s="32">
        <f t="shared" si="56"/>
        <v>0</v>
      </c>
      <c r="BF16" s="32">
        <f t="shared" si="57"/>
        <v>0</v>
      </c>
      <c r="BG16" s="32">
        <f t="shared" si="58"/>
        <v>0</v>
      </c>
    </row>
    <row r="17" spans="1:59" s="20" customFormat="1" ht="15.75" customHeight="1" x14ac:dyDescent="0.25">
      <c r="A17" s="40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E17" s="40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</row>
    <row r="18" spans="1:59" s="20" customFormat="1" ht="15.75" customHeight="1" thickBot="1" x14ac:dyDescent="0.3">
      <c r="A18" s="21" t="s">
        <v>118</v>
      </c>
      <c r="AE18" s="21" t="s">
        <v>119</v>
      </c>
    </row>
    <row r="19" spans="1:59" s="20" customFormat="1" ht="15.75" customHeight="1" thickBot="1" x14ac:dyDescent="0.3">
      <c r="A19" s="1" t="s">
        <v>120</v>
      </c>
      <c r="B19" s="1">
        <v>1</v>
      </c>
      <c r="C19" s="1">
        <f>B19+1</f>
        <v>2</v>
      </c>
      <c r="D19" s="1">
        <f t="shared" ref="D19" si="68">C19+1</f>
        <v>3</v>
      </c>
      <c r="E19" s="1">
        <f t="shared" ref="E19" si="69">D19+1</f>
        <v>4</v>
      </c>
      <c r="F19" s="1">
        <f t="shared" ref="F19" si="70">E19+1</f>
        <v>5</v>
      </c>
      <c r="G19" s="1">
        <f t="shared" ref="G19" si="71">F19+1</f>
        <v>6</v>
      </c>
      <c r="H19" s="1">
        <f t="shared" ref="H19" si="72">G19+1</f>
        <v>7</v>
      </c>
      <c r="I19" s="1">
        <f>B19</f>
        <v>1</v>
      </c>
      <c r="J19" s="1">
        <f t="shared" ref="J19" si="73">C19</f>
        <v>2</v>
      </c>
      <c r="K19" s="1">
        <f t="shared" ref="K19" si="74">D19</f>
        <v>3</v>
      </c>
      <c r="L19" s="1">
        <f t="shared" ref="L19" si="75">E19</f>
        <v>4</v>
      </c>
      <c r="M19" s="1">
        <f t="shared" ref="M19" si="76">F19</f>
        <v>5</v>
      </c>
      <c r="N19" s="1">
        <f t="shared" ref="N19" si="77">G19</f>
        <v>6</v>
      </c>
      <c r="O19" s="1">
        <f t="shared" ref="O19" si="78">H19</f>
        <v>7</v>
      </c>
      <c r="P19" s="1">
        <f t="shared" ref="P19" si="79">I19</f>
        <v>1</v>
      </c>
      <c r="Q19" s="1">
        <f t="shared" ref="Q19" si="80">J19</f>
        <v>2</v>
      </c>
      <c r="R19" s="1">
        <f t="shared" ref="R19" si="81">K19</f>
        <v>3</v>
      </c>
      <c r="S19" s="1">
        <f t="shared" ref="S19" si="82">L19</f>
        <v>4</v>
      </c>
      <c r="T19" s="1">
        <f t="shared" ref="T19" si="83">M19</f>
        <v>5</v>
      </c>
      <c r="U19" s="1">
        <f t="shared" ref="U19" si="84">N19</f>
        <v>6</v>
      </c>
      <c r="V19" s="1">
        <f t="shared" ref="V19" si="85">O19</f>
        <v>7</v>
      </c>
      <c r="W19" s="1">
        <f t="shared" ref="W19" si="86">P19</f>
        <v>1</v>
      </c>
      <c r="X19" s="1">
        <f t="shared" ref="X19" si="87">Q19</f>
        <v>2</v>
      </c>
      <c r="Y19" s="1">
        <f t="shared" ref="Y19" si="88">R19</f>
        <v>3</v>
      </c>
      <c r="Z19" s="1">
        <f t="shared" ref="Z19" si="89">S19</f>
        <v>4</v>
      </c>
      <c r="AA19" s="1">
        <f t="shared" ref="AA19" si="90">T19</f>
        <v>5</v>
      </c>
      <c r="AB19" s="1">
        <f t="shared" ref="AB19" si="91">U19</f>
        <v>6</v>
      </c>
      <c r="AC19" s="1">
        <f t="shared" ref="AC19" si="92">V19</f>
        <v>7</v>
      </c>
      <c r="AE19" s="1" t="str">
        <f t="shared" ref="AE19:AE31" si="93">A19</f>
        <v>Option</v>
      </c>
      <c r="AF19" s="1">
        <f t="shared" ref="AF19:AF21" si="94">B19</f>
        <v>1</v>
      </c>
      <c r="AG19" s="1">
        <f t="shared" ref="AG19:AG21" si="95">C19</f>
        <v>2</v>
      </c>
      <c r="AH19" s="1">
        <f t="shared" ref="AH19:AH21" si="96">D19</f>
        <v>3</v>
      </c>
      <c r="AI19" s="1">
        <f t="shared" ref="AI19:AI21" si="97">E19</f>
        <v>4</v>
      </c>
      <c r="AJ19" s="1">
        <f t="shared" ref="AJ19:AJ21" si="98">F19</f>
        <v>5</v>
      </c>
      <c r="AK19" s="1">
        <f t="shared" ref="AK19:AK21" si="99">G19</f>
        <v>6</v>
      </c>
      <c r="AL19" s="1">
        <f t="shared" ref="AL19:AL21" si="100">H19</f>
        <v>7</v>
      </c>
      <c r="AM19" s="1">
        <f t="shared" ref="AM19:AM21" si="101">I19</f>
        <v>1</v>
      </c>
      <c r="AN19" s="1">
        <f t="shared" ref="AN19:AN21" si="102">J19</f>
        <v>2</v>
      </c>
      <c r="AO19" s="1">
        <f t="shared" ref="AO19:AO21" si="103">K19</f>
        <v>3</v>
      </c>
      <c r="AP19" s="1">
        <f t="shared" ref="AP19:AP21" si="104">L19</f>
        <v>4</v>
      </c>
      <c r="AQ19" s="1">
        <f t="shared" ref="AQ19:AQ21" si="105">M19</f>
        <v>5</v>
      </c>
      <c r="AR19" s="1">
        <f t="shared" ref="AR19:AR21" si="106">N19</f>
        <v>6</v>
      </c>
      <c r="AS19" s="1">
        <f t="shared" ref="AS19:AS21" si="107">O19</f>
        <v>7</v>
      </c>
      <c r="AT19" s="1">
        <f t="shared" ref="AT19:AT21" si="108">P19</f>
        <v>1</v>
      </c>
      <c r="AU19" s="1">
        <f t="shared" ref="AU19:AU21" si="109">Q19</f>
        <v>2</v>
      </c>
      <c r="AV19" s="1">
        <f t="shared" ref="AV19:AV21" si="110">R19</f>
        <v>3</v>
      </c>
      <c r="AW19" s="1">
        <f t="shared" ref="AW19:AW21" si="111">S19</f>
        <v>4</v>
      </c>
      <c r="AX19" s="1">
        <f t="shared" ref="AX19:AX21" si="112">T19</f>
        <v>5</v>
      </c>
      <c r="AY19" s="1">
        <f t="shared" ref="AY19:AY21" si="113">U19</f>
        <v>6</v>
      </c>
      <c r="AZ19" s="1">
        <f t="shared" ref="AZ19:AZ21" si="114">V19</f>
        <v>7</v>
      </c>
      <c r="BA19" s="1">
        <f t="shared" ref="BA19:BA21" si="115">W19</f>
        <v>1</v>
      </c>
      <c r="BB19" s="1">
        <f t="shared" ref="BB19:BB21" si="116">X19</f>
        <v>2</v>
      </c>
      <c r="BC19" s="1">
        <f t="shared" ref="BC19:BC21" si="117">Y19</f>
        <v>3</v>
      </c>
      <c r="BD19" s="1">
        <f t="shared" ref="BD19:BD21" si="118">Z19</f>
        <v>4</v>
      </c>
      <c r="BE19" s="1">
        <f t="shared" ref="BE19:BE21" si="119">AA19</f>
        <v>5</v>
      </c>
      <c r="BF19" s="1">
        <f t="shared" ref="BF19:BF21" si="120">AB19</f>
        <v>6</v>
      </c>
      <c r="BG19" s="1">
        <f t="shared" ref="BG19:BG21" si="121">AC19</f>
        <v>7</v>
      </c>
    </row>
    <row r="20" spans="1:59" s="20" customFormat="1" ht="15.75" customHeight="1" thickTop="1" thickBot="1" x14ac:dyDescent="0.3">
      <c r="A20" s="6" t="s">
        <v>121</v>
      </c>
      <c r="B20" s="104" t="s">
        <v>23</v>
      </c>
      <c r="C20" s="105"/>
      <c r="D20" s="105"/>
      <c r="E20" s="105"/>
      <c r="F20" s="105"/>
      <c r="G20" s="105"/>
      <c r="H20" s="106"/>
      <c r="I20" s="104" t="s">
        <v>24</v>
      </c>
      <c r="J20" s="105"/>
      <c r="K20" s="105"/>
      <c r="L20" s="105"/>
      <c r="M20" s="105"/>
      <c r="N20" s="105"/>
      <c r="O20" s="106"/>
      <c r="P20" s="104"/>
      <c r="Q20" s="105"/>
      <c r="R20" s="105"/>
      <c r="S20" s="105"/>
      <c r="T20" s="105"/>
      <c r="U20" s="105"/>
      <c r="V20" s="106"/>
      <c r="W20" s="104"/>
      <c r="X20" s="105"/>
      <c r="Y20" s="105"/>
      <c r="Z20" s="105"/>
      <c r="AA20" s="105"/>
      <c r="AB20" s="105"/>
      <c r="AC20" s="106"/>
      <c r="AE20" s="6" t="str">
        <f t="shared" si="93"/>
        <v>FDR</v>
      </c>
      <c r="AF20" s="104" t="str">
        <f t="shared" si="94"/>
        <v>SBY23</v>
      </c>
      <c r="AG20" s="105">
        <f t="shared" si="95"/>
        <v>0</v>
      </c>
      <c r="AH20" s="105">
        <f t="shared" si="96"/>
        <v>0</v>
      </c>
      <c r="AI20" s="105">
        <f t="shared" si="97"/>
        <v>0</v>
      </c>
      <c r="AJ20" s="105">
        <f t="shared" si="98"/>
        <v>0</v>
      </c>
      <c r="AK20" s="105">
        <f t="shared" si="99"/>
        <v>0</v>
      </c>
      <c r="AL20" s="106">
        <f t="shared" si="100"/>
        <v>0</v>
      </c>
      <c r="AM20" s="104" t="str">
        <f t="shared" si="101"/>
        <v>SBY24</v>
      </c>
      <c r="AN20" s="105">
        <f t="shared" si="102"/>
        <v>0</v>
      </c>
      <c r="AO20" s="105">
        <f t="shared" si="103"/>
        <v>0</v>
      </c>
      <c r="AP20" s="105">
        <f t="shared" si="104"/>
        <v>0</v>
      </c>
      <c r="AQ20" s="105">
        <f t="shared" si="105"/>
        <v>0</v>
      </c>
      <c r="AR20" s="105">
        <f t="shared" si="106"/>
        <v>0</v>
      </c>
      <c r="AS20" s="106">
        <f t="shared" si="107"/>
        <v>0</v>
      </c>
      <c r="AT20" s="104">
        <f t="shared" si="108"/>
        <v>0</v>
      </c>
      <c r="AU20" s="105">
        <f t="shared" si="109"/>
        <v>0</v>
      </c>
      <c r="AV20" s="105">
        <f t="shared" si="110"/>
        <v>0</v>
      </c>
      <c r="AW20" s="105">
        <f t="shared" si="111"/>
        <v>0</v>
      </c>
      <c r="AX20" s="105">
        <f t="shared" si="112"/>
        <v>0</v>
      </c>
      <c r="AY20" s="105">
        <f t="shared" si="113"/>
        <v>0</v>
      </c>
      <c r="AZ20" s="106">
        <f t="shared" si="114"/>
        <v>0</v>
      </c>
      <c r="BA20" s="104">
        <f t="shared" si="115"/>
        <v>0</v>
      </c>
      <c r="BB20" s="105">
        <f t="shared" si="116"/>
        <v>0</v>
      </c>
      <c r="BC20" s="105">
        <f t="shared" si="117"/>
        <v>0</v>
      </c>
      <c r="BD20" s="105">
        <f t="shared" si="118"/>
        <v>0</v>
      </c>
      <c r="BE20" s="105">
        <f t="shared" si="119"/>
        <v>0</v>
      </c>
      <c r="BF20" s="105">
        <f t="shared" si="120"/>
        <v>0</v>
      </c>
      <c r="BG20" s="106">
        <f t="shared" si="121"/>
        <v>0</v>
      </c>
    </row>
    <row r="21" spans="1:59" s="20" customFormat="1" ht="24.75" thickBot="1" x14ac:dyDescent="0.3">
      <c r="A21" s="6" t="s">
        <v>122</v>
      </c>
      <c r="B21" s="101" t="s">
        <v>123</v>
      </c>
      <c r="C21" s="101"/>
      <c r="D21" s="101"/>
      <c r="E21" s="101"/>
      <c r="F21" s="101"/>
      <c r="G21" s="101"/>
      <c r="H21" s="102"/>
      <c r="I21" s="101" t="s">
        <v>123</v>
      </c>
      <c r="J21" s="101"/>
      <c r="K21" s="101"/>
      <c r="L21" s="101"/>
      <c r="M21" s="101"/>
      <c r="N21" s="101"/>
      <c r="O21" s="102"/>
      <c r="P21" s="101"/>
      <c r="Q21" s="101"/>
      <c r="R21" s="101"/>
      <c r="S21" s="101"/>
      <c r="T21" s="101"/>
      <c r="U21" s="101"/>
      <c r="V21" s="102"/>
      <c r="W21" s="101"/>
      <c r="X21" s="101"/>
      <c r="Y21" s="101"/>
      <c r="Z21" s="101"/>
      <c r="AA21" s="101"/>
      <c r="AB21" s="101"/>
      <c r="AC21" s="102"/>
      <c r="AE21" s="6" t="str">
        <f t="shared" si="93"/>
        <v>Solution Applied</v>
      </c>
      <c r="AF21" s="30" t="str">
        <f t="shared" si="94"/>
        <v>Nil</v>
      </c>
      <c r="AG21" s="30">
        <f t="shared" si="95"/>
        <v>0</v>
      </c>
      <c r="AH21" s="30">
        <f t="shared" si="96"/>
        <v>0</v>
      </c>
      <c r="AI21" s="30">
        <f t="shared" si="97"/>
        <v>0</v>
      </c>
      <c r="AJ21" s="30">
        <f t="shared" si="98"/>
        <v>0</v>
      </c>
      <c r="AK21" s="30">
        <f t="shared" si="99"/>
        <v>0</v>
      </c>
      <c r="AL21" s="31">
        <f t="shared" si="100"/>
        <v>0</v>
      </c>
      <c r="AM21" s="30" t="str">
        <f t="shared" si="101"/>
        <v>Nil</v>
      </c>
      <c r="AN21" s="30">
        <f t="shared" si="102"/>
        <v>0</v>
      </c>
      <c r="AO21" s="30">
        <f t="shared" si="103"/>
        <v>0</v>
      </c>
      <c r="AP21" s="30">
        <f t="shared" si="104"/>
        <v>0</v>
      </c>
      <c r="AQ21" s="30">
        <f t="shared" si="105"/>
        <v>0</v>
      </c>
      <c r="AR21" s="30">
        <f t="shared" si="106"/>
        <v>0</v>
      </c>
      <c r="AS21" s="31">
        <f t="shared" si="107"/>
        <v>0</v>
      </c>
      <c r="AT21" s="30">
        <f t="shared" si="108"/>
        <v>0</v>
      </c>
      <c r="AU21" s="30">
        <f t="shared" si="109"/>
        <v>0</v>
      </c>
      <c r="AV21" s="30">
        <f t="shared" si="110"/>
        <v>0</v>
      </c>
      <c r="AW21" s="30">
        <f t="shared" si="111"/>
        <v>0</v>
      </c>
      <c r="AX21" s="30">
        <f t="shared" si="112"/>
        <v>0</v>
      </c>
      <c r="AY21" s="30">
        <f t="shared" si="113"/>
        <v>0</v>
      </c>
      <c r="AZ21" s="31">
        <f t="shared" si="114"/>
        <v>0</v>
      </c>
      <c r="BA21" s="30">
        <f t="shared" si="115"/>
        <v>0</v>
      </c>
      <c r="BB21" s="30">
        <f t="shared" si="116"/>
        <v>0</v>
      </c>
      <c r="BC21" s="30">
        <f t="shared" si="117"/>
        <v>0</v>
      </c>
      <c r="BD21" s="30">
        <f t="shared" si="118"/>
        <v>0</v>
      </c>
      <c r="BE21" s="30">
        <f t="shared" si="119"/>
        <v>0</v>
      </c>
      <c r="BF21" s="30">
        <f t="shared" si="120"/>
        <v>0</v>
      </c>
      <c r="BG21" s="31">
        <f t="shared" si="121"/>
        <v>0</v>
      </c>
    </row>
    <row r="22" spans="1:59" s="20" customFormat="1" ht="15.75" customHeight="1" thickBot="1" x14ac:dyDescent="0.3">
      <c r="A22" s="4">
        <f>A7</f>
        <v>2025</v>
      </c>
      <c r="B22" s="42">
        <v>3.2953970320475374</v>
      </c>
      <c r="C22" s="42"/>
      <c r="D22" s="42"/>
      <c r="E22" s="42"/>
      <c r="F22" s="42"/>
      <c r="G22" s="42"/>
      <c r="H22" s="42"/>
      <c r="I22" s="42">
        <v>7.2161320645932388E-3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E22" s="4">
        <f t="shared" si="93"/>
        <v>2025</v>
      </c>
      <c r="AF22" s="32">
        <f t="shared" ref="AF22:AF31" si="122">B22*$H$1/1000</f>
        <v>157.86599482023729</v>
      </c>
      <c r="AG22" s="32"/>
      <c r="AH22" s="32"/>
      <c r="AI22" s="32"/>
      <c r="AJ22" s="32"/>
      <c r="AK22" s="32"/>
      <c r="AL22" s="32"/>
      <c r="AM22" s="32">
        <f t="shared" ref="AM22:AM31" si="123">I22*$H$1/1000</f>
        <v>0.34568880655433915</v>
      </c>
      <c r="AN22" s="32"/>
      <c r="AO22" s="32"/>
      <c r="AP22" s="32"/>
      <c r="AQ22" s="32"/>
      <c r="AR22" s="32"/>
      <c r="AS22" s="32"/>
      <c r="AT22" s="32">
        <f t="shared" ref="AT22:AT31" si="124">P22*$H$1/1000</f>
        <v>0</v>
      </c>
      <c r="AU22" s="32"/>
      <c r="AV22" s="32"/>
      <c r="AW22" s="32"/>
      <c r="AX22" s="32"/>
      <c r="AY22" s="32"/>
      <c r="AZ22" s="32"/>
      <c r="BA22" s="32">
        <f t="shared" ref="BA22:BA31" si="125">W22*$H$1/1000</f>
        <v>0</v>
      </c>
      <c r="BB22" s="32"/>
      <c r="BC22" s="32"/>
      <c r="BD22" s="32"/>
      <c r="BE22" s="32"/>
      <c r="BF22" s="32"/>
      <c r="BG22" s="32"/>
    </row>
    <row r="23" spans="1:59" s="20" customFormat="1" ht="15.75" customHeight="1" thickBot="1" x14ac:dyDescent="0.3">
      <c r="A23" s="4">
        <f>A22+1</f>
        <v>2026</v>
      </c>
      <c r="B23" s="42">
        <v>22.342277535591268</v>
      </c>
      <c r="C23" s="42">
        <v>0</v>
      </c>
      <c r="D23" s="42">
        <v>0</v>
      </c>
      <c r="E23" s="42">
        <v>0</v>
      </c>
      <c r="F23" s="42"/>
      <c r="G23" s="42"/>
      <c r="H23" s="42"/>
      <c r="I23" s="42">
        <v>0.86804444303916739</v>
      </c>
      <c r="J23" s="42">
        <f>I23</f>
        <v>0.86804444303916739</v>
      </c>
      <c r="K23" s="42">
        <f>I23</f>
        <v>0.86804444303916739</v>
      </c>
      <c r="L23" s="42">
        <f>I23</f>
        <v>0.86804444303916739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E23" s="4">
        <f t="shared" si="93"/>
        <v>2026</v>
      </c>
      <c r="AF23" s="32">
        <f t="shared" si="122"/>
        <v>1070.3068053424997</v>
      </c>
      <c r="AG23" s="32">
        <f t="shared" ref="AG23:AG31" si="126">C23*$H$1/1000</f>
        <v>0</v>
      </c>
      <c r="AH23" s="32">
        <f t="shared" ref="AH23:AH31" si="127">D23*$H$1/1000</f>
        <v>0</v>
      </c>
      <c r="AI23" s="32">
        <f t="shared" ref="AI23:AI31" si="128">E23*$H$1/1000</f>
        <v>0</v>
      </c>
      <c r="AJ23" s="32">
        <f t="shared" ref="AJ23:AJ31" si="129">F23*$H$1/1000</f>
        <v>0</v>
      </c>
      <c r="AK23" s="32">
        <f t="shared" ref="AK23:AK31" si="130">G23*$H$1/1000</f>
        <v>0</v>
      </c>
      <c r="AL23" s="32">
        <f t="shared" ref="AL23:AL31" si="131">H23*$H$1/1000</f>
        <v>0</v>
      </c>
      <c r="AM23" s="32">
        <f t="shared" si="123"/>
        <v>41.583669043791311</v>
      </c>
      <c r="AN23" s="32">
        <f t="shared" ref="AN23:AN31" si="132">J23*$H$1/1000</f>
        <v>41.583669043791311</v>
      </c>
      <c r="AO23" s="32">
        <f t="shared" ref="AO23:AO31" si="133">K23*$H$1/1000</f>
        <v>41.583669043791311</v>
      </c>
      <c r="AP23" s="32">
        <f t="shared" ref="AP23:AP31" si="134">L23*$H$1/1000</f>
        <v>41.583669043791311</v>
      </c>
      <c r="AQ23" s="32">
        <f t="shared" ref="AQ23:AQ31" si="135">M23*$H$1/1000</f>
        <v>0</v>
      </c>
      <c r="AR23" s="32">
        <f t="shared" ref="AR23:AR31" si="136">N23*$H$1/1000</f>
        <v>0</v>
      </c>
      <c r="AS23" s="32">
        <f t="shared" ref="AS23:AS31" si="137">O23*$H$1/1000</f>
        <v>0</v>
      </c>
      <c r="AT23" s="32">
        <f t="shared" si="124"/>
        <v>0</v>
      </c>
      <c r="AU23" s="32">
        <f t="shared" ref="AU23:AU31" si="138">Q23*$H$1/1000</f>
        <v>0</v>
      </c>
      <c r="AV23" s="32">
        <f t="shared" ref="AV23:AV31" si="139">R23*$H$1/1000</f>
        <v>0</v>
      </c>
      <c r="AW23" s="32">
        <f t="shared" ref="AW23:AW31" si="140">S23*$H$1/1000</f>
        <v>0</v>
      </c>
      <c r="AX23" s="32">
        <f t="shared" ref="AX23:AX31" si="141">T23*$H$1/1000</f>
        <v>0</v>
      </c>
      <c r="AY23" s="32">
        <f t="shared" ref="AY23:AY31" si="142">U23*$H$1/1000</f>
        <v>0</v>
      </c>
      <c r="AZ23" s="32">
        <f t="shared" ref="AZ23:AZ31" si="143">V23*$H$1/1000</f>
        <v>0</v>
      </c>
      <c r="BA23" s="32">
        <f t="shared" si="125"/>
        <v>0</v>
      </c>
      <c r="BB23" s="32">
        <f t="shared" ref="BB23:BB31" si="144">X23*$H$1/1000</f>
        <v>0</v>
      </c>
      <c r="BC23" s="32">
        <f t="shared" ref="BC23:BC31" si="145">Y23*$H$1/1000</f>
        <v>0</v>
      </c>
      <c r="BD23" s="32">
        <f t="shared" ref="BD23:BD31" si="146">Z23*$H$1/1000</f>
        <v>0</v>
      </c>
      <c r="BE23" s="32">
        <f t="shared" ref="BE23:BE31" si="147">AA23*$H$1/1000</f>
        <v>0</v>
      </c>
      <c r="BF23" s="32">
        <f t="shared" ref="BF23:BF31" si="148">AB23*$H$1/1000</f>
        <v>0</v>
      </c>
      <c r="BG23" s="32">
        <f t="shared" ref="BG23:BG31" si="149">AC23*$H$1/1000</f>
        <v>0</v>
      </c>
    </row>
    <row r="24" spans="1:59" s="20" customFormat="1" ht="15.75" customHeight="1" thickBot="1" x14ac:dyDescent="0.3">
      <c r="A24" s="4">
        <f t="shared" ref="A24:A31" si="150">A23+1</f>
        <v>2027</v>
      </c>
      <c r="B24" s="42">
        <v>51.177003723837863</v>
      </c>
      <c r="C24" s="42">
        <v>0</v>
      </c>
      <c r="D24" s="42">
        <v>0</v>
      </c>
      <c r="E24" s="42">
        <v>0</v>
      </c>
      <c r="F24" s="42"/>
      <c r="G24" s="42"/>
      <c r="H24" s="42"/>
      <c r="I24" s="42">
        <v>9.8808920450854991</v>
      </c>
      <c r="J24" s="42">
        <v>0</v>
      </c>
      <c r="K24" s="42">
        <v>0</v>
      </c>
      <c r="L24" s="42">
        <v>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E24" s="4">
        <f t="shared" si="93"/>
        <v>2027</v>
      </c>
      <c r="AF24" s="32">
        <f t="shared" si="122"/>
        <v>2451.6343633904526</v>
      </c>
      <c r="AG24" s="32">
        <f t="shared" si="126"/>
        <v>0</v>
      </c>
      <c r="AH24" s="32">
        <f t="shared" si="127"/>
        <v>0</v>
      </c>
      <c r="AI24" s="32">
        <f t="shared" si="128"/>
        <v>0</v>
      </c>
      <c r="AJ24" s="32">
        <f t="shared" si="129"/>
        <v>0</v>
      </c>
      <c r="AK24" s="32">
        <f t="shared" si="130"/>
        <v>0</v>
      </c>
      <c r="AL24" s="32">
        <f t="shared" si="131"/>
        <v>0</v>
      </c>
      <c r="AM24" s="32">
        <f t="shared" si="123"/>
        <v>473.34413341982088</v>
      </c>
      <c r="AN24" s="32">
        <f t="shared" si="132"/>
        <v>0</v>
      </c>
      <c r="AO24" s="32">
        <f t="shared" si="133"/>
        <v>0</v>
      </c>
      <c r="AP24" s="32">
        <f t="shared" si="134"/>
        <v>0</v>
      </c>
      <c r="AQ24" s="32">
        <f t="shared" si="135"/>
        <v>0</v>
      </c>
      <c r="AR24" s="32">
        <f t="shared" si="136"/>
        <v>0</v>
      </c>
      <c r="AS24" s="32">
        <f t="shared" si="137"/>
        <v>0</v>
      </c>
      <c r="AT24" s="32">
        <f t="shared" si="124"/>
        <v>0</v>
      </c>
      <c r="AU24" s="32">
        <f t="shared" si="138"/>
        <v>0</v>
      </c>
      <c r="AV24" s="32">
        <f t="shared" si="139"/>
        <v>0</v>
      </c>
      <c r="AW24" s="32">
        <f t="shared" si="140"/>
        <v>0</v>
      </c>
      <c r="AX24" s="32">
        <f t="shared" si="141"/>
        <v>0</v>
      </c>
      <c r="AY24" s="32">
        <f t="shared" si="142"/>
        <v>0</v>
      </c>
      <c r="AZ24" s="32">
        <f t="shared" si="143"/>
        <v>0</v>
      </c>
      <c r="BA24" s="32">
        <f t="shared" si="125"/>
        <v>0</v>
      </c>
      <c r="BB24" s="32">
        <f t="shared" si="144"/>
        <v>0</v>
      </c>
      <c r="BC24" s="32">
        <f t="shared" si="145"/>
        <v>0</v>
      </c>
      <c r="BD24" s="32">
        <f t="shared" si="146"/>
        <v>0</v>
      </c>
      <c r="BE24" s="32">
        <f t="shared" si="147"/>
        <v>0</v>
      </c>
      <c r="BF24" s="32">
        <f t="shared" si="148"/>
        <v>0</v>
      </c>
      <c r="BG24" s="32">
        <f t="shared" si="149"/>
        <v>0</v>
      </c>
    </row>
    <row r="25" spans="1:59" s="20" customFormat="1" ht="15.75" customHeight="1" thickBot="1" x14ac:dyDescent="0.3">
      <c r="A25" s="4">
        <f t="shared" si="150"/>
        <v>2028</v>
      </c>
      <c r="B25" s="42">
        <v>76.332069645933601</v>
      </c>
      <c r="C25" s="42">
        <v>1.9811196570174161E-4</v>
      </c>
      <c r="D25" s="42">
        <v>1.9811196570174161E-4</v>
      </c>
      <c r="E25" s="42">
        <v>1.9811196570174161E-4</v>
      </c>
      <c r="F25" s="42"/>
      <c r="G25" s="42"/>
      <c r="H25" s="42"/>
      <c r="I25" s="42">
        <v>32.145039038674867</v>
      </c>
      <c r="J25" s="42">
        <v>0.29260544849061604</v>
      </c>
      <c r="K25" s="42">
        <v>0.29260544849061604</v>
      </c>
      <c r="L25" s="42">
        <v>0.29260544849061604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E25" s="4">
        <f t="shared" si="93"/>
        <v>2028</v>
      </c>
      <c r="AF25" s="32">
        <f t="shared" si="122"/>
        <v>3656.687796388449</v>
      </c>
      <c r="AG25" s="32">
        <f t="shared" si="126"/>
        <v>9.4905537169419317E-3</v>
      </c>
      <c r="AH25" s="32">
        <f t="shared" si="127"/>
        <v>9.4905537169419317E-3</v>
      </c>
      <c r="AI25" s="32">
        <f t="shared" si="128"/>
        <v>9.4905537169419317E-3</v>
      </c>
      <c r="AJ25" s="32">
        <f t="shared" si="129"/>
        <v>0</v>
      </c>
      <c r="AK25" s="32">
        <f t="shared" si="130"/>
        <v>0</v>
      </c>
      <c r="AL25" s="32">
        <f t="shared" si="131"/>
        <v>0</v>
      </c>
      <c r="AM25" s="32">
        <f t="shared" si="123"/>
        <v>1539.9080951477195</v>
      </c>
      <c r="AN25" s="32">
        <f t="shared" si="132"/>
        <v>14.017264009942961</v>
      </c>
      <c r="AO25" s="32">
        <f t="shared" si="133"/>
        <v>14.017264009942961</v>
      </c>
      <c r="AP25" s="32">
        <f t="shared" si="134"/>
        <v>14.017264009942961</v>
      </c>
      <c r="AQ25" s="32">
        <f t="shared" si="135"/>
        <v>0</v>
      </c>
      <c r="AR25" s="32">
        <f t="shared" si="136"/>
        <v>0</v>
      </c>
      <c r="AS25" s="32">
        <f t="shared" si="137"/>
        <v>0</v>
      </c>
      <c r="AT25" s="32">
        <f t="shared" si="124"/>
        <v>0</v>
      </c>
      <c r="AU25" s="32">
        <f t="shared" si="138"/>
        <v>0</v>
      </c>
      <c r="AV25" s="32">
        <f t="shared" si="139"/>
        <v>0</v>
      </c>
      <c r="AW25" s="32">
        <f t="shared" si="140"/>
        <v>0</v>
      </c>
      <c r="AX25" s="32">
        <f t="shared" si="141"/>
        <v>0</v>
      </c>
      <c r="AY25" s="32">
        <f t="shared" si="142"/>
        <v>0</v>
      </c>
      <c r="AZ25" s="32">
        <f t="shared" si="143"/>
        <v>0</v>
      </c>
      <c r="BA25" s="32">
        <f t="shared" si="125"/>
        <v>0</v>
      </c>
      <c r="BB25" s="32">
        <f t="shared" si="144"/>
        <v>0</v>
      </c>
      <c r="BC25" s="32">
        <f t="shared" si="145"/>
        <v>0</v>
      </c>
      <c r="BD25" s="32">
        <f t="shared" si="146"/>
        <v>0</v>
      </c>
      <c r="BE25" s="32">
        <f t="shared" si="147"/>
        <v>0</v>
      </c>
      <c r="BF25" s="32">
        <f t="shared" si="148"/>
        <v>0</v>
      </c>
      <c r="BG25" s="32">
        <f t="shared" si="149"/>
        <v>0</v>
      </c>
    </row>
    <row r="26" spans="1:59" s="20" customFormat="1" ht="15.75" customHeight="1" thickBot="1" x14ac:dyDescent="0.3">
      <c r="A26" s="4">
        <f t="shared" si="150"/>
        <v>2029</v>
      </c>
      <c r="B26" s="42">
        <v>90.056731049503426</v>
      </c>
      <c r="C26" s="42">
        <v>0.18260910411236467</v>
      </c>
      <c r="D26" s="42">
        <v>0.18260910411236467</v>
      </c>
      <c r="E26" s="42">
        <v>0.18260910411236467</v>
      </c>
      <c r="F26" s="42"/>
      <c r="G26" s="42"/>
      <c r="H26" s="42"/>
      <c r="I26" s="42">
        <v>56.994988307141924</v>
      </c>
      <c r="J26" s="42">
        <v>5.491761066900267</v>
      </c>
      <c r="K26" s="42">
        <v>5.491761066900267</v>
      </c>
      <c r="L26" s="42">
        <v>5.491761066900267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E26" s="4">
        <f t="shared" si="93"/>
        <v>2029</v>
      </c>
      <c r="AF26" s="32">
        <f t="shared" si="122"/>
        <v>4314.1677009264613</v>
      </c>
      <c r="AG26" s="32">
        <f t="shared" si="126"/>
        <v>8.747889132502829</v>
      </c>
      <c r="AH26" s="32">
        <f t="shared" si="127"/>
        <v>8.747889132502829</v>
      </c>
      <c r="AI26" s="32">
        <f t="shared" si="128"/>
        <v>8.747889132502829</v>
      </c>
      <c r="AJ26" s="32">
        <f t="shared" si="129"/>
        <v>0</v>
      </c>
      <c r="AK26" s="32">
        <f t="shared" si="130"/>
        <v>0</v>
      </c>
      <c r="AL26" s="32">
        <f t="shared" si="131"/>
        <v>0</v>
      </c>
      <c r="AM26" s="32">
        <f t="shared" si="123"/>
        <v>2730.3449148536338</v>
      </c>
      <c r="AN26" s="32">
        <f t="shared" si="132"/>
        <v>263.08281390985729</v>
      </c>
      <c r="AO26" s="32">
        <f t="shared" si="133"/>
        <v>263.08281390985729</v>
      </c>
      <c r="AP26" s="32">
        <f t="shared" si="134"/>
        <v>263.08281390985729</v>
      </c>
      <c r="AQ26" s="32">
        <f t="shared" si="135"/>
        <v>0</v>
      </c>
      <c r="AR26" s="32">
        <f t="shared" si="136"/>
        <v>0</v>
      </c>
      <c r="AS26" s="32">
        <f t="shared" si="137"/>
        <v>0</v>
      </c>
      <c r="AT26" s="32">
        <f t="shared" si="124"/>
        <v>0</v>
      </c>
      <c r="AU26" s="32">
        <f t="shared" si="138"/>
        <v>0</v>
      </c>
      <c r="AV26" s="32">
        <f t="shared" si="139"/>
        <v>0</v>
      </c>
      <c r="AW26" s="32">
        <f t="shared" si="140"/>
        <v>0</v>
      </c>
      <c r="AX26" s="32">
        <f t="shared" si="141"/>
        <v>0</v>
      </c>
      <c r="AY26" s="32">
        <f t="shared" si="142"/>
        <v>0</v>
      </c>
      <c r="AZ26" s="32">
        <f t="shared" si="143"/>
        <v>0</v>
      </c>
      <c r="BA26" s="32">
        <f t="shared" si="125"/>
        <v>0</v>
      </c>
      <c r="BB26" s="32">
        <f t="shared" si="144"/>
        <v>0</v>
      </c>
      <c r="BC26" s="32">
        <f t="shared" si="145"/>
        <v>0</v>
      </c>
      <c r="BD26" s="32">
        <f t="shared" si="146"/>
        <v>0</v>
      </c>
      <c r="BE26" s="32">
        <f t="shared" si="147"/>
        <v>0</v>
      </c>
      <c r="BF26" s="32">
        <f t="shared" si="148"/>
        <v>0</v>
      </c>
      <c r="BG26" s="32">
        <f t="shared" si="149"/>
        <v>0</v>
      </c>
    </row>
    <row r="27" spans="1:59" s="20" customFormat="1" ht="15.75" customHeight="1" thickBot="1" x14ac:dyDescent="0.3">
      <c r="A27" s="4">
        <f t="shared" si="150"/>
        <v>2030</v>
      </c>
      <c r="B27" s="42">
        <v>109.37220135727955</v>
      </c>
      <c r="C27" s="42">
        <v>1.2329052309150257</v>
      </c>
      <c r="D27" s="42">
        <v>1.2329052309150257</v>
      </c>
      <c r="E27" s="42">
        <v>1.2329052309150257</v>
      </c>
      <c r="F27" s="42"/>
      <c r="G27" s="42"/>
      <c r="H27" s="42"/>
      <c r="I27" s="42">
        <v>98.29120286487813</v>
      </c>
      <c r="J27" s="42">
        <v>22.256181148408178</v>
      </c>
      <c r="K27" s="42">
        <v>22.256181148408178</v>
      </c>
      <c r="L27" s="42">
        <v>22.256181148408178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E27" s="4">
        <f t="shared" si="93"/>
        <v>2030</v>
      </c>
      <c r="AF27" s="32">
        <f t="shared" si="122"/>
        <v>5239.4753060204766</v>
      </c>
      <c r="AG27" s="32">
        <f t="shared" si="126"/>
        <v>59.062325086984302</v>
      </c>
      <c r="AH27" s="32">
        <f t="shared" si="127"/>
        <v>59.062325086984302</v>
      </c>
      <c r="AI27" s="32">
        <f t="shared" si="128"/>
        <v>59.062325086984302</v>
      </c>
      <c r="AJ27" s="32">
        <f t="shared" si="129"/>
        <v>0</v>
      </c>
      <c r="AK27" s="32">
        <f t="shared" si="130"/>
        <v>0</v>
      </c>
      <c r="AL27" s="32">
        <f t="shared" si="131"/>
        <v>0</v>
      </c>
      <c r="AM27" s="32">
        <f t="shared" si="123"/>
        <v>4708.640073241987</v>
      </c>
      <c r="AN27" s="32">
        <f t="shared" si="132"/>
        <v>1066.1823579144937</v>
      </c>
      <c r="AO27" s="32">
        <f t="shared" si="133"/>
        <v>1066.1823579144937</v>
      </c>
      <c r="AP27" s="32">
        <f t="shared" si="134"/>
        <v>1066.1823579144937</v>
      </c>
      <c r="AQ27" s="32">
        <f t="shared" si="135"/>
        <v>0</v>
      </c>
      <c r="AR27" s="32">
        <f t="shared" si="136"/>
        <v>0</v>
      </c>
      <c r="AS27" s="32">
        <f t="shared" si="137"/>
        <v>0</v>
      </c>
      <c r="AT27" s="32">
        <f t="shared" si="124"/>
        <v>0</v>
      </c>
      <c r="AU27" s="32">
        <f t="shared" si="138"/>
        <v>0</v>
      </c>
      <c r="AV27" s="32">
        <f t="shared" si="139"/>
        <v>0</v>
      </c>
      <c r="AW27" s="32">
        <f t="shared" si="140"/>
        <v>0</v>
      </c>
      <c r="AX27" s="32">
        <f t="shared" si="141"/>
        <v>0</v>
      </c>
      <c r="AY27" s="32">
        <f t="shared" si="142"/>
        <v>0</v>
      </c>
      <c r="AZ27" s="32">
        <f t="shared" si="143"/>
        <v>0</v>
      </c>
      <c r="BA27" s="32">
        <f t="shared" si="125"/>
        <v>0</v>
      </c>
      <c r="BB27" s="32">
        <f t="shared" si="144"/>
        <v>0</v>
      </c>
      <c r="BC27" s="32">
        <f t="shared" si="145"/>
        <v>0</v>
      </c>
      <c r="BD27" s="32">
        <f t="shared" si="146"/>
        <v>0</v>
      </c>
      <c r="BE27" s="32">
        <f t="shared" si="147"/>
        <v>0</v>
      </c>
      <c r="BF27" s="32">
        <f t="shared" si="148"/>
        <v>0</v>
      </c>
      <c r="BG27" s="32">
        <f t="shared" si="149"/>
        <v>0</v>
      </c>
    </row>
    <row r="28" spans="1:59" s="20" customFormat="1" ht="15.75" customHeight="1" thickBot="1" x14ac:dyDescent="0.3">
      <c r="A28" s="4">
        <f t="shared" si="150"/>
        <v>2031</v>
      </c>
      <c r="B28" s="42">
        <v>127.63186637450744</v>
      </c>
      <c r="C28" s="42">
        <f t="shared" ref="C28:C31" si="151">C27+C27-C25</f>
        <v>2.4656123498643496</v>
      </c>
      <c r="D28" s="42">
        <f t="shared" ref="D28:D31" si="152">D27+D27-D25</f>
        <v>2.4656123498643496</v>
      </c>
      <c r="E28" s="42">
        <f t="shared" ref="E28:E31" si="153">E27+E27-E25</f>
        <v>2.4656123498643496</v>
      </c>
      <c r="F28" s="42"/>
      <c r="G28" s="42"/>
      <c r="H28" s="42"/>
      <c r="I28" s="42">
        <v>137.29623995279798</v>
      </c>
      <c r="J28" s="42">
        <f t="shared" ref="J28:J31" si="154">J27+J27-J25</f>
        <v>44.219756848325737</v>
      </c>
      <c r="K28" s="42">
        <f t="shared" ref="K28:K31" si="155">K27+K27-K25</f>
        <v>44.219756848325737</v>
      </c>
      <c r="L28" s="42">
        <f t="shared" ref="L28:L31" si="156">L27+L27-L25</f>
        <v>44.219756848325737</v>
      </c>
      <c r="M28" s="42"/>
      <c r="N28" s="42"/>
      <c r="O28" s="42"/>
      <c r="P28" s="42">
        <f t="shared" ref="P28" si="157">P27+P27-P25</f>
        <v>0</v>
      </c>
      <c r="Q28" s="42">
        <f t="shared" ref="Q28:Q31" si="158">Q27+Q27-Q25</f>
        <v>0</v>
      </c>
      <c r="R28" s="42">
        <f t="shared" ref="R28:R31" si="159">R27+R27-R25</f>
        <v>0</v>
      </c>
      <c r="S28" s="42">
        <f t="shared" ref="S28:S31" si="160">S27+S27-S25</f>
        <v>0</v>
      </c>
      <c r="T28" s="42"/>
      <c r="U28" s="42"/>
      <c r="V28" s="42"/>
      <c r="W28" s="42">
        <f t="shared" ref="W28" si="161">W27+W27-W25</f>
        <v>0</v>
      </c>
      <c r="X28" s="42">
        <f t="shared" ref="X28:X31" si="162">X27</f>
        <v>0</v>
      </c>
      <c r="Y28" s="42">
        <f t="shared" ref="Y28:Y31" si="163">Y27</f>
        <v>0</v>
      </c>
      <c r="Z28" s="42">
        <f t="shared" ref="Z28:Z31" si="164">Z27</f>
        <v>0</v>
      </c>
      <c r="AA28" s="42"/>
      <c r="AB28" s="42"/>
      <c r="AC28" s="42"/>
      <c r="AE28" s="4">
        <f t="shared" si="93"/>
        <v>2031</v>
      </c>
      <c r="AF28" s="32">
        <f t="shared" si="122"/>
        <v>6114.2045586707791</v>
      </c>
      <c r="AG28" s="32">
        <f t="shared" si="126"/>
        <v>118.11515962025166</v>
      </c>
      <c r="AH28" s="32">
        <f t="shared" si="127"/>
        <v>118.11515962025166</v>
      </c>
      <c r="AI28" s="32">
        <f t="shared" si="128"/>
        <v>118.11515962025166</v>
      </c>
      <c r="AJ28" s="32">
        <f t="shared" si="129"/>
        <v>0</v>
      </c>
      <c r="AK28" s="32">
        <f t="shared" si="130"/>
        <v>0</v>
      </c>
      <c r="AL28" s="32">
        <f t="shared" si="131"/>
        <v>0</v>
      </c>
      <c r="AM28" s="32">
        <f t="shared" si="123"/>
        <v>6577.1763749387874</v>
      </c>
      <c r="AN28" s="32">
        <f t="shared" si="132"/>
        <v>2118.3474518190446</v>
      </c>
      <c r="AO28" s="32">
        <f t="shared" si="133"/>
        <v>2118.3474518190446</v>
      </c>
      <c r="AP28" s="32">
        <f t="shared" si="134"/>
        <v>2118.3474518190446</v>
      </c>
      <c r="AQ28" s="32">
        <f t="shared" si="135"/>
        <v>0</v>
      </c>
      <c r="AR28" s="32">
        <f t="shared" si="136"/>
        <v>0</v>
      </c>
      <c r="AS28" s="32">
        <f t="shared" si="137"/>
        <v>0</v>
      </c>
      <c r="AT28" s="32">
        <f t="shared" si="124"/>
        <v>0</v>
      </c>
      <c r="AU28" s="32">
        <f t="shared" si="138"/>
        <v>0</v>
      </c>
      <c r="AV28" s="32">
        <f t="shared" si="139"/>
        <v>0</v>
      </c>
      <c r="AW28" s="32">
        <f t="shared" si="140"/>
        <v>0</v>
      </c>
      <c r="AX28" s="32">
        <f t="shared" si="141"/>
        <v>0</v>
      </c>
      <c r="AY28" s="32">
        <f t="shared" si="142"/>
        <v>0</v>
      </c>
      <c r="AZ28" s="32">
        <f t="shared" si="143"/>
        <v>0</v>
      </c>
      <c r="BA28" s="32">
        <f t="shared" si="125"/>
        <v>0</v>
      </c>
      <c r="BB28" s="32">
        <f t="shared" si="144"/>
        <v>0</v>
      </c>
      <c r="BC28" s="32">
        <f t="shared" si="145"/>
        <v>0</v>
      </c>
      <c r="BD28" s="32">
        <f t="shared" si="146"/>
        <v>0</v>
      </c>
      <c r="BE28" s="32">
        <f t="shared" si="147"/>
        <v>0</v>
      </c>
      <c r="BF28" s="32">
        <f t="shared" si="148"/>
        <v>0</v>
      </c>
      <c r="BG28" s="32">
        <f t="shared" si="149"/>
        <v>0</v>
      </c>
    </row>
    <row r="29" spans="1:59" s="20" customFormat="1" ht="15.75" customHeight="1" thickBot="1" x14ac:dyDescent="0.3">
      <c r="A29" s="4">
        <f t="shared" si="150"/>
        <v>2032</v>
      </c>
      <c r="B29" s="42">
        <f>B28+B28-B27</f>
        <v>145.89153139173533</v>
      </c>
      <c r="C29" s="42">
        <f t="shared" si="151"/>
        <v>4.748615595616335</v>
      </c>
      <c r="D29" s="42">
        <f t="shared" si="152"/>
        <v>4.748615595616335</v>
      </c>
      <c r="E29" s="42">
        <f t="shared" si="153"/>
        <v>4.748615595616335</v>
      </c>
      <c r="F29" s="42"/>
      <c r="G29" s="42"/>
      <c r="H29" s="42"/>
      <c r="I29" s="42">
        <f>I28+I28-I27</f>
        <v>176.30127704071782</v>
      </c>
      <c r="J29" s="42">
        <f t="shared" si="154"/>
        <v>82.947752629751207</v>
      </c>
      <c r="K29" s="42">
        <f t="shared" si="155"/>
        <v>82.947752629751207</v>
      </c>
      <c r="L29" s="42">
        <f t="shared" si="156"/>
        <v>82.947752629751207</v>
      </c>
      <c r="M29" s="42"/>
      <c r="N29" s="42"/>
      <c r="O29" s="42"/>
      <c r="P29" s="42">
        <f>P28+P28-P27</f>
        <v>0</v>
      </c>
      <c r="Q29" s="42">
        <f t="shared" si="158"/>
        <v>0</v>
      </c>
      <c r="R29" s="42">
        <f t="shared" si="159"/>
        <v>0</v>
      </c>
      <c r="S29" s="42">
        <f t="shared" si="160"/>
        <v>0</v>
      </c>
      <c r="T29" s="42"/>
      <c r="U29" s="42"/>
      <c r="V29" s="42"/>
      <c r="W29" s="42">
        <f>W28+W28-W27</f>
        <v>0</v>
      </c>
      <c r="X29" s="42">
        <f t="shared" si="162"/>
        <v>0</v>
      </c>
      <c r="Y29" s="42">
        <f t="shared" si="163"/>
        <v>0</v>
      </c>
      <c r="Z29" s="42">
        <f t="shared" si="164"/>
        <v>0</v>
      </c>
      <c r="AA29" s="42"/>
      <c r="AB29" s="42"/>
      <c r="AC29" s="42"/>
      <c r="AE29" s="4">
        <f t="shared" si="93"/>
        <v>2032</v>
      </c>
      <c r="AF29" s="32">
        <f t="shared" si="122"/>
        <v>6988.9338113210806</v>
      </c>
      <c r="AG29" s="32">
        <f t="shared" si="126"/>
        <v>227.48243010800053</v>
      </c>
      <c r="AH29" s="32">
        <f t="shared" si="127"/>
        <v>227.48243010800053</v>
      </c>
      <c r="AI29" s="32">
        <f t="shared" si="128"/>
        <v>227.48243010800053</v>
      </c>
      <c r="AJ29" s="32">
        <f t="shared" si="129"/>
        <v>0</v>
      </c>
      <c r="AK29" s="32">
        <f t="shared" si="130"/>
        <v>0</v>
      </c>
      <c r="AL29" s="32">
        <f t="shared" si="131"/>
        <v>0</v>
      </c>
      <c r="AM29" s="32">
        <f t="shared" si="123"/>
        <v>8445.7126766355868</v>
      </c>
      <c r="AN29" s="32">
        <f t="shared" si="132"/>
        <v>3973.6120897282317</v>
      </c>
      <c r="AO29" s="32">
        <f t="shared" si="133"/>
        <v>3973.6120897282317</v>
      </c>
      <c r="AP29" s="32">
        <f t="shared" si="134"/>
        <v>3973.6120897282317</v>
      </c>
      <c r="AQ29" s="32">
        <f t="shared" si="135"/>
        <v>0</v>
      </c>
      <c r="AR29" s="32">
        <f t="shared" si="136"/>
        <v>0</v>
      </c>
      <c r="AS29" s="32">
        <f t="shared" si="137"/>
        <v>0</v>
      </c>
      <c r="AT29" s="32">
        <f t="shared" si="124"/>
        <v>0</v>
      </c>
      <c r="AU29" s="32">
        <f t="shared" si="138"/>
        <v>0</v>
      </c>
      <c r="AV29" s="32">
        <f t="shared" si="139"/>
        <v>0</v>
      </c>
      <c r="AW29" s="32">
        <f t="shared" si="140"/>
        <v>0</v>
      </c>
      <c r="AX29" s="32">
        <f t="shared" si="141"/>
        <v>0</v>
      </c>
      <c r="AY29" s="32">
        <f t="shared" si="142"/>
        <v>0</v>
      </c>
      <c r="AZ29" s="32">
        <f t="shared" si="143"/>
        <v>0</v>
      </c>
      <c r="BA29" s="32">
        <f t="shared" si="125"/>
        <v>0</v>
      </c>
      <c r="BB29" s="32">
        <f t="shared" si="144"/>
        <v>0</v>
      </c>
      <c r="BC29" s="32">
        <f t="shared" si="145"/>
        <v>0</v>
      </c>
      <c r="BD29" s="32">
        <f t="shared" si="146"/>
        <v>0</v>
      </c>
      <c r="BE29" s="32">
        <f t="shared" si="147"/>
        <v>0</v>
      </c>
      <c r="BF29" s="32">
        <f t="shared" si="148"/>
        <v>0</v>
      </c>
      <c r="BG29" s="32">
        <f t="shared" si="149"/>
        <v>0</v>
      </c>
    </row>
    <row r="30" spans="1:59" s="20" customFormat="1" ht="15.75" customHeight="1" thickBot="1" x14ac:dyDescent="0.3">
      <c r="A30" s="4">
        <f t="shared" si="150"/>
        <v>2033</v>
      </c>
      <c r="B30" s="42">
        <f t="shared" ref="B30:B31" si="165">B29+B29-B28</f>
        <v>164.15119640896322</v>
      </c>
      <c r="C30" s="42">
        <f t="shared" si="151"/>
        <v>8.2643259603176435</v>
      </c>
      <c r="D30" s="42">
        <f t="shared" si="152"/>
        <v>8.2643259603176435</v>
      </c>
      <c r="E30" s="42">
        <f t="shared" si="153"/>
        <v>8.2643259603176435</v>
      </c>
      <c r="F30" s="42"/>
      <c r="G30" s="42"/>
      <c r="H30" s="42"/>
      <c r="I30" s="42">
        <f t="shared" ref="I30:I31" si="166">I29+I29-I28</f>
        <v>215.30631412863767</v>
      </c>
      <c r="J30" s="42">
        <f t="shared" si="154"/>
        <v>143.63932411109423</v>
      </c>
      <c r="K30" s="42">
        <f t="shared" si="155"/>
        <v>143.63932411109423</v>
      </c>
      <c r="L30" s="42">
        <f t="shared" si="156"/>
        <v>143.63932411109423</v>
      </c>
      <c r="M30" s="42"/>
      <c r="N30" s="42"/>
      <c r="O30" s="42"/>
      <c r="P30" s="42">
        <f t="shared" ref="P30:P31" si="167">P29+P29-P28</f>
        <v>0</v>
      </c>
      <c r="Q30" s="42">
        <f t="shared" si="158"/>
        <v>0</v>
      </c>
      <c r="R30" s="42">
        <f t="shared" si="159"/>
        <v>0</v>
      </c>
      <c r="S30" s="42">
        <f t="shared" si="160"/>
        <v>0</v>
      </c>
      <c r="T30" s="42"/>
      <c r="U30" s="42"/>
      <c r="V30" s="42"/>
      <c r="W30" s="42">
        <f t="shared" ref="W30:W31" si="168">W29+W29-W28</f>
        <v>0</v>
      </c>
      <c r="X30" s="42">
        <f t="shared" si="162"/>
        <v>0</v>
      </c>
      <c r="Y30" s="42">
        <f t="shared" si="163"/>
        <v>0</v>
      </c>
      <c r="Z30" s="42">
        <f t="shared" si="164"/>
        <v>0</v>
      </c>
      <c r="AA30" s="42"/>
      <c r="AB30" s="42"/>
      <c r="AC30" s="42"/>
      <c r="AE30" s="4">
        <f t="shared" si="93"/>
        <v>2033</v>
      </c>
      <c r="AF30" s="32">
        <f t="shared" si="122"/>
        <v>7863.6630639713821</v>
      </c>
      <c r="AG30" s="32">
        <f t="shared" si="126"/>
        <v>395.90253512901671</v>
      </c>
      <c r="AH30" s="32">
        <f t="shared" si="127"/>
        <v>395.90253512901671</v>
      </c>
      <c r="AI30" s="32">
        <f t="shared" si="128"/>
        <v>395.90253512901671</v>
      </c>
      <c r="AJ30" s="32">
        <f t="shared" si="129"/>
        <v>0</v>
      </c>
      <c r="AK30" s="32">
        <f t="shared" si="130"/>
        <v>0</v>
      </c>
      <c r="AL30" s="32">
        <f t="shared" si="131"/>
        <v>0</v>
      </c>
      <c r="AM30" s="32">
        <f t="shared" si="123"/>
        <v>10314.248978332387</v>
      </c>
      <c r="AN30" s="32">
        <f t="shared" si="132"/>
        <v>6881.0418215419686</v>
      </c>
      <c r="AO30" s="32">
        <f t="shared" si="133"/>
        <v>6881.0418215419686</v>
      </c>
      <c r="AP30" s="32">
        <f t="shared" si="134"/>
        <v>6881.0418215419686</v>
      </c>
      <c r="AQ30" s="32">
        <f t="shared" si="135"/>
        <v>0</v>
      </c>
      <c r="AR30" s="32">
        <f t="shared" si="136"/>
        <v>0</v>
      </c>
      <c r="AS30" s="32">
        <f t="shared" si="137"/>
        <v>0</v>
      </c>
      <c r="AT30" s="32">
        <f t="shared" si="124"/>
        <v>0</v>
      </c>
      <c r="AU30" s="32">
        <f t="shared" si="138"/>
        <v>0</v>
      </c>
      <c r="AV30" s="32">
        <f t="shared" si="139"/>
        <v>0</v>
      </c>
      <c r="AW30" s="32">
        <f t="shared" si="140"/>
        <v>0</v>
      </c>
      <c r="AX30" s="32">
        <f t="shared" si="141"/>
        <v>0</v>
      </c>
      <c r="AY30" s="32">
        <f t="shared" si="142"/>
        <v>0</v>
      </c>
      <c r="AZ30" s="32">
        <f t="shared" si="143"/>
        <v>0</v>
      </c>
      <c r="BA30" s="32">
        <f t="shared" si="125"/>
        <v>0</v>
      </c>
      <c r="BB30" s="32">
        <f t="shared" si="144"/>
        <v>0</v>
      </c>
      <c r="BC30" s="32">
        <f t="shared" si="145"/>
        <v>0</v>
      </c>
      <c r="BD30" s="32">
        <f t="shared" si="146"/>
        <v>0</v>
      </c>
      <c r="BE30" s="32">
        <f t="shared" si="147"/>
        <v>0</v>
      </c>
      <c r="BF30" s="32">
        <f t="shared" si="148"/>
        <v>0</v>
      </c>
      <c r="BG30" s="32">
        <f t="shared" si="149"/>
        <v>0</v>
      </c>
    </row>
    <row r="31" spans="1:59" s="20" customFormat="1" ht="15.75" customHeight="1" thickBot="1" x14ac:dyDescent="0.3">
      <c r="A31" s="4">
        <f t="shared" si="150"/>
        <v>2034</v>
      </c>
      <c r="B31" s="42">
        <f t="shared" si="165"/>
        <v>182.4108614261911</v>
      </c>
      <c r="C31" s="42">
        <f t="shared" si="151"/>
        <v>14.063039570770938</v>
      </c>
      <c r="D31" s="42">
        <f t="shared" si="152"/>
        <v>14.063039570770938</v>
      </c>
      <c r="E31" s="42">
        <f t="shared" si="153"/>
        <v>14.063039570770938</v>
      </c>
      <c r="F31" s="42"/>
      <c r="G31" s="42"/>
      <c r="H31" s="42"/>
      <c r="I31" s="42">
        <f t="shared" si="166"/>
        <v>254.31135121655751</v>
      </c>
      <c r="J31" s="42">
        <f t="shared" si="154"/>
        <v>243.05889137386271</v>
      </c>
      <c r="K31" s="42">
        <f t="shared" si="155"/>
        <v>243.05889137386271</v>
      </c>
      <c r="L31" s="42">
        <f t="shared" si="156"/>
        <v>243.05889137386271</v>
      </c>
      <c r="M31" s="42"/>
      <c r="N31" s="42"/>
      <c r="O31" s="42"/>
      <c r="P31" s="42">
        <f t="shared" si="167"/>
        <v>0</v>
      </c>
      <c r="Q31" s="42">
        <f t="shared" si="158"/>
        <v>0</v>
      </c>
      <c r="R31" s="42">
        <f t="shared" si="159"/>
        <v>0</v>
      </c>
      <c r="S31" s="42">
        <f t="shared" si="160"/>
        <v>0</v>
      </c>
      <c r="T31" s="42"/>
      <c r="U31" s="42"/>
      <c r="V31" s="42"/>
      <c r="W31" s="42">
        <f t="shared" si="168"/>
        <v>0</v>
      </c>
      <c r="X31" s="42">
        <f t="shared" si="162"/>
        <v>0</v>
      </c>
      <c r="Y31" s="42">
        <f t="shared" si="163"/>
        <v>0</v>
      </c>
      <c r="Z31" s="42">
        <f t="shared" si="164"/>
        <v>0</v>
      </c>
      <c r="AA31" s="42"/>
      <c r="AB31" s="42"/>
      <c r="AC31" s="42"/>
      <c r="AE31" s="4">
        <f t="shared" si="93"/>
        <v>2034</v>
      </c>
      <c r="AF31" s="32">
        <f t="shared" si="122"/>
        <v>8738.3923166216846</v>
      </c>
      <c r="AG31" s="32">
        <f t="shared" si="126"/>
        <v>673.68991063778185</v>
      </c>
      <c r="AH31" s="32">
        <f t="shared" si="127"/>
        <v>673.68991063778185</v>
      </c>
      <c r="AI31" s="32">
        <f t="shared" si="128"/>
        <v>673.68991063778185</v>
      </c>
      <c r="AJ31" s="32">
        <f t="shared" si="129"/>
        <v>0</v>
      </c>
      <c r="AK31" s="32">
        <f t="shared" si="130"/>
        <v>0</v>
      </c>
      <c r="AL31" s="32">
        <f t="shared" si="131"/>
        <v>0</v>
      </c>
      <c r="AM31" s="32">
        <f t="shared" si="123"/>
        <v>12182.785280029188</v>
      </c>
      <c r="AN31" s="32">
        <f t="shared" si="132"/>
        <v>11643.736191264894</v>
      </c>
      <c r="AO31" s="32">
        <f t="shared" si="133"/>
        <v>11643.736191264894</v>
      </c>
      <c r="AP31" s="32">
        <f t="shared" si="134"/>
        <v>11643.736191264894</v>
      </c>
      <c r="AQ31" s="32">
        <f t="shared" si="135"/>
        <v>0</v>
      </c>
      <c r="AR31" s="32">
        <f t="shared" si="136"/>
        <v>0</v>
      </c>
      <c r="AS31" s="32">
        <f t="shared" si="137"/>
        <v>0</v>
      </c>
      <c r="AT31" s="32">
        <f t="shared" si="124"/>
        <v>0</v>
      </c>
      <c r="AU31" s="32">
        <f t="shared" si="138"/>
        <v>0</v>
      </c>
      <c r="AV31" s="32">
        <f t="shared" si="139"/>
        <v>0</v>
      </c>
      <c r="AW31" s="32">
        <f t="shared" si="140"/>
        <v>0</v>
      </c>
      <c r="AX31" s="32">
        <f t="shared" si="141"/>
        <v>0</v>
      </c>
      <c r="AY31" s="32">
        <f t="shared" si="142"/>
        <v>0</v>
      </c>
      <c r="AZ31" s="32">
        <f t="shared" si="143"/>
        <v>0</v>
      </c>
      <c r="BA31" s="32">
        <f t="shared" si="125"/>
        <v>0</v>
      </c>
      <c r="BB31" s="32">
        <f t="shared" si="144"/>
        <v>0</v>
      </c>
      <c r="BC31" s="32">
        <f t="shared" si="145"/>
        <v>0</v>
      </c>
      <c r="BD31" s="32">
        <f t="shared" si="146"/>
        <v>0</v>
      </c>
      <c r="BE31" s="32">
        <f t="shared" si="147"/>
        <v>0</v>
      </c>
      <c r="BF31" s="32">
        <f t="shared" si="148"/>
        <v>0</v>
      </c>
      <c r="BG31" s="32">
        <f t="shared" si="149"/>
        <v>0</v>
      </c>
    </row>
    <row r="32" spans="1:59" s="20" customFormat="1" ht="15.75" customHeight="1" x14ac:dyDescent="0.25">
      <c r="A32" s="4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E32" s="40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</row>
    <row r="33" spans="1:59" s="20" customFormat="1" ht="15.75" customHeight="1" thickBot="1" x14ac:dyDescent="0.3">
      <c r="A33" s="21" t="s">
        <v>118</v>
      </c>
      <c r="AE33" s="21" t="s">
        <v>119</v>
      </c>
    </row>
    <row r="34" spans="1:59" s="20" customFormat="1" ht="15.75" customHeight="1" thickBot="1" x14ac:dyDescent="0.3">
      <c r="A34" s="1" t="s">
        <v>120</v>
      </c>
      <c r="B34" s="1">
        <v>1</v>
      </c>
      <c r="C34" s="1">
        <f>B34+1</f>
        <v>2</v>
      </c>
      <c r="D34" s="1">
        <f t="shared" ref="D34" si="169">C34+1</f>
        <v>3</v>
      </c>
      <c r="E34" s="1">
        <f t="shared" ref="E34" si="170">D34+1</f>
        <v>4</v>
      </c>
      <c r="F34" s="1">
        <f t="shared" ref="F34" si="171">E34+1</f>
        <v>5</v>
      </c>
      <c r="G34" s="1">
        <f t="shared" ref="G34" si="172">F34+1</f>
        <v>6</v>
      </c>
      <c r="H34" s="1">
        <f t="shared" ref="H34" si="173">G34+1</f>
        <v>7</v>
      </c>
      <c r="I34" s="1">
        <f>B34</f>
        <v>1</v>
      </c>
      <c r="J34" s="1">
        <f t="shared" ref="J34" si="174">C34</f>
        <v>2</v>
      </c>
      <c r="K34" s="1">
        <f t="shared" ref="K34" si="175">D34</f>
        <v>3</v>
      </c>
      <c r="L34" s="1">
        <f t="shared" ref="L34" si="176">E34</f>
        <v>4</v>
      </c>
      <c r="M34" s="1">
        <f t="shared" ref="M34" si="177">F34</f>
        <v>5</v>
      </c>
      <c r="N34" s="1">
        <f t="shared" ref="N34" si="178">G34</f>
        <v>6</v>
      </c>
      <c r="O34" s="1">
        <f t="shared" ref="O34" si="179">H34</f>
        <v>7</v>
      </c>
      <c r="P34" s="1">
        <f t="shared" ref="P34" si="180">I34</f>
        <v>1</v>
      </c>
      <c r="Q34" s="1">
        <f t="shared" ref="Q34" si="181">J34</f>
        <v>2</v>
      </c>
      <c r="R34" s="1">
        <f t="shared" ref="R34" si="182">K34</f>
        <v>3</v>
      </c>
      <c r="S34" s="1">
        <f t="shared" ref="S34" si="183">L34</f>
        <v>4</v>
      </c>
      <c r="T34" s="1">
        <f t="shared" ref="T34" si="184">M34</f>
        <v>5</v>
      </c>
      <c r="U34" s="1">
        <f t="shared" ref="U34" si="185">N34</f>
        <v>6</v>
      </c>
      <c r="V34" s="1">
        <f t="shared" ref="V34" si="186">O34</f>
        <v>7</v>
      </c>
      <c r="W34" s="1">
        <f t="shared" ref="W34" si="187">P34</f>
        <v>1</v>
      </c>
      <c r="X34" s="1">
        <f t="shared" ref="X34" si="188">Q34</f>
        <v>2</v>
      </c>
      <c r="Y34" s="1">
        <f t="shared" ref="Y34" si="189">R34</f>
        <v>3</v>
      </c>
      <c r="Z34" s="1">
        <f t="shared" ref="Z34" si="190">S34</f>
        <v>4</v>
      </c>
      <c r="AA34" s="1">
        <f t="shared" ref="AA34" si="191">T34</f>
        <v>5</v>
      </c>
      <c r="AB34" s="1">
        <f t="shared" ref="AB34" si="192">U34</f>
        <v>6</v>
      </c>
      <c r="AC34" s="1">
        <f t="shared" ref="AC34" si="193">V34</f>
        <v>7</v>
      </c>
      <c r="AE34" s="1" t="str">
        <f t="shared" ref="AE34:AE46" si="194">A34</f>
        <v>Option</v>
      </c>
      <c r="AF34" s="1">
        <f t="shared" ref="AF34:AF36" si="195">B34</f>
        <v>1</v>
      </c>
      <c r="AG34" s="1">
        <f t="shared" ref="AG34:AG36" si="196">C34</f>
        <v>2</v>
      </c>
      <c r="AH34" s="1">
        <f t="shared" ref="AH34:AH36" si="197">D34</f>
        <v>3</v>
      </c>
      <c r="AI34" s="1">
        <f t="shared" ref="AI34:AI36" si="198">E34</f>
        <v>4</v>
      </c>
      <c r="AJ34" s="1">
        <f t="shared" ref="AJ34:AJ36" si="199">F34</f>
        <v>5</v>
      </c>
      <c r="AK34" s="1">
        <f t="shared" ref="AK34:AK36" si="200">G34</f>
        <v>6</v>
      </c>
      <c r="AL34" s="1">
        <f t="shared" ref="AL34:AL36" si="201">H34</f>
        <v>7</v>
      </c>
      <c r="AM34" s="1">
        <f t="shared" ref="AM34:AM36" si="202">I34</f>
        <v>1</v>
      </c>
      <c r="AN34" s="1">
        <f t="shared" ref="AN34:AN36" si="203">J34</f>
        <v>2</v>
      </c>
      <c r="AO34" s="1">
        <f t="shared" ref="AO34:AO36" si="204">K34</f>
        <v>3</v>
      </c>
      <c r="AP34" s="1">
        <f t="shared" ref="AP34:AP36" si="205">L34</f>
        <v>4</v>
      </c>
      <c r="AQ34" s="1">
        <f t="shared" ref="AQ34:AQ36" si="206">M34</f>
        <v>5</v>
      </c>
      <c r="AR34" s="1">
        <f t="shared" ref="AR34:AR36" si="207">N34</f>
        <v>6</v>
      </c>
      <c r="AS34" s="1">
        <f t="shared" ref="AS34:AS36" si="208">O34</f>
        <v>7</v>
      </c>
      <c r="AT34" s="1">
        <f t="shared" ref="AT34:AT36" si="209">P34</f>
        <v>1</v>
      </c>
      <c r="AU34" s="1">
        <f t="shared" ref="AU34:AU36" si="210">Q34</f>
        <v>2</v>
      </c>
      <c r="AV34" s="1">
        <f t="shared" ref="AV34:AV36" si="211">R34</f>
        <v>3</v>
      </c>
      <c r="AW34" s="1">
        <f t="shared" ref="AW34:AW36" si="212">S34</f>
        <v>4</v>
      </c>
      <c r="AX34" s="1">
        <f t="shared" ref="AX34:AX36" si="213">T34</f>
        <v>5</v>
      </c>
      <c r="AY34" s="1">
        <f t="shared" ref="AY34:AY36" si="214">U34</f>
        <v>6</v>
      </c>
      <c r="AZ34" s="1">
        <f t="shared" ref="AZ34:AZ36" si="215">V34</f>
        <v>7</v>
      </c>
      <c r="BA34" s="1">
        <f t="shared" ref="BA34:BA36" si="216">W34</f>
        <v>1</v>
      </c>
      <c r="BB34" s="1">
        <f t="shared" ref="BB34:BB36" si="217">X34</f>
        <v>2</v>
      </c>
      <c r="BC34" s="1">
        <f t="shared" ref="BC34:BC36" si="218">Y34</f>
        <v>3</v>
      </c>
      <c r="BD34" s="1">
        <f t="shared" ref="BD34:BD36" si="219">Z34</f>
        <v>4</v>
      </c>
      <c r="BE34" s="1">
        <f t="shared" ref="BE34:BE36" si="220">AA34</f>
        <v>5</v>
      </c>
      <c r="BF34" s="1">
        <f t="shared" ref="BF34:BF36" si="221">AB34</f>
        <v>6</v>
      </c>
      <c r="BG34" s="1">
        <f t="shared" ref="BG34:BG36" si="222">AC34</f>
        <v>7</v>
      </c>
    </row>
    <row r="35" spans="1:59" s="20" customFormat="1" ht="15.75" customHeight="1" thickTop="1" thickBot="1" x14ac:dyDescent="0.3">
      <c r="A35" s="6" t="s">
        <v>121</v>
      </c>
      <c r="B35" s="104" t="s">
        <v>124</v>
      </c>
      <c r="C35" s="105"/>
      <c r="D35" s="105"/>
      <c r="E35" s="105"/>
      <c r="F35" s="105"/>
      <c r="G35" s="105"/>
      <c r="H35" s="106"/>
      <c r="I35" s="104" t="s">
        <v>125</v>
      </c>
      <c r="J35" s="105"/>
      <c r="K35" s="105"/>
      <c r="L35" s="105"/>
      <c r="M35" s="105"/>
      <c r="N35" s="105"/>
      <c r="O35" s="106"/>
      <c r="P35" s="104" t="s">
        <v>126</v>
      </c>
      <c r="Q35" s="105"/>
      <c r="R35" s="105"/>
      <c r="S35" s="105"/>
      <c r="T35" s="105"/>
      <c r="U35" s="105"/>
      <c r="V35" s="106"/>
      <c r="W35" s="104" t="s">
        <v>127</v>
      </c>
      <c r="X35" s="105"/>
      <c r="Y35" s="105"/>
      <c r="Z35" s="105"/>
      <c r="AA35" s="105"/>
      <c r="AB35" s="105"/>
      <c r="AC35" s="106"/>
      <c r="AE35" s="6" t="str">
        <f t="shared" si="194"/>
        <v>FDR</v>
      </c>
      <c r="AF35" s="104" t="str">
        <f t="shared" si="195"/>
        <v>ACR51070</v>
      </c>
      <c r="AG35" s="105">
        <f t="shared" si="196"/>
        <v>0</v>
      </c>
      <c r="AH35" s="105">
        <f t="shared" si="197"/>
        <v>0</v>
      </c>
      <c r="AI35" s="105">
        <f t="shared" si="198"/>
        <v>0</v>
      </c>
      <c r="AJ35" s="105">
        <f t="shared" si="199"/>
        <v>0</v>
      </c>
      <c r="AK35" s="105">
        <f t="shared" si="200"/>
        <v>0</v>
      </c>
      <c r="AL35" s="106">
        <f t="shared" si="201"/>
        <v>0</v>
      </c>
      <c r="AM35" s="104" t="str">
        <f t="shared" si="202"/>
        <v>ACR55612</v>
      </c>
      <c r="AN35" s="105">
        <f t="shared" si="203"/>
        <v>0</v>
      </c>
      <c r="AO35" s="105">
        <f t="shared" si="204"/>
        <v>0</v>
      </c>
      <c r="AP35" s="105">
        <f t="shared" si="205"/>
        <v>0</v>
      </c>
      <c r="AQ35" s="105">
        <f t="shared" si="206"/>
        <v>0</v>
      </c>
      <c r="AR35" s="105">
        <f t="shared" si="207"/>
        <v>0</v>
      </c>
      <c r="AS35" s="106">
        <f t="shared" si="208"/>
        <v>0</v>
      </c>
      <c r="AT35" s="104" t="str">
        <f t="shared" si="209"/>
        <v>SW51196</v>
      </c>
      <c r="AU35" s="105">
        <f t="shared" si="210"/>
        <v>0</v>
      </c>
      <c r="AV35" s="105">
        <f t="shared" si="211"/>
        <v>0</v>
      </c>
      <c r="AW35" s="105">
        <f t="shared" si="212"/>
        <v>0</v>
      </c>
      <c r="AX35" s="105">
        <f t="shared" si="213"/>
        <v>0</v>
      </c>
      <c r="AY35" s="105">
        <f t="shared" si="214"/>
        <v>0</v>
      </c>
      <c r="AZ35" s="106">
        <f t="shared" si="215"/>
        <v>0</v>
      </c>
      <c r="BA35" s="104" t="str">
        <f t="shared" si="216"/>
        <v>SW56781</v>
      </c>
      <c r="BB35" s="105">
        <f t="shared" si="217"/>
        <v>0</v>
      </c>
      <c r="BC35" s="105">
        <f t="shared" si="218"/>
        <v>0</v>
      </c>
      <c r="BD35" s="105">
        <f t="shared" si="219"/>
        <v>0</v>
      </c>
      <c r="BE35" s="105">
        <f t="shared" si="220"/>
        <v>0</v>
      </c>
      <c r="BF35" s="105">
        <f t="shared" si="221"/>
        <v>0</v>
      </c>
      <c r="BG35" s="106">
        <f t="shared" si="222"/>
        <v>0</v>
      </c>
    </row>
    <row r="36" spans="1:59" s="20" customFormat="1" ht="24.75" thickBot="1" x14ac:dyDescent="0.3">
      <c r="A36" s="6" t="s">
        <v>122</v>
      </c>
      <c r="B36" s="101" t="s">
        <v>123</v>
      </c>
      <c r="C36" s="101"/>
      <c r="D36" s="101"/>
      <c r="E36" s="101"/>
      <c r="F36" s="101"/>
      <c r="G36" s="101"/>
      <c r="H36" s="102"/>
      <c r="I36" s="101" t="s">
        <v>123</v>
      </c>
      <c r="J36" s="101"/>
      <c r="K36" s="101"/>
      <c r="L36" s="101"/>
      <c r="M36" s="101"/>
      <c r="N36" s="101"/>
      <c r="O36" s="102"/>
      <c r="P36" s="101" t="s">
        <v>123</v>
      </c>
      <c r="Q36" s="101"/>
      <c r="R36" s="101"/>
      <c r="S36" s="101"/>
      <c r="T36" s="101"/>
      <c r="U36" s="101"/>
      <c r="V36" s="102"/>
      <c r="W36" s="101" t="s">
        <v>123</v>
      </c>
      <c r="X36" s="101"/>
      <c r="Y36" s="101"/>
      <c r="Z36" s="101"/>
      <c r="AA36" s="101"/>
      <c r="AB36" s="101"/>
      <c r="AC36" s="102"/>
      <c r="AE36" s="6" t="str">
        <f t="shared" si="194"/>
        <v>Solution Applied</v>
      </c>
      <c r="AF36" s="30" t="str">
        <f t="shared" si="195"/>
        <v>Nil</v>
      </c>
      <c r="AG36" s="30">
        <f t="shared" si="196"/>
        <v>0</v>
      </c>
      <c r="AH36" s="30">
        <f t="shared" si="197"/>
        <v>0</v>
      </c>
      <c r="AI36" s="30">
        <f t="shared" si="198"/>
        <v>0</v>
      </c>
      <c r="AJ36" s="30">
        <f t="shared" si="199"/>
        <v>0</v>
      </c>
      <c r="AK36" s="30">
        <f t="shared" si="200"/>
        <v>0</v>
      </c>
      <c r="AL36" s="31">
        <f t="shared" si="201"/>
        <v>0</v>
      </c>
      <c r="AM36" s="30" t="str">
        <f t="shared" si="202"/>
        <v>Nil</v>
      </c>
      <c r="AN36" s="30">
        <f t="shared" si="203"/>
        <v>0</v>
      </c>
      <c r="AO36" s="30">
        <f t="shared" si="204"/>
        <v>0</v>
      </c>
      <c r="AP36" s="30">
        <f t="shared" si="205"/>
        <v>0</v>
      </c>
      <c r="AQ36" s="30">
        <f t="shared" si="206"/>
        <v>0</v>
      </c>
      <c r="AR36" s="30">
        <f t="shared" si="207"/>
        <v>0</v>
      </c>
      <c r="AS36" s="31">
        <f t="shared" si="208"/>
        <v>0</v>
      </c>
      <c r="AT36" s="30" t="str">
        <f t="shared" si="209"/>
        <v>Nil</v>
      </c>
      <c r="AU36" s="30">
        <f t="shared" si="210"/>
        <v>0</v>
      </c>
      <c r="AV36" s="30">
        <f t="shared" si="211"/>
        <v>0</v>
      </c>
      <c r="AW36" s="30">
        <f t="shared" si="212"/>
        <v>0</v>
      </c>
      <c r="AX36" s="30">
        <f t="shared" si="213"/>
        <v>0</v>
      </c>
      <c r="AY36" s="30">
        <f t="shared" si="214"/>
        <v>0</v>
      </c>
      <c r="AZ36" s="31">
        <f t="shared" si="215"/>
        <v>0</v>
      </c>
      <c r="BA36" s="30" t="str">
        <f t="shared" si="216"/>
        <v>Nil</v>
      </c>
      <c r="BB36" s="30">
        <f t="shared" si="217"/>
        <v>0</v>
      </c>
      <c r="BC36" s="30">
        <f t="shared" si="218"/>
        <v>0</v>
      </c>
      <c r="BD36" s="30">
        <f t="shared" si="219"/>
        <v>0</v>
      </c>
      <c r="BE36" s="30">
        <f t="shared" si="220"/>
        <v>0</v>
      </c>
      <c r="BF36" s="30">
        <f t="shared" si="221"/>
        <v>0</v>
      </c>
      <c r="BG36" s="31">
        <f t="shared" si="222"/>
        <v>0</v>
      </c>
    </row>
    <row r="37" spans="1:59" s="20" customFormat="1" ht="15.75" customHeight="1" thickBot="1" x14ac:dyDescent="0.3">
      <c r="A37" s="4">
        <f>A7</f>
        <v>2025</v>
      </c>
      <c r="B37" s="42">
        <v>55.537544869951503</v>
      </c>
      <c r="C37" s="42"/>
      <c r="D37" s="42"/>
      <c r="E37" s="42"/>
      <c r="F37" s="42"/>
      <c r="G37" s="42"/>
      <c r="H37" s="42"/>
      <c r="I37" s="42">
        <v>0</v>
      </c>
      <c r="J37" s="42"/>
      <c r="K37" s="42"/>
      <c r="L37" s="42"/>
      <c r="M37" s="42"/>
      <c r="N37" s="42"/>
      <c r="O37" s="42"/>
      <c r="P37" s="42">
        <v>0</v>
      </c>
      <c r="Q37" s="42"/>
      <c r="R37" s="42"/>
      <c r="S37" s="42"/>
      <c r="T37" s="42"/>
      <c r="U37" s="42"/>
      <c r="V37" s="42"/>
      <c r="W37" s="42">
        <v>0</v>
      </c>
      <c r="X37" s="42"/>
      <c r="Y37" s="42"/>
      <c r="Z37" s="42"/>
      <c r="AA37" s="42"/>
      <c r="AB37" s="42"/>
      <c r="AC37" s="42"/>
      <c r="AE37" s="4">
        <f t="shared" si="194"/>
        <v>2025</v>
      </c>
      <c r="AF37" s="32">
        <f t="shared" ref="AF37:AF46" si="223">B37*$H$1/1000</f>
        <v>2660.5260869950266</v>
      </c>
      <c r="AG37" s="32"/>
      <c r="AH37" s="32"/>
      <c r="AI37" s="32"/>
      <c r="AJ37" s="32"/>
      <c r="AK37" s="32"/>
      <c r="AL37" s="32"/>
      <c r="AM37" s="32">
        <f t="shared" ref="AM37:AM46" si="224">I37*$H$1/1000</f>
        <v>0</v>
      </c>
      <c r="AN37" s="32"/>
      <c r="AO37" s="32"/>
      <c r="AP37" s="32"/>
      <c r="AQ37" s="32"/>
      <c r="AR37" s="32"/>
      <c r="AS37" s="32"/>
      <c r="AT37" s="32">
        <f t="shared" ref="AT37:AT46" si="225">P37*$H$1/1000</f>
        <v>0</v>
      </c>
      <c r="AU37" s="32"/>
      <c r="AV37" s="32"/>
      <c r="AW37" s="32"/>
      <c r="AX37" s="32"/>
      <c r="AY37" s="32"/>
      <c r="AZ37" s="32"/>
      <c r="BA37" s="32">
        <f t="shared" ref="BA37:BA46" si="226">W37*$H$1/1000</f>
        <v>0</v>
      </c>
      <c r="BB37" s="32"/>
      <c r="BC37" s="32"/>
      <c r="BD37" s="32"/>
      <c r="BE37" s="32"/>
      <c r="BF37" s="32"/>
      <c r="BG37" s="32"/>
    </row>
    <row r="38" spans="1:59" s="20" customFormat="1" ht="15.75" customHeight="1" thickBot="1" x14ac:dyDescent="0.3">
      <c r="A38" s="4">
        <f>A37+1</f>
        <v>2026</v>
      </c>
      <c r="B38" s="42">
        <v>65.726958745897605</v>
      </c>
      <c r="C38" s="42">
        <v>0</v>
      </c>
      <c r="D38" s="42">
        <v>0</v>
      </c>
      <c r="E38" s="42">
        <v>0</v>
      </c>
      <c r="F38" s="42"/>
      <c r="G38" s="42"/>
      <c r="H38" s="42"/>
      <c r="I38" s="42">
        <v>0</v>
      </c>
      <c r="J38" s="42">
        <f>I38</f>
        <v>0</v>
      </c>
      <c r="K38" s="42">
        <f t="shared" ref="K38:L38" si="227">J38</f>
        <v>0</v>
      </c>
      <c r="L38" s="42">
        <f t="shared" si="227"/>
        <v>0</v>
      </c>
      <c r="M38" s="42"/>
      <c r="N38" s="42"/>
      <c r="O38" s="42"/>
      <c r="P38" s="42">
        <v>0</v>
      </c>
      <c r="Q38" s="42">
        <f>P38</f>
        <v>0</v>
      </c>
      <c r="R38" s="42">
        <f t="shared" ref="R38:S38" si="228">Q38</f>
        <v>0</v>
      </c>
      <c r="S38" s="42">
        <f t="shared" si="228"/>
        <v>0</v>
      </c>
      <c r="T38" s="42"/>
      <c r="U38" s="42"/>
      <c r="V38" s="42"/>
      <c r="W38" s="42">
        <v>0</v>
      </c>
      <c r="X38" s="42">
        <f>W38</f>
        <v>0</v>
      </c>
      <c r="Y38" s="42">
        <f t="shared" ref="Y38:Z38" si="229">X38</f>
        <v>0</v>
      </c>
      <c r="Z38" s="42">
        <f t="shared" si="229"/>
        <v>0</v>
      </c>
      <c r="AA38" s="42"/>
      <c r="AB38" s="42"/>
      <c r="AC38" s="42"/>
      <c r="AE38" s="4">
        <f t="shared" si="194"/>
        <v>2026</v>
      </c>
      <c r="AF38" s="32">
        <f t="shared" si="223"/>
        <v>3148.6499587222247</v>
      </c>
      <c r="AG38" s="32">
        <f t="shared" ref="AG38:AG46" si="230">C38*$H$1/1000</f>
        <v>0</v>
      </c>
      <c r="AH38" s="32">
        <f t="shared" ref="AH38:AH46" si="231">D38*$H$1/1000</f>
        <v>0</v>
      </c>
      <c r="AI38" s="32">
        <f t="shared" ref="AI38:AI46" si="232">E38*$H$1/1000</f>
        <v>0</v>
      </c>
      <c r="AJ38" s="32">
        <f t="shared" ref="AJ38:AJ46" si="233">F38*$H$1/1000</f>
        <v>0</v>
      </c>
      <c r="AK38" s="32">
        <f t="shared" ref="AK38:AK46" si="234">G38*$H$1/1000</f>
        <v>0</v>
      </c>
      <c r="AL38" s="32">
        <f t="shared" ref="AL38:AL46" si="235">H38*$H$1/1000</f>
        <v>0</v>
      </c>
      <c r="AM38" s="32">
        <f t="shared" si="224"/>
        <v>0</v>
      </c>
      <c r="AN38" s="32">
        <f t="shared" ref="AN38:AN46" si="236">J38*$H$1/1000</f>
        <v>0</v>
      </c>
      <c r="AO38" s="32">
        <f t="shared" ref="AO38:AO46" si="237">K38*$H$1/1000</f>
        <v>0</v>
      </c>
      <c r="AP38" s="32">
        <f t="shared" ref="AP38:AP46" si="238">L38*$H$1/1000</f>
        <v>0</v>
      </c>
      <c r="AQ38" s="32">
        <f t="shared" ref="AQ38:AQ46" si="239">M38*$H$1/1000</f>
        <v>0</v>
      </c>
      <c r="AR38" s="32">
        <f t="shared" ref="AR38:AR46" si="240">N38*$H$1/1000</f>
        <v>0</v>
      </c>
      <c r="AS38" s="32">
        <f t="shared" ref="AS38:AS46" si="241">O38*$H$1/1000</f>
        <v>0</v>
      </c>
      <c r="AT38" s="32">
        <f t="shared" si="225"/>
        <v>0</v>
      </c>
      <c r="AU38" s="32">
        <f t="shared" ref="AU38:AU46" si="242">Q38*$H$1/1000</f>
        <v>0</v>
      </c>
      <c r="AV38" s="32">
        <f t="shared" ref="AV38:AV46" si="243">R38*$H$1/1000</f>
        <v>0</v>
      </c>
      <c r="AW38" s="32">
        <f t="shared" ref="AW38:AW46" si="244">S38*$H$1/1000</f>
        <v>0</v>
      </c>
      <c r="AX38" s="32">
        <f t="shared" ref="AX38:AX46" si="245">T38*$H$1/1000</f>
        <v>0</v>
      </c>
      <c r="AY38" s="32">
        <f t="shared" ref="AY38:AY46" si="246">U38*$H$1/1000</f>
        <v>0</v>
      </c>
      <c r="AZ38" s="32">
        <f t="shared" ref="AZ38:AZ46" si="247">V38*$H$1/1000</f>
        <v>0</v>
      </c>
      <c r="BA38" s="32">
        <f t="shared" si="226"/>
        <v>0</v>
      </c>
      <c r="BB38" s="32">
        <f t="shared" ref="BB38:BB46" si="248">X38*$H$1/1000</f>
        <v>0</v>
      </c>
      <c r="BC38" s="32">
        <f t="shared" ref="BC38:BC46" si="249">Y38*$H$1/1000</f>
        <v>0</v>
      </c>
      <c r="BD38" s="32">
        <f t="shared" ref="BD38:BD46" si="250">Z38*$H$1/1000</f>
        <v>0</v>
      </c>
      <c r="BE38" s="32">
        <f t="shared" ref="BE38:BE46" si="251">AA38*$H$1/1000</f>
        <v>0</v>
      </c>
      <c r="BF38" s="32">
        <f t="shared" ref="BF38:BF46" si="252">AB38*$H$1/1000</f>
        <v>0</v>
      </c>
      <c r="BG38" s="32">
        <f t="shared" ref="BG38:BG46" si="253">AC38*$H$1/1000</f>
        <v>0</v>
      </c>
    </row>
    <row r="39" spans="1:59" s="20" customFormat="1" ht="15.75" customHeight="1" thickBot="1" x14ac:dyDescent="0.3">
      <c r="A39" s="4">
        <f t="shared" ref="A39:A46" si="254">A38+1</f>
        <v>2027</v>
      </c>
      <c r="B39" s="42">
        <v>75.841390073763222</v>
      </c>
      <c r="C39" s="42">
        <v>0</v>
      </c>
      <c r="D39" s="42">
        <v>0</v>
      </c>
      <c r="E39" s="42">
        <v>0</v>
      </c>
      <c r="F39" s="42"/>
      <c r="G39" s="42"/>
      <c r="H39" s="42"/>
      <c r="I39" s="42">
        <v>0</v>
      </c>
      <c r="J39" s="42">
        <f t="shared" ref="J39:L39" si="255">I39</f>
        <v>0</v>
      </c>
      <c r="K39" s="42">
        <f t="shared" si="255"/>
        <v>0</v>
      </c>
      <c r="L39" s="42">
        <f t="shared" si="255"/>
        <v>0</v>
      </c>
      <c r="M39" s="42"/>
      <c r="N39" s="42"/>
      <c r="O39" s="42"/>
      <c r="P39" s="42">
        <v>3.9631464854765494E-3</v>
      </c>
      <c r="Q39" s="42">
        <f t="shared" ref="Q39:S39" si="256">P39</f>
        <v>3.9631464854765494E-3</v>
      </c>
      <c r="R39" s="42">
        <f t="shared" si="256"/>
        <v>3.9631464854765494E-3</v>
      </c>
      <c r="S39" s="42">
        <f t="shared" si="256"/>
        <v>3.9631464854765494E-3</v>
      </c>
      <c r="T39" s="42"/>
      <c r="U39" s="42"/>
      <c r="V39" s="42"/>
      <c r="W39" s="42">
        <v>1.5852585941906196E-3</v>
      </c>
      <c r="X39" s="42">
        <f t="shared" ref="X39:Z39" si="257">W39</f>
        <v>1.5852585941906196E-3</v>
      </c>
      <c r="Y39" s="42">
        <f t="shared" si="257"/>
        <v>1.5852585941906196E-3</v>
      </c>
      <c r="Z39" s="42">
        <f t="shared" si="257"/>
        <v>1.5852585941906196E-3</v>
      </c>
      <c r="AA39" s="42"/>
      <c r="AB39" s="42"/>
      <c r="AC39" s="42"/>
      <c r="AE39" s="4">
        <f t="shared" si="194"/>
        <v>2027</v>
      </c>
      <c r="AF39" s="32">
        <f t="shared" si="223"/>
        <v>3633.181791483627</v>
      </c>
      <c r="AG39" s="32">
        <f t="shared" si="230"/>
        <v>0</v>
      </c>
      <c r="AH39" s="32">
        <f t="shared" si="231"/>
        <v>0</v>
      </c>
      <c r="AI39" s="32">
        <f t="shared" si="232"/>
        <v>0</v>
      </c>
      <c r="AJ39" s="32">
        <f t="shared" si="233"/>
        <v>0</v>
      </c>
      <c r="AK39" s="32">
        <f t="shared" si="234"/>
        <v>0</v>
      </c>
      <c r="AL39" s="32">
        <f t="shared" si="235"/>
        <v>0</v>
      </c>
      <c r="AM39" s="32">
        <f t="shared" si="224"/>
        <v>0</v>
      </c>
      <c r="AN39" s="32">
        <f t="shared" si="236"/>
        <v>0</v>
      </c>
      <c r="AO39" s="32">
        <f t="shared" si="237"/>
        <v>0</v>
      </c>
      <c r="AP39" s="32">
        <f t="shared" si="238"/>
        <v>0</v>
      </c>
      <c r="AQ39" s="32">
        <f t="shared" si="239"/>
        <v>0</v>
      </c>
      <c r="AR39" s="32">
        <f t="shared" si="240"/>
        <v>0</v>
      </c>
      <c r="AS39" s="32">
        <f t="shared" si="241"/>
        <v>0</v>
      </c>
      <c r="AT39" s="32">
        <f t="shared" si="225"/>
        <v>0.18985453238675409</v>
      </c>
      <c r="AU39" s="32">
        <f t="shared" si="242"/>
        <v>0.18985453238675409</v>
      </c>
      <c r="AV39" s="32">
        <f t="shared" si="243"/>
        <v>0.18985453238675409</v>
      </c>
      <c r="AW39" s="32">
        <f t="shared" si="244"/>
        <v>0.18985453238675409</v>
      </c>
      <c r="AX39" s="32">
        <f t="shared" si="245"/>
        <v>0</v>
      </c>
      <c r="AY39" s="32">
        <f t="shared" si="246"/>
        <v>0</v>
      </c>
      <c r="AZ39" s="32">
        <f t="shared" si="247"/>
        <v>0</v>
      </c>
      <c r="BA39" s="32">
        <f t="shared" si="226"/>
        <v>7.5941812954701635E-2</v>
      </c>
      <c r="BB39" s="32">
        <f t="shared" si="248"/>
        <v>7.5941812954701635E-2</v>
      </c>
      <c r="BC39" s="32">
        <f t="shared" si="249"/>
        <v>7.5941812954701635E-2</v>
      </c>
      <c r="BD39" s="32">
        <f t="shared" si="250"/>
        <v>7.5941812954701635E-2</v>
      </c>
      <c r="BE39" s="32">
        <f t="shared" si="251"/>
        <v>0</v>
      </c>
      <c r="BF39" s="32">
        <f t="shared" si="252"/>
        <v>0</v>
      </c>
      <c r="BG39" s="32">
        <f t="shared" si="253"/>
        <v>0</v>
      </c>
    </row>
    <row r="40" spans="1:59" s="20" customFormat="1" ht="15.75" customHeight="1" thickBot="1" x14ac:dyDescent="0.3">
      <c r="A40" s="4">
        <f t="shared" si="254"/>
        <v>2028</v>
      </c>
      <c r="B40" s="42">
        <v>93.280764501654417</v>
      </c>
      <c r="C40" s="42">
        <v>0</v>
      </c>
      <c r="D40" s="42">
        <v>0</v>
      </c>
      <c r="E40" s="42">
        <v>0</v>
      </c>
      <c r="F40" s="42"/>
      <c r="G40" s="42"/>
      <c r="H40" s="42"/>
      <c r="I40" s="42">
        <v>0</v>
      </c>
      <c r="J40" s="42">
        <f t="shared" ref="J40:L40" si="258">I40</f>
        <v>0</v>
      </c>
      <c r="K40" s="42">
        <f t="shared" si="258"/>
        <v>0</v>
      </c>
      <c r="L40" s="42">
        <f t="shared" si="258"/>
        <v>0</v>
      </c>
      <c r="M40" s="42"/>
      <c r="N40" s="42"/>
      <c r="O40" s="42"/>
      <c r="P40" s="42">
        <v>2.5423631968992031</v>
      </c>
      <c r="Q40" s="42">
        <f t="shared" ref="Q40:S40" si="259">P40</f>
        <v>2.5423631968992031</v>
      </c>
      <c r="R40" s="42">
        <f t="shared" si="259"/>
        <v>2.5423631968992031</v>
      </c>
      <c r="S40" s="42">
        <f t="shared" si="259"/>
        <v>2.5423631968992031</v>
      </c>
      <c r="T40" s="42"/>
      <c r="U40" s="42"/>
      <c r="V40" s="42"/>
      <c r="W40" s="42">
        <v>1.0169452787596736</v>
      </c>
      <c r="X40" s="42">
        <f t="shared" ref="X40:Z40" si="260">W40</f>
        <v>1.0169452787596736</v>
      </c>
      <c r="Y40" s="42">
        <f t="shared" si="260"/>
        <v>1.0169452787596736</v>
      </c>
      <c r="Z40" s="42">
        <f t="shared" si="260"/>
        <v>1.0169452787596736</v>
      </c>
      <c r="AA40" s="42"/>
      <c r="AB40" s="42"/>
      <c r="AC40" s="42"/>
      <c r="AE40" s="4">
        <f t="shared" si="194"/>
        <v>2028</v>
      </c>
      <c r="AF40" s="32">
        <f t="shared" si="223"/>
        <v>4468.6150234517545</v>
      </c>
      <c r="AG40" s="32">
        <f t="shared" si="230"/>
        <v>0</v>
      </c>
      <c r="AH40" s="32">
        <f t="shared" si="231"/>
        <v>0</v>
      </c>
      <c r="AI40" s="32">
        <f t="shared" si="232"/>
        <v>0</v>
      </c>
      <c r="AJ40" s="32">
        <f t="shared" si="233"/>
        <v>0</v>
      </c>
      <c r="AK40" s="32">
        <f t="shared" si="234"/>
        <v>0</v>
      </c>
      <c r="AL40" s="32">
        <f t="shared" si="235"/>
        <v>0</v>
      </c>
      <c r="AM40" s="32">
        <f t="shared" si="224"/>
        <v>0</v>
      </c>
      <c r="AN40" s="32">
        <f t="shared" si="236"/>
        <v>0</v>
      </c>
      <c r="AO40" s="32">
        <f t="shared" si="237"/>
        <v>0</v>
      </c>
      <c r="AP40" s="32">
        <f t="shared" si="238"/>
        <v>0</v>
      </c>
      <c r="AQ40" s="32">
        <f t="shared" si="239"/>
        <v>0</v>
      </c>
      <c r="AR40" s="32">
        <f t="shared" si="240"/>
        <v>0</v>
      </c>
      <c r="AS40" s="32">
        <f t="shared" si="241"/>
        <v>0</v>
      </c>
      <c r="AT40" s="32">
        <f t="shared" si="225"/>
        <v>121.79190894745632</v>
      </c>
      <c r="AU40" s="32">
        <f t="shared" si="242"/>
        <v>121.79190894745632</v>
      </c>
      <c r="AV40" s="32">
        <f t="shared" si="243"/>
        <v>121.79190894745632</v>
      </c>
      <c r="AW40" s="32">
        <f t="shared" si="244"/>
        <v>121.79190894745632</v>
      </c>
      <c r="AX40" s="32">
        <f t="shared" si="245"/>
        <v>0</v>
      </c>
      <c r="AY40" s="32">
        <f t="shared" si="246"/>
        <v>0</v>
      </c>
      <c r="AZ40" s="32">
        <f t="shared" si="247"/>
        <v>0</v>
      </c>
      <c r="BA40" s="32">
        <f t="shared" si="226"/>
        <v>48.716763578982167</v>
      </c>
      <c r="BB40" s="32">
        <f t="shared" si="248"/>
        <v>48.716763578982167</v>
      </c>
      <c r="BC40" s="32">
        <f t="shared" si="249"/>
        <v>48.716763578982167</v>
      </c>
      <c r="BD40" s="32">
        <f t="shared" si="250"/>
        <v>48.716763578982167</v>
      </c>
      <c r="BE40" s="32">
        <f t="shared" si="251"/>
        <v>0</v>
      </c>
      <c r="BF40" s="32">
        <f t="shared" si="252"/>
        <v>0</v>
      </c>
      <c r="BG40" s="32">
        <f t="shared" si="253"/>
        <v>0</v>
      </c>
    </row>
    <row r="41" spans="1:59" s="20" customFormat="1" ht="15.75" customHeight="1" thickBot="1" x14ac:dyDescent="0.3">
      <c r="A41" s="4">
        <f t="shared" si="254"/>
        <v>2029</v>
      </c>
      <c r="B41" s="42">
        <v>129.80086596907478</v>
      </c>
      <c r="C41" s="42">
        <v>0</v>
      </c>
      <c r="D41" s="42">
        <v>0</v>
      </c>
      <c r="E41" s="42">
        <v>0</v>
      </c>
      <c r="F41" s="42"/>
      <c r="G41" s="42"/>
      <c r="H41" s="42"/>
      <c r="I41" s="42">
        <v>0.14237308066828916</v>
      </c>
      <c r="J41" s="42">
        <f t="shared" ref="J41:L41" si="261">I41</f>
        <v>0.14237308066828916</v>
      </c>
      <c r="K41" s="42">
        <f t="shared" si="261"/>
        <v>0.14237308066828916</v>
      </c>
      <c r="L41" s="42">
        <f t="shared" si="261"/>
        <v>0.14237308066828916</v>
      </c>
      <c r="M41" s="42"/>
      <c r="N41" s="42"/>
      <c r="O41" s="42"/>
      <c r="P41" s="42">
        <v>15.923950140011264</v>
      </c>
      <c r="Q41" s="42">
        <v>0</v>
      </c>
      <c r="R41" s="42">
        <v>0</v>
      </c>
      <c r="S41" s="42">
        <v>0</v>
      </c>
      <c r="T41" s="42"/>
      <c r="U41" s="42"/>
      <c r="V41" s="42"/>
      <c r="W41" s="42">
        <v>6.3695800560044642</v>
      </c>
      <c r="X41" s="42">
        <v>0</v>
      </c>
      <c r="Y41" s="42">
        <v>0</v>
      </c>
      <c r="Z41" s="42">
        <v>0</v>
      </c>
      <c r="AA41" s="42"/>
      <c r="AB41" s="42"/>
      <c r="AC41" s="42"/>
      <c r="AE41" s="4">
        <f t="shared" si="194"/>
        <v>2029</v>
      </c>
      <c r="AF41" s="32">
        <f t="shared" si="223"/>
        <v>6218.1104842485274</v>
      </c>
      <c r="AG41" s="32">
        <f t="shared" si="230"/>
        <v>0</v>
      </c>
      <c r="AH41" s="32">
        <f t="shared" si="231"/>
        <v>0</v>
      </c>
      <c r="AI41" s="32">
        <f t="shared" si="232"/>
        <v>0</v>
      </c>
      <c r="AJ41" s="32">
        <f t="shared" si="233"/>
        <v>0</v>
      </c>
      <c r="AK41" s="32">
        <f t="shared" si="234"/>
        <v>0</v>
      </c>
      <c r="AL41" s="32">
        <f t="shared" si="235"/>
        <v>0</v>
      </c>
      <c r="AM41" s="32">
        <f t="shared" si="224"/>
        <v>6.8203824294143924</v>
      </c>
      <c r="AN41" s="32">
        <f t="shared" si="236"/>
        <v>6.8203824294143924</v>
      </c>
      <c r="AO41" s="32">
        <f t="shared" si="237"/>
        <v>6.8203824294143924</v>
      </c>
      <c r="AP41" s="32">
        <f t="shared" si="238"/>
        <v>6.8203824294143924</v>
      </c>
      <c r="AQ41" s="32">
        <f t="shared" si="239"/>
        <v>0</v>
      </c>
      <c r="AR41" s="32">
        <f t="shared" si="240"/>
        <v>0</v>
      </c>
      <c r="AS41" s="32">
        <f t="shared" si="241"/>
        <v>0</v>
      </c>
      <c r="AT41" s="32">
        <f t="shared" si="225"/>
        <v>762.83683145723955</v>
      </c>
      <c r="AU41" s="32">
        <f t="shared" si="242"/>
        <v>0</v>
      </c>
      <c r="AV41" s="32">
        <f t="shared" si="243"/>
        <v>0</v>
      </c>
      <c r="AW41" s="32">
        <f t="shared" si="244"/>
        <v>0</v>
      </c>
      <c r="AX41" s="32">
        <f t="shared" si="245"/>
        <v>0</v>
      </c>
      <c r="AY41" s="32">
        <f t="shared" si="246"/>
        <v>0</v>
      </c>
      <c r="AZ41" s="32">
        <f t="shared" si="247"/>
        <v>0</v>
      </c>
      <c r="BA41" s="32">
        <f t="shared" si="226"/>
        <v>305.13473258289389</v>
      </c>
      <c r="BB41" s="32">
        <f t="shared" si="248"/>
        <v>0</v>
      </c>
      <c r="BC41" s="32">
        <f t="shared" si="249"/>
        <v>0</v>
      </c>
      <c r="BD41" s="32">
        <f t="shared" si="250"/>
        <v>0</v>
      </c>
      <c r="BE41" s="32">
        <f t="shared" si="251"/>
        <v>0</v>
      </c>
      <c r="BF41" s="32">
        <f t="shared" si="252"/>
        <v>0</v>
      </c>
      <c r="BG41" s="32">
        <f t="shared" si="253"/>
        <v>0</v>
      </c>
    </row>
    <row r="42" spans="1:59" s="20" customFormat="1" ht="15.75" customHeight="1" thickBot="1" x14ac:dyDescent="0.3">
      <c r="A42" s="4">
        <f t="shared" si="254"/>
        <v>2030</v>
      </c>
      <c r="B42" s="42">
        <v>199.7103675714703</v>
      </c>
      <c r="C42" s="42">
        <v>0</v>
      </c>
      <c r="D42" s="42">
        <v>0</v>
      </c>
      <c r="E42" s="42">
        <v>0</v>
      </c>
      <c r="F42" s="42"/>
      <c r="G42" s="42"/>
      <c r="H42" s="42"/>
      <c r="I42" s="42">
        <v>1.3729373074398288</v>
      </c>
      <c r="J42" s="42">
        <v>0</v>
      </c>
      <c r="K42" s="42">
        <v>0</v>
      </c>
      <c r="L42" s="42">
        <v>0</v>
      </c>
      <c r="M42" s="42"/>
      <c r="N42" s="42"/>
      <c r="O42" s="42"/>
      <c r="P42" s="42">
        <v>48.400208911087049</v>
      </c>
      <c r="Q42" s="42">
        <v>0</v>
      </c>
      <c r="R42" s="42">
        <v>0</v>
      </c>
      <c r="S42" s="42">
        <v>0</v>
      </c>
      <c r="T42" s="42"/>
      <c r="U42" s="42"/>
      <c r="V42" s="42"/>
      <c r="W42" s="42">
        <v>19.360083564434785</v>
      </c>
      <c r="X42" s="42">
        <v>0</v>
      </c>
      <c r="Y42" s="42">
        <v>0</v>
      </c>
      <c r="Z42" s="42">
        <v>0</v>
      </c>
      <c r="AA42" s="42"/>
      <c r="AB42" s="42"/>
      <c r="AC42" s="42"/>
      <c r="AE42" s="4">
        <f t="shared" si="194"/>
        <v>2030</v>
      </c>
      <c r="AF42" s="32">
        <f t="shared" si="223"/>
        <v>9567.1251585112841</v>
      </c>
      <c r="AG42" s="32">
        <f t="shared" si="230"/>
        <v>0</v>
      </c>
      <c r="AH42" s="32">
        <f t="shared" si="231"/>
        <v>0</v>
      </c>
      <c r="AI42" s="32">
        <f t="shared" si="232"/>
        <v>0</v>
      </c>
      <c r="AJ42" s="32">
        <f t="shared" si="233"/>
        <v>0</v>
      </c>
      <c r="AK42" s="32">
        <f t="shared" si="234"/>
        <v>0</v>
      </c>
      <c r="AL42" s="32">
        <f t="shared" si="235"/>
        <v>0</v>
      </c>
      <c r="AM42" s="32">
        <f t="shared" si="224"/>
        <v>65.770561712904993</v>
      </c>
      <c r="AN42" s="32">
        <f t="shared" si="236"/>
        <v>0</v>
      </c>
      <c r="AO42" s="32">
        <f t="shared" si="237"/>
        <v>0</v>
      </c>
      <c r="AP42" s="32">
        <f t="shared" si="238"/>
        <v>0</v>
      </c>
      <c r="AQ42" s="32">
        <f t="shared" si="239"/>
        <v>0</v>
      </c>
      <c r="AR42" s="32">
        <f t="shared" si="240"/>
        <v>0</v>
      </c>
      <c r="AS42" s="32">
        <f t="shared" si="241"/>
        <v>0</v>
      </c>
      <c r="AT42" s="32">
        <f t="shared" si="225"/>
        <v>2318.6120078856252</v>
      </c>
      <c r="AU42" s="32">
        <f t="shared" si="242"/>
        <v>0</v>
      </c>
      <c r="AV42" s="32">
        <f t="shared" si="243"/>
        <v>0</v>
      </c>
      <c r="AW42" s="32">
        <f t="shared" si="244"/>
        <v>0</v>
      </c>
      <c r="AX42" s="32">
        <f t="shared" si="245"/>
        <v>0</v>
      </c>
      <c r="AY42" s="32">
        <f t="shared" si="246"/>
        <v>0</v>
      </c>
      <c r="AZ42" s="32">
        <f t="shared" si="247"/>
        <v>0</v>
      </c>
      <c r="BA42" s="32">
        <f t="shared" si="226"/>
        <v>927.44480315424835</v>
      </c>
      <c r="BB42" s="32">
        <f t="shared" si="248"/>
        <v>0</v>
      </c>
      <c r="BC42" s="32">
        <f t="shared" si="249"/>
        <v>0</v>
      </c>
      <c r="BD42" s="32">
        <f t="shared" si="250"/>
        <v>0</v>
      </c>
      <c r="BE42" s="32">
        <f t="shared" si="251"/>
        <v>0</v>
      </c>
      <c r="BF42" s="32">
        <f t="shared" si="252"/>
        <v>0</v>
      </c>
      <c r="BG42" s="32">
        <f t="shared" si="253"/>
        <v>0</v>
      </c>
    </row>
    <row r="43" spans="1:59" s="20" customFormat="1" ht="15.75" customHeight="1" thickBot="1" x14ac:dyDescent="0.3">
      <c r="A43" s="4">
        <f t="shared" si="254"/>
        <v>2031</v>
      </c>
      <c r="B43" s="42">
        <v>308.18033958301248</v>
      </c>
      <c r="C43" s="42">
        <f t="shared" ref="C43:C46" si="262">C42+C42-C40</f>
        <v>0</v>
      </c>
      <c r="D43" s="42">
        <f t="shared" ref="D43:D46" si="263">D42+D42-D40</f>
        <v>0</v>
      </c>
      <c r="E43" s="42">
        <f t="shared" ref="E43:E46" si="264">E42+E42-E40</f>
        <v>0</v>
      </c>
      <c r="F43" s="42"/>
      <c r="G43" s="42"/>
      <c r="H43" s="42"/>
      <c r="I43" s="42">
        <v>4.9840296235088717</v>
      </c>
      <c r="J43" s="42">
        <f t="shared" ref="J43" si="265">J42+J42-J40</f>
        <v>0</v>
      </c>
      <c r="K43" s="42">
        <f t="shared" ref="K43" si="266">K42+K42-K40</f>
        <v>0</v>
      </c>
      <c r="L43" s="42">
        <f t="shared" ref="L43" si="267">L42+L42-L40</f>
        <v>0</v>
      </c>
      <c r="M43" s="42"/>
      <c r="N43" s="42"/>
      <c r="O43" s="42"/>
      <c r="P43" s="42">
        <v>78.312664291904795</v>
      </c>
      <c r="Q43" s="42">
        <v>0</v>
      </c>
      <c r="R43" s="42">
        <v>0</v>
      </c>
      <c r="S43" s="42">
        <v>0</v>
      </c>
      <c r="T43" s="42"/>
      <c r="U43" s="42"/>
      <c r="V43" s="42"/>
      <c r="W43" s="42">
        <v>31.325065716761877</v>
      </c>
      <c r="X43" s="42">
        <v>0</v>
      </c>
      <c r="Y43" s="42">
        <v>0</v>
      </c>
      <c r="Z43" s="42">
        <v>0</v>
      </c>
      <c r="AA43" s="42"/>
      <c r="AB43" s="42"/>
      <c r="AC43" s="42"/>
      <c r="AE43" s="4">
        <f t="shared" si="194"/>
        <v>2031</v>
      </c>
      <c r="AF43" s="32">
        <f t="shared" si="223"/>
        <v>14763.379167724213</v>
      </c>
      <c r="AG43" s="32">
        <f t="shared" si="230"/>
        <v>0</v>
      </c>
      <c r="AH43" s="32">
        <f t="shared" si="231"/>
        <v>0</v>
      </c>
      <c r="AI43" s="32">
        <f t="shared" si="232"/>
        <v>0</v>
      </c>
      <c r="AJ43" s="32">
        <f t="shared" si="233"/>
        <v>0</v>
      </c>
      <c r="AK43" s="32">
        <f t="shared" si="234"/>
        <v>0</v>
      </c>
      <c r="AL43" s="32">
        <f t="shared" si="235"/>
        <v>0</v>
      </c>
      <c r="AM43" s="32">
        <f t="shared" si="224"/>
        <v>238.75993911419249</v>
      </c>
      <c r="AN43" s="32">
        <f t="shared" si="236"/>
        <v>0</v>
      </c>
      <c r="AO43" s="32">
        <f t="shared" si="237"/>
        <v>0</v>
      </c>
      <c r="AP43" s="32">
        <f t="shared" si="238"/>
        <v>0</v>
      </c>
      <c r="AQ43" s="32">
        <f t="shared" si="239"/>
        <v>0</v>
      </c>
      <c r="AR43" s="32">
        <f t="shared" si="240"/>
        <v>0</v>
      </c>
      <c r="AS43" s="32">
        <f t="shared" si="241"/>
        <v>0</v>
      </c>
      <c r="AT43" s="32">
        <f t="shared" si="225"/>
        <v>3751.5681829036989</v>
      </c>
      <c r="AU43" s="32">
        <f t="shared" si="242"/>
        <v>0</v>
      </c>
      <c r="AV43" s="32">
        <f t="shared" si="243"/>
        <v>0</v>
      </c>
      <c r="AW43" s="32">
        <f t="shared" si="244"/>
        <v>0</v>
      </c>
      <c r="AX43" s="32">
        <f t="shared" si="245"/>
        <v>0</v>
      </c>
      <c r="AY43" s="32">
        <f t="shared" si="246"/>
        <v>0</v>
      </c>
      <c r="AZ43" s="32">
        <f t="shared" si="247"/>
        <v>0</v>
      </c>
      <c r="BA43" s="32">
        <f t="shared" si="226"/>
        <v>1500.6272731614777</v>
      </c>
      <c r="BB43" s="32">
        <f t="shared" si="248"/>
        <v>0</v>
      </c>
      <c r="BC43" s="32">
        <f t="shared" si="249"/>
        <v>0</v>
      </c>
      <c r="BD43" s="32">
        <f t="shared" si="250"/>
        <v>0</v>
      </c>
      <c r="BE43" s="32">
        <f t="shared" si="251"/>
        <v>0</v>
      </c>
      <c r="BF43" s="32">
        <f t="shared" si="252"/>
        <v>0</v>
      </c>
      <c r="BG43" s="32">
        <f t="shared" si="253"/>
        <v>0</v>
      </c>
    </row>
    <row r="44" spans="1:59" s="20" customFormat="1" ht="15.75" customHeight="1" thickBot="1" x14ac:dyDescent="0.3">
      <c r="A44" s="4">
        <f t="shared" si="254"/>
        <v>2032</v>
      </c>
      <c r="B44" s="42">
        <f>B43+B43-B42</f>
        <v>416.65031159455464</v>
      </c>
      <c r="C44" s="42">
        <f t="shared" si="262"/>
        <v>0</v>
      </c>
      <c r="D44" s="42">
        <f t="shared" si="263"/>
        <v>0</v>
      </c>
      <c r="E44" s="42">
        <f t="shared" si="264"/>
        <v>0</v>
      </c>
      <c r="F44" s="42"/>
      <c r="G44" s="42"/>
      <c r="H44" s="42"/>
      <c r="I44" s="42">
        <f>I43+I43-I42</f>
        <v>8.5951219395779148</v>
      </c>
      <c r="J44" s="42">
        <v>0</v>
      </c>
      <c r="K44" s="42">
        <v>0</v>
      </c>
      <c r="L44" s="42">
        <v>0</v>
      </c>
      <c r="M44" s="42"/>
      <c r="N44" s="42"/>
      <c r="O44" s="42"/>
      <c r="P44" s="42">
        <f>P43+P43-P42</f>
        <v>108.22511967272254</v>
      </c>
      <c r="Q44" s="42">
        <v>0</v>
      </c>
      <c r="R44" s="42">
        <v>0</v>
      </c>
      <c r="S44" s="42">
        <v>0</v>
      </c>
      <c r="T44" s="42"/>
      <c r="U44" s="42"/>
      <c r="V44" s="42"/>
      <c r="W44" s="42">
        <f>W43+W43-W42</f>
        <v>43.290047869088966</v>
      </c>
      <c r="X44" s="42">
        <v>0</v>
      </c>
      <c r="Y44" s="42">
        <v>0</v>
      </c>
      <c r="Z44" s="42">
        <v>0</v>
      </c>
      <c r="AA44" s="42"/>
      <c r="AB44" s="42"/>
      <c r="AC44" s="42"/>
      <c r="AE44" s="4">
        <f t="shared" si="194"/>
        <v>2032</v>
      </c>
      <c r="AF44" s="32">
        <f t="shared" si="223"/>
        <v>19959.633176937139</v>
      </c>
      <c r="AG44" s="32">
        <f t="shared" si="230"/>
        <v>0</v>
      </c>
      <c r="AH44" s="32">
        <f t="shared" si="231"/>
        <v>0</v>
      </c>
      <c r="AI44" s="32">
        <f t="shared" si="232"/>
        <v>0</v>
      </c>
      <c r="AJ44" s="32">
        <f t="shared" si="233"/>
        <v>0</v>
      </c>
      <c r="AK44" s="32">
        <f t="shared" si="234"/>
        <v>0</v>
      </c>
      <c r="AL44" s="32">
        <f t="shared" si="235"/>
        <v>0</v>
      </c>
      <c r="AM44" s="32">
        <f t="shared" si="224"/>
        <v>411.74931651548002</v>
      </c>
      <c r="AN44" s="32">
        <f t="shared" si="236"/>
        <v>0</v>
      </c>
      <c r="AO44" s="32">
        <f t="shared" si="237"/>
        <v>0</v>
      </c>
      <c r="AP44" s="32">
        <f t="shared" si="238"/>
        <v>0</v>
      </c>
      <c r="AQ44" s="32">
        <f t="shared" si="239"/>
        <v>0</v>
      </c>
      <c r="AR44" s="32">
        <f t="shared" si="240"/>
        <v>0</v>
      </c>
      <c r="AS44" s="32">
        <f t="shared" si="241"/>
        <v>0</v>
      </c>
      <c r="AT44" s="32">
        <f t="shared" si="225"/>
        <v>5184.5243579217731</v>
      </c>
      <c r="AU44" s="32">
        <f t="shared" si="242"/>
        <v>0</v>
      </c>
      <c r="AV44" s="32">
        <f t="shared" si="243"/>
        <v>0</v>
      </c>
      <c r="AW44" s="32">
        <f t="shared" si="244"/>
        <v>0</v>
      </c>
      <c r="AX44" s="32">
        <f t="shared" si="245"/>
        <v>0</v>
      </c>
      <c r="AY44" s="32">
        <f t="shared" si="246"/>
        <v>0</v>
      </c>
      <c r="AZ44" s="32">
        <f t="shared" si="247"/>
        <v>0</v>
      </c>
      <c r="BA44" s="32">
        <f t="shared" si="226"/>
        <v>2073.809743168707</v>
      </c>
      <c r="BB44" s="32">
        <f t="shared" si="248"/>
        <v>0</v>
      </c>
      <c r="BC44" s="32">
        <f t="shared" si="249"/>
        <v>0</v>
      </c>
      <c r="BD44" s="32">
        <f t="shared" si="250"/>
        <v>0</v>
      </c>
      <c r="BE44" s="32">
        <f t="shared" si="251"/>
        <v>0</v>
      </c>
      <c r="BF44" s="32">
        <f t="shared" si="252"/>
        <v>0</v>
      </c>
      <c r="BG44" s="32">
        <f t="shared" si="253"/>
        <v>0</v>
      </c>
    </row>
    <row r="45" spans="1:59" s="20" customFormat="1" ht="15.75" customHeight="1" thickBot="1" x14ac:dyDescent="0.3">
      <c r="A45" s="4">
        <f t="shared" si="254"/>
        <v>2033</v>
      </c>
      <c r="B45" s="42">
        <f t="shared" ref="B45:B46" si="268">B44+B44-B43</f>
        <v>525.12028360609679</v>
      </c>
      <c r="C45" s="42">
        <f t="shared" si="262"/>
        <v>0</v>
      </c>
      <c r="D45" s="42">
        <f t="shared" si="263"/>
        <v>0</v>
      </c>
      <c r="E45" s="42">
        <f t="shared" si="264"/>
        <v>0</v>
      </c>
      <c r="F45" s="42"/>
      <c r="G45" s="42"/>
      <c r="H45" s="42"/>
      <c r="I45" s="42">
        <f t="shared" ref="I45:I46" si="269">I44+I44-I43</f>
        <v>12.206214255646959</v>
      </c>
      <c r="J45" s="42">
        <v>0</v>
      </c>
      <c r="K45" s="42">
        <v>0</v>
      </c>
      <c r="L45" s="42">
        <v>0</v>
      </c>
      <c r="M45" s="42"/>
      <c r="N45" s="42"/>
      <c r="O45" s="42"/>
      <c r="P45" s="42">
        <f t="shared" ref="P45:P46" si="270">P44+P44-P43</f>
        <v>138.13757505354027</v>
      </c>
      <c r="Q45" s="42">
        <v>0</v>
      </c>
      <c r="R45" s="42">
        <v>0</v>
      </c>
      <c r="S45" s="42">
        <v>0</v>
      </c>
      <c r="T45" s="42"/>
      <c r="U45" s="42"/>
      <c r="V45" s="42"/>
      <c r="W45" s="42">
        <f t="shared" ref="W45:W46" si="271">W44+W44-W43</f>
        <v>55.255030021416054</v>
      </c>
      <c r="X45" s="42">
        <v>0</v>
      </c>
      <c r="Y45" s="42">
        <v>0</v>
      </c>
      <c r="Z45" s="42">
        <v>0</v>
      </c>
      <c r="AA45" s="42"/>
      <c r="AB45" s="42"/>
      <c r="AC45" s="42"/>
      <c r="AE45" s="4">
        <f t="shared" si="194"/>
        <v>2033</v>
      </c>
      <c r="AF45" s="32">
        <f t="shared" si="223"/>
        <v>25155.887186150067</v>
      </c>
      <c r="AG45" s="32">
        <f t="shared" si="230"/>
        <v>0</v>
      </c>
      <c r="AH45" s="32">
        <f t="shared" si="231"/>
        <v>0</v>
      </c>
      <c r="AI45" s="32">
        <f t="shared" si="232"/>
        <v>0</v>
      </c>
      <c r="AJ45" s="32">
        <f t="shared" si="233"/>
        <v>0</v>
      </c>
      <c r="AK45" s="32">
        <f t="shared" si="234"/>
        <v>0</v>
      </c>
      <c r="AL45" s="32">
        <f t="shared" si="235"/>
        <v>0</v>
      </c>
      <c r="AM45" s="32">
        <f t="shared" si="224"/>
        <v>584.7386939167676</v>
      </c>
      <c r="AN45" s="32">
        <f t="shared" si="236"/>
        <v>0</v>
      </c>
      <c r="AO45" s="32">
        <f t="shared" si="237"/>
        <v>0</v>
      </c>
      <c r="AP45" s="32">
        <f t="shared" si="238"/>
        <v>0</v>
      </c>
      <c r="AQ45" s="32">
        <f t="shared" si="239"/>
        <v>0</v>
      </c>
      <c r="AR45" s="32">
        <f t="shared" si="240"/>
        <v>0</v>
      </c>
      <c r="AS45" s="32">
        <f t="shared" si="241"/>
        <v>0</v>
      </c>
      <c r="AT45" s="32">
        <f t="shared" si="225"/>
        <v>6617.4805329398469</v>
      </c>
      <c r="AU45" s="32">
        <f t="shared" si="242"/>
        <v>0</v>
      </c>
      <c r="AV45" s="32">
        <f t="shared" si="243"/>
        <v>0</v>
      </c>
      <c r="AW45" s="32">
        <f t="shared" si="244"/>
        <v>0</v>
      </c>
      <c r="AX45" s="32">
        <f t="shared" si="245"/>
        <v>0</v>
      </c>
      <c r="AY45" s="32">
        <f t="shared" si="246"/>
        <v>0</v>
      </c>
      <c r="AZ45" s="32">
        <f t="shared" si="247"/>
        <v>0</v>
      </c>
      <c r="BA45" s="32">
        <f t="shared" si="226"/>
        <v>2646.9922131759363</v>
      </c>
      <c r="BB45" s="32">
        <f t="shared" si="248"/>
        <v>0</v>
      </c>
      <c r="BC45" s="32">
        <f t="shared" si="249"/>
        <v>0</v>
      </c>
      <c r="BD45" s="32">
        <f t="shared" si="250"/>
        <v>0</v>
      </c>
      <c r="BE45" s="32">
        <f t="shared" si="251"/>
        <v>0</v>
      </c>
      <c r="BF45" s="32">
        <f t="shared" si="252"/>
        <v>0</v>
      </c>
      <c r="BG45" s="32">
        <f t="shared" si="253"/>
        <v>0</v>
      </c>
    </row>
    <row r="46" spans="1:59" s="20" customFormat="1" ht="15.75" customHeight="1" thickBot="1" x14ac:dyDescent="0.3">
      <c r="A46" s="4">
        <f t="shared" si="254"/>
        <v>2034</v>
      </c>
      <c r="B46" s="42">
        <f t="shared" si="268"/>
        <v>633.59025561763895</v>
      </c>
      <c r="C46" s="42">
        <f t="shared" si="262"/>
        <v>0</v>
      </c>
      <c r="D46" s="42">
        <f t="shared" si="263"/>
        <v>0</v>
      </c>
      <c r="E46" s="42">
        <f t="shared" si="264"/>
        <v>0</v>
      </c>
      <c r="F46" s="42"/>
      <c r="G46" s="42"/>
      <c r="H46" s="42"/>
      <c r="I46" s="42">
        <f t="shared" si="269"/>
        <v>15.817306571716003</v>
      </c>
      <c r="J46" s="42">
        <v>0</v>
      </c>
      <c r="K46" s="42">
        <v>0</v>
      </c>
      <c r="L46" s="42">
        <v>0</v>
      </c>
      <c r="M46" s="42"/>
      <c r="N46" s="42"/>
      <c r="O46" s="42"/>
      <c r="P46" s="42">
        <f t="shared" si="270"/>
        <v>168.05003043435801</v>
      </c>
      <c r="Q46" s="42">
        <v>0</v>
      </c>
      <c r="R46" s="42">
        <v>0</v>
      </c>
      <c r="S46" s="42">
        <v>0</v>
      </c>
      <c r="T46" s="42"/>
      <c r="U46" s="42"/>
      <c r="V46" s="42"/>
      <c r="W46" s="42">
        <f t="shared" si="271"/>
        <v>67.220012173743143</v>
      </c>
      <c r="X46" s="42">
        <v>0</v>
      </c>
      <c r="Y46" s="42">
        <v>0</v>
      </c>
      <c r="Z46" s="42">
        <v>0</v>
      </c>
      <c r="AA46" s="42"/>
      <c r="AB46" s="42"/>
      <c r="AC46" s="42"/>
      <c r="AE46" s="4">
        <f t="shared" si="194"/>
        <v>2034</v>
      </c>
      <c r="AF46" s="32">
        <f t="shared" si="223"/>
        <v>30352.141195362994</v>
      </c>
      <c r="AG46" s="32">
        <f t="shared" si="230"/>
        <v>0</v>
      </c>
      <c r="AH46" s="32">
        <f t="shared" si="231"/>
        <v>0</v>
      </c>
      <c r="AI46" s="32">
        <f t="shared" si="232"/>
        <v>0</v>
      </c>
      <c r="AJ46" s="32">
        <f t="shared" si="233"/>
        <v>0</v>
      </c>
      <c r="AK46" s="32">
        <f t="shared" si="234"/>
        <v>0</v>
      </c>
      <c r="AL46" s="32">
        <f t="shared" si="235"/>
        <v>0</v>
      </c>
      <c r="AM46" s="32">
        <f t="shared" si="224"/>
        <v>757.72807131805519</v>
      </c>
      <c r="AN46" s="32">
        <f t="shared" si="236"/>
        <v>0</v>
      </c>
      <c r="AO46" s="32">
        <f t="shared" si="237"/>
        <v>0</v>
      </c>
      <c r="AP46" s="32">
        <f t="shared" si="238"/>
        <v>0</v>
      </c>
      <c r="AQ46" s="32">
        <f t="shared" si="239"/>
        <v>0</v>
      </c>
      <c r="AR46" s="32">
        <f t="shared" si="240"/>
        <v>0</v>
      </c>
      <c r="AS46" s="32">
        <f t="shared" si="241"/>
        <v>0</v>
      </c>
      <c r="AT46" s="32">
        <f t="shared" si="225"/>
        <v>8050.4367079579206</v>
      </c>
      <c r="AU46" s="32">
        <f t="shared" si="242"/>
        <v>0</v>
      </c>
      <c r="AV46" s="32">
        <f t="shared" si="243"/>
        <v>0</v>
      </c>
      <c r="AW46" s="32">
        <f t="shared" si="244"/>
        <v>0</v>
      </c>
      <c r="AX46" s="32">
        <f t="shared" si="245"/>
        <v>0</v>
      </c>
      <c r="AY46" s="32">
        <f t="shared" si="246"/>
        <v>0</v>
      </c>
      <c r="AZ46" s="32">
        <f t="shared" si="247"/>
        <v>0</v>
      </c>
      <c r="BA46" s="32">
        <f t="shared" si="226"/>
        <v>3220.1746831831651</v>
      </c>
      <c r="BB46" s="32">
        <f t="shared" si="248"/>
        <v>0</v>
      </c>
      <c r="BC46" s="32">
        <f t="shared" si="249"/>
        <v>0</v>
      </c>
      <c r="BD46" s="32">
        <f t="shared" si="250"/>
        <v>0</v>
      </c>
      <c r="BE46" s="32">
        <f t="shared" si="251"/>
        <v>0</v>
      </c>
      <c r="BF46" s="32">
        <f t="shared" si="252"/>
        <v>0</v>
      </c>
      <c r="BG46" s="32">
        <f t="shared" si="253"/>
        <v>0</v>
      </c>
    </row>
    <row r="47" spans="1:59" s="20" customFormat="1" ht="15.75" customHeight="1" x14ac:dyDescent="0.25">
      <c r="A47" s="40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E47" s="40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</row>
    <row r="48" spans="1:59" s="20" customFormat="1" ht="15.75" customHeight="1" thickBot="1" x14ac:dyDescent="0.3">
      <c r="A48" s="21" t="s">
        <v>128</v>
      </c>
      <c r="AE48" s="21" t="s">
        <v>129</v>
      </c>
    </row>
    <row r="49" spans="1:64" s="20" customFormat="1" ht="15.75" customHeight="1" thickBot="1" x14ac:dyDescent="0.3">
      <c r="A49" s="1" t="s">
        <v>120</v>
      </c>
      <c r="B49" s="1">
        <f>B4</f>
        <v>1</v>
      </c>
      <c r="C49" s="1">
        <f t="shared" ref="C49:AC49" si="272">C4</f>
        <v>2</v>
      </c>
      <c r="D49" s="1">
        <f t="shared" si="272"/>
        <v>3</v>
      </c>
      <c r="E49" s="1">
        <f t="shared" si="272"/>
        <v>4</v>
      </c>
      <c r="F49" s="1">
        <f t="shared" si="272"/>
        <v>5</v>
      </c>
      <c r="G49" s="1">
        <f t="shared" si="272"/>
        <v>6</v>
      </c>
      <c r="H49" s="1">
        <f t="shared" si="272"/>
        <v>7</v>
      </c>
      <c r="I49" s="1">
        <f t="shared" si="272"/>
        <v>1</v>
      </c>
      <c r="J49" s="1">
        <f t="shared" si="272"/>
        <v>2</v>
      </c>
      <c r="K49" s="1">
        <f t="shared" si="272"/>
        <v>3</v>
      </c>
      <c r="L49" s="1">
        <f t="shared" si="272"/>
        <v>4</v>
      </c>
      <c r="M49" s="1">
        <f t="shared" si="272"/>
        <v>5</v>
      </c>
      <c r="N49" s="1">
        <f t="shared" si="272"/>
        <v>6</v>
      </c>
      <c r="O49" s="1">
        <f t="shared" si="272"/>
        <v>7</v>
      </c>
      <c r="P49" s="1">
        <f t="shared" si="272"/>
        <v>1</v>
      </c>
      <c r="Q49" s="1">
        <f t="shared" si="272"/>
        <v>2</v>
      </c>
      <c r="R49" s="1">
        <f t="shared" si="272"/>
        <v>3</v>
      </c>
      <c r="S49" s="1">
        <f t="shared" si="272"/>
        <v>4</v>
      </c>
      <c r="T49" s="1">
        <f t="shared" si="272"/>
        <v>5</v>
      </c>
      <c r="U49" s="1">
        <f t="shared" si="272"/>
        <v>6</v>
      </c>
      <c r="V49" s="1">
        <f t="shared" si="272"/>
        <v>7</v>
      </c>
      <c r="W49" s="1">
        <f t="shared" si="272"/>
        <v>1</v>
      </c>
      <c r="X49" s="1">
        <f t="shared" si="272"/>
        <v>2</v>
      </c>
      <c r="Y49" s="1">
        <f t="shared" si="272"/>
        <v>3</v>
      </c>
      <c r="Z49" s="1">
        <f t="shared" si="272"/>
        <v>4</v>
      </c>
      <c r="AA49" s="1">
        <f t="shared" si="272"/>
        <v>5</v>
      </c>
      <c r="AB49" s="1">
        <f t="shared" si="272"/>
        <v>6</v>
      </c>
      <c r="AC49" s="1">
        <f t="shared" si="272"/>
        <v>7</v>
      </c>
      <c r="AE49" s="1" t="str">
        <f t="shared" ref="AE49:AE61" si="273">A49</f>
        <v>Option</v>
      </c>
      <c r="AF49" s="1">
        <f t="shared" ref="AF49:AF51" si="274">B49</f>
        <v>1</v>
      </c>
      <c r="AG49" s="1">
        <f t="shared" ref="AG49:AG51" si="275">C49</f>
        <v>2</v>
      </c>
      <c r="AH49" s="1">
        <f t="shared" ref="AH49:AH51" si="276">D49</f>
        <v>3</v>
      </c>
      <c r="AI49" s="1">
        <f t="shared" ref="AI49:AI51" si="277">E49</f>
        <v>4</v>
      </c>
      <c r="AJ49" s="1">
        <f t="shared" ref="AJ49:AJ51" si="278">F49</f>
        <v>5</v>
      </c>
      <c r="AK49" s="1">
        <f t="shared" ref="AK49:AK51" si="279">G49</f>
        <v>6</v>
      </c>
      <c r="AL49" s="1">
        <f t="shared" ref="AL49:AL51" si="280">H49</f>
        <v>7</v>
      </c>
      <c r="AM49" s="1">
        <f t="shared" ref="AM49:AM51" si="281">I49</f>
        <v>1</v>
      </c>
      <c r="AN49" s="1">
        <f t="shared" ref="AN49:AN51" si="282">J49</f>
        <v>2</v>
      </c>
      <c r="AO49" s="1">
        <f t="shared" ref="AO49:AO51" si="283">K49</f>
        <v>3</v>
      </c>
      <c r="AP49" s="1">
        <f t="shared" ref="AP49:AP51" si="284">L49</f>
        <v>4</v>
      </c>
      <c r="AQ49" s="1">
        <f t="shared" ref="AQ49:AQ51" si="285">M49</f>
        <v>5</v>
      </c>
      <c r="AR49" s="1">
        <f t="shared" ref="AR49:AR51" si="286">N49</f>
        <v>6</v>
      </c>
      <c r="AS49" s="1">
        <f t="shared" ref="AS49:AS51" si="287">O49</f>
        <v>7</v>
      </c>
      <c r="AT49" s="1">
        <f t="shared" ref="AT49:AT51" si="288">P49</f>
        <v>1</v>
      </c>
      <c r="AU49" s="1">
        <f t="shared" ref="AU49:AU51" si="289">Q49</f>
        <v>2</v>
      </c>
      <c r="AV49" s="1">
        <f t="shared" ref="AV49:AV51" si="290">R49</f>
        <v>3</v>
      </c>
      <c r="AW49" s="1">
        <f t="shared" ref="AW49:AW51" si="291">S49</f>
        <v>4</v>
      </c>
      <c r="AX49" s="1">
        <f t="shared" ref="AX49:AX51" si="292">T49</f>
        <v>5</v>
      </c>
      <c r="AY49" s="1">
        <f t="shared" ref="AY49:AY51" si="293">U49</f>
        <v>6</v>
      </c>
      <c r="AZ49" s="1">
        <f t="shared" ref="AZ49:AZ51" si="294">V49</f>
        <v>7</v>
      </c>
      <c r="BA49" s="1">
        <f t="shared" ref="BA49:BA51" si="295">W49</f>
        <v>1</v>
      </c>
      <c r="BB49" s="1">
        <f t="shared" ref="BB49:BB51" si="296">X49</f>
        <v>2</v>
      </c>
      <c r="BC49" s="1">
        <f t="shared" ref="BC49:BC51" si="297">Y49</f>
        <v>3</v>
      </c>
      <c r="BD49" s="1">
        <f t="shared" ref="BD49:BD51" si="298">Z49</f>
        <v>4</v>
      </c>
      <c r="BE49" s="1">
        <f t="shared" ref="BE49:BE51" si="299">AA49</f>
        <v>5</v>
      </c>
      <c r="BF49" s="1">
        <f t="shared" ref="BF49:BF51" si="300">AB49</f>
        <v>6</v>
      </c>
      <c r="BG49" s="1">
        <f t="shared" ref="BG49:BG51" si="301">AC49</f>
        <v>7</v>
      </c>
    </row>
    <row r="50" spans="1:64" s="20" customFormat="1" ht="15.75" customHeight="1" thickTop="1" thickBot="1" x14ac:dyDescent="0.3">
      <c r="A50" s="6" t="s">
        <v>130</v>
      </c>
      <c r="B50" s="104" t="s">
        <v>8</v>
      </c>
      <c r="C50" s="105"/>
      <c r="D50" s="105"/>
      <c r="E50" s="105"/>
      <c r="F50" s="105"/>
      <c r="G50" s="105"/>
      <c r="H50" s="106"/>
      <c r="I50" s="104" t="s">
        <v>10</v>
      </c>
      <c r="J50" s="105"/>
      <c r="K50" s="105"/>
      <c r="L50" s="105"/>
      <c r="M50" s="105"/>
      <c r="N50" s="105"/>
      <c r="O50" s="106"/>
      <c r="P50" s="104"/>
      <c r="Q50" s="105"/>
      <c r="R50" s="105"/>
      <c r="S50" s="105"/>
      <c r="T50" s="105"/>
      <c r="U50" s="105"/>
      <c r="V50" s="106"/>
      <c r="W50" s="104" t="s">
        <v>131</v>
      </c>
      <c r="X50" s="105"/>
      <c r="Y50" s="105"/>
      <c r="Z50" s="105"/>
      <c r="AA50" s="105"/>
      <c r="AB50" s="105"/>
      <c r="AC50" s="106"/>
      <c r="AE50" s="6" t="str">
        <f t="shared" si="273"/>
        <v>ZSS</v>
      </c>
      <c r="AF50" s="104" t="str">
        <f t="shared" si="274"/>
        <v>SBY</v>
      </c>
      <c r="AG50" s="105">
        <f t="shared" si="275"/>
        <v>0</v>
      </c>
      <c r="AH50" s="105">
        <f t="shared" si="276"/>
        <v>0</v>
      </c>
      <c r="AI50" s="105">
        <f t="shared" si="277"/>
        <v>0</v>
      </c>
      <c r="AJ50" s="105">
        <f t="shared" si="278"/>
        <v>0</v>
      </c>
      <c r="AK50" s="105">
        <f t="shared" si="279"/>
        <v>0</v>
      </c>
      <c r="AL50" s="106">
        <f t="shared" si="280"/>
        <v>0</v>
      </c>
      <c r="AM50" s="104" t="str">
        <f t="shared" si="281"/>
        <v>SHM</v>
      </c>
      <c r="AN50" s="105">
        <f t="shared" si="282"/>
        <v>0</v>
      </c>
      <c r="AO50" s="105">
        <f t="shared" si="283"/>
        <v>0</v>
      </c>
      <c r="AP50" s="105">
        <f t="shared" si="284"/>
        <v>0</v>
      </c>
      <c r="AQ50" s="105">
        <f t="shared" si="285"/>
        <v>0</v>
      </c>
      <c r="AR50" s="105">
        <f t="shared" si="286"/>
        <v>0</v>
      </c>
      <c r="AS50" s="106">
        <f t="shared" si="287"/>
        <v>0</v>
      </c>
      <c r="AT50" s="104">
        <f t="shared" si="288"/>
        <v>0</v>
      </c>
      <c r="AU50" s="105">
        <f t="shared" si="289"/>
        <v>0</v>
      </c>
      <c r="AV50" s="105">
        <f t="shared" si="290"/>
        <v>0</v>
      </c>
      <c r="AW50" s="105">
        <f t="shared" si="291"/>
        <v>0</v>
      </c>
      <c r="AX50" s="105">
        <f t="shared" si="292"/>
        <v>0</v>
      </c>
      <c r="AY50" s="105">
        <f t="shared" si="293"/>
        <v>0</v>
      </c>
      <c r="AZ50" s="106">
        <f t="shared" si="294"/>
        <v>0</v>
      </c>
      <c r="BA50" s="104" t="str">
        <f t="shared" si="295"/>
        <v>PLN</v>
      </c>
      <c r="BB50" s="105">
        <f t="shared" si="296"/>
        <v>0</v>
      </c>
      <c r="BC50" s="105">
        <f t="shared" si="297"/>
        <v>0</v>
      </c>
      <c r="BD50" s="105">
        <f t="shared" si="298"/>
        <v>0</v>
      </c>
      <c r="BE50" s="105">
        <f t="shared" si="299"/>
        <v>0</v>
      </c>
      <c r="BF50" s="105">
        <f t="shared" si="300"/>
        <v>0</v>
      </c>
      <c r="BG50" s="106">
        <f t="shared" si="301"/>
        <v>0</v>
      </c>
    </row>
    <row r="51" spans="1:64" s="20" customFormat="1" ht="24.75" customHeight="1" thickBot="1" x14ac:dyDescent="0.3">
      <c r="A51" s="6" t="s">
        <v>122</v>
      </c>
      <c r="B51" s="101" t="s">
        <v>123</v>
      </c>
      <c r="C51" s="101" t="s">
        <v>132</v>
      </c>
      <c r="D51" s="101" t="s">
        <v>132</v>
      </c>
      <c r="E51" s="101" t="s">
        <v>132</v>
      </c>
      <c r="F51" s="101"/>
      <c r="G51" s="101"/>
      <c r="H51" s="101"/>
      <c r="I51" s="101" t="s">
        <v>123</v>
      </c>
      <c r="J51" s="101" t="s">
        <v>133</v>
      </c>
      <c r="K51" s="101" t="s">
        <v>134</v>
      </c>
      <c r="L51" s="101" t="s">
        <v>135</v>
      </c>
      <c r="M51" s="101"/>
      <c r="N51" s="101"/>
      <c r="O51" s="101"/>
      <c r="P51" s="101"/>
      <c r="Q51" s="101"/>
      <c r="R51" s="101"/>
      <c r="S51" s="101"/>
      <c r="T51" s="101"/>
      <c r="U51" s="101"/>
      <c r="V51" s="102"/>
      <c r="W51" s="101" t="s">
        <v>123</v>
      </c>
      <c r="X51" s="101" t="s">
        <v>136</v>
      </c>
      <c r="Y51" s="101" t="s">
        <v>123</v>
      </c>
      <c r="Z51" s="101" t="s">
        <v>123</v>
      </c>
      <c r="AA51" s="101"/>
      <c r="AB51" s="101"/>
      <c r="AC51" s="102"/>
      <c r="AE51" s="6" t="str">
        <f t="shared" si="273"/>
        <v>Solution Applied</v>
      </c>
      <c r="AF51" s="30" t="str">
        <f t="shared" si="274"/>
        <v>Nil</v>
      </c>
      <c r="AG51" s="30" t="str">
        <f t="shared" si="275"/>
        <v>8.4.1
8.4.2</v>
      </c>
      <c r="AH51" s="30" t="str">
        <f t="shared" si="276"/>
        <v>8.4.1
8.4.2</v>
      </c>
      <c r="AI51" s="30" t="str">
        <f t="shared" si="277"/>
        <v>8.4.1
8.4.2</v>
      </c>
      <c r="AJ51" s="30">
        <f t="shared" si="278"/>
        <v>0</v>
      </c>
      <c r="AK51" s="30">
        <f t="shared" si="279"/>
        <v>0</v>
      </c>
      <c r="AL51" s="30">
        <f t="shared" si="280"/>
        <v>0</v>
      </c>
      <c r="AM51" s="30" t="str">
        <f t="shared" si="281"/>
        <v>Nil</v>
      </c>
      <c r="AN51" s="30" t="str">
        <f t="shared" si="282"/>
        <v>8.2.1
8.4.1 &amp; 2</v>
      </c>
      <c r="AO51" s="30" t="str">
        <f t="shared" si="283"/>
        <v>8.3.1
8.4.1 &amp; 2</v>
      </c>
      <c r="AP51" s="30" t="str">
        <f t="shared" si="284"/>
        <v>8.4.1 &amp; 2</v>
      </c>
      <c r="AQ51" s="30">
        <f t="shared" si="285"/>
        <v>0</v>
      </c>
      <c r="AR51" s="30">
        <f t="shared" si="286"/>
        <v>0</v>
      </c>
      <c r="AS51" s="30">
        <f t="shared" si="287"/>
        <v>0</v>
      </c>
      <c r="AT51" s="30">
        <f t="shared" si="288"/>
        <v>0</v>
      </c>
      <c r="AU51" s="30">
        <f t="shared" si="289"/>
        <v>0</v>
      </c>
      <c r="AV51" s="30">
        <f t="shared" si="290"/>
        <v>0</v>
      </c>
      <c r="AW51" s="30">
        <f t="shared" si="291"/>
        <v>0</v>
      </c>
      <c r="AX51" s="30">
        <f t="shared" si="292"/>
        <v>0</v>
      </c>
      <c r="AY51" s="30">
        <f t="shared" si="293"/>
        <v>0</v>
      </c>
      <c r="AZ51" s="31">
        <f t="shared" si="294"/>
        <v>0</v>
      </c>
      <c r="BA51" s="30" t="str">
        <f t="shared" si="295"/>
        <v>Nil</v>
      </c>
      <c r="BB51" s="30" t="str">
        <f t="shared" si="296"/>
        <v>8.2.1</v>
      </c>
      <c r="BC51" s="30" t="str">
        <f t="shared" si="297"/>
        <v>Nil</v>
      </c>
      <c r="BD51" s="30" t="str">
        <f t="shared" si="298"/>
        <v>Nil</v>
      </c>
      <c r="BE51" s="30">
        <f t="shared" si="299"/>
        <v>0</v>
      </c>
      <c r="BF51" s="30">
        <f t="shared" si="300"/>
        <v>0</v>
      </c>
      <c r="BG51" s="31">
        <f t="shared" si="301"/>
        <v>0</v>
      </c>
      <c r="BI51" t="s">
        <v>10</v>
      </c>
    </row>
    <row r="52" spans="1:64" s="20" customFormat="1" ht="15.75" customHeight="1" thickBot="1" x14ac:dyDescent="0.3">
      <c r="A52" s="4">
        <f>A7</f>
        <v>2025</v>
      </c>
      <c r="B52" s="42">
        <v>7.8742420590872859</v>
      </c>
      <c r="C52" s="42"/>
      <c r="D52" s="42"/>
      <c r="E52" s="42"/>
      <c r="F52" s="42"/>
      <c r="G52" s="42"/>
      <c r="H52" s="42"/>
      <c r="I52" s="42">
        <v>0.15800349567874902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>
        <v>0</v>
      </c>
      <c r="X52" s="42"/>
      <c r="Y52" s="42"/>
      <c r="Z52" s="42"/>
      <c r="AA52" s="42"/>
      <c r="AB52" s="42"/>
      <c r="AC52" s="42"/>
      <c r="AE52" s="4">
        <f t="shared" si="273"/>
        <v>2025</v>
      </c>
      <c r="AF52" s="32">
        <f t="shared" ref="AF52:AF61" si="302">B52*$H$1/1000</f>
        <v>377.2155658405764</v>
      </c>
      <c r="AG52" s="32"/>
      <c r="AH52" s="32"/>
      <c r="AI52" s="32"/>
      <c r="AJ52" s="32"/>
      <c r="AK52" s="32"/>
      <c r="AL52" s="32"/>
      <c r="AM52" s="32">
        <f t="shared" ref="AM52:AM61" si="303">I52*$H$1/1000</f>
        <v>7.5691574604904721</v>
      </c>
      <c r="AN52" s="32"/>
      <c r="AO52" s="32"/>
      <c r="AP52" s="32"/>
      <c r="AQ52" s="32"/>
      <c r="AR52" s="32"/>
      <c r="AS52" s="32"/>
      <c r="AT52" s="32">
        <f t="shared" ref="AT52:AT61" si="304">P52*$H$1/1000</f>
        <v>0</v>
      </c>
      <c r="AU52" s="32"/>
      <c r="AV52" s="32"/>
      <c r="AW52" s="32"/>
      <c r="AX52" s="32"/>
      <c r="AY52" s="32"/>
      <c r="AZ52" s="32"/>
      <c r="BA52" s="32">
        <f t="shared" ref="BA52:BA61" si="305">W52*$H$1/1000</f>
        <v>0</v>
      </c>
      <c r="BB52" s="32"/>
      <c r="BC52" s="32"/>
      <c r="BD52" s="32"/>
      <c r="BE52" s="32"/>
      <c r="BF52" s="32"/>
      <c r="BG52" s="32"/>
      <c r="BI52" s="43">
        <f>AM52+AT52</f>
        <v>7.5691574604904721</v>
      </c>
      <c r="BJ52" s="43"/>
      <c r="BK52" s="43"/>
      <c r="BL52" s="43"/>
    </row>
    <row r="53" spans="1:64" s="20" customFormat="1" ht="15.75" customHeight="1" thickBot="1" x14ac:dyDescent="0.3">
      <c r="A53" s="4">
        <f>A52+1</f>
        <v>2026</v>
      </c>
      <c r="B53" s="42">
        <v>9.1685917272339257</v>
      </c>
      <c r="C53" s="42">
        <f>$B53</f>
        <v>9.1685917272339257</v>
      </c>
      <c r="D53" s="42">
        <f>$B53</f>
        <v>9.1685917272339257</v>
      </c>
      <c r="E53" s="42">
        <f>$B53</f>
        <v>9.1685917272339257</v>
      </c>
      <c r="F53" s="42"/>
      <c r="G53" s="42"/>
      <c r="H53" s="42"/>
      <c r="I53" s="42">
        <v>0.30931430228514967</v>
      </c>
      <c r="J53" s="42">
        <f>$I53</f>
        <v>0.30931430228514967</v>
      </c>
      <c r="K53" s="42">
        <f>$I53</f>
        <v>0.30931430228514967</v>
      </c>
      <c r="L53" s="42">
        <f>$I53</f>
        <v>0.30931430228514967</v>
      </c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>
        <v>0</v>
      </c>
      <c r="X53" s="42">
        <v>0</v>
      </c>
      <c r="Y53" s="42">
        <f>$W53</f>
        <v>0</v>
      </c>
      <c r="Z53" s="42">
        <f t="shared" ref="Z53:Z61" si="306">$W53</f>
        <v>0</v>
      </c>
      <c r="AA53" s="42"/>
      <c r="AB53" s="42"/>
      <c r="AC53" s="42"/>
      <c r="AE53" s="4">
        <f t="shared" si="273"/>
        <v>2026</v>
      </c>
      <c r="AF53" s="32">
        <f t="shared" si="302"/>
        <v>439.2213866931412</v>
      </c>
      <c r="AG53" s="32">
        <f t="shared" ref="AG53:AG61" si="307">C53*$H$1/1000</f>
        <v>439.2213866931412</v>
      </c>
      <c r="AH53" s="32">
        <f t="shared" ref="AH53:AH61" si="308">D53*$H$1/1000</f>
        <v>439.2213866931412</v>
      </c>
      <c r="AI53" s="32">
        <f t="shared" ref="AI53:AI61" si="309">E53*$H$1/1000</f>
        <v>439.2213866931412</v>
      </c>
      <c r="AJ53" s="32">
        <f t="shared" ref="AJ53:AJ61" si="310">F53*$H$1/1000</f>
        <v>0</v>
      </c>
      <c r="AK53" s="32">
        <f t="shared" ref="AK53:AK61" si="311">G53*$H$1/1000</f>
        <v>0</v>
      </c>
      <c r="AL53" s="32">
        <f t="shared" ref="AL53:AL61" si="312">H53*$H$1/1000</f>
        <v>0</v>
      </c>
      <c r="AM53" s="32">
        <f t="shared" si="303"/>
        <v>14.817701650970095</v>
      </c>
      <c r="AN53" s="32">
        <f t="shared" ref="AN53:AN61" si="313">J53*$H$1/1000</f>
        <v>14.817701650970095</v>
      </c>
      <c r="AO53" s="32">
        <f t="shared" ref="AO53:AO61" si="314">K53*$H$1/1000</f>
        <v>14.817701650970095</v>
      </c>
      <c r="AP53" s="32">
        <f t="shared" ref="AP53:AP61" si="315">L53*$H$1/1000</f>
        <v>14.817701650970095</v>
      </c>
      <c r="AQ53" s="32">
        <f t="shared" ref="AQ53:AQ61" si="316">M53*$H$1/1000</f>
        <v>0</v>
      </c>
      <c r="AR53" s="32">
        <f t="shared" ref="AR53:AR61" si="317">N53*$H$1/1000</f>
        <v>0</v>
      </c>
      <c r="AS53" s="32">
        <f t="shared" ref="AS53:AS61" si="318">O53*$H$1/1000</f>
        <v>0</v>
      </c>
      <c r="AT53" s="32">
        <f t="shared" si="304"/>
        <v>0</v>
      </c>
      <c r="AU53" s="32">
        <f t="shared" ref="AU53:AU61" si="319">Q53*$H$1/1000</f>
        <v>0</v>
      </c>
      <c r="AV53" s="32">
        <f t="shared" ref="AV53:AV61" si="320">R53*$H$1/1000</f>
        <v>0</v>
      </c>
      <c r="AW53" s="32">
        <f t="shared" ref="AW53:AW61" si="321">S53*$H$1/1000</f>
        <v>0</v>
      </c>
      <c r="AX53" s="32">
        <f t="shared" ref="AX53:AX61" si="322">T53*$H$1/1000</f>
        <v>0</v>
      </c>
      <c r="AY53" s="32">
        <f t="shared" ref="AY53:AY61" si="323">U53*$H$1/1000</f>
        <v>0</v>
      </c>
      <c r="AZ53" s="32">
        <f t="shared" ref="AZ53:AZ61" si="324">V53*$H$1/1000</f>
        <v>0</v>
      </c>
      <c r="BA53" s="32">
        <f t="shared" si="305"/>
        <v>0</v>
      </c>
      <c r="BB53" s="32">
        <f t="shared" ref="BB53:BB61" si="325">X53*$H$1/1000</f>
        <v>0</v>
      </c>
      <c r="BC53" s="32">
        <f t="shared" ref="BC53:BC61" si="326">Y53*$H$1/1000</f>
        <v>0</v>
      </c>
      <c r="BD53" s="32">
        <f t="shared" ref="BD53:BD61" si="327">Z53*$H$1/1000</f>
        <v>0</v>
      </c>
      <c r="BE53" s="32">
        <f t="shared" ref="BE53:BE61" si="328">AA53*$H$1/1000</f>
        <v>0</v>
      </c>
      <c r="BF53" s="32">
        <f t="shared" ref="BF53:BF61" si="329">AB53*$H$1/1000</f>
        <v>0</v>
      </c>
      <c r="BG53" s="32">
        <f t="shared" ref="BG53:BG61" si="330">AC53*$H$1/1000</f>
        <v>0</v>
      </c>
      <c r="BI53" s="43">
        <f t="shared" ref="BI53:BI61" si="331">AM53+AT53</f>
        <v>14.817701650970095</v>
      </c>
      <c r="BJ53" s="43"/>
      <c r="BK53" s="43"/>
      <c r="BL53" s="43"/>
    </row>
    <row r="54" spans="1:64" s="20" customFormat="1" ht="15.75" customHeight="1" thickBot="1" x14ac:dyDescent="0.3">
      <c r="A54" s="4">
        <f t="shared" ref="A54:A61" si="332">A53+1</f>
        <v>2027</v>
      </c>
      <c r="B54" s="42">
        <v>18.479364120735887</v>
      </c>
      <c r="C54" s="42">
        <f>E54</f>
        <v>0</v>
      </c>
      <c r="D54" s="42">
        <v>0</v>
      </c>
      <c r="E54" s="42">
        <v>0</v>
      </c>
      <c r="F54" s="42"/>
      <c r="G54" s="42"/>
      <c r="H54" s="42"/>
      <c r="I54" s="42">
        <v>0.56133122108590028</v>
      </c>
      <c r="J54" s="42">
        <f t="shared" ref="J54:K58" si="333">$L54</f>
        <v>0</v>
      </c>
      <c r="K54" s="42">
        <f t="shared" si="333"/>
        <v>0</v>
      </c>
      <c r="L54" s="42">
        <v>0</v>
      </c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>
        <v>0</v>
      </c>
      <c r="X54" s="42">
        <v>0</v>
      </c>
      <c r="Y54" s="42">
        <f t="shared" ref="Y54:Y61" si="334">$W54</f>
        <v>0</v>
      </c>
      <c r="Z54" s="42">
        <f t="shared" si="306"/>
        <v>0</v>
      </c>
      <c r="AA54" s="42"/>
      <c r="AB54" s="42"/>
      <c r="AC54" s="42"/>
      <c r="AE54" s="4">
        <f t="shared" si="273"/>
        <v>2027</v>
      </c>
      <c r="AF54" s="32">
        <f t="shared" si="302"/>
        <v>885.25393820385273</v>
      </c>
      <c r="AG54" s="32">
        <f t="shared" si="307"/>
        <v>0</v>
      </c>
      <c r="AH54" s="32">
        <f t="shared" si="308"/>
        <v>0</v>
      </c>
      <c r="AI54" s="32">
        <f t="shared" si="309"/>
        <v>0</v>
      </c>
      <c r="AJ54" s="32">
        <f t="shared" si="310"/>
        <v>0</v>
      </c>
      <c r="AK54" s="32">
        <f t="shared" si="311"/>
        <v>0</v>
      </c>
      <c r="AL54" s="32">
        <f t="shared" si="312"/>
        <v>0</v>
      </c>
      <c r="AM54" s="32">
        <f t="shared" si="303"/>
        <v>26.890572146120054</v>
      </c>
      <c r="AN54" s="32">
        <f t="shared" si="313"/>
        <v>0</v>
      </c>
      <c r="AO54" s="32">
        <f t="shared" si="314"/>
        <v>0</v>
      </c>
      <c r="AP54" s="32">
        <f t="shared" si="315"/>
        <v>0</v>
      </c>
      <c r="AQ54" s="32">
        <f t="shared" si="316"/>
        <v>0</v>
      </c>
      <c r="AR54" s="32">
        <f t="shared" si="317"/>
        <v>0</v>
      </c>
      <c r="AS54" s="32">
        <f t="shared" si="318"/>
        <v>0</v>
      </c>
      <c r="AT54" s="32">
        <f t="shared" si="304"/>
        <v>0</v>
      </c>
      <c r="AU54" s="32">
        <f t="shared" si="319"/>
        <v>0</v>
      </c>
      <c r="AV54" s="32">
        <f t="shared" si="320"/>
        <v>0</v>
      </c>
      <c r="AW54" s="32">
        <f t="shared" si="321"/>
        <v>0</v>
      </c>
      <c r="AX54" s="32">
        <f t="shared" si="322"/>
        <v>0</v>
      </c>
      <c r="AY54" s="32">
        <f t="shared" si="323"/>
        <v>0</v>
      </c>
      <c r="AZ54" s="32">
        <f t="shared" si="324"/>
        <v>0</v>
      </c>
      <c r="BA54" s="32">
        <f t="shared" si="305"/>
        <v>0</v>
      </c>
      <c r="BB54" s="32">
        <f t="shared" si="325"/>
        <v>0</v>
      </c>
      <c r="BC54" s="32">
        <f t="shared" si="326"/>
        <v>0</v>
      </c>
      <c r="BD54" s="32">
        <f t="shared" si="327"/>
        <v>0</v>
      </c>
      <c r="BE54" s="32">
        <f t="shared" si="328"/>
        <v>0</v>
      </c>
      <c r="BF54" s="32">
        <f t="shared" si="329"/>
        <v>0</v>
      </c>
      <c r="BG54" s="32">
        <f t="shared" si="330"/>
        <v>0</v>
      </c>
      <c r="BI54" s="43">
        <f t="shared" si="331"/>
        <v>26.890572146120054</v>
      </c>
      <c r="BJ54" s="43"/>
      <c r="BK54" s="43"/>
      <c r="BL54" s="43"/>
    </row>
    <row r="55" spans="1:64" s="20" customFormat="1" ht="15.75" customHeight="1" thickBot="1" x14ac:dyDescent="0.3">
      <c r="A55" s="4">
        <f t="shared" si="332"/>
        <v>2028</v>
      </c>
      <c r="B55" s="42">
        <v>28.518703265925168</v>
      </c>
      <c r="C55" s="42">
        <f t="shared" ref="C55:C61" si="335">E55</f>
        <v>0</v>
      </c>
      <c r="D55" s="42">
        <v>0</v>
      </c>
      <c r="E55" s="42">
        <v>0</v>
      </c>
      <c r="F55" s="42"/>
      <c r="G55" s="42"/>
      <c r="H55" s="42"/>
      <c r="I55" s="42">
        <v>1.1962021748632048</v>
      </c>
      <c r="J55" s="42">
        <f t="shared" si="333"/>
        <v>0</v>
      </c>
      <c r="K55" s="42">
        <f t="shared" si="333"/>
        <v>0</v>
      </c>
      <c r="L55" s="42">
        <v>0</v>
      </c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>
        <v>0</v>
      </c>
      <c r="X55" s="42">
        <v>0</v>
      </c>
      <c r="Y55" s="42">
        <f t="shared" si="334"/>
        <v>0</v>
      </c>
      <c r="Z55" s="42">
        <f t="shared" si="306"/>
        <v>0</v>
      </c>
      <c r="AA55" s="42"/>
      <c r="AB55" s="42"/>
      <c r="AC55" s="42"/>
      <c r="AE55" s="4">
        <f t="shared" si="273"/>
        <v>2028</v>
      </c>
      <c r="AF55" s="32">
        <f t="shared" si="302"/>
        <v>1366.1884799541451</v>
      </c>
      <c r="AG55" s="32">
        <f t="shared" si="307"/>
        <v>0</v>
      </c>
      <c r="AH55" s="32">
        <f t="shared" si="308"/>
        <v>0</v>
      </c>
      <c r="AI55" s="32">
        <f t="shared" si="309"/>
        <v>0</v>
      </c>
      <c r="AJ55" s="32">
        <f t="shared" si="310"/>
        <v>0</v>
      </c>
      <c r="AK55" s="32">
        <f t="shared" si="311"/>
        <v>0</v>
      </c>
      <c r="AL55" s="32">
        <f t="shared" si="312"/>
        <v>0</v>
      </c>
      <c r="AM55" s="32">
        <f t="shared" si="303"/>
        <v>57.304065186821823</v>
      </c>
      <c r="AN55" s="32">
        <f t="shared" si="313"/>
        <v>0</v>
      </c>
      <c r="AO55" s="32">
        <f t="shared" si="314"/>
        <v>0</v>
      </c>
      <c r="AP55" s="32">
        <f t="shared" si="315"/>
        <v>0</v>
      </c>
      <c r="AQ55" s="32">
        <f t="shared" si="316"/>
        <v>0</v>
      </c>
      <c r="AR55" s="32">
        <f t="shared" si="317"/>
        <v>0</v>
      </c>
      <c r="AS55" s="32">
        <f t="shared" si="318"/>
        <v>0</v>
      </c>
      <c r="AT55" s="32">
        <f t="shared" si="304"/>
        <v>0</v>
      </c>
      <c r="AU55" s="32">
        <f t="shared" si="319"/>
        <v>0</v>
      </c>
      <c r="AV55" s="32">
        <f t="shared" si="320"/>
        <v>0</v>
      </c>
      <c r="AW55" s="32">
        <f t="shared" si="321"/>
        <v>0</v>
      </c>
      <c r="AX55" s="32">
        <f t="shared" si="322"/>
        <v>0</v>
      </c>
      <c r="AY55" s="32">
        <f t="shared" si="323"/>
        <v>0</v>
      </c>
      <c r="AZ55" s="32">
        <f t="shared" si="324"/>
        <v>0</v>
      </c>
      <c r="BA55" s="32">
        <f t="shared" si="305"/>
        <v>0</v>
      </c>
      <c r="BB55" s="32">
        <f t="shared" si="325"/>
        <v>0</v>
      </c>
      <c r="BC55" s="32">
        <f t="shared" si="326"/>
        <v>0</v>
      </c>
      <c r="BD55" s="32">
        <f t="shared" si="327"/>
        <v>0</v>
      </c>
      <c r="BE55" s="32">
        <f t="shared" si="328"/>
        <v>0</v>
      </c>
      <c r="BF55" s="32">
        <f t="shared" si="329"/>
        <v>0</v>
      </c>
      <c r="BG55" s="32">
        <f t="shared" si="330"/>
        <v>0</v>
      </c>
      <c r="BI55" s="43">
        <f t="shared" si="331"/>
        <v>57.304065186821823</v>
      </c>
      <c r="BJ55" s="43"/>
      <c r="BK55" s="43"/>
      <c r="BL55" s="43"/>
    </row>
    <row r="56" spans="1:64" s="20" customFormat="1" ht="15.75" customHeight="1" thickBot="1" x14ac:dyDescent="0.3">
      <c r="A56" s="4">
        <f t="shared" si="332"/>
        <v>2029</v>
      </c>
      <c r="B56" s="42">
        <v>37.087666652690473</v>
      </c>
      <c r="C56" s="42">
        <f t="shared" si="335"/>
        <v>2.5833748823085112E-3</v>
      </c>
      <c r="D56" s="42">
        <v>0</v>
      </c>
      <c r="E56" s="42">
        <v>2.5833748823085112E-3</v>
      </c>
      <c r="F56" s="42"/>
      <c r="G56" s="42"/>
      <c r="H56" s="42"/>
      <c r="I56" s="42">
        <v>2.2480583540117411</v>
      </c>
      <c r="J56" s="42">
        <f t="shared" si="333"/>
        <v>0</v>
      </c>
      <c r="K56" s="42">
        <f t="shared" si="333"/>
        <v>0</v>
      </c>
      <c r="L56" s="42">
        <v>0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>
        <v>0</v>
      </c>
      <c r="X56" s="42">
        <v>0</v>
      </c>
      <c r="Y56" s="42">
        <f t="shared" si="334"/>
        <v>0</v>
      </c>
      <c r="Z56" s="42">
        <f t="shared" si="306"/>
        <v>0</v>
      </c>
      <c r="AA56" s="42"/>
      <c r="AB56" s="42"/>
      <c r="AC56" s="42"/>
      <c r="AE56" s="4">
        <f t="shared" si="273"/>
        <v>2029</v>
      </c>
      <c r="AF56" s="32">
        <f t="shared" si="302"/>
        <v>1776.6846709971371</v>
      </c>
      <c r="AG56" s="32">
        <f t="shared" si="307"/>
        <v>0.12375657373698923</v>
      </c>
      <c r="AH56" s="32">
        <f t="shared" si="308"/>
        <v>0</v>
      </c>
      <c r="AI56" s="32">
        <f t="shared" si="309"/>
        <v>0.12375657373698923</v>
      </c>
      <c r="AJ56" s="32">
        <f t="shared" si="310"/>
        <v>0</v>
      </c>
      <c r="AK56" s="32">
        <f t="shared" si="311"/>
        <v>0</v>
      </c>
      <c r="AL56" s="32">
        <f t="shared" si="312"/>
        <v>0</v>
      </c>
      <c r="AM56" s="32">
        <f t="shared" si="303"/>
        <v>107.69323544893247</v>
      </c>
      <c r="AN56" s="32">
        <f t="shared" si="313"/>
        <v>0</v>
      </c>
      <c r="AO56" s="32">
        <f t="shared" si="314"/>
        <v>0</v>
      </c>
      <c r="AP56" s="32">
        <f t="shared" si="315"/>
        <v>0</v>
      </c>
      <c r="AQ56" s="32">
        <f t="shared" si="316"/>
        <v>0</v>
      </c>
      <c r="AR56" s="32">
        <f t="shared" si="317"/>
        <v>0</v>
      </c>
      <c r="AS56" s="32">
        <f t="shared" si="318"/>
        <v>0</v>
      </c>
      <c r="AT56" s="32">
        <f t="shared" si="304"/>
        <v>0</v>
      </c>
      <c r="AU56" s="32">
        <f t="shared" si="319"/>
        <v>0</v>
      </c>
      <c r="AV56" s="32">
        <f t="shared" si="320"/>
        <v>0</v>
      </c>
      <c r="AW56" s="32">
        <f t="shared" si="321"/>
        <v>0</v>
      </c>
      <c r="AX56" s="32">
        <f t="shared" si="322"/>
        <v>0</v>
      </c>
      <c r="AY56" s="32">
        <f t="shared" si="323"/>
        <v>0</v>
      </c>
      <c r="AZ56" s="32">
        <f t="shared" si="324"/>
        <v>0</v>
      </c>
      <c r="BA56" s="32">
        <f t="shared" si="305"/>
        <v>0</v>
      </c>
      <c r="BB56" s="32">
        <f t="shared" si="325"/>
        <v>0</v>
      </c>
      <c r="BC56" s="32">
        <f t="shared" si="326"/>
        <v>0</v>
      </c>
      <c r="BD56" s="32">
        <f t="shared" si="327"/>
        <v>0</v>
      </c>
      <c r="BE56" s="32">
        <f t="shared" si="328"/>
        <v>0</v>
      </c>
      <c r="BF56" s="32">
        <f t="shared" si="329"/>
        <v>0</v>
      </c>
      <c r="BG56" s="32">
        <f t="shared" si="330"/>
        <v>0</v>
      </c>
      <c r="BI56" s="43">
        <f t="shared" si="331"/>
        <v>107.69323544893247</v>
      </c>
      <c r="BJ56" s="43"/>
      <c r="BK56" s="43"/>
      <c r="BL56" s="43"/>
    </row>
    <row r="57" spans="1:64" s="20" customFormat="1" ht="15.75" customHeight="1" thickBot="1" x14ac:dyDescent="0.3">
      <c r="A57" s="4">
        <f t="shared" si="332"/>
        <v>2030</v>
      </c>
      <c r="B57" s="42">
        <v>47.490106900167831</v>
      </c>
      <c r="C57" s="42">
        <f t="shared" si="335"/>
        <v>3.2842248551855975E-2</v>
      </c>
      <c r="D57" s="42">
        <v>0</v>
      </c>
      <c r="E57" s="42">
        <v>3.2842248551855975E-2</v>
      </c>
      <c r="F57" s="42"/>
      <c r="G57" s="42"/>
      <c r="H57" s="42"/>
      <c r="I57" s="42">
        <v>4.3923837107878336</v>
      </c>
      <c r="J57" s="42">
        <f t="shared" si="333"/>
        <v>3.4107193281944555E-3</v>
      </c>
      <c r="K57" s="42">
        <f>J57</f>
        <v>3.4107193281944555E-3</v>
      </c>
      <c r="L57" s="42">
        <v>3.4107193281944555E-3</v>
      </c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>
        <v>0</v>
      </c>
      <c r="X57" s="42">
        <v>0</v>
      </c>
      <c r="Y57" s="42">
        <f t="shared" si="334"/>
        <v>0</v>
      </c>
      <c r="Z57" s="42">
        <f t="shared" si="306"/>
        <v>0</v>
      </c>
      <c r="AA57" s="42"/>
      <c r="AB57" s="42"/>
      <c r="AC57" s="42"/>
      <c r="AE57" s="4">
        <f t="shared" si="273"/>
        <v>2030</v>
      </c>
      <c r="AF57" s="32">
        <f t="shared" si="302"/>
        <v>2275.0135710525401</v>
      </c>
      <c r="AG57" s="32">
        <f t="shared" si="307"/>
        <v>1.5733079168766606</v>
      </c>
      <c r="AH57" s="32">
        <f t="shared" si="308"/>
        <v>0</v>
      </c>
      <c r="AI57" s="32">
        <f t="shared" si="309"/>
        <v>1.5733079168766606</v>
      </c>
      <c r="AJ57" s="32">
        <f t="shared" si="310"/>
        <v>0</v>
      </c>
      <c r="AK57" s="32">
        <f t="shared" si="311"/>
        <v>0</v>
      </c>
      <c r="AL57" s="32">
        <f t="shared" si="312"/>
        <v>0</v>
      </c>
      <c r="AM57" s="32">
        <f t="shared" si="303"/>
        <v>210.41714166529115</v>
      </c>
      <c r="AN57" s="32">
        <f t="shared" si="313"/>
        <v>0.16339050941715538</v>
      </c>
      <c r="AO57" s="32">
        <f t="shared" si="314"/>
        <v>0.16339050941715538</v>
      </c>
      <c r="AP57" s="32">
        <f t="shared" si="315"/>
        <v>0.16339050941715538</v>
      </c>
      <c r="AQ57" s="32">
        <f t="shared" si="316"/>
        <v>0</v>
      </c>
      <c r="AR57" s="32">
        <f t="shared" si="317"/>
        <v>0</v>
      </c>
      <c r="AS57" s="32">
        <f t="shared" si="318"/>
        <v>0</v>
      </c>
      <c r="AT57" s="32">
        <f t="shared" si="304"/>
        <v>0</v>
      </c>
      <c r="AU57" s="32">
        <f t="shared" si="319"/>
        <v>0</v>
      </c>
      <c r="AV57" s="32">
        <f t="shared" si="320"/>
        <v>0</v>
      </c>
      <c r="AW57" s="32">
        <f t="shared" si="321"/>
        <v>0</v>
      </c>
      <c r="AX57" s="32">
        <f t="shared" si="322"/>
        <v>0</v>
      </c>
      <c r="AY57" s="32">
        <f t="shared" si="323"/>
        <v>0</v>
      </c>
      <c r="AZ57" s="32">
        <f t="shared" si="324"/>
        <v>0</v>
      </c>
      <c r="BA57" s="32">
        <f t="shared" si="305"/>
        <v>0</v>
      </c>
      <c r="BB57" s="32">
        <f t="shared" si="325"/>
        <v>0</v>
      </c>
      <c r="BC57" s="32">
        <f t="shared" si="326"/>
        <v>0</v>
      </c>
      <c r="BD57" s="32">
        <f t="shared" si="327"/>
        <v>0</v>
      </c>
      <c r="BE57" s="32">
        <f t="shared" si="328"/>
        <v>0</v>
      </c>
      <c r="BF57" s="32">
        <f t="shared" si="329"/>
        <v>0</v>
      </c>
      <c r="BG57" s="32">
        <f t="shared" si="330"/>
        <v>0</v>
      </c>
      <c r="BI57" s="43">
        <f t="shared" si="331"/>
        <v>210.41714166529115</v>
      </c>
      <c r="BJ57" s="43"/>
      <c r="BK57" s="43"/>
      <c r="BL57" s="43"/>
    </row>
    <row r="58" spans="1:64" s="20" customFormat="1" ht="15.75" customHeight="1" thickBot="1" x14ac:dyDescent="0.3">
      <c r="A58" s="4">
        <f t="shared" si="332"/>
        <v>2031</v>
      </c>
      <c r="B58" s="42">
        <v>57.592685865785811</v>
      </c>
      <c r="C58" s="42">
        <f t="shared" si="335"/>
        <v>0.11218693228533018</v>
      </c>
      <c r="D58" s="42">
        <v>0</v>
      </c>
      <c r="E58" s="42">
        <v>0.11218693228533018</v>
      </c>
      <c r="F58" s="42"/>
      <c r="G58" s="42"/>
      <c r="H58" s="42"/>
      <c r="I58" s="42">
        <v>6.9474065787213544</v>
      </c>
      <c r="J58" s="42">
        <f t="shared" si="333"/>
        <v>8.4325482886934838E-2</v>
      </c>
      <c r="K58" s="42">
        <f>J58</f>
        <v>8.4325482886934838E-2</v>
      </c>
      <c r="L58" s="42">
        <v>8.4325482886934838E-2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>
        <v>0</v>
      </c>
      <c r="X58" s="42">
        <v>0</v>
      </c>
      <c r="Y58" s="42">
        <f t="shared" si="334"/>
        <v>0</v>
      </c>
      <c r="Z58" s="42">
        <f t="shared" si="306"/>
        <v>0</v>
      </c>
      <c r="AA58" s="42"/>
      <c r="AB58" s="42"/>
      <c r="AC58" s="42"/>
      <c r="AE58" s="4">
        <f t="shared" si="273"/>
        <v>2031</v>
      </c>
      <c r="AF58" s="32">
        <f t="shared" si="302"/>
        <v>2758.9776164004693</v>
      </c>
      <c r="AG58" s="32">
        <f t="shared" si="307"/>
        <v>5.3743149911287418</v>
      </c>
      <c r="AH58" s="32">
        <f t="shared" si="308"/>
        <v>0</v>
      </c>
      <c r="AI58" s="32">
        <f t="shared" si="309"/>
        <v>5.3743149911287418</v>
      </c>
      <c r="AJ58" s="32">
        <f t="shared" si="310"/>
        <v>0</v>
      </c>
      <c r="AK58" s="32">
        <f t="shared" si="311"/>
        <v>0</v>
      </c>
      <c r="AL58" s="32">
        <f t="shared" si="312"/>
        <v>0</v>
      </c>
      <c r="AM58" s="32">
        <f t="shared" si="303"/>
        <v>332.81551215364652</v>
      </c>
      <c r="AN58" s="32">
        <f t="shared" si="313"/>
        <v>4.0396122576986135</v>
      </c>
      <c r="AO58" s="32">
        <f t="shared" si="314"/>
        <v>4.0396122576986135</v>
      </c>
      <c r="AP58" s="32">
        <f t="shared" si="315"/>
        <v>4.0396122576986135</v>
      </c>
      <c r="AQ58" s="32">
        <f t="shared" si="316"/>
        <v>0</v>
      </c>
      <c r="AR58" s="32">
        <f t="shared" si="317"/>
        <v>0</v>
      </c>
      <c r="AS58" s="32">
        <f t="shared" si="318"/>
        <v>0</v>
      </c>
      <c r="AT58" s="32">
        <f t="shared" si="304"/>
        <v>0</v>
      </c>
      <c r="AU58" s="32">
        <f t="shared" si="319"/>
        <v>0</v>
      </c>
      <c r="AV58" s="32">
        <f t="shared" si="320"/>
        <v>0</v>
      </c>
      <c r="AW58" s="32">
        <f t="shared" si="321"/>
        <v>0</v>
      </c>
      <c r="AX58" s="32">
        <f t="shared" si="322"/>
        <v>0</v>
      </c>
      <c r="AY58" s="32">
        <f t="shared" si="323"/>
        <v>0</v>
      </c>
      <c r="AZ58" s="32">
        <f t="shared" si="324"/>
        <v>0</v>
      </c>
      <c r="BA58" s="32">
        <f t="shared" si="305"/>
        <v>0</v>
      </c>
      <c r="BB58" s="32">
        <f t="shared" si="325"/>
        <v>0</v>
      </c>
      <c r="BC58" s="32">
        <f t="shared" si="326"/>
        <v>0</v>
      </c>
      <c r="BD58" s="32">
        <f t="shared" si="327"/>
        <v>0</v>
      </c>
      <c r="BE58" s="32">
        <f t="shared" si="328"/>
        <v>0</v>
      </c>
      <c r="BF58" s="32">
        <f t="shared" si="329"/>
        <v>0</v>
      </c>
      <c r="BG58" s="32">
        <f t="shared" si="330"/>
        <v>0</v>
      </c>
      <c r="BI58" s="43">
        <f t="shared" si="331"/>
        <v>332.81551215364652</v>
      </c>
      <c r="BJ58" s="43"/>
      <c r="BK58" s="43"/>
      <c r="BL58" s="43"/>
    </row>
    <row r="59" spans="1:64" s="20" customFormat="1" ht="15.75" customHeight="1" thickBot="1" x14ac:dyDescent="0.3">
      <c r="A59" s="4">
        <f t="shared" si="332"/>
        <v>2032</v>
      </c>
      <c r="B59" s="42">
        <v>69.026431789492221</v>
      </c>
      <c r="C59" s="42">
        <f t="shared" si="335"/>
        <v>0.28685789685057084</v>
      </c>
      <c r="D59" s="42">
        <v>0</v>
      </c>
      <c r="E59" s="42">
        <v>0.28685789685057084</v>
      </c>
      <c r="F59" s="42"/>
      <c r="G59" s="42"/>
      <c r="H59" s="42"/>
      <c r="I59" s="42">
        <v>10.185229491265591</v>
      </c>
      <c r="J59" s="42">
        <f>$L59</f>
        <v>0.44938687685927664</v>
      </c>
      <c r="K59" s="42">
        <f>J59</f>
        <v>0.44938687685927664</v>
      </c>
      <c r="L59" s="42">
        <v>0.44938687685927664</v>
      </c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>
        <v>0</v>
      </c>
      <c r="X59" s="42">
        <v>0</v>
      </c>
      <c r="Y59" s="42">
        <f t="shared" si="334"/>
        <v>0</v>
      </c>
      <c r="Z59" s="42">
        <f t="shared" si="306"/>
        <v>0</v>
      </c>
      <c r="AA59" s="42"/>
      <c r="AB59" s="42"/>
      <c r="AC59" s="42"/>
      <c r="AE59" s="4">
        <f t="shared" si="273"/>
        <v>2032</v>
      </c>
      <c r="AF59" s="32">
        <f t="shared" si="302"/>
        <v>3306.711214875625</v>
      </c>
      <c r="AG59" s="32">
        <f t="shared" si="307"/>
        <v>13.741927548626595</v>
      </c>
      <c r="AH59" s="32">
        <f t="shared" si="308"/>
        <v>0</v>
      </c>
      <c r="AI59" s="32">
        <f t="shared" si="309"/>
        <v>13.741927548626595</v>
      </c>
      <c r="AJ59" s="32">
        <f t="shared" si="310"/>
        <v>0</v>
      </c>
      <c r="AK59" s="32">
        <f t="shared" si="311"/>
        <v>0</v>
      </c>
      <c r="AL59" s="32">
        <f t="shared" si="312"/>
        <v>0</v>
      </c>
      <c r="AM59" s="32">
        <f t="shared" si="303"/>
        <v>487.92341877907819</v>
      </c>
      <c r="AN59" s="32">
        <f t="shared" si="313"/>
        <v>21.527878335943647</v>
      </c>
      <c r="AO59" s="32">
        <f t="shared" si="314"/>
        <v>21.527878335943647</v>
      </c>
      <c r="AP59" s="32">
        <f t="shared" si="315"/>
        <v>21.527878335943647</v>
      </c>
      <c r="AQ59" s="32">
        <f t="shared" si="316"/>
        <v>0</v>
      </c>
      <c r="AR59" s="32">
        <f t="shared" si="317"/>
        <v>0</v>
      </c>
      <c r="AS59" s="32">
        <f t="shared" si="318"/>
        <v>0</v>
      </c>
      <c r="AT59" s="32">
        <f t="shared" si="304"/>
        <v>0</v>
      </c>
      <c r="AU59" s="32">
        <f t="shared" si="319"/>
        <v>0</v>
      </c>
      <c r="AV59" s="32">
        <f t="shared" si="320"/>
        <v>0</v>
      </c>
      <c r="AW59" s="32">
        <f t="shared" si="321"/>
        <v>0</v>
      </c>
      <c r="AX59" s="32">
        <f t="shared" si="322"/>
        <v>0</v>
      </c>
      <c r="AY59" s="32">
        <f t="shared" si="323"/>
        <v>0</v>
      </c>
      <c r="AZ59" s="32">
        <f t="shared" si="324"/>
        <v>0</v>
      </c>
      <c r="BA59" s="32">
        <f t="shared" si="305"/>
        <v>0</v>
      </c>
      <c r="BB59" s="32">
        <f t="shared" si="325"/>
        <v>0</v>
      </c>
      <c r="BC59" s="32">
        <f t="shared" si="326"/>
        <v>0</v>
      </c>
      <c r="BD59" s="32">
        <f t="shared" si="327"/>
        <v>0</v>
      </c>
      <c r="BE59" s="32">
        <f t="shared" si="328"/>
        <v>0</v>
      </c>
      <c r="BF59" s="32">
        <f t="shared" si="329"/>
        <v>0</v>
      </c>
      <c r="BG59" s="32">
        <f t="shared" si="330"/>
        <v>0</v>
      </c>
      <c r="BI59" s="43">
        <f t="shared" si="331"/>
        <v>487.92341877907819</v>
      </c>
      <c r="BJ59" s="43"/>
      <c r="BK59" s="43"/>
      <c r="BL59" s="43"/>
    </row>
    <row r="60" spans="1:64" s="20" customFormat="1" ht="15.75" customHeight="1" thickBot="1" x14ac:dyDescent="0.3">
      <c r="A60" s="4">
        <f t="shared" si="332"/>
        <v>2033</v>
      </c>
      <c r="B60" s="42">
        <v>81.967943224000024</v>
      </c>
      <c r="C60" s="42">
        <f t="shared" si="335"/>
        <v>0.67120599064301212</v>
      </c>
      <c r="D60" s="42">
        <v>0</v>
      </c>
      <c r="E60" s="42">
        <v>0.67120599064301212</v>
      </c>
      <c r="F60" s="42"/>
      <c r="G60" s="42"/>
      <c r="H60" s="42"/>
      <c r="I60" s="42">
        <v>13.946099390737087</v>
      </c>
      <c r="J60" s="42">
        <f t="shared" ref="J60:J61" si="336">$L60</f>
        <v>2.9885905266577732</v>
      </c>
      <c r="K60" s="42">
        <v>0</v>
      </c>
      <c r="L60" s="42">
        <v>2.9885905266577732</v>
      </c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>
        <v>0</v>
      </c>
      <c r="X60" s="42">
        <v>0</v>
      </c>
      <c r="Y60" s="42">
        <f t="shared" si="334"/>
        <v>0</v>
      </c>
      <c r="Z60" s="42">
        <f t="shared" si="306"/>
        <v>0</v>
      </c>
      <c r="AA60" s="42"/>
      <c r="AB60" s="42"/>
      <c r="AC60" s="42"/>
      <c r="AE60" s="4">
        <f t="shared" si="273"/>
        <v>2033</v>
      </c>
      <c r="AF60" s="32">
        <f t="shared" si="302"/>
        <v>3926.6743201457211</v>
      </c>
      <c r="AG60" s="32">
        <f t="shared" si="307"/>
        <v>32.154122981753495</v>
      </c>
      <c r="AH60" s="32">
        <f t="shared" si="308"/>
        <v>0</v>
      </c>
      <c r="AI60" s="32">
        <f t="shared" si="309"/>
        <v>32.154122981753495</v>
      </c>
      <c r="AJ60" s="32">
        <f t="shared" si="310"/>
        <v>0</v>
      </c>
      <c r="AK60" s="32">
        <f t="shared" si="311"/>
        <v>0</v>
      </c>
      <c r="AL60" s="32">
        <f t="shared" si="312"/>
        <v>0</v>
      </c>
      <c r="AM60" s="32">
        <f t="shared" si="303"/>
        <v>668.08789131326023</v>
      </c>
      <c r="AN60" s="32">
        <f t="shared" si="313"/>
        <v>143.16842917954062</v>
      </c>
      <c r="AO60" s="32">
        <f t="shared" si="314"/>
        <v>0</v>
      </c>
      <c r="AP60" s="32">
        <f t="shared" si="315"/>
        <v>143.16842917954062</v>
      </c>
      <c r="AQ60" s="32">
        <f t="shared" si="316"/>
        <v>0</v>
      </c>
      <c r="AR60" s="32">
        <f t="shared" si="317"/>
        <v>0</v>
      </c>
      <c r="AS60" s="32">
        <f t="shared" si="318"/>
        <v>0</v>
      </c>
      <c r="AT60" s="32">
        <f t="shared" si="304"/>
        <v>0</v>
      </c>
      <c r="AU60" s="32">
        <f t="shared" si="319"/>
        <v>0</v>
      </c>
      <c r="AV60" s="32">
        <f t="shared" si="320"/>
        <v>0</v>
      </c>
      <c r="AW60" s="32">
        <f t="shared" si="321"/>
        <v>0</v>
      </c>
      <c r="AX60" s="32">
        <f t="shared" si="322"/>
        <v>0</v>
      </c>
      <c r="AY60" s="32">
        <f t="shared" si="323"/>
        <v>0</v>
      </c>
      <c r="AZ60" s="32">
        <f t="shared" si="324"/>
        <v>0</v>
      </c>
      <c r="BA60" s="32">
        <f t="shared" si="305"/>
        <v>0</v>
      </c>
      <c r="BB60" s="32">
        <f t="shared" si="325"/>
        <v>0</v>
      </c>
      <c r="BC60" s="32">
        <f t="shared" si="326"/>
        <v>0</v>
      </c>
      <c r="BD60" s="32">
        <f t="shared" si="327"/>
        <v>0</v>
      </c>
      <c r="BE60" s="32">
        <f t="shared" si="328"/>
        <v>0</v>
      </c>
      <c r="BF60" s="32">
        <f t="shared" si="329"/>
        <v>0</v>
      </c>
      <c r="BG60" s="32">
        <f t="shared" si="330"/>
        <v>0</v>
      </c>
      <c r="BI60" s="43">
        <f t="shared" si="331"/>
        <v>668.08789131326023</v>
      </c>
      <c r="BJ60" s="43"/>
      <c r="BK60" s="43"/>
      <c r="BL60" s="43"/>
    </row>
    <row r="61" spans="1:64" s="20" customFormat="1" ht="15.75" customHeight="1" thickBot="1" x14ac:dyDescent="0.3">
      <c r="A61" s="4">
        <f t="shared" si="332"/>
        <v>2034</v>
      </c>
      <c r="B61" s="42">
        <v>96.177897459236107</v>
      </c>
      <c r="C61" s="42">
        <f t="shared" si="335"/>
        <v>1.3304431666380072</v>
      </c>
      <c r="D61" s="42">
        <v>9.5711902440339947E-3</v>
      </c>
      <c r="E61" s="42">
        <v>1.3304431666380072</v>
      </c>
      <c r="F61" s="42"/>
      <c r="G61" s="42"/>
      <c r="H61" s="42"/>
      <c r="I61" s="42">
        <v>18.1916507087358</v>
      </c>
      <c r="J61" s="42">
        <f t="shared" si="336"/>
        <v>23.077650164234125</v>
      </c>
      <c r="K61" s="42">
        <v>0</v>
      </c>
      <c r="L61" s="42">
        <v>23.077650164234125</v>
      </c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>
        <v>0</v>
      </c>
      <c r="X61" s="42">
        <v>0</v>
      </c>
      <c r="Y61" s="42">
        <f t="shared" si="334"/>
        <v>0</v>
      </c>
      <c r="Z61" s="42">
        <f t="shared" si="306"/>
        <v>0</v>
      </c>
      <c r="AA61" s="42"/>
      <c r="AB61" s="42"/>
      <c r="AC61" s="42"/>
      <c r="AE61" s="4">
        <f t="shared" si="273"/>
        <v>2034</v>
      </c>
      <c r="AF61" s="32">
        <f t="shared" si="302"/>
        <v>4607.4021777847056</v>
      </c>
      <c r="AG61" s="32">
        <f t="shared" si="307"/>
        <v>63.734879897793732</v>
      </c>
      <c r="AH61" s="32">
        <f t="shared" si="308"/>
        <v>0.45850786864044851</v>
      </c>
      <c r="AI61" s="32">
        <f t="shared" si="309"/>
        <v>63.734879897793732</v>
      </c>
      <c r="AJ61" s="32">
        <f t="shared" si="310"/>
        <v>0</v>
      </c>
      <c r="AK61" s="32">
        <f t="shared" si="311"/>
        <v>0</v>
      </c>
      <c r="AL61" s="32">
        <f t="shared" si="312"/>
        <v>0</v>
      </c>
      <c r="AM61" s="32">
        <f t="shared" si="303"/>
        <v>871.47102720198848</v>
      </c>
      <c r="AN61" s="32">
        <f t="shared" si="313"/>
        <v>1105.5348311176358</v>
      </c>
      <c r="AO61" s="32">
        <f t="shared" si="314"/>
        <v>0</v>
      </c>
      <c r="AP61" s="32">
        <f t="shared" si="315"/>
        <v>1105.5348311176358</v>
      </c>
      <c r="AQ61" s="32">
        <f t="shared" si="316"/>
        <v>0</v>
      </c>
      <c r="AR61" s="32">
        <f t="shared" si="317"/>
        <v>0</v>
      </c>
      <c r="AS61" s="32">
        <f t="shared" si="318"/>
        <v>0</v>
      </c>
      <c r="AT61" s="32">
        <f t="shared" si="304"/>
        <v>0</v>
      </c>
      <c r="AU61" s="32">
        <f t="shared" si="319"/>
        <v>0</v>
      </c>
      <c r="AV61" s="32">
        <f t="shared" si="320"/>
        <v>0</v>
      </c>
      <c r="AW61" s="32">
        <f t="shared" si="321"/>
        <v>0</v>
      </c>
      <c r="AX61" s="32">
        <f t="shared" si="322"/>
        <v>0</v>
      </c>
      <c r="AY61" s="32">
        <f t="shared" si="323"/>
        <v>0</v>
      </c>
      <c r="AZ61" s="32">
        <f t="shared" si="324"/>
        <v>0</v>
      </c>
      <c r="BA61" s="32">
        <f t="shared" si="305"/>
        <v>0</v>
      </c>
      <c r="BB61" s="32">
        <f t="shared" si="325"/>
        <v>0</v>
      </c>
      <c r="BC61" s="32">
        <f t="shared" si="326"/>
        <v>0</v>
      </c>
      <c r="BD61" s="32">
        <f t="shared" si="327"/>
        <v>0</v>
      </c>
      <c r="BE61" s="32">
        <f t="shared" si="328"/>
        <v>0</v>
      </c>
      <c r="BF61" s="32">
        <f t="shared" si="329"/>
        <v>0</v>
      </c>
      <c r="BG61" s="32">
        <f t="shared" si="330"/>
        <v>0</v>
      </c>
      <c r="BI61" s="43">
        <f t="shared" si="331"/>
        <v>871.47102720198848</v>
      </c>
      <c r="BJ61" s="43"/>
      <c r="BK61" s="43"/>
      <c r="BL61" s="43"/>
    </row>
    <row r="62" spans="1:64" s="20" customFormat="1" ht="15.75" customHeight="1" x14ac:dyDescent="0.25"/>
    <row r="63" spans="1:64" s="20" customFormat="1" ht="15.75" customHeight="1" thickBot="1" x14ac:dyDescent="0.3">
      <c r="A63" s="21" t="s">
        <v>137</v>
      </c>
      <c r="AE63" s="21" t="s">
        <v>138</v>
      </c>
    </row>
    <row r="64" spans="1:64" s="20" customFormat="1" ht="15.75" customHeight="1" thickBot="1" x14ac:dyDescent="0.3">
      <c r="A64" s="1" t="s">
        <v>120</v>
      </c>
      <c r="B64" s="1">
        <f>B49</f>
        <v>1</v>
      </c>
      <c r="C64" s="1">
        <f t="shared" ref="C64:AC64" si="337">C49</f>
        <v>2</v>
      </c>
      <c r="D64" s="1">
        <f t="shared" si="337"/>
        <v>3</v>
      </c>
      <c r="E64" s="1">
        <f t="shared" si="337"/>
        <v>4</v>
      </c>
      <c r="F64" s="1">
        <f t="shared" si="337"/>
        <v>5</v>
      </c>
      <c r="G64" s="1">
        <f t="shared" si="337"/>
        <v>6</v>
      </c>
      <c r="H64" s="1">
        <f t="shared" si="337"/>
        <v>7</v>
      </c>
      <c r="I64" s="1">
        <f t="shared" si="337"/>
        <v>1</v>
      </c>
      <c r="J64" s="1">
        <f t="shared" si="337"/>
        <v>2</v>
      </c>
      <c r="K64" s="1">
        <f t="shared" si="337"/>
        <v>3</v>
      </c>
      <c r="L64" s="1">
        <f t="shared" si="337"/>
        <v>4</v>
      </c>
      <c r="M64" s="1">
        <f t="shared" si="337"/>
        <v>5</v>
      </c>
      <c r="N64" s="1">
        <f t="shared" si="337"/>
        <v>6</v>
      </c>
      <c r="O64" s="1">
        <f t="shared" si="337"/>
        <v>7</v>
      </c>
      <c r="P64" s="1">
        <f t="shared" si="337"/>
        <v>1</v>
      </c>
      <c r="Q64" s="1">
        <f t="shared" si="337"/>
        <v>2</v>
      </c>
      <c r="R64" s="1">
        <f t="shared" si="337"/>
        <v>3</v>
      </c>
      <c r="S64" s="1">
        <f t="shared" si="337"/>
        <v>4</v>
      </c>
      <c r="T64" s="1">
        <f t="shared" si="337"/>
        <v>5</v>
      </c>
      <c r="U64" s="1">
        <f t="shared" si="337"/>
        <v>6</v>
      </c>
      <c r="V64" s="1">
        <f t="shared" si="337"/>
        <v>7</v>
      </c>
      <c r="W64" s="1">
        <f t="shared" si="337"/>
        <v>1</v>
      </c>
      <c r="X64" s="1">
        <f t="shared" si="337"/>
        <v>2</v>
      </c>
      <c r="Y64" s="1">
        <f t="shared" si="337"/>
        <v>3</v>
      </c>
      <c r="Z64" s="1">
        <f t="shared" si="337"/>
        <v>4</v>
      </c>
      <c r="AA64" s="1">
        <f t="shared" si="337"/>
        <v>5</v>
      </c>
      <c r="AB64" s="1">
        <f t="shared" si="337"/>
        <v>6</v>
      </c>
      <c r="AC64" s="1">
        <f t="shared" si="337"/>
        <v>7</v>
      </c>
      <c r="AE64" s="1" t="str">
        <f t="shared" ref="AE64:AE76" si="338">A64</f>
        <v>Option</v>
      </c>
      <c r="AF64" s="1">
        <f t="shared" ref="AF64:AF66" si="339">B64</f>
        <v>1</v>
      </c>
      <c r="AG64" s="1">
        <f t="shared" ref="AG64:AG66" si="340">C64</f>
        <v>2</v>
      </c>
      <c r="AH64" s="1">
        <f t="shared" ref="AH64:AH66" si="341">D64</f>
        <v>3</v>
      </c>
      <c r="AI64" s="1">
        <f t="shared" ref="AI64:AI66" si="342">E64</f>
        <v>4</v>
      </c>
      <c r="AJ64" s="1">
        <f t="shared" ref="AJ64:AJ66" si="343">F64</f>
        <v>5</v>
      </c>
      <c r="AK64" s="1">
        <f t="shared" ref="AK64:AK66" si="344">G64</f>
        <v>6</v>
      </c>
      <c r="AL64" s="1">
        <f t="shared" ref="AL64:AL66" si="345">H64</f>
        <v>7</v>
      </c>
      <c r="AM64" s="1">
        <f t="shared" ref="AM64:AM66" si="346">I64</f>
        <v>1</v>
      </c>
      <c r="AN64" s="1">
        <f t="shared" ref="AN64:AN66" si="347">J64</f>
        <v>2</v>
      </c>
      <c r="AO64" s="1">
        <f t="shared" ref="AO64:AO66" si="348">K64</f>
        <v>3</v>
      </c>
      <c r="AP64" s="1">
        <f t="shared" ref="AP64:AP66" si="349">L64</f>
        <v>4</v>
      </c>
      <c r="AQ64" s="1">
        <f t="shared" ref="AQ64:AQ66" si="350">M64</f>
        <v>5</v>
      </c>
      <c r="AR64" s="1">
        <f t="shared" ref="AR64:AR66" si="351">N64</f>
        <v>6</v>
      </c>
      <c r="AS64" s="1">
        <f t="shared" ref="AS64:AS66" si="352">O64</f>
        <v>7</v>
      </c>
      <c r="AT64" s="1">
        <f t="shared" ref="AT64:AT66" si="353">P64</f>
        <v>1</v>
      </c>
      <c r="AU64" s="1">
        <f t="shared" ref="AU64:AU66" si="354">Q64</f>
        <v>2</v>
      </c>
      <c r="AV64" s="1">
        <f t="shared" ref="AV64:AV66" si="355">R64</f>
        <v>3</v>
      </c>
      <c r="AW64" s="1">
        <f t="shared" ref="AW64:AW66" si="356">S64</f>
        <v>4</v>
      </c>
      <c r="AX64" s="1">
        <f t="shared" ref="AX64:AX66" si="357">T64</f>
        <v>5</v>
      </c>
      <c r="AY64" s="1">
        <f t="shared" ref="AY64:AY66" si="358">U64</f>
        <v>6</v>
      </c>
      <c r="AZ64" s="1">
        <f t="shared" ref="AZ64:AZ66" si="359">V64</f>
        <v>7</v>
      </c>
      <c r="BA64" s="1">
        <f t="shared" ref="BA64:BA66" si="360">W64</f>
        <v>1</v>
      </c>
      <c r="BB64" s="1">
        <f t="shared" ref="BB64:BB66" si="361">X64</f>
        <v>2</v>
      </c>
      <c r="BC64" s="1">
        <f t="shared" ref="BC64:BC66" si="362">Y64</f>
        <v>3</v>
      </c>
      <c r="BD64" s="1">
        <f t="shared" ref="BD64:BD66" si="363">Z64</f>
        <v>4</v>
      </c>
      <c r="BE64" s="1">
        <f t="shared" ref="BE64:BE66" si="364">AA64</f>
        <v>5</v>
      </c>
      <c r="BF64" s="1">
        <f t="shared" ref="BF64:BF66" si="365">AB64</f>
        <v>6</v>
      </c>
      <c r="BG64" s="1">
        <f t="shared" ref="BG64:BG66" si="366">AC64</f>
        <v>7</v>
      </c>
    </row>
    <row r="65" spans="1:59" s="20" customFormat="1" ht="15.75" customHeight="1" thickTop="1" thickBot="1" x14ac:dyDescent="0.3">
      <c r="A65" s="6" t="s">
        <v>139</v>
      </c>
      <c r="B65" s="104" t="s">
        <v>40</v>
      </c>
      <c r="C65" s="105"/>
      <c r="D65" s="105"/>
      <c r="E65" s="105"/>
      <c r="F65" s="105"/>
      <c r="G65" s="105"/>
      <c r="H65" s="106"/>
      <c r="I65" s="104"/>
      <c r="J65" s="105"/>
      <c r="K65" s="105"/>
      <c r="L65" s="105"/>
      <c r="M65" s="105"/>
      <c r="N65" s="105"/>
      <c r="O65" s="106"/>
      <c r="P65" s="104"/>
      <c r="Q65" s="105"/>
      <c r="R65" s="105"/>
      <c r="S65" s="105"/>
      <c r="T65" s="105"/>
      <c r="U65" s="105"/>
      <c r="V65" s="106"/>
      <c r="W65" s="104"/>
      <c r="X65" s="105"/>
      <c r="Y65" s="105"/>
      <c r="Z65" s="105"/>
      <c r="AA65" s="105"/>
      <c r="AB65" s="105"/>
      <c r="AC65" s="106"/>
      <c r="AE65" s="6" t="str">
        <f t="shared" si="338"/>
        <v>SUBT</v>
      </c>
      <c r="AF65" s="104" t="str">
        <f t="shared" si="339"/>
        <v>KTS-SBY-SHM-GSB-WND</v>
      </c>
      <c r="AG65" s="105">
        <f t="shared" si="340"/>
        <v>0</v>
      </c>
      <c r="AH65" s="105">
        <f t="shared" si="341"/>
        <v>0</v>
      </c>
      <c r="AI65" s="105">
        <f t="shared" si="342"/>
        <v>0</v>
      </c>
      <c r="AJ65" s="105">
        <f t="shared" si="343"/>
        <v>0</v>
      </c>
      <c r="AK65" s="105">
        <f t="shared" si="344"/>
        <v>0</v>
      </c>
      <c r="AL65" s="106">
        <f t="shared" si="345"/>
        <v>0</v>
      </c>
      <c r="AM65" s="104">
        <f t="shared" si="346"/>
        <v>0</v>
      </c>
      <c r="AN65" s="105">
        <f t="shared" si="347"/>
        <v>0</v>
      </c>
      <c r="AO65" s="105">
        <f t="shared" si="348"/>
        <v>0</v>
      </c>
      <c r="AP65" s="105">
        <f t="shared" si="349"/>
        <v>0</v>
      </c>
      <c r="AQ65" s="105">
        <f t="shared" si="350"/>
        <v>0</v>
      </c>
      <c r="AR65" s="105">
        <f t="shared" si="351"/>
        <v>0</v>
      </c>
      <c r="AS65" s="106">
        <f t="shared" si="352"/>
        <v>0</v>
      </c>
      <c r="AT65" s="104">
        <f t="shared" si="353"/>
        <v>0</v>
      </c>
      <c r="AU65" s="105">
        <f t="shared" si="354"/>
        <v>0</v>
      </c>
      <c r="AV65" s="105">
        <f t="shared" si="355"/>
        <v>0</v>
      </c>
      <c r="AW65" s="105">
        <f t="shared" si="356"/>
        <v>0</v>
      </c>
      <c r="AX65" s="105">
        <f t="shared" si="357"/>
        <v>0</v>
      </c>
      <c r="AY65" s="105">
        <f t="shared" si="358"/>
        <v>0</v>
      </c>
      <c r="AZ65" s="106">
        <f t="shared" si="359"/>
        <v>0</v>
      </c>
      <c r="BA65" s="104">
        <f t="shared" si="360"/>
        <v>0</v>
      </c>
      <c r="BB65" s="105">
        <f t="shared" si="361"/>
        <v>0</v>
      </c>
      <c r="BC65" s="105">
        <f t="shared" si="362"/>
        <v>0</v>
      </c>
      <c r="BD65" s="105">
        <f t="shared" si="363"/>
        <v>0</v>
      </c>
      <c r="BE65" s="105">
        <f t="shared" si="364"/>
        <v>0</v>
      </c>
      <c r="BF65" s="105">
        <f t="shared" si="365"/>
        <v>0</v>
      </c>
      <c r="BG65" s="106">
        <f t="shared" si="366"/>
        <v>0</v>
      </c>
    </row>
    <row r="66" spans="1:59" s="20" customFormat="1" ht="24.75" thickBot="1" x14ac:dyDescent="0.3">
      <c r="A66" s="6" t="s">
        <v>122</v>
      </c>
      <c r="B66" s="101" t="s">
        <v>123</v>
      </c>
      <c r="C66" s="101" t="s">
        <v>123</v>
      </c>
      <c r="D66" s="101" t="s">
        <v>123</v>
      </c>
      <c r="E66" s="101" t="s">
        <v>123</v>
      </c>
      <c r="F66" s="101"/>
      <c r="G66" s="101"/>
      <c r="H66" s="102"/>
      <c r="I66" s="101"/>
      <c r="J66" s="101"/>
      <c r="K66" s="101"/>
      <c r="L66" s="101"/>
      <c r="M66" s="101"/>
      <c r="N66" s="101"/>
      <c r="O66" s="102"/>
      <c r="P66" s="101"/>
      <c r="Q66" s="101"/>
      <c r="R66" s="101"/>
      <c r="S66" s="101"/>
      <c r="T66" s="101"/>
      <c r="U66" s="101"/>
      <c r="V66" s="102"/>
      <c r="W66" s="101"/>
      <c r="X66" s="101"/>
      <c r="Y66" s="101"/>
      <c r="Z66" s="101"/>
      <c r="AA66" s="101"/>
      <c r="AB66" s="101"/>
      <c r="AC66" s="101"/>
      <c r="AE66" s="6" t="str">
        <f t="shared" si="338"/>
        <v>Solution Applied</v>
      </c>
      <c r="AF66" s="30" t="str">
        <f t="shared" si="339"/>
        <v>Nil</v>
      </c>
      <c r="AG66" s="30" t="str">
        <f t="shared" si="340"/>
        <v>Nil</v>
      </c>
      <c r="AH66" s="30" t="str">
        <f t="shared" si="341"/>
        <v>Nil</v>
      </c>
      <c r="AI66" s="30" t="str">
        <f t="shared" si="342"/>
        <v>Nil</v>
      </c>
      <c r="AJ66" s="30">
        <f t="shared" si="343"/>
        <v>0</v>
      </c>
      <c r="AK66" s="30">
        <f t="shared" si="344"/>
        <v>0</v>
      </c>
      <c r="AL66" s="31">
        <f t="shared" si="345"/>
        <v>0</v>
      </c>
      <c r="AM66" s="30">
        <f t="shared" si="346"/>
        <v>0</v>
      </c>
      <c r="AN66" s="30">
        <f t="shared" si="347"/>
        <v>0</v>
      </c>
      <c r="AO66" s="30">
        <f t="shared" si="348"/>
        <v>0</v>
      </c>
      <c r="AP66" s="30">
        <f t="shared" si="349"/>
        <v>0</v>
      </c>
      <c r="AQ66" s="30">
        <f t="shared" si="350"/>
        <v>0</v>
      </c>
      <c r="AR66" s="30">
        <f t="shared" si="351"/>
        <v>0</v>
      </c>
      <c r="AS66" s="31">
        <f t="shared" si="352"/>
        <v>0</v>
      </c>
      <c r="AT66" s="30">
        <f t="shared" si="353"/>
        <v>0</v>
      </c>
      <c r="AU66" s="30">
        <f t="shared" si="354"/>
        <v>0</v>
      </c>
      <c r="AV66" s="30">
        <f t="shared" si="355"/>
        <v>0</v>
      </c>
      <c r="AW66" s="30">
        <f t="shared" si="356"/>
        <v>0</v>
      </c>
      <c r="AX66" s="30">
        <f t="shared" si="357"/>
        <v>0</v>
      </c>
      <c r="AY66" s="30">
        <f t="shared" si="358"/>
        <v>0</v>
      </c>
      <c r="AZ66" s="31">
        <f t="shared" si="359"/>
        <v>0</v>
      </c>
      <c r="BA66" s="30">
        <f t="shared" si="360"/>
        <v>0</v>
      </c>
      <c r="BB66" s="30">
        <f t="shared" si="361"/>
        <v>0</v>
      </c>
      <c r="BC66" s="30">
        <f t="shared" si="362"/>
        <v>0</v>
      </c>
      <c r="BD66" s="30">
        <f t="shared" si="363"/>
        <v>0</v>
      </c>
      <c r="BE66" s="30">
        <f t="shared" si="364"/>
        <v>0</v>
      </c>
      <c r="BF66" s="30">
        <f t="shared" si="365"/>
        <v>0</v>
      </c>
      <c r="BG66" s="30">
        <f t="shared" si="366"/>
        <v>0</v>
      </c>
    </row>
    <row r="67" spans="1:59" s="20" customFormat="1" ht="15.75" customHeight="1" thickBot="1" x14ac:dyDescent="0.3">
      <c r="A67" s="4">
        <f>A7</f>
        <v>2025</v>
      </c>
      <c r="B67" s="42">
        <v>0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E67" s="4">
        <f t="shared" si="338"/>
        <v>2025</v>
      </c>
      <c r="AF67" s="32">
        <f t="shared" ref="AF67:AF76" si="367">B67*$H$1/1000</f>
        <v>0</v>
      </c>
      <c r="AG67" s="32"/>
      <c r="AH67" s="32"/>
      <c r="AI67" s="32"/>
      <c r="AJ67" s="32"/>
      <c r="AK67" s="32"/>
      <c r="AL67" s="32"/>
      <c r="AM67" s="32">
        <f t="shared" ref="AM67:AM76" si="368">I67*$H$1/1000</f>
        <v>0</v>
      </c>
      <c r="AN67" s="32"/>
      <c r="AO67" s="32"/>
      <c r="AP67" s="32"/>
      <c r="AQ67" s="32"/>
      <c r="AR67" s="32"/>
      <c r="AS67" s="32"/>
      <c r="AT67" s="32">
        <f t="shared" ref="AT67:AT76" si="369">P67*$H$1/1000</f>
        <v>0</v>
      </c>
      <c r="AU67" s="32"/>
      <c r="AV67" s="32"/>
      <c r="AW67" s="32"/>
      <c r="AX67" s="32"/>
      <c r="AY67" s="32"/>
      <c r="AZ67" s="32"/>
      <c r="BA67" s="32">
        <f t="shared" ref="BA67:BA76" si="370">W67*$H$1/1000</f>
        <v>0</v>
      </c>
      <c r="BB67" s="32"/>
      <c r="BC67" s="32"/>
      <c r="BD67" s="32"/>
      <c r="BE67" s="32"/>
      <c r="BF67" s="32"/>
      <c r="BG67" s="32"/>
    </row>
    <row r="68" spans="1:59" s="20" customFormat="1" ht="15.75" customHeight="1" thickBot="1" x14ac:dyDescent="0.3">
      <c r="A68" s="4">
        <f>A67+1</f>
        <v>2026</v>
      </c>
      <c r="B68" s="42">
        <v>0</v>
      </c>
      <c r="C68" s="42">
        <f>$B68</f>
        <v>0</v>
      </c>
      <c r="D68" s="42">
        <f t="shared" ref="D68:E76" si="371">$B68</f>
        <v>0</v>
      </c>
      <c r="E68" s="42">
        <f t="shared" si="371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E68" s="4">
        <f t="shared" si="338"/>
        <v>2026</v>
      </c>
      <c r="AF68" s="32">
        <f t="shared" si="367"/>
        <v>0</v>
      </c>
      <c r="AG68" s="32">
        <f t="shared" ref="AG68:AG76" si="372">C68*$H$1/1000</f>
        <v>0</v>
      </c>
      <c r="AH68" s="32">
        <f t="shared" ref="AH68:AH76" si="373">D68*$H$1/1000</f>
        <v>0</v>
      </c>
      <c r="AI68" s="32">
        <f t="shared" ref="AI68:AI76" si="374">E68*$H$1/1000</f>
        <v>0</v>
      </c>
      <c r="AJ68" s="32">
        <f t="shared" ref="AJ68:AJ76" si="375">F68*$H$1/1000</f>
        <v>0</v>
      </c>
      <c r="AK68" s="32">
        <f t="shared" ref="AK68:AK76" si="376">G68*$H$1/1000</f>
        <v>0</v>
      </c>
      <c r="AL68" s="32">
        <f t="shared" ref="AL68:AL76" si="377">H68*$H$1/1000</f>
        <v>0</v>
      </c>
      <c r="AM68" s="32">
        <f t="shared" si="368"/>
        <v>0</v>
      </c>
      <c r="AN68" s="32">
        <f t="shared" ref="AN68:AN76" si="378">J68*$H$1/1000</f>
        <v>0</v>
      </c>
      <c r="AO68" s="32">
        <f t="shared" ref="AO68:AO76" si="379">K68*$H$1/1000</f>
        <v>0</v>
      </c>
      <c r="AP68" s="32">
        <f t="shared" ref="AP68:AP76" si="380">L68*$H$1/1000</f>
        <v>0</v>
      </c>
      <c r="AQ68" s="32">
        <f t="shared" ref="AQ68:AQ76" si="381">M68*$H$1/1000</f>
        <v>0</v>
      </c>
      <c r="AR68" s="32">
        <f t="shared" ref="AR68:AR76" si="382">N68*$H$1/1000</f>
        <v>0</v>
      </c>
      <c r="AS68" s="32">
        <f t="shared" ref="AS68:AS76" si="383">O68*$H$1/1000</f>
        <v>0</v>
      </c>
      <c r="AT68" s="32">
        <f t="shared" si="369"/>
        <v>0</v>
      </c>
      <c r="AU68" s="32">
        <f t="shared" ref="AU68:AU76" si="384">Q68*$H$1/1000</f>
        <v>0</v>
      </c>
      <c r="AV68" s="32">
        <f t="shared" ref="AV68:AV76" si="385">R68*$H$1/1000</f>
        <v>0</v>
      </c>
      <c r="AW68" s="32">
        <f t="shared" ref="AW68:AW76" si="386">S68*$H$1/1000</f>
        <v>0</v>
      </c>
      <c r="AX68" s="32">
        <f t="shared" ref="AX68:AX76" si="387">T68*$H$1/1000</f>
        <v>0</v>
      </c>
      <c r="AY68" s="32">
        <f t="shared" ref="AY68:AY76" si="388">U68*$H$1/1000</f>
        <v>0</v>
      </c>
      <c r="AZ68" s="32">
        <f t="shared" ref="AZ68:AZ76" si="389">V68*$H$1/1000</f>
        <v>0</v>
      </c>
      <c r="BA68" s="32">
        <f t="shared" si="370"/>
        <v>0</v>
      </c>
      <c r="BB68" s="32">
        <f t="shared" ref="BB68:BB76" si="390">X68*$H$1/1000</f>
        <v>0</v>
      </c>
      <c r="BC68" s="32">
        <f t="shared" ref="BC68:BC76" si="391">Y68*$H$1/1000</f>
        <v>0</v>
      </c>
      <c r="BD68" s="32">
        <f t="shared" ref="BD68:BD76" si="392">Z68*$H$1/1000</f>
        <v>0</v>
      </c>
      <c r="BE68" s="32">
        <f t="shared" ref="BE68:BE76" si="393">AA68*$H$1/1000</f>
        <v>0</v>
      </c>
      <c r="BF68" s="32">
        <f t="shared" ref="BF68:BF76" si="394">AB68*$H$1/1000</f>
        <v>0</v>
      </c>
      <c r="BG68" s="32">
        <f t="shared" ref="BG68:BG76" si="395">AC68*$H$1/1000</f>
        <v>0</v>
      </c>
    </row>
    <row r="69" spans="1:59" s="20" customFormat="1" ht="15.75" customHeight="1" thickBot="1" x14ac:dyDescent="0.3">
      <c r="A69" s="4">
        <f t="shared" ref="A69:A76" si="396">A68+1</f>
        <v>2027</v>
      </c>
      <c r="B69" s="42">
        <v>0</v>
      </c>
      <c r="C69" s="42">
        <f t="shared" ref="C69:C76" si="397">$B69</f>
        <v>0</v>
      </c>
      <c r="D69" s="42">
        <f t="shared" si="371"/>
        <v>0</v>
      </c>
      <c r="E69" s="42">
        <f t="shared" si="371"/>
        <v>0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E69" s="4">
        <f t="shared" si="338"/>
        <v>2027</v>
      </c>
      <c r="AF69" s="32">
        <f t="shared" si="367"/>
        <v>0</v>
      </c>
      <c r="AG69" s="32">
        <f t="shared" si="372"/>
        <v>0</v>
      </c>
      <c r="AH69" s="32">
        <f t="shared" si="373"/>
        <v>0</v>
      </c>
      <c r="AI69" s="32">
        <f t="shared" si="374"/>
        <v>0</v>
      </c>
      <c r="AJ69" s="32">
        <f t="shared" si="375"/>
        <v>0</v>
      </c>
      <c r="AK69" s="32">
        <f t="shared" si="376"/>
        <v>0</v>
      </c>
      <c r="AL69" s="32">
        <f t="shared" si="377"/>
        <v>0</v>
      </c>
      <c r="AM69" s="32">
        <f t="shared" si="368"/>
        <v>0</v>
      </c>
      <c r="AN69" s="32">
        <f t="shared" si="378"/>
        <v>0</v>
      </c>
      <c r="AO69" s="32">
        <f t="shared" si="379"/>
        <v>0</v>
      </c>
      <c r="AP69" s="32">
        <f t="shared" si="380"/>
        <v>0</v>
      </c>
      <c r="AQ69" s="32">
        <f t="shared" si="381"/>
        <v>0</v>
      </c>
      <c r="AR69" s="32">
        <f t="shared" si="382"/>
        <v>0</v>
      </c>
      <c r="AS69" s="32">
        <f t="shared" si="383"/>
        <v>0</v>
      </c>
      <c r="AT69" s="32">
        <f t="shared" si="369"/>
        <v>0</v>
      </c>
      <c r="AU69" s="32">
        <f t="shared" si="384"/>
        <v>0</v>
      </c>
      <c r="AV69" s="32">
        <f t="shared" si="385"/>
        <v>0</v>
      </c>
      <c r="AW69" s="32">
        <f t="shared" si="386"/>
        <v>0</v>
      </c>
      <c r="AX69" s="32">
        <f t="shared" si="387"/>
        <v>0</v>
      </c>
      <c r="AY69" s="32">
        <f t="shared" si="388"/>
        <v>0</v>
      </c>
      <c r="AZ69" s="32">
        <f t="shared" si="389"/>
        <v>0</v>
      </c>
      <c r="BA69" s="32">
        <f t="shared" si="370"/>
        <v>0</v>
      </c>
      <c r="BB69" s="32">
        <f t="shared" si="390"/>
        <v>0</v>
      </c>
      <c r="BC69" s="32">
        <f t="shared" si="391"/>
        <v>0</v>
      </c>
      <c r="BD69" s="32">
        <f t="shared" si="392"/>
        <v>0</v>
      </c>
      <c r="BE69" s="32">
        <f t="shared" si="393"/>
        <v>0</v>
      </c>
      <c r="BF69" s="32">
        <f t="shared" si="394"/>
        <v>0</v>
      </c>
      <c r="BG69" s="32">
        <f t="shared" si="395"/>
        <v>0</v>
      </c>
    </row>
    <row r="70" spans="1:59" s="20" customFormat="1" ht="15.75" customHeight="1" thickBot="1" x14ac:dyDescent="0.3">
      <c r="A70" s="4">
        <f t="shared" si="396"/>
        <v>2028</v>
      </c>
      <c r="B70" s="42">
        <v>0</v>
      </c>
      <c r="C70" s="42">
        <f t="shared" si="397"/>
        <v>0</v>
      </c>
      <c r="D70" s="42">
        <f t="shared" si="371"/>
        <v>0</v>
      </c>
      <c r="E70" s="42">
        <f t="shared" si="371"/>
        <v>0</v>
      </c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E70" s="4">
        <f t="shared" si="338"/>
        <v>2028</v>
      </c>
      <c r="AF70" s="32">
        <f t="shared" si="367"/>
        <v>0</v>
      </c>
      <c r="AG70" s="32">
        <f t="shared" si="372"/>
        <v>0</v>
      </c>
      <c r="AH70" s="32">
        <f t="shared" si="373"/>
        <v>0</v>
      </c>
      <c r="AI70" s="32">
        <f t="shared" si="374"/>
        <v>0</v>
      </c>
      <c r="AJ70" s="32">
        <f t="shared" si="375"/>
        <v>0</v>
      </c>
      <c r="AK70" s="32">
        <f t="shared" si="376"/>
        <v>0</v>
      </c>
      <c r="AL70" s="32">
        <f t="shared" si="377"/>
        <v>0</v>
      </c>
      <c r="AM70" s="32">
        <f t="shared" si="368"/>
        <v>0</v>
      </c>
      <c r="AN70" s="32">
        <f t="shared" si="378"/>
        <v>0</v>
      </c>
      <c r="AO70" s="32">
        <f t="shared" si="379"/>
        <v>0</v>
      </c>
      <c r="AP70" s="32">
        <f t="shared" si="380"/>
        <v>0</v>
      </c>
      <c r="AQ70" s="32">
        <f t="shared" si="381"/>
        <v>0</v>
      </c>
      <c r="AR70" s="32">
        <f t="shared" si="382"/>
        <v>0</v>
      </c>
      <c r="AS70" s="32">
        <f t="shared" si="383"/>
        <v>0</v>
      </c>
      <c r="AT70" s="32">
        <f t="shared" si="369"/>
        <v>0</v>
      </c>
      <c r="AU70" s="32">
        <f t="shared" si="384"/>
        <v>0</v>
      </c>
      <c r="AV70" s="32">
        <f t="shared" si="385"/>
        <v>0</v>
      </c>
      <c r="AW70" s="32">
        <f t="shared" si="386"/>
        <v>0</v>
      </c>
      <c r="AX70" s="32">
        <f t="shared" si="387"/>
        <v>0</v>
      </c>
      <c r="AY70" s="32">
        <f t="shared" si="388"/>
        <v>0</v>
      </c>
      <c r="AZ70" s="32">
        <f t="shared" si="389"/>
        <v>0</v>
      </c>
      <c r="BA70" s="32">
        <f t="shared" si="370"/>
        <v>0</v>
      </c>
      <c r="BB70" s="32">
        <f t="shared" si="390"/>
        <v>0</v>
      </c>
      <c r="BC70" s="32">
        <f t="shared" si="391"/>
        <v>0</v>
      </c>
      <c r="BD70" s="32">
        <f t="shared" si="392"/>
        <v>0</v>
      </c>
      <c r="BE70" s="32">
        <f t="shared" si="393"/>
        <v>0</v>
      </c>
      <c r="BF70" s="32">
        <f t="shared" si="394"/>
        <v>0</v>
      </c>
      <c r="BG70" s="32">
        <f t="shared" si="395"/>
        <v>0</v>
      </c>
    </row>
    <row r="71" spans="1:59" s="20" customFormat="1" ht="15.75" customHeight="1" thickBot="1" x14ac:dyDescent="0.3">
      <c r="A71" s="4">
        <f t="shared" si="396"/>
        <v>2029</v>
      </c>
      <c r="B71" s="42">
        <v>0</v>
      </c>
      <c r="C71" s="42">
        <f t="shared" si="397"/>
        <v>0</v>
      </c>
      <c r="D71" s="42">
        <f t="shared" si="371"/>
        <v>0</v>
      </c>
      <c r="E71" s="42">
        <f t="shared" si="371"/>
        <v>0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E71" s="4">
        <f t="shared" si="338"/>
        <v>2029</v>
      </c>
      <c r="AF71" s="32">
        <f t="shared" si="367"/>
        <v>0</v>
      </c>
      <c r="AG71" s="32">
        <f t="shared" si="372"/>
        <v>0</v>
      </c>
      <c r="AH71" s="32">
        <f t="shared" si="373"/>
        <v>0</v>
      </c>
      <c r="AI71" s="32">
        <f t="shared" si="374"/>
        <v>0</v>
      </c>
      <c r="AJ71" s="32">
        <f t="shared" si="375"/>
        <v>0</v>
      </c>
      <c r="AK71" s="32">
        <f t="shared" si="376"/>
        <v>0</v>
      </c>
      <c r="AL71" s="32">
        <f t="shared" si="377"/>
        <v>0</v>
      </c>
      <c r="AM71" s="32">
        <f t="shared" si="368"/>
        <v>0</v>
      </c>
      <c r="AN71" s="32">
        <f t="shared" si="378"/>
        <v>0</v>
      </c>
      <c r="AO71" s="32">
        <f t="shared" si="379"/>
        <v>0</v>
      </c>
      <c r="AP71" s="32">
        <f t="shared" si="380"/>
        <v>0</v>
      </c>
      <c r="AQ71" s="32">
        <f t="shared" si="381"/>
        <v>0</v>
      </c>
      <c r="AR71" s="32">
        <f t="shared" si="382"/>
        <v>0</v>
      </c>
      <c r="AS71" s="32">
        <f t="shared" si="383"/>
        <v>0</v>
      </c>
      <c r="AT71" s="32">
        <f t="shared" si="369"/>
        <v>0</v>
      </c>
      <c r="AU71" s="32">
        <f t="shared" si="384"/>
        <v>0</v>
      </c>
      <c r="AV71" s="32">
        <f t="shared" si="385"/>
        <v>0</v>
      </c>
      <c r="AW71" s="32">
        <f t="shared" si="386"/>
        <v>0</v>
      </c>
      <c r="AX71" s="32">
        <f t="shared" si="387"/>
        <v>0</v>
      </c>
      <c r="AY71" s="32">
        <f t="shared" si="388"/>
        <v>0</v>
      </c>
      <c r="AZ71" s="32">
        <f t="shared" si="389"/>
        <v>0</v>
      </c>
      <c r="BA71" s="32">
        <f t="shared" si="370"/>
        <v>0</v>
      </c>
      <c r="BB71" s="32">
        <f t="shared" si="390"/>
        <v>0</v>
      </c>
      <c r="BC71" s="32">
        <f t="shared" si="391"/>
        <v>0</v>
      </c>
      <c r="BD71" s="32">
        <f t="shared" si="392"/>
        <v>0</v>
      </c>
      <c r="BE71" s="32">
        <f t="shared" si="393"/>
        <v>0</v>
      </c>
      <c r="BF71" s="32">
        <f t="shared" si="394"/>
        <v>0</v>
      </c>
      <c r="BG71" s="32">
        <f t="shared" si="395"/>
        <v>0</v>
      </c>
    </row>
    <row r="72" spans="1:59" s="20" customFormat="1" ht="15.75" customHeight="1" thickBot="1" x14ac:dyDescent="0.3">
      <c r="A72" s="4">
        <f t="shared" si="396"/>
        <v>2030</v>
      </c>
      <c r="B72" s="42">
        <v>1.7361593329293773E-4</v>
      </c>
      <c r="C72" s="42">
        <f t="shared" si="397"/>
        <v>1.7361593329293773E-4</v>
      </c>
      <c r="D72" s="42">
        <f t="shared" si="371"/>
        <v>1.7361593329293773E-4</v>
      </c>
      <c r="E72" s="42">
        <f t="shared" si="371"/>
        <v>1.7361593329293773E-4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E72" s="4">
        <f t="shared" si="338"/>
        <v>2030</v>
      </c>
      <c r="AF72" s="32">
        <f t="shared" si="367"/>
        <v>8.3170712843981826E-3</v>
      </c>
      <c r="AG72" s="32">
        <f t="shared" si="372"/>
        <v>8.3170712843981826E-3</v>
      </c>
      <c r="AH72" s="32">
        <f t="shared" si="373"/>
        <v>8.3170712843981826E-3</v>
      </c>
      <c r="AI72" s="32">
        <f t="shared" si="374"/>
        <v>8.3170712843981826E-3</v>
      </c>
      <c r="AJ72" s="32">
        <f t="shared" si="375"/>
        <v>0</v>
      </c>
      <c r="AK72" s="32">
        <f t="shared" si="376"/>
        <v>0</v>
      </c>
      <c r="AL72" s="32">
        <f t="shared" si="377"/>
        <v>0</v>
      </c>
      <c r="AM72" s="32">
        <f t="shared" si="368"/>
        <v>0</v>
      </c>
      <c r="AN72" s="32">
        <f t="shared" si="378"/>
        <v>0</v>
      </c>
      <c r="AO72" s="32">
        <f t="shared" si="379"/>
        <v>0</v>
      </c>
      <c r="AP72" s="32">
        <f t="shared" si="380"/>
        <v>0</v>
      </c>
      <c r="AQ72" s="32">
        <f t="shared" si="381"/>
        <v>0</v>
      </c>
      <c r="AR72" s="32">
        <f t="shared" si="382"/>
        <v>0</v>
      </c>
      <c r="AS72" s="32">
        <f t="shared" si="383"/>
        <v>0</v>
      </c>
      <c r="AT72" s="32">
        <f t="shared" si="369"/>
        <v>0</v>
      </c>
      <c r="AU72" s="32">
        <f t="shared" si="384"/>
        <v>0</v>
      </c>
      <c r="AV72" s="32">
        <f t="shared" si="385"/>
        <v>0</v>
      </c>
      <c r="AW72" s="32">
        <f t="shared" si="386"/>
        <v>0</v>
      </c>
      <c r="AX72" s="32">
        <f t="shared" si="387"/>
        <v>0</v>
      </c>
      <c r="AY72" s="32">
        <f t="shared" si="388"/>
        <v>0</v>
      </c>
      <c r="AZ72" s="32">
        <f t="shared" si="389"/>
        <v>0</v>
      </c>
      <c r="BA72" s="32">
        <f t="shared" si="370"/>
        <v>0</v>
      </c>
      <c r="BB72" s="32">
        <f t="shared" si="390"/>
        <v>0</v>
      </c>
      <c r="BC72" s="32">
        <f t="shared" si="391"/>
        <v>0</v>
      </c>
      <c r="BD72" s="32">
        <f t="shared" si="392"/>
        <v>0</v>
      </c>
      <c r="BE72" s="32">
        <f t="shared" si="393"/>
        <v>0</v>
      </c>
      <c r="BF72" s="32">
        <f t="shared" si="394"/>
        <v>0</v>
      </c>
      <c r="BG72" s="32">
        <f t="shared" si="395"/>
        <v>0</v>
      </c>
    </row>
    <row r="73" spans="1:59" s="20" customFormat="1" ht="15.75" customHeight="1" thickBot="1" x14ac:dyDescent="0.3">
      <c r="A73" s="4">
        <f t="shared" si="396"/>
        <v>2031</v>
      </c>
      <c r="B73" s="42">
        <v>1.6228956444755305E-3</v>
      </c>
      <c r="C73" s="42">
        <f t="shared" si="397"/>
        <v>1.6228956444755305E-3</v>
      </c>
      <c r="D73" s="42">
        <f t="shared" si="371"/>
        <v>1.6228956444755305E-3</v>
      </c>
      <c r="E73" s="42">
        <f t="shared" si="371"/>
        <v>1.6228956444755305E-3</v>
      </c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E73" s="4">
        <f t="shared" si="338"/>
        <v>2031</v>
      </c>
      <c r="AF73" s="32">
        <f t="shared" si="367"/>
        <v>7.7744815848600282E-2</v>
      </c>
      <c r="AG73" s="32">
        <f t="shared" si="372"/>
        <v>7.7744815848600282E-2</v>
      </c>
      <c r="AH73" s="32">
        <f t="shared" si="373"/>
        <v>7.7744815848600282E-2</v>
      </c>
      <c r="AI73" s="32">
        <f t="shared" si="374"/>
        <v>7.7744815848600282E-2</v>
      </c>
      <c r="AJ73" s="32">
        <f t="shared" si="375"/>
        <v>0</v>
      </c>
      <c r="AK73" s="32">
        <f t="shared" si="376"/>
        <v>0</v>
      </c>
      <c r="AL73" s="32">
        <f t="shared" si="377"/>
        <v>0</v>
      </c>
      <c r="AM73" s="32">
        <f t="shared" si="368"/>
        <v>0</v>
      </c>
      <c r="AN73" s="32">
        <f t="shared" si="378"/>
        <v>0</v>
      </c>
      <c r="AO73" s="32">
        <f t="shared" si="379"/>
        <v>0</v>
      </c>
      <c r="AP73" s="32">
        <f t="shared" si="380"/>
        <v>0</v>
      </c>
      <c r="AQ73" s="32">
        <f t="shared" si="381"/>
        <v>0</v>
      </c>
      <c r="AR73" s="32">
        <f t="shared" si="382"/>
        <v>0</v>
      </c>
      <c r="AS73" s="32">
        <f t="shared" si="383"/>
        <v>0</v>
      </c>
      <c r="AT73" s="32">
        <f t="shared" si="369"/>
        <v>0</v>
      </c>
      <c r="AU73" s="32">
        <f t="shared" si="384"/>
        <v>0</v>
      </c>
      <c r="AV73" s="32">
        <f t="shared" si="385"/>
        <v>0</v>
      </c>
      <c r="AW73" s="32">
        <f t="shared" si="386"/>
        <v>0</v>
      </c>
      <c r="AX73" s="32">
        <f t="shared" si="387"/>
        <v>0</v>
      </c>
      <c r="AY73" s="32">
        <f t="shared" si="388"/>
        <v>0</v>
      </c>
      <c r="AZ73" s="32">
        <f t="shared" si="389"/>
        <v>0</v>
      </c>
      <c r="BA73" s="32">
        <f t="shared" si="370"/>
        <v>0</v>
      </c>
      <c r="BB73" s="32">
        <f t="shared" si="390"/>
        <v>0</v>
      </c>
      <c r="BC73" s="32">
        <f t="shared" si="391"/>
        <v>0</v>
      </c>
      <c r="BD73" s="32">
        <f t="shared" si="392"/>
        <v>0</v>
      </c>
      <c r="BE73" s="32">
        <f t="shared" si="393"/>
        <v>0</v>
      </c>
      <c r="BF73" s="32">
        <f t="shared" si="394"/>
        <v>0</v>
      </c>
      <c r="BG73" s="32">
        <f t="shared" si="395"/>
        <v>0</v>
      </c>
    </row>
    <row r="74" spans="1:59" s="20" customFormat="1" ht="15.75" customHeight="1" thickBot="1" x14ac:dyDescent="0.3">
      <c r="A74" s="4">
        <f t="shared" si="396"/>
        <v>2032</v>
      </c>
      <c r="B74" s="42">
        <v>7.2660801130259639E-3</v>
      </c>
      <c r="C74" s="42">
        <f t="shared" si="397"/>
        <v>7.2660801130259639E-3</v>
      </c>
      <c r="D74" s="42">
        <f t="shared" si="371"/>
        <v>7.2660801130259639E-3</v>
      </c>
      <c r="E74" s="42">
        <f t="shared" si="371"/>
        <v>7.2660801130259639E-3</v>
      </c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E74" s="4">
        <f t="shared" si="338"/>
        <v>2032</v>
      </c>
      <c r="AF74" s="32">
        <f t="shared" si="367"/>
        <v>0.34808156781450877</v>
      </c>
      <c r="AG74" s="32">
        <f t="shared" si="372"/>
        <v>0.34808156781450877</v>
      </c>
      <c r="AH74" s="32">
        <f t="shared" si="373"/>
        <v>0.34808156781450877</v>
      </c>
      <c r="AI74" s="32">
        <f t="shared" si="374"/>
        <v>0.34808156781450877</v>
      </c>
      <c r="AJ74" s="32">
        <f t="shared" si="375"/>
        <v>0</v>
      </c>
      <c r="AK74" s="32">
        <f t="shared" si="376"/>
        <v>0</v>
      </c>
      <c r="AL74" s="32">
        <f t="shared" si="377"/>
        <v>0</v>
      </c>
      <c r="AM74" s="32">
        <f t="shared" si="368"/>
        <v>0</v>
      </c>
      <c r="AN74" s="32">
        <f t="shared" si="378"/>
        <v>0</v>
      </c>
      <c r="AO74" s="32">
        <f t="shared" si="379"/>
        <v>0</v>
      </c>
      <c r="AP74" s="32">
        <f t="shared" si="380"/>
        <v>0</v>
      </c>
      <c r="AQ74" s="32">
        <f t="shared" si="381"/>
        <v>0</v>
      </c>
      <c r="AR74" s="32">
        <f t="shared" si="382"/>
        <v>0</v>
      </c>
      <c r="AS74" s="32">
        <f t="shared" si="383"/>
        <v>0</v>
      </c>
      <c r="AT74" s="32">
        <f t="shared" si="369"/>
        <v>0</v>
      </c>
      <c r="AU74" s="32">
        <f t="shared" si="384"/>
        <v>0</v>
      </c>
      <c r="AV74" s="32">
        <f t="shared" si="385"/>
        <v>0</v>
      </c>
      <c r="AW74" s="32">
        <f t="shared" si="386"/>
        <v>0</v>
      </c>
      <c r="AX74" s="32">
        <f t="shared" si="387"/>
        <v>0</v>
      </c>
      <c r="AY74" s="32">
        <f t="shared" si="388"/>
        <v>0</v>
      </c>
      <c r="AZ74" s="32">
        <f t="shared" si="389"/>
        <v>0</v>
      </c>
      <c r="BA74" s="32">
        <f t="shared" si="370"/>
        <v>0</v>
      </c>
      <c r="BB74" s="32">
        <f t="shared" si="390"/>
        <v>0</v>
      </c>
      <c r="BC74" s="32">
        <f t="shared" si="391"/>
        <v>0</v>
      </c>
      <c r="BD74" s="32">
        <f t="shared" si="392"/>
        <v>0</v>
      </c>
      <c r="BE74" s="32">
        <f t="shared" si="393"/>
        <v>0</v>
      </c>
      <c r="BF74" s="32">
        <f t="shared" si="394"/>
        <v>0</v>
      </c>
      <c r="BG74" s="32">
        <f t="shared" si="395"/>
        <v>0</v>
      </c>
    </row>
    <row r="75" spans="1:59" s="20" customFormat="1" ht="15.75" customHeight="1" thickBot="1" x14ac:dyDescent="0.3">
      <c r="A75" s="4">
        <f t="shared" si="396"/>
        <v>2033</v>
      </c>
      <c r="B75" s="42">
        <v>2.0830137082786009E-2</v>
      </c>
      <c r="C75" s="42">
        <f t="shared" si="397"/>
        <v>2.0830137082786009E-2</v>
      </c>
      <c r="D75" s="42">
        <f t="shared" si="371"/>
        <v>2.0830137082786009E-2</v>
      </c>
      <c r="E75" s="42">
        <f t="shared" si="371"/>
        <v>2.0830137082786009E-2</v>
      </c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E75" s="4">
        <f t="shared" si="338"/>
        <v>2033</v>
      </c>
      <c r="AF75" s="32">
        <f t="shared" si="367"/>
        <v>0.99786771695086374</v>
      </c>
      <c r="AG75" s="32">
        <f t="shared" si="372"/>
        <v>0.99786771695086374</v>
      </c>
      <c r="AH75" s="32">
        <f t="shared" si="373"/>
        <v>0.99786771695086374</v>
      </c>
      <c r="AI75" s="32">
        <f t="shared" si="374"/>
        <v>0.99786771695086374</v>
      </c>
      <c r="AJ75" s="32">
        <f t="shared" si="375"/>
        <v>0</v>
      </c>
      <c r="AK75" s="32">
        <f t="shared" si="376"/>
        <v>0</v>
      </c>
      <c r="AL75" s="32">
        <f t="shared" si="377"/>
        <v>0</v>
      </c>
      <c r="AM75" s="32">
        <f t="shared" si="368"/>
        <v>0</v>
      </c>
      <c r="AN75" s="32">
        <f t="shared" si="378"/>
        <v>0</v>
      </c>
      <c r="AO75" s="32">
        <f t="shared" si="379"/>
        <v>0</v>
      </c>
      <c r="AP75" s="32">
        <f t="shared" si="380"/>
        <v>0</v>
      </c>
      <c r="AQ75" s="32">
        <f t="shared" si="381"/>
        <v>0</v>
      </c>
      <c r="AR75" s="32">
        <f t="shared" si="382"/>
        <v>0</v>
      </c>
      <c r="AS75" s="32">
        <f t="shared" si="383"/>
        <v>0</v>
      </c>
      <c r="AT75" s="32">
        <f t="shared" si="369"/>
        <v>0</v>
      </c>
      <c r="AU75" s="32">
        <f t="shared" si="384"/>
        <v>0</v>
      </c>
      <c r="AV75" s="32">
        <f t="shared" si="385"/>
        <v>0</v>
      </c>
      <c r="AW75" s="32">
        <f t="shared" si="386"/>
        <v>0</v>
      </c>
      <c r="AX75" s="32">
        <f t="shared" si="387"/>
        <v>0</v>
      </c>
      <c r="AY75" s="32">
        <f t="shared" si="388"/>
        <v>0</v>
      </c>
      <c r="AZ75" s="32">
        <f t="shared" si="389"/>
        <v>0</v>
      </c>
      <c r="BA75" s="32">
        <f t="shared" si="370"/>
        <v>0</v>
      </c>
      <c r="BB75" s="32">
        <f t="shared" si="390"/>
        <v>0</v>
      </c>
      <c r="BC75" s="32">
        <f t="shared" si="391"/>
        <v>0</v>
      </c>
      <c r="BD75" s="32">
        <f t="shared" si="392"/>
        <v>0</v>
      </c>
      <c r="BE75" s="32">
        <f t="shared" si="393"/>
        <v>0</v>
      </c>
      <c r="BF75" s="32">
        <f t="shared" si="394"/>
        <v>0</v>
      </c>
      <c r="BG75" s="32">
        <f t="shared" si="395"/>
        <v>0</v>
      </c>
    </row>
    <row r="76" spans="1:59" s="20" customFormat="1" ht="15.75" customHeight="1" thickBot="1" x14ac:dyDescent="0.3">
      <c r="A76" s="4">
        <f t="shared" si="396"/>
        <v>2034</v>
      </c>
      <c r="B76" s="42">
        <v>5.8240968597896514E-2</v>
      </c>
      <c r="C76" s="42">
        <f t="shared" si="397"/>
        <v>5.8240968597896514E-2</v>
      </c>
      <c r="D76" s="42">
        <f t="shared" si="371"/>
        <v>5.8240968597896514E-2</v>
      </c>
      <c r="E76" s="42">
        <f t="shared" si="371"/>
        <v>5.8240968597896514E-2</v>
      </c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E76" s="4">
        <f t="shared" si="338"/>
        <v>2034</v>
      </c>
      <c r="AF76" s="32">
        <f t="shared" si="367"/>
        <v>2.7900336006822326</v>
      </c>
      <c r="AG76" s="32">
        <f t="shared" si="372"/>
        <v>2.7900336006822326</v>
      </c>
      <c r="AH76" s="32">
        <f t="shared" si="373"/>
        <v>2.7900336006822326</v>
      </c>
      <c r="AI76" s="32">
        <f t="shared" si="374"/>
        <v>2.7900336006822326</v>
      </c>
      <c r="AJ76" s="32">
        <f t="shared" si="375"/>
        <v>0</v>
      </c>
      <c r="AK76" s="32">
        <f t="shared" si="376"/>
        <v>0</v>
      </c>
      <c r="AL76" s="32">
        <f t="shared" si="377"/>
        <v>0</v>
      </c>
      <c r="AM76" s="32">
        <f t="shared" si="368"/>
        <v>0</v>
      </c>
      <c r="AN76" s="32">
        <f t="shared" si="378"/>
        <v>0</v>
      </c>
      <c r="AO76" s="32">
        <f t="shared" si="379"/>
        <v>0</v>
      </c>
      <c r="AP76" s="32">
        <f t="shared" si="380"/>
        <v>0</v>
      </c>
      <c r="AQ76" s="32">
        <f t="shared" si="381"/>
        <v>0</v>
      </c>
      <c r="AR76" s="32">
        <f t="shared" si="382"/>
        <v>0</v>
      </c>
      <c r="AS76" s="32">
        <f t="shared" si="383"/>
        <v>0</v>
      </c>
      <c r="AT76" s="32">
        <f t="shared" si="369"/>
        <v>0</v>
      </c>
      <c r="AU76" s="32">
        <f t="shared" si="384"/>
        <v>0</v>
      </c>
      <c r="AV76" s="32">
        <f t="shared" si="385"/>
        <v>0</v>
      </c>
      <c r="AW76" s="32">
        <f t="shared" si="386"/>
        <v>0</v>
      </c>
      <c r="AX76" s="32">
        <f t="shared" si="387"/>
        <v>0</v>
      </c>
      <c r="AY76" s="32">
        <f t="shared" si="388"/>
        <v>0</v>
      </c>
      <c r="AZ76" s="32">
        <f t="shared" si="389"/>
        <v>0</v>
      </c>
      <c r="BA76" s="32">
        <f t="shared" si="370"/>
        <v>0</v>
      </c>
      <c r="BB76" s="32">
        <f t="shared" si="390"/>
        <v>0</v>
      </c>
      <c r="BC76" s="32">
        <f t="shared" si="391"/>
        <v>0</v>
      </c>
      <c r="BD76" s="32">
        <f t="shared" si="392"/>
        <v>0</v>
      </c>
      <c r="BE76" s="32">
        <f t="shared" si="393"/>
        <v>0</v>
      </c>
      <c r="BF76" s="32">
        <f t="shared" si="394"/>
        <v>0</v>
      </c>
      <c r="BG76" s="32">
        <f t="shared" si="395"/>
        <v>0</v>
      </c>
    </row>
    <row r="77" spans="1:59" s="20" customFormat="1" ht="15.75" customHeight="1" x14ac:dyDescent="0.25"/>
    <row r="78" spans="1:59" ht="15.75" thickBot="1" x14ac:dyDescent="0.3">
      <c r="A78" t="s">
        <v>140</v>
      </c>
      <c r="J78" t="s">
        <v>141</v>
      </c>
      <c r="S78" t="s">
        <v>142</v>
      </c>
      <c r="AE78" t="s">
        <v>143</v>
      </c>
      <c r="AN78" t="s">
        <v>144</v>
      </c>
      <c r="AW78" t="s">
        <v>145</v>
      </c>
    </row>
    <row r="79" spans="1:59" ht="15.75" thickBot="1" x14ac:dyDescent="0.3">
      <c r="A79" s="1" t="s">
        <v>120</v>
      </c>
      <c r="B79" s="1">
        <v>1</v>
      </c>
      <c r="C79" s="1">
        <v>2</v>
      </c>
      <c r="D79" s="1">
        <v>3</v>
      </c>
      <c r="E79" s="1">
        <v>4</v>
      </c>
      <c r="F79" s="1">
        <v>5</v>
      </c>
      <c r="G79" s="1">
        <v>6</v>
      </c>
      <c r="H79" s="17">
        <v>7</v>
      </c>
      <c r="J79" s="1" t="s">
        <v>120</v>
      </c>
      <c r="K79" s="1">
        <v>1</v>
      </c>
      <c r="L79" s="1">
        <v>2</v>
      </c>
      <c r="M79" s="1">
        <v>3</v>
      </c>
      <c r="N79" s="1">
        <v>4</v>
      </c>
      <c r="O79" s="1">
        <v>5</v>
      </c>
      <c r="P79" s="1">
        <v>6</v>
      </c>
      <c r="Q79" s="17">
        <v>7</v>
      </c>
      <c r="S79" s="1" t="s">
        <v>120</v>
      </c>
      <c r="T79" s="1">
        <v>1</v>
      </c>
      <c r="U79" s="1">
        <v>2</v>
      </c>
      <c r="V79" s="1">
        <v>3</v>
      </c>
      <c r="W79" s="1">
        <v>4</v>
      </c>
      <c r="X79" s="1">
        <v>5</v>
      </c>
      <c r="Y79" s="1">
        <v>6</v>
      </c>
      <c r="Z79" s="17">
        <v>7</v>
      </c>
      <c r="AE79" s="1" t="s">
        <v>120</v>
      </c>
      <c r="AF79" s="1">
        <v>1</v>
      </c>
      <c r="AG79" s="1">
        <v>2</v>
      </c>
      <c r="AH79" s="1">
        <v>3</v>
      </c>
      <c r="AI79" s="1">
        <v>4</v>
      </c>
      <c r="AJ79" s="1">
        <v>5</v>
      </c>
      <c r="AK79" s="1">
        <v>6</v>
      </c>
      <c r="AL79" s="17">
        <v>7</v>
      </c>
      <c r="AN79" s="1" t="s">
        <v>120</v>
      </c>
      <c r="AO79" s="1">
        <v>1</v>
      </c>
      <c r="AP79" s="1">
        <v>2</v>
      </c>
      <c r="AQ79" s="1">
        <v>3</v>
      </c>
      <c r="AR79" s="1">
        <v>4</v>
      </c>
      <c r="AS79" s="1">
        <v>5</v>
      </c>
      <c r="AT79" s="1">
        <v>6</v>
      </c>
      <c r="AU79" s="17">
        <v>7</v>
      </c>
      <c r="AW79" s="1" t="s">
        <v>120</v>
      </c>
      <c r="AX79" s="1">
        <v>1</v>
      </c>
      <c r="AY79" s="1">
        <v>2</v>
      </c>
      <c r="AZ79" s="1">
        <v>3</v>
      </c>
      <c r="BA79" s="1">
        <v>4</v>
      </c>
      <c r="BB79" s="1">
        <v>5</v>
      </c>
      <c r="BC79" s="1">
        <v>6</v>
      </c>
      <c r="BD79" s="17">
        <v>7</v>
      </c>
    </row>
    <row r="80" spans="1:59" ht="16.5" thickTop="1" thickBot="1" x14ac:dyDescent="0.3">
      <c r="A80" s="22">
        <f>A7</f>
        <v>2025</v>
      </c>
      <c r="B80" s="18">
        <f>K80+T80</f>
        <v>82.855135450584754</v>
      </c>
      <c r="C80" s="18">
        <f t="shared" ref="C80:C89" si="398">L80+U80</f>
        <v>82.855135450584754</v>
      </c>
      <c r="D80" s="18">
        <f t="shared" ref="D80:D89" si="399">M80+V80</f>
        <v>82.855135450584754</v>
      </c>
      <c r="E80" s="18">
        <f t="shared" ref="E80:E89" si="400">N80+W80</f>
        <v>82.855135450584754</v>
      </c>
      <c r="F80" s="18">
        <f t="shared" ref="F80:F89" si="401">O80+X80</f>
        <v>82.855135450584754</v>
      </c>
      <c r="G80" s="18">
        <f t="shared" ref="G80:G89" si="402">P80+Y80</f>
        <v>82.855135450584754</v>
      </c>
      <c r="H80" s="18">
        <f t="shared" ref="H80:H89" si="403">Q80+Z80</f>
        <v>82.855135450584754</v>
      </c>
      <c r="J80" s="22">
        <f>A80</f>
        <v>2025</v>
      </c>
      <c r="K80" s="42">
        <f t="shared" ref="K80:K86" si="404">B52+I52+P52+W52+B67+I67+P67+W67</f>
        <v>8.0322455547660354</v>
      </c>
      <c r="L80" s="18">
        <f>$K80</f>
        <v>8.0322455547660354</v>
      </c>
      <c r="M80" s="18">
        <f t="shared" ref="M80:Q80" si="405">$K80</f>
        <v>8.0322455547660354</v>
      </c>
      <c r="N80" s="18">
        <f t="shared" si="405"/>
        <v>8.0322455547660354</v>
      </c>
      <c r="O80" s="18">
        <f t="shared" si="405"/>
        <v>8.0322455547660354</v>
      </c>
      <c r="P80" s="18">
        <f t="shared" si="405"/>
        <v>8.0322455547660354</v>
      </c>
      <c r="Q80" s="18">
        <f t="shared" si="405"/>
        <v>8.0322455547660354</v>
      </c>
      <c r="S80" s="22">
        <f>J80</f>
        <v>2025</v>
      </c>
      <c r="T80" s="42">
        <f>MIN($T$91,B7+I7+P7+W7+B22+I22+P22+W22+W37+P37+I37+B37)</f>
        <v>74.822889895818719</v>
      </c>
      <c r="U80" s="42">
        <f>$T80</f>
        <v>74.822889895818719</v>
      </c>
      <c r="V80" s="42">
        <f t="shared" ref="V80:Z80" si="406">$T80</f>
        <v>74.822889895818719</v>
      </c>
      <c r="W80" s="42">
        <f t="shared" si="406"/>
        <v>74.822889895818719</v>
      </c>
      <c r="X80" s="42">
        <f t="shared" si="406"/>
        <v>74.822889895818719</v>
      </c>
      <c r="Y80" s="42">
        <f t="shared" si="406"/>
        <v>74.822889895818719</v>
      </c>
      <c r="Z80" s="42">
        <f t="shared" si="406"/>
        <v>74.822889895818719</v>
      </c>
      <c r="AE80" s="47">
        <f>AE7</f>
        <v>2025</v>
      </c>
      <c r="AF80" s="32">
        <f>B80*$H$1/1000</f>
        <v>3969.1752637602626</v>
      </c>
      <c r="AG80" s="32">
        <f t="shared" ref="AG80:AG89" si="407">C80*$H$1/1000</f>
        <v>3969.1752637602626</v>
      </c>
      <c r="AH80" s="32">
        <f t="shared" ref="AH80:AH89" si="408">D80*$H$1/1000</f>
        <v>3969.1752637602626</v>
      </c>
      <c r="AI80" s="32">
        <f t="shared" ref="AI80:AI89" si="409">E80*$H$1/1000</f>
        <v>3969.1752637602626</v>
      </c>
      <c r="AJ80" s="32">
        <f t="shared" ref="AJ80:AJ89" si="410">F80*$H$1/1000</f>
        <v>3969.1752637602626</v>
      </c>
      <c r="AK80" s="32">
        <f t="shared" ref="AK80:AK89" si="411">G80*$H$1/1000</f>
        <v>3969.1752637602626</v>
      </c>
      <c r="AL80" s="32">
        <f t="shared" ref="AL80:AL89" si="412">H80*$H$1/1000</f>
        <v>3969.1752637602626</v>
      </c>
      <c r="AM80" s="41"/>
      <c r="AN80" s="47">
        <f>AE80</f>
        <v>2025</v>
      </c>
      <c r="AO80" s="32">
        <f t="shared" ref="AO80:AO89" si="413">K80*$H$1/1000</f>
        <v>384.78472330106689</v>
      </c>
      <c r="AP80" s="32">
        <f t="shared" ref="AP80:AP89" si="414">L80*$H$1/1000</f>
        <v>384.78472330106689</v>
      </c>
      <c r="AQ80" s="32">
        <f t="shared" ref="AQ80:AQ89" si="415">M80*$H$1/1000</f>
        <v>384.78472330106689</v>
      </c>
      <c r="AR80" s="32">
        <f t="shared" ref="AR80:AR89" si="416">N80*$H$1/1000</f>
        <v>384.78472330106689</v>
      </c>
      <c r="AS80" s="32">
        <f t="shared" ref="AS80:AS89" si="417">O80*$H$1/1000</f>
        <v>384.78472330106689</v>
      </c>
      <c r="AT80" s="32">
        <f t="shared" ref="AT80:AT89" si="418">P80*$H$1/1000</f>
        <v>384.78472330106689</v>
      </c>
      <c r="AU80" s="32">
        <f t="shared" ref="AU80:AU89" si="419">Q80*$H$1/1000</f>
        <v>384.78472330106689</v>
      </c>
      <c r="AV80" s="41"/>
      <c r="AW80" s="47">
        <f>AN80</f>
        <v>2025</v>
      </c>
      <c r="AX80" s="32">
        <f t="shared" ref="AX80:AX89" si="420">T80*$H$1/1000</f>
        <v>3584.3905404591956</v>
      </c>
      <c r="AY80" s="32">
        <f t="shared" ref="AY80:AY89" si="421">U80*$H$1/1000</f>
        <v>3584.3905404591956</v>
      </c>
      <c r="AZ80" s="32">
        <f t="shared" ref="AZ80:AZ89" si="422">V80*$H$1/1000</f>
        <v>3584.3905404591956</v>
      </c>
      <c r="BA80" s="32">
        <f t="shared" ref="BA80:BA89" si="423">W80*$H$1/1000</f>
        <v>3584.3905404591956</v>
      </c>
      <c r="BB80" s="32">
        <f t="shared" ref="BB80:BB89" si="424">X80*$H$1/1000</f>
        <v>3584.3905404591956</v>
      </c>
      <c r="BC80" s="32">
        <f t="shared" ref="BC80:BC89" si="425">Y80*$H$1/1000</f>
        <v>3584.3905404591956</v>
      </c>
      <c r="BD80" s="32">
        <f t="shared" ref="BD80:BD89" si="426">Z80*$H$1/1000</f>
        <v>3584.3905404591956</v>
      </c>
    </row>
    <row r="81" spans="1:56" ht="15.75" thickBot="1" x14ac:dyDescent="0.3">
      <c r="A81" s="22">
        <f>A80+1</f>
        <v>2026</v>
      </c>
      <c r="B81" s="18">
        <f t="shared" ref="B81:B89" si="427">K81+T81</f>
        <v>223.8147944458546</v>
      </c>
      <c r="C81" s="18">
        <f t="shared" si="398"/>
        <v>10.345950472558243</v>
      </c>
      <c r="D81" s="18">
        <f t="shared" si="399"/>
        <v>10.345950472558243</v>
      </c>
      <c r="E81" s="18">
        <f t="shared" si="400"/>
        <v>10.345950472558243</v>
      </c>
      <c r="F81" s="18">
        <f t="shared" si="401"/>
        <v>0</v>
      </c>
      <c r="G81" s="18">
        <f t="shared" si="402"/>
        <v>0</v>
      </c>
      <c r="H81" s="18">
        <f t="shared" si="403"/>
        <v>0</v>
      </c>
      <c r="J81" s="22">
        <f>J80+1</f>
        <v>2026</v>
      </c>
      <c r="K81" s="42">
        <f t="shared" si="404"/>
        <v>9.477906029519076</v>
      </c>
      <c r="L81" s="18">
        <f t="shared" ref="L81:Q86" si="428">C53+J53+Q53+X53+C68+J68+Q68+X68</f>
        <v>9.477906029519076</v>
      </c>
      <c r="M81" s="18">
        <f t="shared" si="428"/>
        <v>9.477906029519076</v>
      </c>
      <c r="N81" s="18">
        <f t="shared" si="428"/>
        <v>9.477906029519076</v>
      </c>
      <c r="O81" s="18">
        <f t="shared" si="428"/>
        <v>0</v>
      </c>
      <c r="P81" s="18">
        <f t="shared" si="428"/>
        <v>0</v>
      </c>
      <c r="Q81" s="18">
        <f t="shared" si="428"/>
        <v>0</v>
      </c>
      <c r="S81" s="22">
        <f>S80+1</f>
        <v>2026</v>
      </c>
      <c r="T81" s="42">
        <f t="shared" ref="T81:T85" si="429">MIN($T$91,B8+I8+P8+W8+B23+I23+P23+W23+W38+P38+I38+B38)</f>
        <v>214.33688841633551</v>
      </c>
      <c r="U81" s="42">
        <f t="shared" ref="U81:Z81" si="430">C8+J8+Q8+X8+C23+J23+Q23+X23+X38+Q38+J38+C38</f>
        <v>0.86804444303916739</v>
      </c>
      <c r="V81" s="42">
        <f t="shared" si="430"/>
        <v>0.86804444303916739</v>
      </c>
      <c r="W81" s="42">
        <f t="shared" si="430"/>
        <v>0.86804444303916739</v>
      </c>
      <c r="X81" s="42">
        <f t="shared" si="430"/>
        <v>0</v>
      </c>
      <c r="Y81" s="42">
        <f t="shared" si="430"/>
        <v>0</v>
      </c>
      <c r="Z81" s="42">
        <f t="shared" si="430"/>
        <v>0</v>
      </c>
      <c r="AE81" s="47">
        <f>AE80+1</f>
        <v>2026</v>
      </c>
      <c r="AF81" s="32">
        <f t="shared" ref="AF81:AF89" si="431">B81*$H$1/1000</f>
        <v>10721.847727928665</v>
      </c>
      <c r="AG81" s="32">
        <f t="shared" si="407"/>
        <v>495.62275738790265</v>
      </c>
      <c r="AH81" s="32">
        <f t="shared" si="408"/>
        <v>495.62275738790265</v>
      </c>
      <c r="AI81" s="32">
        <f t="shared" si="409"/>
        <v>495.62275738790265</v>
      </c>
      <c r="AJ81" s="32">
        <f t="shared" si="410"/>
        <v>0</v>
      </c>
      <c r="AK81" s="32">
        <f t="shared" si="411"/>
        <v>0</v>
      </c>
      <c r="AL81" s="32">
        <f t="shared" si="412"/>
        <v>0</v>
      </c>
      <c r="AM81" s="41"/>
      <c r="AN81" s="47">
        <f>AN80+1</f>
        <v>2026</v>
      </c>
      <c r="AO81" s="32">
        <f t="shared" si="413"/>
        <v>454.03908834411135</v>
      </c>
      <c r="AP81" s="32">
        <f t="shared" si="414"/>
        <v>454.03908834411135</v>
      </c>
      <c r="AQ81" s="32">
        <f t="shared" si="415"/>
        <v>454.03908834411135</v>
      </c>
      <c r="AR81" s="32">
        <f t="shared" si="416"/>
        <v>454.03908834411135</v>
      </c>
      <c r="AS81" s="32">
        <f t="shared" si="417"/>
        <v>0</v>
      </c>
      <c r="AT81" s="32">
        <f t="shared" si="418"/>
        <v>0</v>
      </c>
      <c r="AU81" s="32">
        <f t="shared" si="419"/>
        <v>0</v>
      </c>
      <c r="AV81" s="41"/>
      <c r="AW81" s="47">
        <f>AW80+1</f>
        <v>2026</v>
      </c>
      <c r="AX81" s="32">
        <f t="shared" si="420"/>
        <v>10267.808639584553</v>
      </c>
      <c r="AY81" s="32">
        <f t="shared" si="421"/>
        <v>41.583669043791311</v>
      </c>
      <c r="AZ81" s="32">
        <f t="shared" si="422"/>
        <v>41.583669043791311</v>
      </c>
      <c r="BA81" s="32">
        <f t="shared" si="423"/>
        <v>41.583669043791311</v>
      </c>
      <c r="BB81" s="32">
        <f t="shared" si="424"/>
        <v>0</v>
      </c>
      <c r="BC81" s="32">
        <f t="shared" si="425"/>
        <v>0</v>
      </c>
      <c r="BD81" s="32">
        <f t="shared" si="426"/>
        <v>0</v>
      </c>
    </row>
    <row r="82" spans="1:56" ht="15.75" thickBot="1" x14ac:dyDescent="0.3">
      <c r="A82" s="22">
        <f t="shared" ref="A82:A89" si="432">A81+1</f>
        <v>2027</v>
      </c>
      <c r="B82" s="18">
        <f t="shared" si="427"/>
        <v>319.04069534182179</v>
      </c>
      <c r="C82" s="18">
        <f t="shared" si="398"/>
        <v>5.5484050796671689E-3</v>
      </c>
      <c r="D82" s="18">
        <f t="shared" si="399"/>
        <v>5.5484050796671689E-3</v>
      </c>
      <c r="E82" s="18">
        <f t="shared" si="400"/>
        <v>5.5484050796671689E-3</v>
      </c>
      <c r="F82" s="18">
        <f t="shared" si="401"/>
        <v>0</v>
      </c>
      <c r="G82" s="18">
        <f t="shared" si="402"/>
        <v>0</v>
      </c>
      <c r="H82" s="18">
        <f t="shared" si="403"/>
        <v>0</v>
      </c>
      <c r="J82" s="22">
        <f t="shared" ref="J82:J89" si="433">J81+1</f>
        <v>2027</v>
      </c>
      <c r="K82" s="42">
        <f t="shared" si="404"/>
        <v>19.040695341821788</v>
      </c>
      <c r="L82" s="18">
        <f t="shared" si="428"/>
        <v>0</v>
      </c>
      <c r="M82" s="18">
        <f t="shared" si="428"/>
        <v>0</v>
      </c>
      <c r="N82" s="18">
        <f t="shared" si="428"/>
        <v>0</v>
      </c>
      <c r="O82" s="18">
        <f t="shared" si="428"/>
        <v>0</v>
      </c>
      <c r="P82" s="18">
        <f t="shared" si="428"/>
        <v>0</v>
      </c>
      <c r="Q82" s="18">
        <f t="shared" si="428"/>
        <v>0</v>
      </c>
      <c r="S82" s="22">
        <f t="shared" ref="S82:S89" si="434">S81+1</f>
        <v>2027</v>
      </c>
      <c r="T82" s="42">
        <f t="shared" si="429"/>
        <v>300</v>
      </c>
      <c r="U82" s="42">
        <f t="shared" ref="U82:Z82" si="435">C9+J9+Q9+X9+C24+J24+Q24+X24+X39+Q39+J39+C39</f>
        <v>5.5484050796671689E-3</v>
      </c>
      <c r="V82" s="42">
        <f t="shared" si="435"/>
        <v>5.5484050796671689E-3</v>
      </c>
      <c r="W82" s="42">
        <f t="shared" si="435"/>
        <v>5.5484050796671689E-3</v>
      </c>
      <c r="X82" s="42">
        <f t="shared" si="435"/>
        <v>0</v>
      </c>
      <c r="Y82" s="42">
        <f t="shared" si="435"/>
        <v>0</v>
      </c>
      <c r="Z82" s="42">
        <f t="shared" si="435"/>
        <v>0</v>
      </c>
      <c r="AE82" s="47">
        <f t="shared" ref="AE82:AE89" si="436">AE81+1</f>
        <v>2027</v>
      </c>
      <c r="AF82" s="32">
        <f t="shared" si="431"/>
        <v>15283.644510349972</v>
      </c>
      <c r="AG82" s="32">
        <f t="shared" si="407"/>
        <v>0.26579634534145574</v>
      </c>
      <c r="AH82" s="32">
        <f t="shared" si="408"/>
        <v>0.26579634534145574</v>
      </c>
      <c r="AI82" s="32">
        <f t="shared" si="409"/>
        <v>0.26579634534145574</v>
      </c>
      <c r="AJ82" s="32">
        <f t="shared" si="410"/>
        <v>0</v>
      </c>
      <c r="AK82" s="32">
        <f t="shared" si="411"/>
        <v>0</v>
      </c>
      <c r="AL82" s="32">
        <f t="shared" si="412"/>
        <v>0</v>
      </c>
      <c r="AM82" s="41"/>
      <c r="AN82" s="47">
        <f t="shared" ref="AN82:AN89" si="437">AN81+1</f>
        <v>2027</v>
      </c>
      <c r="AO82" s="32">
        <f t="shared" si="413"/>
        <v>912.14451034997273</v>
      </c>
      <c r="AP82" s="32">
        <f t="shared" si="414"/>
        <v>0</v>
      </c>
      <c r="AQ82" s="32">
        <f t="shared" si="415"/>
        <v>0</v>
      </c>
      <c r="AR82" s="32">
        <f t="shared" si="416"/>
        <v>0</v>
      </c>
      <c r="AS82" s="32">
        <f t="shared" si="417"/>
        <v>0</v>
      </c>
      <c r="AT82" s="32">
        <f t="shared" si="418"/>
        <v>0</v>
      </c>
      <c r="AU82" s="32">
        <f t="shared" si="419"/>
        <v>0</v>
      </c>
      <c r="AV82" s="41"/>
      <c r="AW82" s="47">
        <f t="shared" ref="AW82:AW89" si="438">AW81+1</f>
        <v>2027</v>
      </c>
      <c r="AX82" s="32">
        <f t="shared" si="420"/>
        <v>14371.5</v>
      </c>
      <c r="AY82" s="32">
        <f t="shared" si="421"/>
        <v>0.26579634534145574</v>
      </c>
      <c r="AZ82" s="32">
        <f t="shared" si="422"/>
        <v>0.26579634534145574</v>
      </c>
      <c r="BA82" s="32">
        <f t="shared" si="423"/>
        <v>0.26579634534145574</v>
      </c>
      <c r="BB82" s="32">
        <f t="shared" si="424"/>
        <v>0</v>
      </c>
      <c r="BC82" s="32">
        <f t="shared" si="425"/>
        <v>0</v>
      </c>
      <c r="BD82" s="32">
        <f t="shared" si="426"/>
        <v>0</v>
      </c>
    </row>
    <row r="83" spans="1:56" ht="15.75" thickBot="1" x14ac:dyDescent="0.3">
      <c r="A83" s="22">
        <f t="shared" si="432"/>
        <v>2028</v>
      </c>
      <c r="B83" s="18">
        <f t="shared" si="427"/>
        <v>329.71490544078836</v>
      </c>
      <c r="C83" s="18">
        <f t="shared" si="398"/>
        <v>3.8521120361151944</v>
      </c>
      <c r="D83" s="18">
        <f t="shared" si="399"/>
        <v>3.8521120361151944</v>
      </c>
      <c r="E83" s="18">
        <f t="shared" si="400"/>
        <v>3.8521120361151944</v>
      </c>
      <c r="F83" s="18">
        <f t="shared" si="401"/>
        <v>0</v>
      </c>
      <c r="G83" s="18">
        <f t="shared" si="402"/>
        <v>0</v>
      </c>
      <c r="H83" s="18">
        <f t="shared" si="403"/>
        <v>0</v>
      </c>
      <c r="J83" s="22">
        <f t="shared" si="433"/>
        <v>2028</v>
      </c>
      <c r="K83" s="42">
        <f t="shared" si="404"/>
        <v>29.714905440788375</v>
      </c>
      <c r="L83" s="18">
        <f t="shared" si="428"/>
        <v>0</v>
      </c>
      <c r="M83" s="18">
        <f t="shared" si="428"/>
        <v>0</v>
      </c>
      <c r="N83" s="18">
        <f t="shared" si="428"/>
        <v>0</v>
      </c>
      <c r="O83" s="18">
        <f t="shared" si="428"/>
        <v>0</v>
      </c>
      <c r="P83" s="18">
        <f t="shared" si="428"/>
        <v>0</v>
      </c>
      <c r="Q83" s="18">
        <f t="shared" si="428"/>
        <v>0</v>
      </c>
      <c r="S83" s="22">
        <f t="shared" si="434"/>
        <v>2028</v>
      </c>
      <c r="T83" s="42">
        <f t="shared" si="429"/>
        <v>300</v>
      </c>
      <c r="U83" s="42">
        <f t="shared" ref="U83:Z83" si="439">C10+J10+Q10+X10+C25+J25+Q25+X25+X40+Q40+J40+C40</f>
        <v>3.8521120361151944</v>
      </c>
      <c r="V83" s="42">
        <f t="shared" si="439"/>
        <v>3.8521120361151944</v>
      </c>
      <c r="W83" s="42">
        <f t="shared" si="439"/>
        <v>3.8521120361151944</v>
      </c>
      <c r="X83" s="42">
        <f t="shared" si="439"/>
        <v>0</v>
      </c>
      <c r="Y83" s="42">
        <f t="shared" si="439"/>
        <v>0</v>
      </c>
      <c r="Z83" s="42">
        <f t="shared" si="439"/>
        <v>0</v>
      </c>
      <c r="AE83" s="47">
        <f t="shared" si="436"/>
        <v>2028</v>
      </c>
      <c r="AF83" s="32">
        <f t="shared" si="431"/>
        <v>15794.992545140967</v>
      </c>
      <c r="AG83" s="32">
        <f t="shared" si="407"/>
        <v>184.53542709009838</v>
      </c>
      <c r="AH83" s="32">
        <f t="shared" si="408"/>
        <v>184.53542709009838</v>
      </c>
      <c r="AI83" s="32">
        <f t="shared" si="409"/>
        <v>184.53542709009838</v>
      </c>
      <c r="AJ83" s="32">
        <f t="shared" si="410"/>
        <v>0</v>
      </c>
      <c r="AK83" s="32">
        <f t="shared" si="411"/>
        <v>0</v>
      </c>
      <c r="AL83" s="32">
        <f t="shared" si="412"/>
        <v>0</v>
      </c>
      <c r="AM83" s="41"/>
      <c r="AN83" s="47">
        <f t="shared" si="437"/>
        <v>2028</v>
      </c>
      <c r="AO83" s="32">
        <f t="shared" si="413"/>
        <v>1423.492545140967</v>
      </c>
      <c r="AP83" s="32">
        <f t="shared" si="414"/>
        <v>0</v>
      </c>
      <c r="AQ83" s="32">
        <f t="shared" si="415"/>
        <v>0</v>
      </c>
      <c r="AR83" s="32">
        <f t="shared" si="416"/>
        <v>0</v>
      </c>
      <c r="AS83" s="32">
        <f t="shared" si="417"/>
        <v>0</v>
      </c>
      <c r="AT83" s="32">
        <f t="shared" si="418"/>
        <v>0</v>
      </c>
      <c r="AU83" s="32">
        <f t="shared" si="419"/>
        <v>0</v>
      </c>
      <c r="AV83" s="41"/>
      <c r="AW83" s="47">
        <f t="shared" si="438"/>
        <v>2028</v>
      </c>
      <c r="AX83" s="32">
        <f t="shared" si="420"/>
        <v>14371.5</v>
      </c>
      <c r="AY83" s="32">
        <f t="shared" si="421"/>
        <v>184.53542709009838</v>
      </c>
      <c r="AZ83" s="32">
        <f t="shared" si="422"/>
        <v>184.53542709009838</v>
      </c>
      <c r="BA83" s="32">
        <f t="shared" si="423"/>
        <v>184.53542709009838</v>
      </c>
      <c r="BB83" s="32">
        <f t="shared" si="424"/>
        <v>0</v>
      </c>
      <c r="BC83" s="32">
        <f t="shared" si="425"/>
        <v>0</v>
      </c>
      <c r="BD83" s="32">
        <f t="shared" si="426"/>
        <v>0</v>
      </c>
    </row>
    <row r="84" spans="1:56" ht="15.75" thickBot="1" x14ac:dyDescent="0.3">
      <c r="A84" s="22">
        <f t="shared" si="432"/>
        <v>2029</v>
      </c>
      <c r="B84" s="18">
        <f t="shared" si="427"/>
        <v>339.33572500670221</v>
      </c>
      <c r="C84" s="18">
        <f t="shared" si="398"/>
        <v>5.8193266265632291</v>
      </c>
      <c r="D84" s="18">
        <f t="shared" si="399"/>
        <v>5.8167432516809203</v>
      </c>
      <c r="E84" s="18">
        <f t="shared" si="400"/>
        <v>5.8193266265632291</v>
      </c>
      <c r="F84" s="18">
        <f t="shared" si="401"/>
        <v>0</v>
      </c>
      <c r="G84" s="18">
        <f t="shared" si="402"/>
        <v>0</v>
      </c>
      <c r="H84" s="18">
        <f t="shared" si="403"/>
        <v>0</v>
      </c>
      <c r="J84" s="22">
        <f t="shared" si="433"/>
        <v>2029</v>
      </c>
      <c r="K84" s="42">
        <f t="shared" si="404"/>
        <v>39.335725006702212</v>
      </c>
      <c r="L84" s="18">
        <f t="shared" si="428"/>
        <v>2.5833748823085112E-3</v>
      </c>
      <c r="M84" s="18">
        <f t="shared" si="428"/>
        <v>0</v>
      </c>
      <c r="N84" s="18">
        <f t="shared" si="428"/>
        <v>2.5833748823085112E-3</v>
      </c>
      <c r="O84" s="18">
        <f t="shared" si="428"/>
        <v>0</v>
      </c>
      <c r="P84" s="18">
        <f t="shared" si="428"/>
        <v>0</v>
      </c>
      <c r="Q84" s="18">
        <f t="shared" si="428"/>
        <v>0</v>
      </c>
      <c r="S84" s="22">
        <f t="shared" si="434"/>
        <v>2029</v>
      </c>
      <c r="T84" s="42">
        <f t="shared" si="429"/>
        <v>300</v>
      </c>
      <c r="U84" s="42">
        <f t="shared" ref="U84:Z84" si="440">C11+J11+Q11+X11+C26+J26+Q26+X26+X41+Q41+J41+C41</f>
        <v>5.8167432516809203</v>
      </c>
      <c r="V84" s="42">
        <f t="shared" si="440"/>
        <v>5.8167432516809203</v>
      </c>
      <c r="W84" s="42">
        <f t="shared" si="440"/>
        <v>5.8167432516809203</v>
      </c>
      <c r="X84" s="42">
        <f t="shared" si="440"/>
        <v>0</v>
      </c>
      <c r="Y84" s="42">
        <f t="shared" si="440"/>
        <v>0</v>
      </c>
      <c r="Z84" s="42">
        <f t="shared" si="440"/>
        <v>0</v>
      </c>
      <c r="AE84" s="47">
        <f t="shared" si="436"/>
        <v>2029</v>
      </c>
      <c r="AF84" s="32">
        <f t="shared" si="431"/>
        <v>16255.877906446069</v>
      </c>
      <c r="AG84" s="32">
        <f t="shared" si="407"/>
        <v>278.77484204551149</v>
      </c>
      <c r="AH84" s="32">
        <f t="shared" si="408"/>
        <v>278.65108547177454</v>
      </c>
      <c r="AI84" s="32">
        <f t="shared" si="409"/>
        <v>278.77484204551149</v>
      </c>
      <c r="AJ84" s="32">
        <f t="shared" si="410"/>
        <v>0</v>
      </c>
      <c r="AK84" s="32">
        <f t="shared" si="411"/>
        <v>0</v>
      </c>
      <c r="AL84" s="32">
        <f t="shared" si="412"/>
        <v>0</v>
      </c>
      <c r="AM84" s="41"/>
      <c r="AN84" s="47">
        <f t="shared" si="437"/>
        <v>2029</v>
      </c>
      <c r="AO84" s="32">
        <f t="shared" si="413"/>
        <v>1884.3779064460696</v>
      </c>
      <c r="AP84" s="32">
        <f t="shared" si="414"/>
        <v>0.12375657373698923</v>
      </c>
      <c r="AQ84" s="32">
        <f t="shared" si="415"/>
        <v>0</v>
      </c>
      <c r="AR84" s="32">
        <f t="shared" si="416"/>
        <v>0.12375657373698923</v>
      </c>
      <c r="AS84" s="32">
        <f t="shared" si="417"/>
        <v>0</v>
      </c>
      <c r="AT84" s="32">
        <f t="shared" si="418"/>
        <v>0</v>
      </c>
      <c r="AU84" s="32">
        <f t="shared" si="419"/>
        <v>0</v>
      </c>
      <c r="AV84" s="41"/>
      <c r="AW84" s="47">
        <f t="shared" si="438"/>
        <v>2029</v>
      </c>
      <c r="AX84" s="32">
        <f t="shared" si="420"/>
        <v>14371.5</v>
      </c>
      <c r="AY84" s="32">
        <f t="shared" si="421"/>
        <v>278.65108547177454</v>
      </c>
      <c r="AZ84" s="32">
        <f t="shared" si="422"/>
        <v>278.65108547177454</v>
      </c>
      <c r="BA84" s="32">
        <f t="shared" si="423"/>
        <v>278.65108547177454</v>
      </c>
      <c r="BB84" s="32">
        <f t="shared" si="424"/>
        <v>0</v>
      </c>
      <c r="BC84" s="32">
        <f t="shared" si="425"/>
        <v>0</v>
      </c>
      <c r="BD84" s="32">
        <f t="shared" si="426"/>
        <v>0</v>
      </c>
    </row>
    <row r="85" spans="1:56" ht="15.75" thickBot="1" x14ac:dyDescent="0.3">
      <c r="A85" s="22">
        <f t="shared" si="432"/>
        <v>2030</v>
      </c>
      <c r="B85" s="18">
        <f t="shared" si="427"/>
        <v>351.88266422688895</v>
      </c>
      <c r="C85" s="18">
        <f t="shared" si="398"/>
        <v>23.525512963136549</v>
      </c>
      <c r="D85" s="18">
        <f t="shared" si="399"/>
        <v>23.49267071458469</v>
      </c>
      <c r="E85" s="18">
        <f t="shared" si="400"/>
        <v>23.525512963136549</v>
      </c>
      <c r="F85" s="18">
        <f t="shared" si="401"/>
        <v>0</v>
      </c>
      <c r="G85" s="18">
        <f t="shared" si="402"/>
        <v>0</v>
      </c>
      <c r="H85" s="18">
        <f t="shared" si="403"/>
        <v>0</v>
      </c>
      <c r="J85" s="22">
        <f t="shared" si="433"/>
        <v>2030</v>
      </c>
      <c r="K85" s="42">
        <f t="shared" si="404"/>
        <v>51.882664226888956</v>
      </c>
      <c r="L85" s="18">
        <f t="shared" si="428"/>
        <v>3.642658381334337E-2</v>
      </c>
      <c r="M85" s="18">
        <f t="shared" si="428"/>
        <v>3.5843352614873935E-3</v>
      </c>
      <c r="N85" s="18">
        <f t="shared" si="428"/>
        <v>3.642658381334337E-2</v>
      </c>
      <c r="O85" s="18">
        <f t="shared" si="428"/>
        <v>0</v>
      </c>
      <c r="P85" s="18">
        <f t="shared" si="428"/>
        <v>0</v>
      </c>
      <c r="Q85" s="18">
        <f t="shared" si="428"/>
        <v>0</v>
      </c>
      <c r="S85" s="22">
        <f t="shared" si="434"/>
        <v>2030</v>
      </c>
      <c r="T85" s="42">
        <f t="shared" si="429"/>
        <v>300</v>
      </c>
      <c r="U85" s="42">
        <f t="shared" ref="U85:Z85" si="441">C12+J12+Q12+X12+C27+J27+Q27+X27+X42+Q42+J42+C42</f>
        <v>23.489086379323204</v>
      </c>
      <c r="V85" s="42">
        <f t="shared" si="441"/>
        <v>23.489086379323204</v>
      </c>
      <c r="W85" s="42">
        <f t="shared" si="441"/>
        <v>23.489086379323204</v>
      </c>
      <c r="X85" s="42">
        <f t="shared" si="441"/>
        <v>0</v>
      </c>
      <c r="Y85" s="42">
        <f t="shared" si="441"/>
        <v>0</v>
      </c>
      <c r="Z85" s="42">
        <f t="shared" si="441"/>
        <v>0</v>
      </c>
      <c r="AE85" s="47">
        <f t="shared" si="436"/>
        <v>2030</v>
      </c>
      <c r="AF85" s="32">
        <f t="shared" si="431"/>
        <v>16856.939029789115</v>
      </c>
      <c r="AG85" s="32">
        <f t="shared" si="407"/>
        <v>1126.9896984990562</v>
      </c>
      <c r="AH85" s="32">
        <f t="shared" si="408"/>
        <v>1125.4163905821797</v>
      </c>
      <c r="AI85" s="32">
        <f t="shared" si="409"/>
        <v>1126.9896984990562</v>
      </c>
      <c r="AJ85" s="32">
        <f t="shared" si="410"/>
        <v>0</v>
      </c>
      <c r="AK85" s="32">
        <f t="shared" si="411"/>
        <v>0</v>
      </c>
      <c r="AL85" s="32">
        <f t="shared" si="412"/>
        <v>0</v>
      </c>
      <c r="AM85" s="41"/>
      <c r="AN85" s="47">
        <f t="shared" si="437"/>
        <v>2030</v>
      </c>
      <c r="AO85" s="32">
        <f t="shared" si="413"/>
        <v>2485.4390297891155</v>
      </c>
      <c r="AP85" s="32">
        <f t="shared" si="414"/>
        <v>1.7450154975782142</v>
      </c>
      <c r="AQ85" s="32">
        <f t="shared" si="415"/>
        <v>0.17170758070155359</v>
      </c>
      <c r="AR85" s="32">
        <f t="shared" si="416"/>
        <v>1.7450154975782142</v>
      </c>
      <c r="AS85" s="32">
        <f t="shared" si="417"/>
        <v>0</v>
      </c>
      <c r="AT85" s="32">
        <f t="shared" si="418"/>
        <v>0</v>
      </c>
      <c r="AU85" s="32">
        <f t="shared" si="419"/>
        <v>0</v>
      </c>
      <c r="AV85" s="41"/>
      <c r="AW85" s="47">
        <f t="shared" si="438"/>
        <v>2030</v>
      </c>
      <c r="AX85" s="32">
        <f t="shared" si="420"/>
        <v>14371.5</v>
      </c>
      <c r="AY85" s="32">
        <f t="shared" si="421"/>
        <v>1125.2446830014783</v>
      </c>
      <c r="AZ85" s="32">
        <f t="shared" si="422"/>
        <v>1125.2446830014783</v>
      </c>
      <c r="BA85" s="32">
        <f t="shared" si="423"/>
        <v>1125.2446830014783</v>
      </c>
      <c r="BB85" s="32">
        <f t="shared" si="424"/>
        <v>0</v>
      </c>
      <c r="BC85" s="32">
        <f t="shared" si="425"/>
        <v>0</v>
      </c>
      <c r="BD85" s="32">
        <f t="shared" si="426"/>
        <v>0</v>
      </c>
    </row>
    <row r="86" spans="1:56" ht="15.75" thickBot="1" x14ac:dyDescent="0.3">
      <c r="A86" s="22">
        <f t="shared" si="432"/>
        <v>2031</v>
      </c>
      <c r="B86" s="18">
        <f t="shared" si="427"/>
        <v>364.54171534015165</v>
      </c>
      <c r="C86" s="18">
        <f t="shared" si="398"/>
        <v>46.883504509006826</v>
      </c>
      <c r="D86" s="18">
        <f t="shared" si="399"/>
        <v>46.771317576721501</v>
      </c>
      <c r="E86" s="18">
        <f t="shared" si="400"/>
        <v>46.883504509006826</v>
      </c>
      <c r="F86" s="18">
        <f t="shared" si="401"/>
        <v>0</v>
      </c>
      <c r="G86" s="18">
        <f t="shared" si="402"/>
        <v>0</v>
      </c>
      <c r="H86" s="18">
        <f t="shared" si="403"/>
        <v>0</v>
      </c>
      <c r="J86" s="22">
        <f t="shared" si="433"/>
        <v>2031</v>
      </c>
      <c r="K86" s="42">
        <f t="shared" si="404"/>
        <v>64.54171534015164</v>
      </c>
      <c r="L86" s="18">
        <f t="shared" si="428"/>
        <v>0.19813531081674057</v>
      </c>
      <c r="M86" s="18">
        <f t="shared" si="428"/>
        <v>8.5948378531410366E-2</v>
      </c>
      <c r="N86" s="18">
        <f t="shared" si="428"/>
        <v>0.19813531081674057</v>
      </c>
      <c r="O86" s="18">
        <f t="shared" si="428"/>
        <v>0</v>
      </c>
      <c r="P86" s="18">
        <f t="shared" si="428"/>
        <v>0</v>
      </c>
      <c r="Q86" s="18">
        <f t="shared" si="428"/>
        <v>0</v>
      </c>
      <c r="S86" s="22">
        <f t="shared" si="434"/>
        <v>2031</v>
      </c>
      <c r="T86" s="42">
        <f t="shared" ref="T86:T88" si="442">MIN($T$91,B13+I13+P13+W13+B28+I28+P28+W28+W43+P43+I43+B43)</f>
        <v>300</v>
      </c>
      <c r="U86" s="42">
        <f t="shared" ref="U86:U88" si="443">C13+J13+Q13+X13+C28+J28+Q28+X28+X43+Q43+J43+C43</f>
        <v>46.685369198190088</v>
      </c>
      <c r="V86" s="42">
        <f t="shared" ref="V86:V88" si="444">D13+K13+R13+Y13+D28+K28+R28+Y28+Y43+R43+K43+D43</f>
        <v>46.685369198190088</v>
      </c>
      <c r="W86" s="42">
        <f t="shared" ref="W86:W88" si="445">E13+L13+S13+Z13+E28+L28+S28+Z28+Z43+S43+L43+E43</f>
        <v>46.685369198190088</v>
      </c>
      <c r="X86" s="42">
        <f t="shared" ref="X86:X88" si="446">F13+M13+T13+AA13+F28+M28+T28+AA28+AA43+T43+M43+F43</f>
        <v>0</v>
      </c>
      <c r="Y86" s="42">
        <f t="shared" ref="Y86:Y88" si="447">G13+N13+U13+AB13+G28+N28+U28+AB28+AB43+U43+N43+G43</f>
        <v>0</v>
      </c>
      <c r="Z86" s="42">
        <f t="shared" ref="Z86:Z88" si="448">H13+O13+V13+AC13+H28+O28+V28+AC28+AC43+V43+O43+H43</f>
        <v>0</v>
      </c>
      <c r="AE86" s="47">
        <f t="shared" si="436"/>
        <v>2031</v>
      </c>
      <c r="AF86" s="32">
        <f t="shared" si="431"/>
        <v>17463.370873369964</v>
      </c>
      <c r="AG86" s="32">
        <f t="shared" si="407"/>
        <v>2245.954283503972</v>
      </c>
      <c r="AH86" s="32">
        <f t="shared" si="408"/>
        <v>2240.5799685128432</v>
      </c>
      <c r="AI86" s="32">
        <f t="shared" si="409"/>
        <v>2245.954283503972</v>
      </c>
      <c r="AJ86" s="32">
        <f t="shared" si="410"/>
        <v>0</v>
      </c>
      <c r="AK86" s="32">
        <f t="shared" si="411"/>
        <v>0</v>
      </c>
      <c r="AL86" s="32">
        <f t="shared" si="412"/>
        <v>0</v>
      </c>
      <c r="AM86" s="41"/>
      <c r="AN86" s="47">
        <f t="shared" si="437"/>
        <v>2031</v>
      </c>
      <c r="AO86" s="32">
        <f t="shared" si="413"/>
        <v>3091.8708733699641</v>
      </c>
      <c r="AP86" s="32">
        <f t="shared" si="414"/>
        <v>9.4916720646759565</v>
      </c>
      <c r="AQ86" s="32">
        <f t="shared" si="415"/>
        <v>4.1173570735472138</v>
      </c>
      <c r="AR86" s="32">
        <f t="shared" si="416"/>
        <v>9.4916720646759565</v>
      </c>
      <c r="AS86" s="32">
        <f t="shared" si="417"/>
        <v>0</v>
      </c>
      <c r="AT86" s="32">
        <f t="shared" si="418"/>
        <v>0</v>
      </c>
      <c r="AU86" s="32">
        <f t="shared" si="419"/>
        <v>0</v>
      </c>
      <c r="AV86" s="41"/>
      <c r="AW86" s="47">
        <f t="shared" si="438"/>
        <v>2031</v>
      </c>
      <c r="AX86" s="32">
        <f t="shared" si="420"/>
        <v>14371.5</v>
      </c>
      <c r="AY86" s="32">
        <f t="shared" si="421"/>
        <v>2236.4626114392959</v>
      </c>
      <c r="AZ86" s="32">
        <f t="shared" si="422"/>
        <v>2236.4626114392959</v>
      </c>
      <c r="BA86" s="32">
        <f t="shared" si="423"/>
        <v>2236.4626114392959</v>
      </c>
      <c r="BB86" s="32">
        <f t="shared" si="424"/>
        <v>0</v>
      </c>
      <c r="BC86" s="32">
        <f t="shared" si="425"/>
        <v>0</v>
      </c>
      <c r="BD86" s="32">
        <f t="shared" si="426"/>
        <v>0</v>
      </c>
    </row>
    <row r="87" spans="1:56" ht="15.75" thickBot="1" x14ac:dyDescent="0.3">
      <c r="A87" s="22">
        <f t="shared" si="432"/>
        <v>2032</v>
      </c>
      <c r="B87" s="18">
        <f t="shared" si="427"/>
        <v>379.21892736087085</v>
      </c>
      <c r="C87" s="18">
        <f t="shared" si="398"/>
        <v>88.439879079190405</v>
      </c>
      <c r="D87" s="18">
        <f t="shared" si="399"/>
        <v>88.153021182339842</v>
      </c>
      <c r="E87" s="18">
        <f t="shared" si="400"/>
        <v>88.439879079190405</v>
      </c>
      <c r="F87" s="18">
        <f t="shared" si="401"/>
        <v>0</v>
      </c>
      <c r="G87" s="18">
        <f t="shared" si="402"/>
        <v>0</v>
      </c>
      <c r="H87" s="18">
        <f t="shared" si="403"/>
        <v>0</v>
      </c>
      <c r="J87" s="22">
        <f t="shared" si="433"/>
        <v>2032</v>
      </c>
      <c r="K87" s="42">
        <f t="shared" ref="K87:Q87" si="449">B59+I59+P59+W59+B74+I74+P74+W74</f>
        <v>79.218927360870836</v>
      </c>
      <c r="L87" s="18">
        <f t="shared" si="449"/>
        <v>0.74351085382287341</v>
      </c>
      <c r="M87" s="18">
        <f t="shared" si="449"/>
        <v>0.45665295697230263</v>
      </c>
      <c r="N87" s="18">
        <f t="shared" si="449"/>
        <v>0.74351085382287341</v>
      </c>
      <c r="O87" s="18">
        <f t="shared" si="449"/>
        <v>0</v>
      </c>
      <c r="P87" s="18">
        <f t="shared" si="449"/>
        <v>0</v>
      </c>
      <c r="Q87" s="18">
        <f t="shared" si="449"/>
        <v>0</v>
      </c>
      <c r="S87" s="22">
        <f t="shared" si="434"/>
        <v>2032</v>
      </c>
      <c r="T87" s="42">
        <f t="shared" si="442"/>
        <v>300</v>
      </c>
      <c r="U87" s="42">
        <f t="shared" si="443"/>
        <v>87.696368225367536</v>
      </c>
      <c r="V87" s="42">
        <f t="shared" si="444"/>
        <v>87.696368225367536</v>
      </c>
      <c r="W87" s="42">
        <f t="shared" si="445"/>
        <v>87.696368225367536</v>
      </c>
      <c r="X87" s="42">
        <f t="shared" si="446"/>
        <v>0</v>
      </c>
      <c r="Y87" s="42">
        <f t="shared" si="447"/>
        <v>0</v>
      </c>
      <c r="Z87" s="42">
        <f t="shared" si="448"/>
        <v>0</v>
      </c>
      <c r="AE87" s="47">
        <f t="shared" si="436"/>
        <v>2032</v>
      </c>
      <c r="AF87" s="32">
        <f t="shared" si="431"/>
        <v>18166.482715222519</v>
      </c>
      <c r="AG87" s="32">
        <f t="shared" si="407"/>
        <v>4236.7124072886163</v>
      </c>
      <c r="AH87" s="32">
        <f t="shared" si="408"/>
        <v>4222.97047973999</v>
      </c>
      <c r="AI87" s="32">
        <f t="shared" si="409"/>
        <v>4236.7124072886163</v>
      </c>
      <c r="AJ87" s="32">
        <f t="shared" si="410"/>
        <v>0</v>
      </c>
      <c r="AK87" s="32">
        <f t="shared" si="411"/>
        <v>0</v>
      </c>
      <c r="AL87" s="32">
        <f t="shared" si="412"/>
        <v>0</v>
      </c>
      <c r="AM87" s="41"/>
      <c r="AN87" s="47">
        <f t="shared" si="437"/>
        <v>2032</v>
      </c>
      <c r="AO87" s="32">
        <f t="shared" si="413"/>
        <v>3794.9827152225175</v>
      </c>
      <c r="AP87" s="32">
        <f t="shared" si="414"/>
        <v>35.61788745238475</v>
      </c>
      <c r="AQ87" s="32">
        <f t="shared" si="415"/>
        <v>21.875959903758158</v>
      </c>
      <c r="AR87" s="32">
        <f t="shared" si="416"/>
        <v>35.61788745238475</v>
      </c>
      <c r="AS87" s="32">
        <f t="shared" si="417"/>
        <v>0</v>
      </c>
      <c r="AT87" s="32">
        <f t="shared" si="418"/>
        <v>0</v>
      </c>
      <c r="AU87" s="32">
        <f t="shared" si="419"/>
        <v>0</v>
      </c>
      <c r="AV87" s="41"/>
      <c r="AW87" s="47">
        <f t="shared" si="438"/>
        <v>2032</v>
      </c>
      <c r="AX87" s="32">
        <f t="shared" si="420"/>
        <v>14371.5</v>
      </c>
      <c r="AY87" s="32">
        <f t="shared" si="421"/>
        <v>4201.0945198362324</v>
      </c>
      <c r="AZ87" s="32">
        <f t="shared" si="422"/>
        <v>4201.0945198362324</v>
      </c>
      <c r="BA87" s="32">
        <f t="shared" si="423"/>
        <v>4201.0945198362324</v>
      </c>
      <c r="BB87" s="32">
        <f t="shared" si="424"/>
        <v>0</v>
      </c>
      <c r="BC87" s="32">
        <f t="shared" si="425"/>
        <v>0</v>
      </c>
      <c r="BD87" s="32">
        <f t="shared" si="426"/>
        <v>0</v>
      </c>
    </row>
    <row r="88" spans="1:56" ht="15.75" thickBot="1" x14ac:dyDescent="0.3">
      <c r="A88" s="22">
        <f t="shared" si="432"/>
        <v>2033</v>
      </c>
      <c r="B88" s="18">
        <f t="shared" si="427"/>
        <v>395.93487275181991</v>
      </c>
      <c r="C88" s="18">
        <f t="shared" si="398"/>
        <v>155.58427672579543</v>
      </c>
      <c r="D88" s="18">
        <f t="shared" si="399"/>
        <v>151.92448020849466</v>
      </c>
      <c r="E88" s="18">
        <f t="shared" si="400"/>
        <v>155.58427672579543</v>
      </c>
      <c r="F88" s="18">
        <f t="shared" si="401"/>
        <v>0</v>
      </c>
      <c r="G88" s="18">
        <f t="shared" si="402"/>
        <v>0</v>
      </c>
      <c r="H88" s="18">
        <f t="shared" si="403"/>
        <v>0</v>
      </c>
      <c r="J88" s="22">
        <f t="shared" si="433"/>
        <v>2033</v>
      </c>
      <c r="K88" s="42">
        <f t="shared" ref="K88:Q88" si="450">B60+I60+P60+W60+B75+I75+P75+W75</f>
        <v>95.934872751819896</v>
      </c>
      <c r="L88" s="18">
        <f t="shared" si="450"/>
        <v>3.6806266543835715</v>
      </c>
      <c r="M88" s="18">
        <f t="shared" si="450"/>
        <v>2.0830137082786009E-2</v>
      </c>
      <c r="N88" s="18">
        <f t="shared" si="450"/>
        <v>3.6806266543835715</v>
      </c>
      <c r="O88" s="18">
        <f t="shared" si="450"/>
        <v>0</v>
      </c>
      <c r="P88" s="18">
        <f t="shared" si="450"/>
        <v>0</v>
      </c>
      <c r="Q88" s="18">
        <f t="shared" si="450"/>
        <v>0</v>
      </c>
      <c r="S88" s="22">
        <f t="shared" si="434"/>
        <v>2033</v>
      </c>
      <c r="T88" s="42">
        <f t="shared" si="442"/>
        <v>300</v>
      </c>
      <c r="U88" s="42">
        <f t="shared" si="443"/>
        <v>151.90365007141187</v>
      </c>
      <c r="V88" s="42">
        <f t="shared" si="444"/>
        <v>151.90365007141187</v>
      </c>
      <c r="W88" s="42">
        <f t="shared" si="445"/>
        <v>151.90365007141187</v>
      </c>
      <c r="X88" s="42">
        <f t="shared" si="446"/>
        <v>0</v>
      </c>
      <c r="Y88" s="42">
        <f t="shared" si="447"/>
        <v>0</v>
      </c>
      <c r="Z88" s="42">
        <f t="shared" si="448"/>
        <v>0</v>
      </c>
      <c r="AE88" s="47">
        <f t="shared" si="436"/>
        <v>2033</v>
      </c>
      <c r="AF88" s="32">
        <f t="shared" si="431"/>
        <v>18967.260079175936</v>
      </c>
      <c r="AG88" s="32">
        <f t="shared" si="407"/>
        <v>7453.2647765492302</v>
      </c>
      <c r="AH88" s="32">
        <f t="shared" si="408"/>
        <v>7277.9422243879362</v>
      </c>
      <c r="AI88" s="32">
        <f t="shared" si="409"/>
        <v>7453.2647765492302</v>
      </c>
      <c r="AJ88" s="32">
        <f t="shared" si="410"/>
        <v>0</v>
      </c>
      <c r="AK88" s="32">
        <f t="shared" si="411"/>
        <v>0</v>
      </c>
      <c r="AL88" s="32">
        <f t="shared" si="412"/>
        <v>0</v>
      </c>
      <c r="AM88" s="41"/>
      <c r="AN88" s="47">
        <f t="shared" si="437"/>
        <v>2033</v>
      </c>
      <c r="AO88" s="32">
        <f t="shared" si="413"/>
        <v>4595.7600791759323</v>
      </c>
      <c r="AP88" s="32">
        <f t="shared" si="414"/>
        <v>176.32041987824499</v>
      </c>
      <c r="AQ88" s="32">
        <f t="shared" si="415"/>
        <v>0.99786771695086374</v>
      </c>
      <c r="AR88" s="32">
        <f t="shared" si="416"/>
        <v>176.32041987824499</v>
      </c>
      <c r="AS88" s="32">
        <f t="shared" si="417"/>
        <v>0</v>
      </c>
      <c r="AT88" s="32">
        <f t="shared" si="418"/>
        <v>0</v>
      </c>
      <c r="AU88" s="32">
        <f t="shared" si="419"/>
        <v>0</v>
      </c>
      <c r="AV88" s="41"/>
      <c r="AW88" s="47">
        <f t="shared" si="438"/>
        <v>2033</v>
      </c>
      <c r="AX88" s="32">
        <f t="shared" si="420"/>
        <v>14371.5</v>
      </c>
      <c r="AY88" s="32">
        <f t="shared" si="421"/>
        <v>7276.9443566709861</v>
      </c>
      <c r="AZ88" s="32">
        <f t="shared" si="422"/>
        <v>7276.9443566709861</v>
      </c>
      <c r="BA88" s="32">
        <f t="shared" si="423"/>
        <v>7276.9443566709861</v>
      </c>
      <c r="BB88" s="32">
        <f t="shared" si="424"/>
        <v>0</v>
      </c>
      <c r="BC88" s="32">
        <f t="shared" si="425"/>
        <v>0</v>
      </c>
      <c r="BD88" s="32">
        <f t="shared" si="426"/>
        <v>0</v>
      </c>
    </row>
    <row r="89" spans="1:56" ht="15.75" thickBot="1" x14ac:dyDescent="0.3">
      <c r="A89" s="22">
        <f t="shared" si="432"/>
        <v>2034</v>
      </c>
      <c r="B89" s="18">
        <f t="shared" si="427"/>
        <v>114.42778913656981</v>
      </c>
      <c r="C89" s="18">
        <f t="shared" si="398"/>
        <v>24.466334299470031</v>
      </c>
      <c r="D89" s="18">
        <f t="shared" si="399"/>
        <v>6.7812158841930509E-2</v>
      </c>
      <c r="E89" s="18">
        <f t="shared" si="400"/>
        <v>24.466334299470031</v>
      </c>
      <c r="F89" s="18">
        <f t="shared" si="401"/>
        <v>0</v>
      </c>
      <c r="G89" s="18">
        <f t="shared" si="402"/>
        <v>0</v>
      </c>
      <c r="H89" s="18">
        <f t="shared" si="403"/>
        <v>0</v>
      </c>
      <c r="J89" s="22">
        <f t="shared" si="433"/>
        <v>2034</v>
      </c>
      <c r="K89" s="42">
        <f t="shared" ref="K89:Q89" si="451">B61+I61+P61+W61+B76+I76+P76+W76</f>
        <v>114.42778913656981</v>
      </c>
      <c r="L89" s="18">
        <f t="shared" si="451"/>
        <v>24.466334299470031</v>
      </c>
      <c r="M89" s="18">
        <f t="shared" si="451"/>
        <v>6.7812158841930509E-2</v>
      </c>
      <c r="N89" s="18">
        <f t="shared" si="451"/>
        <v>24.466334299470031</v>
      </c>
      <c r="O89" s="18">
        <f t="shared" si="451"/>
        <v>0</v>
      </c>
      <c r="P89" s="18">
        <f t="shared" si="451"/>
        <v>0</v>
      </c>
      <c r="Q89" s="18">
        <f t="shared" si="451"/>
        <v>0</v>
      </c>
      <c r="S89" s="22">
        <f t="shared" si="434"/>
        <v>2034</v>
      </c>
      <c r="T89" s="48"/>
      <c r="U89" s="48"/>
      <c r="V89" s="48"/>
      <c r="W89" s="48"/>
      <c r="X89" s="48"/>
      <c r="Y89" s="48"/>
      <c r="Z89" s="48"/>
      <c r="AE89" s="47">
        <f t="shared" si="436"/>
        <v>2034</v>
      </c>
      <c r="AF89" s="32">
        <f t="shared" si="431"/>
        <v>5481.6632385873763</v>
      </c>
      <c r="AG89" s="32">
        <f t="shared" si="407"/>
        <v>1172.0597446161116</v>
      </c>
      <c r="AH89" s="32">
        <f t="shared" si="408"/>
        <v>3.2485414693226811</v>
      </c>
      <c r="AI89" s="32">
        <f t="shared" si="409"/>
        <v>1172.0597446161116</v>
      </c>
      <c r="AJ89" s="32">
        <f t="shared" si="410"/>
        <v>0</v>
      </c>
      <c r="AK89" s="32">
        <f t="shared" si="411"/>
        <v>0</v>
      </c>
      <c r="AL89" s="32">
        <f t="shared" si="412"/>
        <v>0</v>
      </c>
      <c r="AM89" s="41"/>
      <c r="AN89" s="47">
        <f t="shared" si="437"/>
        <v>2034</v>
      </c>
      <c r="AO89" s="32">
        <f t="shared" si="413"/>
        <v>5481.6632385873763</v>
      </c>
      <c r="AP89" s="32">
        <f t="shared" si="414"/>
        <v>1172.0597446161116</v>
      </c>
      <c r="AQ89" s="32">
        <f t="shared" si="415"/>
        <v>3.2485414693226811</v>
      </c>
      <c r="AR89" s="32">
        <f t="shared" si="416"/>
        <v>1172.0597446161116</v>
      </c>
      <c r="AS89" s="32">
        <f t="shared" si="417"/>
        <v>0</v>
      </c>
      <c r="AT89" s="32">
        <f t="shared" si="418"/>
        <v>0</v>
      </c>
      <c r="AU89" s="32">
        <f t="shared" si="419"/>
        <v>0</v>
      </c>
      <c r="AV89" s="41"/>
      <c r="AW89" s="47">
        <f t="shared" si="438"/>
        <v>2034</v>
      </c>
      <c r="AX89" s="32">
        <f t="shared" si="420"/>
        <v>0</v>
      </c>
      <c r="AY89" s="32">
        <f t="shared" si="421"/>
        <v>0</v>
      </c>
      <c r="AZ89" s="32">
        <f t="shared" si="422"/>
        <v>0</v>
      </c>
      <c r="BA89" s="32">
        <f t="shared" si="423"/>
        <v>0</v>
      </c>
      <c r="BB89" s="32">
        <f t="shared" si="424"/>
        <v>0</v>
      </c>
      <c r="BC89" s="32">
        <f t="shared" si="425"/>
        <v>0</v>
      </c>
      <c r="BD89" s="32">
        <f t="shared" si="426"/>
        <v>0</v>
      </c>
    </row>
    <row r="91" spans="1:56" x14ac:dyDescent="0.25">
      <c r="S91" t="s">
        <v>146</v>
      </c>
      <c r="T91" s="9">
        <v>300</v>
      </c>
      <c r="U91" t="s">
        <v>147</v>
      </c>
    </row>
  </sheetData>
  <mergeCells count="40">
    <mergeCell ref="AF5:AL5"/>
    <mergeCell ref="AF20:AL20"/>
    <mergeCell ref="AF35:AL35"/>
    <mergeCell ref="AF50:AL50"/>
    <mergeCell ref="AF65:AL65"/>
    <mergeCell ref="AM65:AS65"/>
    <mergeCell ref="AT65:AZ65"/>
    <mergeCell ref="BA65:BG65"/>
    <mergeCell ref="AM5:AS5"/>
    <mergeCell ref="AT5:AZ5"/>
    <mergeCell ref="BA5:BG5"/>
    <mergeCell ref="AM50:AS50"/>
    <mergeCell ref="AT50:AZ50"/>
    <mergeCell ref="BA50:BG50"/>
    <mergeCell ref="AM20:AS20"/>
    <mergeCell ref="AT20:AZ20"/>
    <mergeCell ref="BA20:BG20"/>
    <mergeCell ref="AM35:AS35"/>
    <mergeCell ref="AT35:AZ35"/>
    <mergeCell ref="BA35:BG35"/>
    <mergeCell ref="P50:V50"/>
    <mergeCell ref="W50:AC50"/>
    <mergeCell ref="B65:H65"/>
    <mergeCell ref="I65:O65"/>
    <mergeCell ref="P65:V65"/>
    <mergeCell ref="W65:AC65"/>
    <mergeCell ref="B50:H50"/>
    <mergeCell ref="I50:O50"/>
    <mergeCell ref="B35:H35"/>
    <mergeCell ref="I35:O35"/>
    <mergeCell ref="P35:V35"/>
    <mergeCell ref="W35:AC35"/>
    <mergeCell ref="B5:H5"/>
    <mergeCell ref="I5:O5"/>
    <mergeCell ref="P5:V5"/>
    <mergeCell ref="W5:AC5"/>
    <mergeCell ref="B20:H20"/>
    <mergeCell ref="I20:O20"/>
    <mergeCell ref="P20:V20"/>
    <mergeCell ref="W20:AC20"/>
  </mergeCells>
  <pageMargins left="0.7" right="0.7" top="0.75" bottom="0.75" header="0.3" footer="0.3"/>
  <pageSetup paperSize="9" orientation="portrait" horizontalDpi="0" verticalDpi="0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262D-E46F-4434-AE73-22B7B23881CF}">
  <sheetPr>
    <tabColor rgb="FFFF0000"/>
  </sheetPr>
  <dimension ref="A1:Z59"/>
  <sheetViews>
    <sheetView zoomScale="115" zoomScaleNormal="115" workbookViewId="0">
      <selection activeCell="Q11" sqref="Q11"/>
    </sheetView>
  </sheetViews>
  <sheetFormatPr defaultRowHeight="15" x14ac:dyDescent="0.25"/>
  <cols>
    <col min="3" max="3" width="16" bestFit="1" customWidth="1"/>
    <col min="9" max="9" width="9.28515625" customWidth="1"/>
  </cols>
  <sheetData>
    <row r="1" spans="1:26" x14ac:dyDescent="0.25">
      <c r="A1" s="13" t="s">
        <v>148</v>
      </c>
      <c r="E1" t="s">
        <v>149</v>
      </c>
      <c r="G1" s="61">
        <v>20</v>
      </c>
      <c r="H1" t="s">
        <v>116</v>
      </c>
    </row>
    <row r="4" spans="1:26" x14ac:dyDescent="0.25">
      <c r="A4" s="13" t="s">
        <v>150</v>
      </c>
      <c r="D4" s="13" t="s">
        <v>120</v>
      </c>
      <c r="E4" s="107" t="s">
        <v>151</v>
      </c>
      <c r="F4" s="107"/>
      <c r="G4" s="107"/>
      <c r="H4" s="107"/>
      <c r="I4" s="107"/>
      <c r="J4" s="107"/>
      <c r="L4" s="13" t="s">
        <v>120</v>
      </c>
      <c r="M4" s="107" t="s">
        <v>152</v>
      </c>
      <c r="N4" s="107"/>
      <c r="O4" s="107"/>
      <c r="P4" s="107"/>
      <c r="Q4" s="107"/>
      <c r="R4" s="107"/>
      <c r="T4" s="13" t="s">
        <v>120</v>
      </c>
      <c r="U4" s="107" t="s">
        <v>153</v>
      </c>
      <c r="V4" s="107"/>
      <c r="W4" s="107"/>
      <c r="X4" s="107"/>
      <c r="Y4" s="107"/>
      <c r="Z4" s="107"/>
    </row>
    <row r="5" spans="1:26" x14ac:dyDescent="0.25">
      <c r="B5" t="s">
        <v>154</v>
      </c>
      <c r="C5" t="s">
        <v>155</v>
      </c>
      <c r="D5" s="13">
        <v>1</v>
      </c>
      <c r="E5" s="13">
        <f>D5+1</f>
        <v>2</v>
      </c>
      <c r="F5" s="13">
        <f t="shared" ref="F5:H5" si="0">E5+1</f>
        <v>3</v>
      </c>
      <c r="G5" s="13">
        <f t="shared" si="0"/>
        <v>4</v>
      </c>
      <c r="H5" s="13">
        <f t="shared" si="0"/>
        <v>5</v>
      </c>
      <c r="I5" s="13">
        <f t="shared" ref="I5" si="1">H5+1</f>
        <v>6</v>
      </c>
      <c r="J5" s="13">
        <f t="shared" ref="J5" si="2">I5+1</f>
        <v>7</v>
      </c>
      <c r="L5" s="13">
        <v>1</v>
      </c>
      <c r="M5" s="13">
        <f>L5+1</f>
        <v>2</v>
      </c>
      <c r="N5" s="13">
        <f t="shared" ref="N5" si="3">M5+1</f>
        <v>3</v>
      </c>
      <c r="O5" s="13">
        <f t="shared" ref="O5" si="4">N5+1</f>
        <v>4</v>
      </c>
      <c r="P5" s="13">
        <f t="shared" ref="P5" si="5">O5+1</f>
        <v>5</v>
      </c>
      <c r="Q5" s="13">
        <f t="shared" ref="Q5" si="6">P5+1</f>
        <v>6</v>
      </c>
      <c r="R5" s="13">
        <f t="shared" ref="R5" si="7">Q5+1</f>
        <v>7</v>
      </c>
      <c r="T5" s="13">
        <v>1</v>
      </c>
      <c r="U5" s="13">
        <f>T5+1</f>
        <v>2</v>
      </c>
      <c r="V5" s="13">
        <f t="shared" ref="V5" si="8">U5+1</f>
        <v>3</v>
      </c>
      <c r="W5" s="13">
        <f t="shared" ref="W5" si="9">V5+1</f>
        <v>4</v>
      </c>
      <c r="X5" s="13">
        <f t="shared" ref="X5" si="10">W5+1</f>
        <v>5</v>
      </c>
      <c r="Y5" s="13">
        <f t="shared" ref="Y5" si="11">X5+1</f>
        <v>6</v>
      </c>
      <c r="Z5" s="13">
        <f t="shared" ref="Z5" si="12">Y5+1</f>
        <v>7</v>
      </c>
    </row>
    <row r="6" spans="1:26" x14ac:dyDescent="0.25">
      <c r="D6" s="14"/>
      <c r="E6" s="14"/>
      <c r="F6" s="14"/>
      <c r="G6" s="14"/>
      <c r="H6" s="14"/>
      <c r="I6" s="14"/>
      <c r="J6" s="14"/>
      <c r="L6" s="14"/>
      <c r="M6" s="14"/>
      <c r="N6" s="14"/>
      <c r="O6" s="14"/>
      <c r="P6" s="14"/>
      <c r="Q6" s="14"/>
      <c r="R6" s="14"/>
      <c r="T6" s="14"/>
      <c r="U6" s="14"/>
      <c r="V6" s="14"/>
      <c r="W6" s="14"/>
      <c r="X6" s="14"/>
      <c r="Y6" s="14"/>
      <c r="Z6" s="14"/>
    </row>
    <row r="7" spans="1:26" s="13" customFormat="1" x14ac:dyDescent="0.25">
      <c r="C7" s="45" t="s">
        <v>156</v>
      </c>
      <c r="D7" s="16">
        <f>SUMPRODUCT($C$9:$C$19,D$9:D$19)</f>
        <v>0</v>
      </c>
      <c r="E7" s="16">
        <f>SUMPRODUCT($C$9:$C$19,E$9:E$19)</f>
        <v>56.889126713348475</v>
      </c>
      <c r="F7" s="16">
        <f>SUMPRODUCT($C$9:$C$19,F$9:F$19)</f>
        <v>44.408853728020404</v>
      </c>
      <c r="G7" s="16">
        <f>SUMPRODUCT($C$9:$C$19,G$9:G$19)</f>
        <v>35.438622338455843</v>
      </c>
      <c r="H7" s="16">
        <f>SUMPRODUCT($C$9:$C$19,H$9:H$19)</f>
        <v>0</v>
      </c>
      <c r="I7" s="16">
        <f t="shared" ref="I7:J7" si="13">SUMPRODUCT($C$9:$C$19,I$9:I$19)</f>
        <v>0</v>
      </c>
      <c r="J7" s="16">
        <f t="shared" si="13"/>
        <v>0</v>
      </c>
      <c r="L7" s="16">
        <f>SUMPRODUCT($C$9:$C$19,L$9:L$19)-PV(EUE!$V$1,$G$1-10,L$19)</f>
        <v>0</v>
      </c>
      <c r="M7" s="16">
        <f>SUMPRODUCT($C$9:$C$19,M$9:M$19)-PV(EUE!$V$1,$G$1-10,M$19)</f>
        <v>8.027027472533744</v>
      </c>
      <c r="N7" s="16">
        <f>SUMPRODUCT($C$9:$C$19,N$9:N$19)-PV(EUE!$V$1,$G$1-10,N$19)</f>
        <v>6.4967534284616963</v>
      </c>
      <c r="O7" s="16">
        <f>SUMPRODUCT($C$9:$C$19,O$9:O$19)-PV(EUE!$V$1,$G$1-10,O$19)</f>
        <v>5.3718293614591612</v>
      </c>
      <c r="P7" s="16">
        <f>SUMPRODUCT($C$9:$C$19,P$9:P$19)-PV(EUE!$V$1,$G$1-10,P$19)</f>
        <v>0</v>
      </c>
      <c r="Q7" s="16">
        <f>SUMPRODUCT($C$9:$C$19,Q$9:Q$19)-PV(EUE!$V$1,$G$1-10,Q$19)</f>
        <v>0</v>
      </c>
      <c r="R7" s="16">
        <f>SUMPRODUCT($C$9:$C$19,R$9:R$19)-PV(EUE!$V$1,$G$1-10,R$19)</f>
        <v>0</v>
      </c>
      <c r="T7" s="16">
        <f>SUMPRODUCT($C$9:$C$19,T$9:T$19)-PV(EUE!$V$1,$G$1-10,T$19)</f>
        <v>154.99628580490551</v>
      </c>
      <c r="U7" s="16">
        <f>SUMPRODUCT($C$9:$C$19,U$9:U$19)-PV(EUE!$V$1,$G$1-10,U$19)</f>
        <v>25.735435594019322</v>
      </c>
      <c r="V7" s="16">
        <f>SUMPRODUCT($C$9:$C$19,V$9:V$19)-PV(EUE!$V$1,$G$1-10,V$19)</f>
        <v>15.182476266771861</v>
      </c>
      <c r="W7" s="16">
        <f>SUMPRODUCT($C$9:$C$19,W$9:W$19)-PV(EUE!$V$1,$G$1-10,W$19)</f>
        <v>16.056369859259878</v>
      </c>
      <c r="X7" s="16">
        <f>SUMPRODUCT($C$9:$C$19,X$9:X$19)-PV(EUE!$V$1,$G$1-10,X$19)</f>
        <v>3.9691752637602624</v>
      </c>
      <c r="Y7" s="16">
        <f>SUMPRODUCT($C$9:$C$19,Y$9:Y$19)-PV(EUE!$V$1,$G$1-10,Y$19)</f>
        <v>3.9691752637602624</v>
      </c>
      <c r="Z7" s="16">
        <f>SUMPRODUCT($C$9:$C$19,Z$9:Z$19)-PV(EUE!$V$1,$G$1-10,Z$19)</f>
        <v>3.9691752637602624</v>
      </c>
    </row>
    <row r="8" spans="1:26" s="12" customFormat="1" x14ac:dyDescent="0.25">
      <c r="C8" s="46" t="s">
        <v>157</v>
      </c>
      <c r="D8" s="23">
        <f>SUM(D9:D19)</f>
        <v>0</v>
      </c>
      <c r="E8" s="23">
        <f>SUM(E9:E19)</f>
        <v>73.966000000000008</v>
      </c>
      <c r="F8" s="23">
        <f>SUM(F9:F19)</f>
        <v>51.966000000000001</v>
      </c>
      <c r="G8" s="23">
        <f>SUM(G9:G19)</f>
        <v>36.78</v>
      </c>
      <c r="H8" s="23">
        <f>SUM(H9:H19)</f>
        <v>0</v>
      </c>
      <c r="I8" s="23">
        <f t="shared" ref="I8:J8" si="14">SUM(I9:I19)</f>
        <v>0</v>
      </c>
      <c r="J8" s="23">
        <f t="shared" si="14"/>
        <v>0</v>
      </c>
      <c r="L8" s="23">
        <f t="shared" ref="L8:R8" si="15">SUM(L9:L19)+($G$1-10)*L$19</f>
        <v>0</v>
      </c>
      <c r="M8" s="23">
        <f t="shared" si="15"/>
        <v>10.62618</v>
      </c>
      <c r="N8" s="23">
        <f t="shared" si="15"/>
        <v>8.6461800000000011</v>
      </c>
      <c r="O8" s="23">
        <f t="shared" si="15"/>
        <v>7.0808400000000002</v>
      </c>
      <c r="P8" s="23">
        <f t="shared" si="15"/>
        <v>0</v>
      </c>
      <c r="Q8" s="23">
        <f t="shared" si="15"/>
        <v>0</v>
      </c>
      <c r="R8" s="23">
        <f t="shared" si="15"/>
        <v>0</v>
      </c>
      <c r="T8" s="23">
        <f t="shared" ref="T8:Z8" si="16">SUM(T9:T19)+($G$1-10)*T$19</f>
        <v>199.25954951423199</v>
      </c>
      <c r="U8" s="23">
        <f t="shared" si="16"/>
        <v>34.056012187863331</v>
      </c>
      <c r="V8" s="23">
        <f t="shared" si="16"/>
        <v>19.798407934747651</v>
      </c>
      <c r="W8" s="23">
        <f t="shared" si="16"/>
        <v>21.163354997086103</v>
      </c>
      <c r="X8" s="23">
        <f t="shared" si="16"/>
        <v>3.9691752637602624</v>
      </c>
      <c r="Y8" s="23">
        <f t="shared" si="16"/>
        <v>3.9691752637602624</v>
      </c>
      <c r="Z8" s="23">
        <f t="shared" si="16"/>
        <v>3.9691752637602624</v>
      </c>
    </row>
    <row r="9" spans="1:26" x14ac:dyDescent="0.25">
      <c r="A9">
        <v>0</v>
      </c>
      <c r="B9" s="61">
        <v>2025</v>
      </c>
      <c r="C9">
        <v>1</v>
      </c>
      <c r="D9" s="14">
        <v>0</v>
      </c>
      <c r="E9" s="110">
        <f t="shared" ref="E9:G18" si="17">SUMIFS($G$22:$G$59,$J$22:$J$59,$B9+1,$K$22:$K$59,E$5)+SUMIFS($G$22:$G$59,$J$22:$J$59,$B9+1,$K$22:$K$59,"2,3,4")</f>
        <v>12.762</v>
      </c>
      <c r="F9" s="110">
        <f t="shared" si="17"/>
        <v>12.762</v>
      </c>
      <c r="G9" s="110">
        <f t="shared" si="17"/>
        <v>12.762</v>
      </c>
      <c r="H9" s="62"/>
      <c r="I9" s="62"/>
      <c r="J9" s="62"/>
      <c r="L9" s="14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T9" s="63">
        <f>EUE!AF80/1000</f>
        <v>3.9691752637602624</v>
      </c>
      <c r="U9" s="63">
        <f>EUE!AG80/1000</f>
        <v>3.9691752637602624</v>
      </c>
      <c r="V9" s="63">
        <f>EUE!AH80/1000</f>
        <v>3.9691752637602624</v>
      </c>
      <c r="W9" s="63">
        <f>EUE!AI80/1000</f>
        <v>3.9691752637602624</v>
      </c>
      <c r="X9" s="63">
        <f>EUE!AJ80/1000</f>
        <v>3.9691752637602624</v>
      </c>
      <c r="Y9" s="63">
        <f>EUE!AK80/1000</f>
        <v>3.9691752637602624</v>
      </c>
      <c r="Z9" s="63">
        <f>EUE!AL80/1000</f>
        <v>3.9691752637602624</v>
      </c>
    </row>
    <row r="10" spans="1:26" x14ac:dyDescent="0.25">
      <c r="A10">
        <f>A9+1</f>
        <v>1</v>
      </c>
      <c r="B10">
        <f>IF(A10&gt;$G$1,"",B9+1)</f>
        <v>2026</v>
      </c>
      <c r="C10" s="19">
        <f>C9/(1+EUE!$V$1)</f>
        <v>0.95075109336375729</v>
      </c>
      <c r="D10" s="14"/>
      <c r="E10" s="110">
        <f>SUMIFS($G$22:$G$59,$J$22:$J$59,$B10+1,$K$22:$K$59,E$5)+SUMIFS($G$22:$G$59,$J$22:$J$59,$B10+1,$K$22:$K$59,"2,3,4")</f>
        <v>15.64</v>
      </c>
      <c r="F10" s="110">
        <f t="shared" si="17"/>
        <v>15.64</v>
      </c>
      <c r="G10" s="110">
        <f t="shared" si="17"/>
        <v>22.454000000000001</v>
      </c>
      <c r="H10" s="62"/>
      <c r="I10" s="62"/>
      <c r="J10" s="62"/>
      <c r="L10" s="14"/>
      <c r="M10" s="62">
        <f>M9+E9*EUE!$O$1</f>
        <v>0.12762000000000001</v>
      </c>
      <c r="N10" s="62">
        <f>N9+F9*EUE!$O$1</f>
        <v>0.12762000000000001</v>
      </c>
      <c r="O10" s="62">
        <f>O9+G9*EUE!$O$1</f>
        <v>0.12762000000000001</v>
      </c>
      <c r="P10" s="62">
        <f>P9+H9*EUE!$O$1</f>
        <v>0</v>
      </c>
      <c r="Q10" s="62">
        <f>Q9+I9*EUE!$O$1</f>
        <v>0</v>
      </c>
      <c r="R10" s="62">
        <f>R9+J9*EUE!$O$1</f>
        <v>0</v>
      </c>
      <c r="T10" s="63">
        <f>EUE!AF81/1000</f>
        <v>10.721847727928665</v>
      </c>
      <c r="U10" s="63">
        <f>EUE!AG81/1000</f>
        <v>0.49562275738790268</v>
      </c>
      <c r="V10" s="63">
        <f>EUE!AH81/1000</f>
        <v>0.49562275738790268</v>
      </c>
      <c r="W10" s="63">
        <f>EUE!AI81/1000</f>
        <v>0.49562275738790268</v>
      </c>
      <c r="X10" s="63">
        <f>EUE!AJ81/1000</f>
        <v>0</v>
      </c>
      <c r="Y10" s="63">
        <f>EUE!AK81/1000</f>
        <v>0</v>
      </c>
      <c r="Z10" s="63">
        <f>EUE!AL81/1000</f>
        <v>0</v>
      </c>
    </row>
    <row r="11" spans="1:26" x14ac:dyDescent="0.25">
      <c r="A11">
        <f t="shared" ref="A11:A19" si="18">A10+1</f>
        <v>2</v>
      </c>
      <c r="B11">
        <f t="shared" ref="B11:B18" si="19">IF(A11&gt;$G$1,"",B10+1)</f>
        <v>2027</v>
      </c>
      <c r="C11" s="19">
        <f>C10/(1+EUE!$V$1)</f>
        <v>0.90392764153237992</v>
      </c>
      <c r="D11" s="14"/>
      <c r="E11" s="110">
        <f t="shared" si="17"/>
        <v>0</v>
      </c>
      <c r="F11" s="110">
        <f t="shared" si="17"/>
        <v>0</v>
      </c>
      <c r="G11" s="110">
        <f t="shared" si="17"/>
        <v>0</v>
      </c>
      <c r="H11" s="62"/>
      <c r="I11" s="62"/>
      <c r="J11" s="62"/>
      <c r="L11" s="14"/>
      <c r="M11" s="62">
        <f>M10+E10*EUE!$O$1</f>
        <v>0.28402000000000005</v>
      </c>
      <c r="N11" s="62">
        <f>N10+F10*EUE!$O$1</f>
        <v>0.28402000000000005</v>
      </c>
      <c r="O11" s="62">
        <f>O10+G10*EUE!$O$1</f>
        <v>0.35216000000000003</v>
      </c>
      <c r="P11" s="62">
        <f>P10+H10*EUE!$O$1</f>
        <v>0</v>
      </c>
      <c r="Q11" s="62">
        <f>Q10+I10*EUE!$O$1</f>
        <v>0</v>
      </c>
      <c r="R11" s="62">
        <f>R10+J10*EUE!$O$1</f>
        <v>0</v>
      </c>
      <c r="T11" s="63">
        <f>EUE!AF82/1000</f>
        <v>15.283644510349971</v>
      </c>
      <c r="U11" s="63">
        <f>EUE!AG82/1000</f>
        <v>2.6579634534145574E-4</v>
      </c>
      <c r="V11" s="63">
        <f>EUE!AH82/1000</f>
        <v>2.6579634534145574E-4</v>
      </c>
      <c r="W11" s="63">
        <f>EUE!AI82/1000</f>
        <v>2.6579634534145574E-4</v>
      </c>
      <c r="X11" s="63">
        <f>EUE!AJ82/1000</f>
        <v>0</v>
      </c>
      <c r="Y11" s="63">
        <f>EUE!AK82/1000</f>
        <v>0</v>
      </c>
      <c r="Z11" s="63">
        <f>EUE!AL82/1000</f>
        <v>0</v>
      </c>
    </row>
    <row r="12" spans="1:26" x14ac:dyDescent="0.25">
      <c r="A12">
        <f t="shared" si="18"/>
        <v>3</v>
      </c>
      <c r="B12">
        <f t="shared" si="19"/>
        <v>2028</v>
      </c>
      <c r="C12" s="19">
        <f>C11/(1+EUE!$V$1)</f>
        <v>0.85941019350863268</v>
      </c>
      <c r="D12" s="14"/>
      <c r="E12" s="110">
        <f t="shared" si="17"/>
        <v>1.194</v>
      </c>
      <c r="F12" s="110">
        <f t="shared" si="17"/>
        <v>1.194</v>
      </c>
      <c r="G12" s="110">
        <f t="shared" si="17"/>
        <v>1.194</v>
      </c>
      <c r="H12" s="62"/>
      <c r="I12" s="62"/>
      <c r="J12" s="62"/>
      <c r="L12" s="14"/>
      <c r="M12" s="62">
        <f>M11+E11*EUE!$O$1</f>
        <v>0.28402000000000005</v>
      </c>
      <c r="N12" s="62">
        <f>N11+F11*EUE!$O$1</f>
        <v>0.28402000000000005</v>
      </c>
      <c r="O12" s="62">
        <f>O11+G11*EUE!$O$1</f>
        <v>0.35216000000000003</v>
      </c>
      <c r="P12" s="62">
        <f>P11+H11*EUE!$O$1</f>
        <v>0</v>
      </c>
      <c r="Q12" s="62">
        <f>Q11+I11*EUE!$O$1</f>
        <v>0</v>
      </c>
      <c r="R12" s="62">
        <f>R11+J11*EUE!$O$1</f>
        <v>0</v>
      </c>
      <c r="T12" s="63">
        <f>EUE!AF83/1000</f>
        <v>15.794992545140968</v>
      </c>
      <c r="U12" s="63">
        <f>EUE!AG83/1000</f>
        <v>0.18453542709009838</v>
      </c>
      <c r="V12" s="63">
        <f>EUE!AH83/1000</f>
        <v>0.18453542709009838</v>
      </c>
      <c r="W12" s="63">
        <f>EUE!AI83/1000</f>
        <v>0.18453542709009838</v>
      </c>
      <c r="X12" s="63">
        <f>EUE!AJ83/1000</f>
        <v>0</v>
      </c>
      <c r="Y12" s="63">
        <f>EUE!AK83/1000</f>
        <v>0</v>
      </c>
      <c r="Z12" s="63">
        <f>EUE!AL83/1000</f>
        <v>0</v>
      </c>
    </row>
    <row r="13" spans="1:26" x14ac:dyDescent="0.25">
      <c r="A13">
        <f t="shared" si="18"/>
        <v>4</v>
      </c>
      <c r="B13">
        <f t="shared" si="19"/>
        <v>2029</v>
      </c>
      <c r="C13" s="19">
        <f>C12/(1+EUE!$V$1)</f>
        <v>0.8170851811262908</v>
      </c>
      <c r="D13" s="14"/>
      <c r="E13" s="110">
        <f t="shared" si="17"/>
        <v>0.37</v>
      </c>
      <c r="F13" s="110">
        <f t="shared" si="17"/>
        <v>0.37</v>
      </c>
      <c r="G13" s="110">
        <f t="shared" si="17"/>
        <v>0.37</v>
      </c>
      <c r="H13" s="62"/>
      <c r="I13" s="62"/>
      <c r="J13" s="62"/>
      <c r="L13" s="14"/>
      <c r="M13" s="62">
        <f>M12+E12*EUE!$O$1</f>
        <v>0.29596000000000006</v>
      </c>
      <c r="N13" s="62">
        <f>N12+F12*EUE!$O$1</f>
        <v>0.29596000000000006</v>
      </c>
      <c r="O13" s="62">
        <f>O12+G12*EUE!$O$1</f>
        <v>0.36410000000000003</v>
      </c>
      <c r="P13" s="62">
        <f>P12+H12*EUE!$O$1</f>
        <v>0</v>
      </c>
      <c r="Q13" s="62">
        <f>Q12+I12*EUE!$O$1</f>
        <v>0</v>
      </c>
      <c r="R13" s="62">
        <f>R12+J12*EUE!$O$1</f>
        <v>0</v>
      </c>
      <c r="T13" s="63">
        <f>EUE!AF84/1000</f>
        <v>16.25587790644607</v>
      </c>
      <c r="U13" s="63">
        <f>EUE!AG84/1000</f>
        <v>0.27877484204551151</v>
      </c>
      <c r="V13" s="63">
        <f>EUE!AH84/1000</f>
        <v>0.27865108547177453</v>
      </c>
      <c r="W13" s="63">
        <f>EUE!AI84/1000</f>
        <v>0.27877484204551151</v>
      </c>
      <c r="X13" s="63">
        <f>EUE!AJ84/1000</f>
        <v>0</v>
      </c>
      <c r="Y13" s="63">
        <f>EUE!AK84/1000</f>
        <v>0</v>
      </c>
      <c r="Z13" s="63">
        <f>EUE!AL84/1000</f>
        <v>0</v>
      </c>
    </row>
    <row r="14" spans="1:26" x14ac:dyDescent="0.25">
      <c r="A14">
        <f t="shared" si="18"/>
        <v>5</v>
      </c>
      <c r="B14">
        <f t="shared" si="19"/>
        <v>2030</v>
      </c>
      <c r="C14" s="19">
        <f>C13/(1+EUE!$V$1)</f>
        <v>0.77684462932714471</v>
      </c>
      <c r="D14" s="14"/>
      <c r="E14" s="110">
        <f t="shared" si="17"/>
        <v>0</v>
      </c>
      <c r="F14" s="110">
        <f t="shared" si="17"/>
        <v>0</v>
      </c>
      <c r="G14" s="110">
        <f t="shared" si="17"/>
        <v>0</v>
      </c>
      <c r="H14" s="62"/>
      <c r="I14" s="62"/>
      <c r="J14" s="62"/>
      <c r="L14" s="14"/>
      <c r="M14" s="62">
        <f>M13+E13*EUE!$O$1</f>
        <v>0.29966000000000004</v>
      </c>
      <c r="N14" s="62">
        <f>N13+F13*EUE!$O$1</f>
        <v>0.29966000000000004</v>
      </c>
      <c r="O14" s="62">
        <f>O13+G13*EUE!$O$1</f>
        <v>0.36780000000000002</v>
      </c>
      <c r="P14" s="62">
        <f>P13+H13*EUE!$O$1</f>
        <v>0</v>
      </c>
      <c r="Q14" s="62">
        <f>Q13+I13*EUE!$O$1</f>
        <v>0</v>
      </c>
      <c r="R14" s="62">
        <f>R13+J13*EUE!$O$1</f>
        <v>0</v>
      </c>
      <c r="T14" s="63">
        <f>EUE!AF85/1000</f>
        <v>16.856939029789114</v>
      </c>
      <c r="U14" s="63">
        <f>EUE!AG85/1000</f>
        <v>1.1269896984990562</v>
      </c>
      <c r="V14" s="63">
        <f>EUE!AH85/1000</f>
        <v>1.1254163905821797</v>
      </c>
      <c r="W14" s="63">
        <f>EUE!AI85/1000</f>
        <v>1.1269896984990562</v>
      </c>
      <c r="X14" s="63">
        <f>EUE!AJ85/1000</f>
        <v>0</v>
      </c>
      <c r="Y14" s="63">
        <f>EUE!AK85/1000</f>
        <v>0</v>
      </c>
      <c r="Z14" s="63">
        <f>EUE!AL85/1000</f>
        <v>0</v>
      </c>
    </row>
    <row r="15" spans="1:26" x14ac:dyDescent="0.25">
      <c r="A15">
        <f t="shared" si="18"/>
        <v>6</v>
      </c>
      <c r="B15">
        <f t="shared" si="19"/>
        <v>2031</v>
      </c>
      <c r="C15" s="19">
        <f>C14/(1+EUE!$V$1)</f>
        <v>0.73858588070654563</v>
      </c>
      <c r="D15" s="14"/>
      <c r="E15" s="110">
        <f t="shared" si="17"/>
        <v>0</v>
      </c>
      <c r="F15" s="110">
        <f t="shared" si="17"/>
        <v>0</v>
      </c>
      <c r="G15" s="110">
        <f t="shared" si="17"/>
        <v>0</v>
      </c>
      <c r="H15" s="62"/>
      <c r="I15" s="62"/>
      <c r="J15" s="62"/>
      <c r="L15" s="14"/>
      <c r="M15" s="62">
        <f>M14+E14*EUE!$O$1</f>
        <v>0.29966000000000004</v>
      </c>
      <c r="N15" s="62">
        <f>N14+F14*EUE!$O$1</f>
        <v>0.29966000000000004</v>
      </c>
      <c r="O15" s="62">
        <f>O14+G14*EUE!$O$1</f>
        <v>0.36780000000000002</v>
      </c>
      <c r="P15" s="62">
        <f>P14+H14*EUE!$O$1</f>
        <v>0</v>
      </c>
      <c r="Q15" s="62">
        <f>Q14+I14*EUE!$O$1</f>
        <v>0</v>
      </c>
      <c r="R15" s="62">
        <f>R14+J14*EUE!$O$1</f>
        <v>0</v>
      </c>
      <c r="T15" s="63">
        <f>EUE!AF86/1000</f>
        <v>17.463370873369964</v>
      </c>
      <c r="U15" s="63">
        <f>EUE!AG86/1000</f>
        <v>2.2459542835039721</v>
      </c>
      <c r="V15" s="63">
        <f>EUE!AH86/1000</f>
        <v>2.2405799685128431</v>
      </c>
      <c r="W15" s="63">
        <f>EUE!AI86/1000</f>
        <v>2.2459542835039721</v>
      </c>
      <c r="X15" s="63">
        <f>EUE!AJ86/1000</f>
        <v>0</v>
      </c>
      <c r="Y15" s="63">
        <f>EUE!AK86/1000</f>
        <v>0</v>
      </c>
      <c r="Z15" s="63">
        <f>EUE!AL86/1000</f>
        <v>0</v>
      </c>
    </row>
    <row r="16" spans="1:26" x14ac:dyDescent="0.25">
      <c r="A16">
        <f t="shared" si="18"/>
        <v>7</v>
      </c>
      <c r="B16">
        <f t="shared" si="19"/>
        <v>2032</v>
      </c>
      <c r="C16" s="19">
        <f>C15/(1+EUE!$V$1)</f>
        <v>0.70221133362478183</v>
      </c>
      <c r="D16" s="14"/>
      <c r="E16" s="110">
        <f t="shared" si="17"/>
        <v>0</v>
      </c>
      <c r="F16" s="110">
        <f t="shared" si="17"/>
        <v>22</v>
      </c>
      <c r="G16" s="110">
        <f t="shared" si="17"/>
        <v>0</v>
      </c>
      <c r="H16" s="62"/>
      <c r="I16" s="62"/>
      <c r="J16" s="62"/>
      <c r="L16" s="14"/>
      <c r="M16" s="62">
        <f>M15+E15*EUE!$O$1</f>
        <v>0.29966000000000004</v>
      </c>
      <c r="N16" s="62">
        <f>N15+F15*EUE!$O$1</f>
        <v>0.29966000000000004</v>
      </c>
      <c r="O16" s="62">
        <f>O15+G15*EUE!$O$1</f>
        <v>0.36780000000000002</v>
      </c>
      <c r="P16" s="62">
        <f>P15+H15*EUE!$O$1</f>
        <v>0</v>
      </c>
      <c r="Q16" s="62">
        <f>Q15+I15*EUE!$O$1</f>
        <v>0</v>
      </c>
      <c r="R16" s="62">
        <f>R15+J15*EUE!$O$1</f>
        <v>0</v>
      </c>
      <c r="T16" s="63">
        <f>EUE!AF87/1000</f>
        <v>18.166482715222518</v>
      </c>
      <c r="U16" s="63">
        <f>EUE!AG87/1000</f>
        <v>4.236712407288616</v>
      </c>
      <c r="V16" s="63">
        <f>EUE!AH87/1000</f>
        <v>4.2229704797399901</v>
      </c>
      <c r="W16" s="63">
        <f>EUE!AI87/1000</f>
        <v>4.236712407288616</v>
      </c>
      <c r="X16" s="63">
        <f>EUE!AJ87/1000</f>
        <v>0</v>
      </c>
      <c r="Y16" s="63">
        <f>EUE!AK87/1000</f>
        <v>0</v>
      </c>
      <c r="Z16" s="63">
        <f>EUE!AL87/1000</f>
        <v>0</v>
      </c>
    </row>
    <row r="17" spans="1:26" x14ac:dyDescent="0.25">
      <c r="A17">
        <f t="shared" si="18"/>
        <v>8</v>
      </c>
      <c r="B17">
        <f t="shared" si="19"/>
        <v>2033</v>
      </c>
      <c r="C17" s="19">
        <f>C16/(1+EUE!$V$1)</f>
        <v>0.6676281932161835</v>
      </c>
      <c r="D17" s="14"/>
      <c r="E17" s="110">
        <f t="shared" si="17"/>
        <v>0</v>
      </c>
      <c r="F17" s="110">
        <f t="shared" si="17"/>
        <v>0</v>
      </c>
      <c r="G17" s="110">
        <f t="shared" si="17"/>
        <v>0</v>
      </c>
      <c r="H17" s="62"/>
      <c r="I17" s="62"/>
      <c r="J17" s="62"/>
      <c r="L17" s="14"/>
      <c r="M17" s="62">
        <f>M16+E16*EUE!$O$1</f>
        <v>0.29966000000000004</v>
      </c>
      <c r="N17" s="62">
        <f>N16+F16*EUE!$O$1</f>
        <v>0.51966000000000001</v>
      </c>
      <c r="O17" s="62">
        <f>O16+G16*EUE!$O$1</f>
        <v>0.36780000000000002</v>
      </c>
      <c r="P17" s="62">
        <f>P16+H16*EUE!$O$1</f>
        <v>0</v>
      </c>
      <c r="Q17" s="62">
        <f>Q16+I16*EUE!$O$1</f>
        <v>0</v>
      </c>
      <c r="R17" s="62">
        <f>R16+J16*EUE!$O$1</f>
        <v>0</v>
      </c>
      <c r="T17" s="63">
        <f>EUE!AF88/1000</f>
        <v>18.967260079175936</v>
      </c>
      <c r="U17" s="63">
        <f>EUE!AG88/1000</f>
        <v>7.4532647765492301</v>
      </c>
      <c r="V17" s="63">
        <f>EUE!AH88/1000</f>
        <v>7.2779422243879361</v>
      </c>
      <c r="W17" s="63">
        <f>EUE!AI88/1000</f>
        <v>7.4532647765492301</v>
      </c>
      <c r="X17" s="63">
        <f>EUE!AJ88/1000</f>
        <v>0</v>
      </c>
      <c r="Y17" s="63">
        <f>EUE!AK88/1000</f>
        <v>0</v>
      </c>
      <c r="Z17" s="63">
        <f>EUE!AL88/1000</f>
        <v>0</v>
      </c>
    </row>
    <row r="18" spans="1:26" x14ac:dyDescent="0.25">
      <c r="A18">
        <f t="shared" si="18"/>
        <v>9</v>
      </c>
      <c r="B18">
        <f t="shared" si="19"/>
        <v>2034</v>
      </c>
      <c r="C18" s="19">
        <f>C17/(1+EUE!$V$1)</f>
        <v>0.63474823466075625</v>
      </c>
      <c r="D18" s="14"/>
      <c r="E18" s="110">
        <f t="shared" si="17"/>
        <v>44</v>
      </c>
      <c r="F18" s="110">
        <f t="shared" si="17"/>
        <v>0</v>
      </c>
      <c r="G18" s="110">
        <f t="shared" si="17"/>
        <v>0</v>
      </c>
      <c r="H18" s="64"/>
      <c r="I18" s="62"/>
      <c r="J18" s="62"/>
      <c r="L18" s="14"/>
      <c r="M18" s="62">
        <f>M17+E17*EUE!$O$1</f>
        <v>0.29966000000000004</v>
      </c>
      <c r="N18" s="62">
        <f>N17+F17*EUE!$O$1</f>
        <v>0.51966000000000001</v>
      </c>
      <c r="O18" s="62">
        <f>O17+G17*EUE!$O$1</f>
        <v>0.36780000000000002</v>
      </c>
      <c r="P18" s="62">
        <f>P17+H17*EUE!$O$1</f>
        <v>0</v>
      </c>
      <c r="Q18" s="62">
        <f>Q17+I17*EUE!$O$1</f>
        <v>0</v>
      </c>
      <c r="R18" s="62">
        <f>R17+J17*EUE!$O$1</f>
        <v>0</v>
      </c>
      <c r="T18" s="63">
        <f>EUE!AF89/1000</f>
        <v>5.4816632385873767</v>
      </c>
      <c r="U18" s="63">
        <f>EUE!AG89/1000</f>
        <v>1.1720597446161116</v>
      </c>
      <c r="V18" s="63">
        <f>EUE!AH89/1000</f>
        <v>3.2485414693226812E-3</v>
      </c>
      <c r="W18" s="63">
        <f>EUE!AI89/1000</f>
        <v>1.1720597446161116</v>
      </c>
      <c r="X18" s="63">
        <f>EUE!AJ89/1000</f>
        <v>0</v>
      </c>
      <c r="Y18" s="63">
        <f>EUE!AK89/1000</f>
        <v>0</v>
      </c>
      <c r="Z18" s="63">
        <f>EUE!AL89/1000</f>
        <v>0</v>
      </c>
    </row>
    <row r="19" spans="1:26" x14ac:dyDescent="0.25">
      <c r="A19">
        <f t="shared" si="18"/>
        <v>10</v>
      </c>
      <c r="B19">
        <f t="shared" ref="B19" si="20">IF(A19&gt;$G$1,"",B18+1)</f>
        <v>2035</v>
      </c>
      <c r="C19" s="19">
        <f>C18/(1+EUE!$V$1)</f>
        <v>0.60348757811442877</v>
      </c>
      <c r="D19" s="14"/>
      <c r="E19" s="65"/>
      <c r="F19" s="65"/>
      <c r="G19" s="65"/>
      <c r="H19" s="65"/>
      <c r="L19" s="14"/>
      <c r="M19" s="62">
        <f>M18+E18*EUE!$O$1</f>
        <v>0.73965999999999998</v>
      </c>
      <c r="N19" s="62">
        <f>N18+F18*EUE!$O$1</f>
        <v>0.51966000000000001</v>
      </c>
      <c r="O19" s="62">
        <f>O18+G18*EUE!$O$1</f>
        <v>0.36780000000000002</v>
      </c>
      <c r="P19" s="62">
        <f>P18+H18*EUE!$O$1</f>
        <v>0</v>
      </c>
      <c r="Q19" s="62">
        <f>Q18+I18*EUE!$O$1</f>
        <v>0</v>
      </c>
      <c r="R19" s="62">
        <f>R18+J18*EUE!$O$1</f>
        <v>0</v>
      </c>
      <c r="T19" s="63">
        <f>EUE!AO89/1000</f>
        <v>5.4816632385873767</v>
      </c>
      <c r="U19" s="63">
        <f>EUE!AP89/1000</f>
        <v>1.1720597446161116</v>
      </c>
      <c r="V19" s="63">
        <v>0</v>
      </c>
      <c r="W19" s="63">
        <v>0</v>
      </c>
      <c r="X19" s="63">
        <v>0</v>
      </c>
      <c r="Y19" s="63">
        <f>EUE!AT89/1000</f>
        <v>0</v>
      </c>
      <c r="Z19" s="63">
        <f>EUE!AU89/1000</f>
        <v>0</v>
      </c>
    </row>
    <row r="20" spans="1:26" x14ac:dyDescent="0.25">
      <c r="C20" s="14"/>
      <c r="D20" s="11"/>
      <c r="E20" s="19"/>
      <c r="F20" s="19"/>
      <c r="G20" s="19"/>
      <c r="H20" s="19"/>
      <c r="I20" s="19"/>
      <c r="J20" s="19"/>
      <c r="K20" s="19"/>
    </row>
    <row r="21" spans="1:26" x14ac:dyDescent="0.25">
      <c r="A21" s="75" t="s">
        <v>158</v>
      </c>
      <c r="B21" s="76"/>
      <c r="C21" s="76"/>
      <c r="D21" s="77"/>
      <c r="E21" s="77"/>
      <c r="F21" s="60" t="s">
        <v>159</v>
      </c>
      <c r="G21" s="78" t="s">
        <v>160</v>
      </c>
      <c r="H21" s="76" t="s">
        <v>161</v>
      </c>
      <c r="I21" s="76" t="s">
        <v>162</v>
      </c>
      <c r="J21" s="76" t="s">
        <v>163</v>
      </c>
      <c r="K21" s="76" t="s">
        <v>120</v>
      </c>
    </row>
    <row r="22" spans="1:26" x14ac:dyDescent="0.25">
      <c r="A22" s="68" t="s">
        <v>164</v>
      </c>
      <c r="B22" s="68"/>
      <c r="C22" s="69"/>
      <c r="D22" s="69"/>
      <c r="E22" s="70"/>
      <c r="F22" s="71" t="s">
        <v>165</v>
      </c>
      <c r="G22" s="108">
        <v>4.3879999999999999</v>
      </c>
      <c r="H22" s="109">
        <f>G22*EUE!$V$1*1000</f>
        <v>227.29839999999999</v>
      </c>
      <c r="I22" s="66" t="s">
        <v>12</v>
      </c>
      <c r="J22" s="67">
        <f>LOOKUP($H22,EUE!$AM$7:$AM$16,EUE!$AE$7:$AE$16)+1</f>
        <v>2026</v>
      </c>
      <c r="K22" s="44" t="s">
        <v>166</v>
      </c>
    </row>
    <row r="23" spans="1:26" x14ac:dyDescent="0.25">
      <c r="A23" s="68" t="s">
        <v>167</v>
      </c>
      <c r="B23" s="68"/>
      <c r="C23" s="69"/>
      <c r="D23" s="69"/>
      <c r="E23" s="70"/>
      <c r="F23" s="71" t="s">
        <v>168</v>
      </c>
      <c r="G23" s="108">
        <v>0</v>
      </c>
      <c r="H23" s="109">
        <f>G23*EUE!$V$1*1000</f>
        <v>0</v>
      </c>
      <c r="I23" s="66" t="s">
        <v>24</v>
      </c>
      <c r="J23" s="67">
        <v>2028</v>
      </c>
      <c r="K23" s="44" t="s">
        <v>166</v>
      </c>
      <c r="L23" s="66"/>
    </row>
    <row r="24" spans="1:26" x14ac:dyDescent="0.25">
      <c r="A24" s="68" t="s">
        <v>169</v>
      </c>
      <c r="B24" s="68"/>
      <c r="C24" s="69"/>
      <c r="D24" s="69"/>
      <c r="E24" s="70"/>
      <c r="F24" s="71" t="s">
        <v>170</v>
      </c>
      <c r="G24" s="108">
        <v>0.28999999999999998</v>
      </c>
      <c r="H24" s="109">
        <f>G24*EUE!$V$1*1000</f>
        <v>15.021999999999998</v>
      </c>
      <c r="I24" s="66" t="s">
        <v>124</v>
      </c>
      <c r="J24" s="67">
        <f>IFERROR(LOOKUP($H24,EUE!$AF$37:$AF$46,EUE!$AE$37:$AE$46)+1,EUE!$AE$38)</f>
        <v>2026</v>
      </c>
      <c r="K24" s="44" t="s">
        <v>166</v>
      </c>
    </row>
    <row r="25" spans="1:26" x14ac:dyDescent="0.25">
      <c r="A25" s="68" t="s">
        <v>171</v>
      </c>
      <c r="B25" s="68"/>
      <c r="C25" s="69"/>
      <c r="D25" s="69"/>
      <c r="E25" s="70"/>
      <c r="F25" s="71" t="s">
        <v>172</v>
      </c>
      <c r="G25" s="108">
        <f>1.194*65%</f>
        <v>0.77610000000000001</v>
      </c>
      <c r="H25" s="109">
        <f>G25*EUE!$V$1*1000</f>
        <v>40.201979999999999</v>
      </c>
      <c r="I25" s="66" t="s">
        <v>126</v>
      </c>
      <c r="J25" s="67">
        <f>INT(AVERAGE(LOOKUP($H25,EUE!$AT$37:$BG$46,EUE!$AE$37:$AE$46),LOOKUP($H26,EUE!$BA$37:$BA$46,EUE!$AE$37:$AE$46)))</f>
        <v>2029</v>
      </c>
      <c r="K25" s="44" t="s">
        <v>166</v>
      </c>
    </row>
    <row r="26" spans="1:26" x14ac:dyDescent="0.25">
      <c r="A26" s="68" t="s">
        <v>171</v>
      </c>
      <c r="B26" s="68"/>
      <c r="C26" s="69"/>
      <c r="D26" s="69"/>
      <c r="E26" s="70"/>
      <c r="F26" s="71" t="s">
        <v>172</v>
      </c>
      <c r="G26" s="108">
        <f>1.194*35%</f>
        <v>0.41789999999999994</v>
      </c>
      <c r="H26" s="109">
        <f>G26*EUE!$V$1*1000</f>
        <v>21.647219999999994</v>
      </c>
      <c r="I26" s="66" t="s">
        <v>127</v>
      </c>
      <c r="J26" s="67">
        <f>J25</f>
        <v>2029</v>
      </c>
      <c r="K26" s="44" t="s">
        <v>166</v>
      </c>
    </row>
    <row r="27" spans="1:26" x14ac:dyDescent="0.25">
      <c r="A27" s="68" t="s">
        <v>173</v>
      </c>
      <c r="B27" s="68"/>
      <c r="C27" s="69"/>
      <c r="D27" s="69"/>
      <c r="E27" s="70"/>
      <c r="F27" s="71" t="s">
        <v>174</v>
      </c>
      <c r="G27" s="108">
        <v>0.37</v>
      </c>
      <c r="H27" s="109">
        <f>G27*EUE!$V$1*1000</f>
        <v>19.166</v>
      </c>
      <c r="I27" s="66" t="s">
        <v>125</v>
      </c>
      <c r="J27" s="67">
        <f>LOOKUP($H27,EUE!$AM$37:$AM$46,EUE!$AE$37:$AE$46)+1</f>
        <v>2030</v>
      </c>
      <c r="K27" s="44" t="s">
        <v>166</v>
      </c>
    </row>
    <row r="28" spans="1:26" x14ac:dyDescent="0.25">
      <c r="A28" s="68" t="s">
        <v>175</v>
      </c>
      <c r="B28" s="68"/>
      <c r="C28" s="69"/>
      <c r="D28" s="69"/>
      <c r="E28" s="70"/>
      <c r="F28" s="71" t="s">
        <v>176</v>
      </c>
      <c r="G28" s="108">
        <v>2.6259999999999999</v>
      </c>
      <c r="H28" s="109">
        <f>G28*EUE!$V$1*1000</f>
        <v>136.02680000000001</v>
      </c>
      <c r="I28" s="66" t="s">
        <v>9</v>
      </c>
      <c r="J28" s="67">
        <f>IFERROR(LOOKUP($H28,EUE!$AF$7:$AF$16,EUE!$AE$7:$AE$16)+1,EUE!$AE$8)</f>
        <v>2026</v>
      </c>
      <c r="K28" s="44" t="s">
        <v>166</v>
      </c>
    </row>
    <row r="29" spans="1:26" x14ac:dyDescent="0.25">
      <c r="A29" s="68" t="s">
        <v>177</v>
      </c>
      <c r="B29" s="68"/>
      <c r="C29" s="69"/>
      <c r="D29" s="69"/>
      <c r="E29" s="70"/>
      <c r="F29" s="71" t="s">
        <v>178</v>
      </c>
      <c r="G29" s="108">
        <v>5.4580000000000002</v>
      </c>
      <c r="H29" s="109">
        <f>G29*EUE!$V$1*1000</f>
        <v>282.7244</v>
      </c>
      <c r="I29" s="66" t="s">
        <v>23</v>
      </c>
      <c r="J29" s="67">
        <f>IFERROR(LOOKUP($H29,EUE!$AF$22:$AF$31,EUE!$AE$22:$AE$31)+1,2026)</f>
        <v>2026</v>
      </c>
      <c r="K29" s="44" t="s">
        <v>166</v>
      </c>
    </row>
    <row r="30" spans="1:26" x14ac:dyDescent="0.25">
      <c r="A30" s="68" t="s">
        <v>179</v>
      </c>
      <c r="B30" s="68"/>
      <c r="C30" s="69"/>
      <c r="D30" s="69"/>
      <c r="E30" s="70"/>
      <c r="F30" s="71" t="s">
        <v>180</v>
      </c>
      <c r="G30" s="108">
        <v>3.9319999999999999</v>
      </c>
      <c r="H30" s="109">
        <f>G30*EUE!$V$1*1000+H23</f>
        <v>203.67759999999998</v>
      </c>
      <c r="I30" s="66" t="s">
        <v>24</v>
      </c>
      <c r="J30" s="67">
        <f>LOOKUP($H30,EUE!$AM$22:$AM$31,EUE!$AE$22:$AE$31)+1</f>
        <v>2027</v>
      </c>
      <c r="K30" s="44" t="s">
        <v>166</v>
      </c>
    </row>
    <row r="31" spans="1:26" x14ac:dyDescent="0.25">
      <c r="A31" s="68" t="s">
        <v>181</v>
      </c>
      <c r="B31" s="68"/>
      <c r="C31" s="69"/>
      <c r="D31" s="69"/>
      <c r="E31" s="70"/>
      <c r="F31" s="71" t="s">
        <v>136</v>
      </c>
      <c r="G31" s="108">
        <v>34.4</v>
      </c>
      <c r="H31" s="109">
        <f>G31*EUE!$V$1*1000</f>
        <v>1781.9199999999998</v>
      </c>
      <c r="I31" s="66" t="s">
        <v>10</v>
      </c>
      <c r="J31" s="67">
        <f>LOOKUP($H31,EUE!$BI$52:$BI$61,EUE!$AE$52:$AE$61)+1</f>
        <v>2035</v>
      </c>
      <c r="K31" s="44">
        <v>2</v>
      </c>
    </row>
    <row r="32" spans="1:26" x14ac:dyDescent="0.25">
      <c r="A32" s="68" t="s">
        <v>182</v>
      </c>
      <c r="B32" s="68"/>
      <c r="C32" s="69"/>
      <c r="D32" s="69"/>
      <c r="E32" s="70"/>
      <c r="F32" s="71" t="s">
        <v>183</v>
      </c>
      <c r="G32" s="108">
        <v>9.6</v>
      </c>
      <c r="H32" s="109">
        <f>G32*EUE!$V$1*1000+H22</f>
        <v>724.57839999999999</v>
      </c>
      <c r="I32" s="66" t="s">
        <v>12</v>
      </c>
      <c r="J32" s="67">
        <f>MAX(LOOKUP($H32,EUE!$AM$7:$AM$16,EUE!$AE$7:$AE$16)+1,J31)</f>
        <v>2035</v>
      </c>
      <c r="K32" s="44">
        <v>2</v>
      </c>
    </row>
    <row r="33" spans="1:11" x14ac:dyDescent="0.25">
      <c r="A33" s="68" t="s">
        <v>184</v>
      </c>
      <c r="B33" s="68"/>
      <c r="C33" s="69"/>
      <c r="D33" s="69"/>
      <c r="E33" s="70"/>
      <c r="F33" s="71" t="s">
        <v>185</v>
      </c>
      <c r="G33" s="108">
        <v>10</v>
      </c>
      <c r="H33" s="109">
        <f>G33*EUE!$V$1*1000</f>
        <v>518</v>
      </c>
      <c r="I33" s="66" t="s">
        <v>10</v>
      </c>
      <c r="J33" s="67">
        <f>LOOKUP($H33,EUE!$BI$52:$BI$61,EUE!$AE$52:$AE$61)+1</f>
        <v>2033</v>
      </c>
      <c r="K33" s="44">
        <v>3</v>
      </c>
    </row>
    <row r="34" spans="1:11" x14ac:dyDescent="0.25">
      <c r="A34" s="68" t="s">
        <v>186</v>
      </c>
      <c r="B34" s="68"/>
      <c r="C34" s="69"/>
      <c r="D34" s="69"/>
      <c r="E34" s="70"/>
      <c r="F34" s="71" t="s">
        <v>187</v>
      </c>
      <c r="G34" s="108">
        <v>12</v>
      </c>
      <c r="H34" s="109">
        <f>G34*EUE!$V$1*1000+H22</f>
        <v>848.89839999999992</v>
      </c>
      <c r="I34" s="66" t="s">
        <v>12</v>
      </c>
      <c r="J34" s="67">
        <f>MAX(LOOKUP($H34,EUE!$AM$7:$AM$16,EUE!$AE$7:$AE$16)+1,J33)</f>
        <v>2033</v>
      </c>
      <c r="K34" s="44">
        <v>3</v>
      </c>
    </row>
    <row r="35" spans="1:11" x14ac:dyDescent="0.25">
      <c r="A35" s="68" t="s">
        <v>188</v>
      </c>
      <c r="B35" s="68"/>
      <c r="C35" s="69"/>
      <c r="D35" s="69"/>
      <c r="E35" s="70"/>
      <c r="F35" s="71" t="s">
        <v>189</v>
      </c>
      <c r="G35" s="108">
        <f>11.708/2</f>
        <v>5.8540000000000001</v>
      </c>
      <c r="H35" s="109">
        <f>G35*EUE!$V$1*1000</f>
        <v>303.23719999999997</v>
      </c>
      <c r="I35" s="66" t="s">
        <v>8</v>
      </c>
      <c r="J35" s="67">
        <f>IFERROR(MAX(LOOKUP($H35,EUE!$AF$52:$AF$61,EUE!$AE$52:$AE$61)+1,J36),2027)</f>
        <v>2027</v>
      </c>
      <c r="K35" s="44" t="s">
        <v>166</v>
      </c>
    </row>
    <row r="36" spans="1:11" x14ac:dyDescent="0.25">
      <c r="A36" s="68" t="s">
        <v>190</v>
      </c>
      <c r="B36" s="68"/>
      <c r="C36" s="69"/>
      <c r="D36" s="69"/>
      <c r="E36" s="70"/>
      <c r="F36" s="71" t="s">
        <v>191</v>
      </c>
      <c r="G36" s="108">
        <f>11.708/2</f>
        <v>5.8540000000000001</v>
      </c>
      <c r="H36" s="109">
        <f>G36*EUE!$V$1*1000+H35</f>
        <v>606.47439999999995</v>
      </c>
      <c r="I36" s="66" t="s">
        <v>8</v>
      </c>
      <c r="J36" s="67">
        <f>LOOKUP($H36,EUE!$AF$52:$AF$61,EUE!$AE$52:$AE$61)+1</f>
        <v>2027</v>
      </c>
      <c r="K36" s="44" t="s">
        <v>166</v>
      </c>
    </row>
    <row r="37" spans="1:11" x14ac:dyDescent="0.25">
      <c r="A37" s="68" t="s">
        <v>192</v>
      </c>
      <c r="B37" s="68"/>
      <c r="C37" s="69"/>
      <c r="D37" s="69"/>
      <c r="E37" s="70"/>
      <c r="F37" s="71" t="s">
        <v>193</v>
      </c>
      <c r="G37" s="108">
        <v>6.8140000000000001</v>
      </c>
      <c r="H37" s="109">
        <f>G37*EUE!$V$1*1000+H22</f>
        <v>580.2636</v>
      </c>
      <c r="I37" s="66" t="s">
        <v>12</v>
      </c>
      <c r="J37" s="67">
        <f>MAX(LOOKUP($H37,EUE!$AM$7:$AM$16,EUE!$AE$7:$AE$16)+1,J36)</f>
        <v>2027</v>
      </c>
      <c r="K37" s="44">
        <v>4</v>
      </c>
    </row>
    <row r="38" spans="1:11" x14ac:dyDescent="0.25">
      <c r="A38" s="72"/>
      <c r="B38" s="72"/>
      <c r="C38" s="73"/>
      <c r="D38" s="73"/>
      <c r="E38" s="74"/>
      <c r="F38" s="57"/>
      <c r="G38" s="56"/>
      <c r="H38" s="51">
        <f>G38*EUE!$V$1*1000</f>
        <v>0</v>
      </c>
      <c r="J38" s="11"/>
      <c r="K38" s="9"/>
    </row>
    <row r="39" spans="1:11" x14ac:dyDescent="0.25">
      <c r="A39" s="72"/>
      <c r="B39" s="72"/>
      <c r="C39" s="73"/>
      <c r="D39" s="73"/>
      <c r="E39" s="74"/>
      <c r="F39" s="57"/>
      <c r="G39" s="56"/>
      <c r="H39" s="51">
        <f>G39*EUE!$V$1*1000</f>
        <v>0</v>
      </c>
      <c r="J39" s="11"/>
      <c r="K39" s="9"/>
    </row>
    <row r="40" spans="1:11" x14ac:dyDescent="0.25">
      <c r="A40" s="72"/>
      <c r="B40" s="72"/>
      <c r="C40" s="73"/>
      <c r="D40" s="73"/>
      <c r="E40" s="74"/>
      <c r="F40" s="57"/>
      <c r="G40" s="56"/>
      <c r="H40" s="51">
        <f>G40*EUE!$V$1*1000</f>
        <v>0</v>
      </c>
      <c r="J40" s="11"/>
      <c r="K40" s="59">
        <f>G24+G22+G28+G29+G30+G35+G36+G37+G25+G26+G27</f>
        <v>36.779999999999994</v>
      </c>
    </row>
    <row r="41" spans="1:11" x14ac:dyDescent="0.25">
      <c r="A41" s="72"/>
      <c r="B41" s="72"/>
      <c r="C41" s="73"/>
      <c r="D41" s="73"/>
      <c r="E41" s="74"/>
      <c r="F41" s="57"/>
      <c r="G41" s="56"/>
      <c r="H41" s="51">
        <f>G41*EUE!$V$1*1000</f>
        <v>0</v>
      </c>
      <c r="J41" s="11"/>
      <c r="K41" s="9"/>
    </row>
    <row r="42" spans="1:11" x14ac:dyDescent="0.25">
      <c r="A42" s="72"/>
      <c r="B42" s="72"/>
      <c r="C42" s="73"/>
      <c r="D42" s="73"/>
      <c r="E42" s="74"/>
      <c r="F42" s="57"/>
      <c r="G42" s="56"/>
      <c r="H42" s="51">
        <f>G42*EUE!$V$1*1000</f>
        <v>0</v>
      </c>
      <c r="K42" s="9"/>
    </row>
    <row r="43" spans="1:11" x14ac:dyDescent="0.25">
      <c r="A43" s="72"/>
      <c r="B43" s="72"/>
      <c r="C43" s="73"/>
      <c r="D43" s="73"/>
      <c r="E43" s="74"/>
      <c r="F43" s="57"/>
      <c r="G43" s="56"/>
      <c r="H43" s="51">
        <f>G43*EUE!$V$1*1000</f>
        <v>0</v>
      </c>
      <c r="K43" s="9"/>
    </row>
    <row r="44" spans="1:11" x14ac:dyDescent="0.25">
      <c r="A44" s="72"/>
      <c r="B44" s="72"/>
      <c r="C44" s="73"/>
      <c r="D44" s="73"/>
      <c r="E44" s="74"/>
      <c r="F44" s="57"/>
      <c r="G44" s="56"/>
      <c r="H44" s="51">
        <f>G44*EUE!$V$1*1000</f>
        <v>0</v>
      </c>
      <c r="K44" s="9"/>
    </row>
    <row r="45" spans="1:11" x14ac:dyDescent="0.25">
      <c r="A45" s="72"/>
      <c r="B45" s="72"/>
      <c r="C45" s="73"/>
      <c r="D45" s="73"/>
      <c r="E45" s="74"/>
      <c r="F45" s="57"/>
      <c r="G45" s="56"/>
      <c r="H45" s="51">
        <f>G45*EUE!$V$1*1000</f>
        <v>0</v>
      </c>
      <c r="K45" s="9"/>
    </row>
    <row r="46" spans="1:11" x14ac:dyDescent="0.25">
      <c r="A46" s="72"/>
      <c r="B46" s="72"/>
      <c r="C46" s="73"/>
      <c r="D46" s="73"/>
      <c r="E46" s="74"/>
      <c r="F46" s="57"/>
      <c r="G46" s="56"/>
      <c r="H46" s="51">
        <f>G46*EUE!$V$1*1000</f>
        <v>0</v>
      </c>
      <c r="K46" s="9"/>
    </row>
    <row r="47" spans="1:11" x14ac:dyDescent="0.25">
      <c r="A47" s="72"/>
      <c r="B47" s="72"/>
      <c r="C47" s="73"/>
      <c r="D47" s="73"/>
      <c r="E47" s="74"/>
      <c r="F47" s="57"/>
      <c r="G47" s="56"/>
      <c r="H47" s="51">
        <f>G47*EUE!$V$1*1000</f>
        <v>0</v>
      </c>
    </row>
    <row r="48" spans="1:11" x14ac:dyDescent="0.25">
      <c r="A48" s="72"/>
      <c r="B48" s="72"/>
      <c r="C48" s="73"/>
      <c r="D48" s="73"/>
      <c r="E48" s="74"/>
      <c r="F48" s="57"/>
      <c r="G48" s="56"/>
      <c r="H48" s="51">
        <f>G48*EUE!$V$1*1000</f>
        <v>0</v>
      </c>
    </row>
    <row r="49" spans="1:8" x14ac:dyDescent="0.25">
      <c r="A49" s="72"/>
      <c r="B49" s="72"/>
      <c r="C49" s="73"/>
      <c r="D49" s="73"/>
      <c r="E49" s="74"/>
      <c r="F49" s="57"/>
      <c r="G49" s="56"/>
      <c r="H49" s="51">
        <f>G49*EUE!$V$1*1000</f>
        <v>0</v>
      </c>
    </row>
    <row r="50" spans="1:8" x14ac:dyDescent="0.25">
      <c r="A50" s="72"/>
      <c r="B50" s="72"/>
      <c r="C50" s="73"/>
      <c r="D50" s="73"/>
      <c r="E50" s="74"/>
      <c r="F50" s="57"/>
      <c r="G50" s="56"/>
      <c r="H50" s="51">
        <f>G50*EUE!$V$1*1000</f>
        <v>0</v>
      </c>
    </row>
    <row r="51" spans="1:8" x14ac:dyDescent="0.25">
      <c r="A51" s="72"/>
      <c r="B51" s="72"/>
      <c r="C51" s="73"/>
      <c r="D51" s="73"/>
      <c r="E51" s="74"/>
      <c r="F51" s="57"/>
      <c r="G51" s="56"/>
      <c r="H51" s="51">
        <f>G51*EUE!$V$1*1000</f>
        <v>0</v>
      </c>
    </row>
    <row r="52" spans="1:8" x14ac:dyDescent="0.25">
      <c r="A52" s="72"/>
      <c r="B52" s="72"/>
      <c r="C52" s="73"/>
      <c r="D52" s="73"/>
      <c r="E52" s="74"/>
      <c r="F52" s="57"/>
      <c r="G52" s="56"/>
      <c r="H52" s="51">
        <f>G52*EUE!$V$1*1000</f>
        <v>0</v>
      </c>
    </row>
    <row r="53" spans="1:8" x14ac:dyDescent="0.25">
      <c r="A53" s="72"/>
      <c r="B53" s="72"/>
      <c r="C53" s="73"/>
      <c r="D53" s="73"/>
      <c r="E53" s="74"/>
      <c r="F53" s="57"/>
      <c r="G53" s="56"/>
      <c r="H53" s="51">
        <f>G53*EUE!$V$1*1000</f>
        <v>0</v>
      </c>
    </row>
    <row r="54" spans="1:8" x14ac:dyDescent="0.25">
      <c r="A54" s="72"/>
      <c r="B54" s="72"/>
      <c r="C54" s="73"/>
      <c r="D54" s="73"/>
      <c r="E54" s="74"/>
      <c r="F54" s="57"/>
      <c r="G54" s="56"/>
      <c r="H54" s="51">
        <f>G54*EUE!$V$1*1000</f>
        <v>0</v>
      </c>
    </row>
    <row r="55" spans="1:8" x14ac:dyDescent="0.25">
      <c r="A55" s="72"/>
      <c r="B55" s="72"/>
      <c r="C55" s="73"/>
      <c r="D55" s="73"/>
      <c r="E55" s="74"/>
      <c r="F55" s="57"/>
      <c r="G55" s="56"/>
      <c r="H55" s="51">
        <f>G55*EUE!$V$1*1000</f>
        <v>0</v>
      </c>
    </row>
    <row r="56" spans="1:8" x14ac:dyDescent="0.25">
      <c r="A56" s="72"/>
      <c r="B56" s="72"/>
      <c r="C56" s="73"/>
      <c r="D56" s="73"/>
      <c r="E56" s="74"/>
      <c r="F56" s="57"/>
      <c r="G56" s="56"/>
      <c r="H56" s="51">
        <f>G56*EUE!$V$1*1000</f>
        <v>0</v>
      </c>
    </row>
    <row r="57" spans="1:8" x14ac:dyDescent="0.25">
      <c r="A57" s="72"/>
      <c r="B57" s="72"/>
      <c r="C57" s="73"/>
      <c r="D57" s="73"/>
      <c r="E57" s="74"/>
      <c r="F57" s="57"/>
      <c r="G57" s="56"/>
      <c r="H57" s="51">
        <f>G57*EUE!$V$1*1000</f>
        <v>0</v>
      </c>
    </row>
    <row r="58" spans="1:8" x14ac:dyDescent="0.25">
      <c r="A58" s="72"/>
      <c r="B58" s="72"/>
      <c r="C58" s="73"/>
      <c r="D58" s="73"/>
      <c r="E58" s="74"/>
      <c r="F58" s="57"/>
      <c r="G58" s="56"/>
      <c r="H58" s="51">
        <f>G58*EUE!$V$1*1000</f>
        <v>0</v>
      </c>
    </row>
    <row r="59" spans="1:8" x14ac:dyDescent="0.25">
      <c r="A59" s="72"/>
      <c r="B59" s="72"/>
      <c r="C59" s="73"/>
      <c r="D59" s="73"/>
      <c r="E59" s="74"/>
      <c r="F59" s="57"/>
      <c r="G59" s="56"/>
      <c r="H59" s="51">
        <f>G59*EUE!$V$1*1000</f>
        <v>0</v>
      </c>
    </row>
  </sheetData>
  <autoFilter ref="A21:Z59" xr:uid="{1930262D-E46F-4434-AE73-22B7B23881CF}"/>
  <mergeCells count="3">
    <mergeCell ref="M4:R4"/>
    <mergeCell ref="U4:Z4"/>
    <mergeCell ref="E4:J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CD59-C675-4342-9F20-0FE790DA3F2F}">
  <sheetPr>
    <tabColor theme="4"/>
  </sheetPr>
  <dimension ref="A1:M33"/>
  <sheetViews>
    <sheetView zoomScaleNormal="100" workbookViewId="0">
      <selection activeCell="L20" sqref="L20"/>
    </sheetView>
  </sheetViews>
  <sheetFormatPr defaultRowHeight="15" x14ac:dyDescent="0.25"/>
  <cols>
    <col min="1" max="14" width="11.42578125" customWidth="1"/>
  </cols>
  <sheetData>
    <row r="1" spans="1:13" x14ac:dyDescent="0.25">
      <c r="A1" s="49" t="s">
        <v>194</v>
      </c>
    </row>
    <row r="2" spans="1:13" ht="15.75" thickBot="1" x14ac:dyDescent="0.3"/>
    <row r="3" spans="1:13" ht="36.75" thickBot="1" x14ac:dyDescent="0.3">
      <c r="A3" s="1" t="s">
        <v>120</v>
      </c>
      <c r="B3" s="2" t="s">
        <v>195</v>
      </c>
      <c r="C3" s="2" t="s">
        <v>196</v>
      </c>
      <c r="D3" s="2" t="s">
        <v>197</v>
      </c>
      <c r="E3" s="2" t="s">
        <v>198</v>
      </c>
      <c r="F3" s="3" t="s">
        <v>199</v>
      </c>
      <c r="H3" s="1" t="s">
        <v>120</v>
      </c>
      <c r="I3" s="2" t="s">
        <v>200</v>
      </c>
      <c r="J3" s="2" t="s">
        <v>201</v>
      </c>
      <c r="K3" s="2" t="s">
        <v>202</v>
      </c>
      <c r="L3" s="2" t="s">
        <v>203</v>
      </c>
      <c r="M3" s="3" t="s">
        <v>199</v>
      </c>
    </row>
    <row r="4" spans="1:13" ht="16.5" thickTop="1" thickBot="1" x14ac:dyDescent="0.3">
      <c r="A4" s="4" t="s">
        <v>204</v>
      </c>
      <c r="B4" s="10">
        <f>Costs!D7</f>
        <v>0</v>
      </c>
      <c r="C4" s="10">
        <f>Costs!L7</f>
        <v>0</v>
      </c>
      <c r="D4" s="10">
        <f>Costs!T7</f>
        <v>154.99628580490551</v>
      </c>
      <c r="E4" s="10">
        <f>SUM(B4:D4)</f>
        <v>154.99628580490551</v>
      </c>
      <c r="F4" s="5">
        <f>RANK(E4,$E$4:$E$10,1)</f>
        <v>6</v>
      </c>
      <c r="H4" s="4" t="s">
        <v>204</v>
      </c>
      <c r="I4" s="10">
        <f t="shared" ref="I4:I9" si="0">B4+C4</f>
        <v>0</v>
      </c>
      <c r="J4" s="10">
        <f>D$4-D4</f>
        <v>0</v>
      </c>
      <c r="K4" s="10">
        <f>J4-I4</f>
        <v>0</v>
      </c>
      <c r="L4" s="10">
        <v>1</v>
      </c>
      <c r="M4" s="5">
        <f t="shared" ref="M4:M9" si="1">RANK(K4,$K$4:$K$10,0)</f>
        <v>6</v>
      </c>
    </row>
    <row r="5" spans="1:13" ht="15.75" thickBot="1" x14ac:dyDescent="0.3">
      <c r="A5" s="4" t="s">
        <v>87</v>
      </c>
      <c r="B5" s="10">
        <f>Costs!E7</f>
        <v>56.889126713348475</v>
      </c>
      <c r="C5" s="10">
        <f>Costs!M7</f>
        <v>8.027027472533744</v>
      </c>
      <c r="D5" s="10">
        <f>Costs!U7</f>
        <v>25.735435594019322</v>
      </c>
      <c r="E5" s="10">
        <f t="shared" ref="E5:E7" si="2">SUM(B5:D5)</f>
        <v>90.651589779901542</v>
      </c>
      <c r="F5" s="5">
        <f t="shared" ref="F5:F7" si="3">RANK(E5,$E$4:$E$10,1)</f>
        <v>3</v>
      </c>
      <c r="H5" s="4" t="s">
        <v>87</v>
      </c>
      <c r="I5" s="10">
        <f t="shared" si="0"/>
        <v>64.91615418588222</v>
      </c>
      <c r="J5" s="50">
        <f>D$4-D5</f>
        <v>129.26085021088619</v>
      </c>
      <c r="K5" s="10">
        <f t="shared" ref="K5:K7" si="4">J5-I5</f>
        <v>64.344696025003969</v>
      </c>
      <c r="L5" s="10">
        <f>J5/I5</f>
        <v>1.9911969806584364</v>
      </c>
      <c r="M5" s="5">
        <f t="shared" si="1"/>
        <v>3</v>
      </c>
    </row>
    <row r="6" spans="1:13" ht="15.75" thickBot="1" x14ac:dyDescent="0.3">
      <c r="A6" s="4" t="s">
        <v>88</v>
      </c>
      <c r="B6" s="10">
        <f>Costs!F7</f>
        <v>44.408853728020404</v>
      </c>
      <c r="C6" s="10">
        <f>Costs!N7</f>
        <v>6.4967534284616963</v>
      </c>
      <c r="D6" s="10">
        <f>Costs!V7</f>
        <v>15.182476266771861</v>
      </c>
      <c r="E6" s="10">
        <f t="shared" si="2"/>
        <v>66.088083423253963</v>
      </c>
      <c r="F6" s="5">
        <f t="shared" si="3"/>
        <v>2</v>
      </c>
      <c r="H6" s="4" t="s">
        <v>88</v>
      </c>
      <c r="I6" s="10">
        <f t="shared" si="0"/>
        <v>50.905607156482098</v>
      </c>
      <c r="J6" s="50">
        <f>D$4-D6</f>
        <v>139.81380953813365</v>
      </c>
      <c r="K6" s="10">
        <f t="shared" si="4"/>
        <v>88.908202381651563</v>
      </c>
      <c r="L6" s="10">
        <f t="shared" ref="L6:L7" si="5">J6/I6</f>
        <v>2.746530634795314</v>
      </c>
      <c r="M6" s="5">
        <f t="shared" si="1"/>
        <v>2</v>
      </c>
    </row>
    <row r="7" spans="1:13" ht="15.75" thickBot="1" x14ac:dyDescent="0.3">
      <c r="A7" s="4" t="s">
        <v>91</v>
      </c>
      <c r="B7" s="10">
        <f>Costs!G7</f>
        <v>35.438622338455843</v>
      </c>
      <c r="C7" s="10">
        <f>Costs!O7</f>
        <v>5.3718293614591612</v>
      </c>
      <c r="D7" s="10">
        <f>Costs!W7</f>
        <v>16.056369859259878</v>
      </c>
      <c r="E7" s="10">
        <f t="shared" si="2"/>
        <v>56.86682155917488</v>
      </c>
      <c r="F7" s="5">
        <f t="shared" si="3"/>
        <v>1</v>
      </c>
      <c r="H7" s="4" t="s">
        <v>91</v>
      </c>
      <c r="I7" s="10">
        <f t="shared" si="0"/>
        <v>40.810451699915006</v>
      </c>
      <c r="J7" s="50">
        <f>D$4-D7</f>
        <v>138.93991594564562</v>
      </c>
      <c r="K7" s="10">
        <f t="shared" si="4"/>
        <v>98.129464245730617</v>
      </c>
      <c r="L7" s="10">
        <f t="shared" si="5"/>
        <v>3.4045179643511512</v>
      </c>
      <c r="M7" s="5">
        <f t="shared" si="1"/>
        <v>1</v>
      </c>
    </row>
    <row r="8" spans="1:13" ht="15.75" thickBot="1" x14ac:dyDescent="0.3">
      <c r="A8" s="4" t="s">
        <v>205</v>
      </c>
      <c r="B8" s="10">
        <v>0</v>
      </c>
      <c r="C8" s="10">
        <f>500*J$7/EUE!$H$1*1000/Costs!$G$1</f>
        <v>72.5080450608734</v>
      </c>
      <c r="D8" s="10">
        <f>$D$4-J8</f>
        <v>79.996285804905511</v>
      </c>
      <c r="E8" s="10">
        <f>SUM(B8:D8)</f>
        <v>152.50433086577891</v>
      </c>
      <c r="F8" s="5">
        <f>RANK(E8,$E$4:$E$10,1)</f>
        <v>5</v>
      </c>
      <c r="H8" s="4" t="s">
        <v>205</v>
      </c>
      <c r="I8" s="10">
        <f t="shared" si="0"/>
        <v>72.5080450608734</v>
      </c>
      <c r="J8" s="50">
        <v>75</v>
      </c>
      <c r="K8" s="10">
        <f>J8-I8</f>
        <v>2.4919549391266003</v>
      </c>
      <c r="L8" s="10">
        <f>J8/I8</f>
        <v>1.0343679785744397</v>
      </c>
      <c r="M8" s="5">
        <f t="shared" si="1"/>
        <v>5</v>
      </c>
    </row>
    <row r="9" spans="1:13" ht="15.75" thickBot="1" x14ac:dyDescent="0.3">
      <c r="A9" s="4" t="s">
        <v>206</v>
      </c>
      <c r="B9" s="10">
        <v>0</v>
      </c>
      <c r="C9" s="10">
        <f>10*J$7/EUE!$H$1*1000+0.2*Costs!$G$1</f>
        <v>33.003218024349366</v>
      </c>
      <c r="D9" s="10">
        <f>$D$4-J9</f>
        <v>79.996285804905511</v>
      </c>
      <c r="E9" s="10">
        <f>SUM(B9:D9)</f>
        <v>112.99950382925488</v>
      </c>
      <c r="F9" s="5">
        <f>RANK(E9,$E$4:$E$10,1)</f>
        <v>4</v>
      </c>
      <c r="H9" s="4" t="s">
        <v>206</v>
      </c>
      <c r="I9" s="10">
        <f t="shared" si="0"/>
        <v>33.003218024349366</v>
      </c>
      <c r="J9" s="50">
        <f>J8</f>
        <v>75</v>
      </c>
      <c r="K9" s="10">
        <f>J9-I9</f>
        <v>41.996781975650634</v>
      </c>
      <c r="L9" s="10">
        <f>J9/I9</f>
        <v>2.2725056673160151</v>
      </c>
      <c r="M9" s="5">
        <f t="shared" si="1"/>
        <v>4</v>
      </c>
    </row>
    <row r="10" spans="1:13" ht="15.75" thickBot="1" x14ac:dyDescent="0.3">
      <c r="A10" s="4" t="s">
        <v>207</v>
      </c>
      <c r="B10" s="10"/>
      <c r="C10" s="10"/>
      <c r="D10" s="10"/>
      <c r="E10" s="10"/>
      <c r="F10" s="5"/>
      <c r="H10" s="4" t="s">
        <v>207</v>
      </c>
      <c r="I10" s="10"/>
      <c r="J10" s="50"/>
      <c r="K10" s="50"/>
      <c r="L10" s="10"/>
      <c r="M10" s="5"/>
    </row>
    <row r="13" spans="1:13" x14ac:dyDescent="0.25">
      <c r="A13" s="49" t="s">
        <v>208</v>
      </c>
    </row>
    <row r="14" spans="1:13" ht="15.75" thickBot="1" x14ac:dyDescent="0.3"/>
    <row r="15" spans="1:13" ht="36.75" thickBot="1" x14ac:dyDescent="0.3">
      <c r="A15" s="1" t="s">
        <v>120</v>
      </c>
      <c r="B15" s="2" t="s">
        <v>209</v>
      </c>
      <c r="C15" s="2" t="s">
        <v>210</v>
      </c>
      <c r="D15" s="2" t="s">
        <v>211</v>
      </c>
      <c r="E15" s="2" t="s">
        <v>212</v>
      </c>
      <c r="F15" s="2" t="s">
        <v>213</v>
      </c>
      <c r="G15" s="2" t="s">
        <v>214</v>
      </c>
      <c r="H15" s="2" t="s">
        <v>215</v>
      </c>
    </row>
    <row r="16" spans="1:13" ht="16.5" thickTop="1" thickBot="1" x14ac:dyDescent="0.3">
      <c r="A16" s="24">
        <v>1</v>
      </c>
      <c r="B16" s="50">
        <f t="shared" ref="B16:B22" si="6">K4</f>
        <v>0</v>
      </c>
      <c r="C16" s="50">
        <f t="shared" ref="C16:C22" si="7">J4*90%-I4</f>
        <v>0</v>
      </c>
      <c r="D16" s="50">
        <f t="shared" ref="D16:D22" si="8">J4*110%-I4</f>
        <v>0</v>
      </c>
      <c r="E16" s="50">
        <v>0</v>
      </c>
      <c r="F16" s="50">
        <v>0</v>
      </c>
      <c r="G16" s="50">
        <f t="shared" ref="G16:G22" si="9">J4-I4*130%</f>
        <v>0</v>
      </c>
      <c r="H16" s="50">
        <f t="shared" ref="H16:H22" si="10">J4-I4*70%</f>
        <v>0</v>
      </c>
    </row>
    <row r="17" spans="1:8" ht="15.75" thickBot="1" x14ac:dyDescent="0.3">
      <c r="A17" s="24">
        <v>2</v>
      </c>
      <c r="B17" s="10">
        <f t="shared" si="6"/>
        <v>64.344696025003969</v>
      </c>
      <c r="C17" s="10">
        <f t="shared" si="7"/>
        <v>51.418611003915359</v>
      </c>
      <c r="D17" s="10">
        <f t="shared" si="8"/>
        <v>77.270781046092594</v>
      </c>
      <c r="E17" s="10">
        <v>61.617606544473581</v>
      </c>
      <c r="F17" s="10">
        <v>67.196979253197441</v>
      </c>
      <c r="G17" s="10">
        <f t="shared" si="9"/>
        <v>44.869849769239295</v>
      </c>
      <c r="H17" s="10">
        <f t="shared" si="10"/>
        <v>83.819542280768644</v>
      </c>
    </row>
    <row r="18" spans="1:8" ht="15.75" thickBot="1" x14ac:dyDescent="0.3">
      <c r="A18" s="24">
        <v>3</v>
      </c>
      <c r="B18" s="10">
        <f t="shared" si="6"/>
        <v>88.908202381651563</v>
      </c>
      <c r="C18" s="10">
        <f t="shared" si="7"/>
        <v>74.926821427838206</v>
      </c>
      <c r="D18" s="10">
        <f t="shared" si="8"/>
        <v>102.88958333546495</v>
      </c>
      <c r="E18" s="10">
        <v>84.270552793236135</v>
      </c>
      <c r="F18" s="10">
        <v>93.015467197902126</v>
      </c>
      <c r="G18" s="10">
        <f t="shared" si="9"/>
        <v>73.636520234706921</v>
      </c>
      <c r="H18" s="10">
        <f t="shared" si="10"/>
        <v>104.17988452859619</v>
      </c>
    </row>
    <row r="19" spans="1:8" ht="15.75" thickBot="1" x14ac:dyDescent="0.3">
      <c r="A19" s="24">
        <v>4</v>
      </c>
      <c r="B19" s="10">
        <f t="shared" si="6"/>
        <v>98.129464245730617</v>
      </c>
      <c r="C19" s="10">
        <f t="shared" si="7"/>
        <v>84.235472651166063</v>
      </c>
      <c r="D19" s="10">
        <f t="shared" si="8"/>
        <v>112.02345584029518</v>
      </c>
      <c r="E19" s="10">
        <v>92.56810049616854</v>
      </c>
      <c r="F19" s="10">
        <v>104.09193048742387</v>
      </c>
      <c r="G19" s="10">
        <f t="shared" si="9"/>
        <v>85.886328735756109</v>
      </c>
      <c r="H19" s="10">
        <f t="shared" si="10"/>
        <v>110.37259975570512</v>
      </c>
    </row>
    <row r="20" spans="1:8" ht="15.75" thickBot="1" x14ac:dyDescent="0.3">
      <c r="A20" s="24">
        <v>5</v>
      </c>
      <c r="B20" s="50">
        <f t="shared" si="6"/>
        <v>2.4919549391266003</v>
      </c>
      <c r="C20" s="50">
        <f t="shared" si="7"/>
        <v>-5.0080450608733997</v>
      </c>
      <c r="D20" s="50">
        <f t="shared" si="8"/>
        <v>9.9919549391266003</v>
      </c>
      <c r="E20" s="50"/>
      <c r="F20" s="50"/>
      <c r="G20" s="50">
        <f t="shared" si="9"/>
        <v>-19.260458579135417</v>
      </c>
      <c r="H20" s="50">
        <f t="shared" si="10"/>
        <v>24.244368457388624</v>
      </c>
    </row>
    <row r="21" spans="1:8" ht="15.75" thickBot="1" x14ac:dyDescent="0.3">
      <c r="A21" s="24">
        <v>6</v>
      </c>
      <c r="B21" s="50">
        <f t="shared" si="6"/>
        <v>41.996781975650634</v>
      </c>
      <c r="C21" s="50">
        <f t="shared" si="7"/>
        <v>34.496781975650634</v>
      </c>
      <c r="D21" s="50">
        <f t="shared" si="8"/>
        <v>49.496781975650634</v>
      </c>
      <c r="E21" s="50"/>
      <c r="F21" s="50"/>
      <c r="G21" s="50">
        <f t="shared" si="9"/>
        <v>32.095816568345825</v>
      </c>
      <c r="H21" s="50">
        <f t="shared" si="10"/>
        <v>51.897747382955444</v>
      </c>
    </row>
    <row r="22" spans="1:8" ht="15.75" thickBot="1" x14ac:dyDescent="0.3">
      <c r="A22" s="24">
        <v>7</v>
      </c>
      <c r="B22" s="50">
        <f t="shared" si="6"/>
        <v>0</v>
      </c>
      <c r="C22" s="50">
        <f t="shared" si="7"/>
        <v>0</v>
      </c>
      <c r="D22" s="50">
        <f t="shared" si="8"/>
        <v>0</v>
      </c>
      <c r="E22" s="50"/>
      <c r="F22" s="50"/>
      <c r="G22" s="50">
        <f t="shared" si="9"/>
        <v>0</v>
      </c>
      <c r="H22" s="50">
        <f t="shared" si="10"/>
        <v>0</v>
      </c>
    </row>
    <row r="24" spans="1:8" x14ac:dyDescent="0.25">
      <c r="A24" s="49" t="s">
        <v>216</v>
      </c>
      <c r="D24" t="s">
        <v>217</v>
      </c>
    </row>
    <row r="25" spans="1:8" ht="15.75" thickBot="1" x14ac:dyDescent="0.3"/>
    <row r="26" spans="1:8" ht="36.75" thickBot="1" x14ac:dyDescent="0.3">
      <c r="A26" s="1" t="s">
        <v>120</v>
      </c>
      <c r="B26" s="2" t="s">
        <v>209</v>
      </c>
      <c r="C26" s="2" t="s">
        <v>210</v>
      </c>
      <c r="D26" s="2" t="s">
        <v>211</v>
      </c>
      <c r="E26" s="2" t="s">
        <v>212</v>
      </c>
      <c r="F26" s="2" t="s">
        <v>213</v>
      </c>
      <c r="G26" s="2" t="s">
        <v>214</v>
      </c>
      <c r="H26" s="2" t="s">
        <v>215</v>
      </c>
    </row>
    <row r="27" spans="1:8" ht="16.5" thickTop="1" thickBot="1" x14ac:dyDescent="0.3">
      <c r="A27" s="24">
        <v>1</v>
      </c>
      <c r="B27" s="10">
        <f>RANK(B16,B$16:B$22,0)</f>
        <v>6</v>
      </c>
      <c r="C27" s="10">
        <f t="shared" ref="C27:H27" si="11">RANK(C16,C$16:C$22,0)</f>
        <v>5</v>
      </c>
      <c r="D27" s="10">
        <f t="shared" si="11"/>
        <v>6</v>
      </c>
      <c r="E27" s="10">
        <f t="shared" si="11"/>
        <v>4</v>
      </c>
      <c r="F27" s="10">
        <f t="shared" si="11"/>
        <v>4</v>
      </c>
      <c r="G27" s="10">
        <f t="shared" si="11"/>
        <v>5</v>
      </c>
      <c r="H27" s="10">
        <f t="shared" si="11"/>
        <v>6</v>
      </c>
    </row>
    <row r="28" spans="1:8" ht="15.75" thickBot="1" x14ac:dyDescent="0.3">
      <c r="A28" s="24">
        <v>2</v>
      </c>
      <c r="B28" s="10">
        <f t="shared" ref="B28:H28" si="12">RANK(B17,B$16:B$22,0)</f>
        <v>3</v>
      </c>
      <c r="C28" s="10">
        <f t="shared" si="12"/>
        <v>3</v>
      </c>
      <c r="D28" s="10">
        <f t="shared" si="12"/>
        <v>3</v>
      </c>
      <c r="E28" s="10">
        <f t="shared" si="12"/>
        <v>3</v>
      </c>
      <c r="F28" s="10">
        <f t="shared" si="12"/>
        <v>3</v>
      </c>
      <c r="G28" s="10">
        <f t="shared" si="12"/>
        <v>3</v>
      </c>
      <c r="H28" s="10">
        <f t="shared" si="12"/>
        <v>3</v>
      </c>
    </row>
    <row r="29" spans="1:8" ht="15.75" thickBot="1" x14ac:dyDescent="0.3">
      <c r="A29" s="24">
        <v>3</v>
      </c>
      <c r="B29" s="10">
        <f t="shared" ref="B29:H29" si="13">RANK(B18,B$16:B$22,0)</f>
        <v>2</v>
      </c>
      <c r="C29" s="10">
        <f t="shared" si="13"/>
        <v>2</v>
      </c>
      <c r="D29" s="10">
        <f t="shared" si="13"/>
        <v>2</v>
      </c>
      <c r="E29" s="10">
        <f t="shared" si="13"/>
        <v>2</v>
      </c>
      <c r="F29" s="10">
        <f t="shared" si="13"/>
        <v>2</v>
      </c>
      <c r="G29" s="10">
        <f t="shared" si="13"/>
        <v>2</v>
      </c>
      <c r="H29" s="10">
        <f t="shared" si="13"/>
        <v>2</v>
      </c>
    </row>
    <row r="30" spans="1:8" ht="15.75" thickBot="1" x14ac:dyDescent="0.3">
      <c r="A30" s="24">
        <v>4</v>
      </c>
      <c r="B30" s="10">
        <f t="shared" ref="B30:H30" si="14">RANK(B19,B$16:B$22,0)</f>
        <v>1</v>
      </c>
      <c r="C30" s="10">
        <f t="shared" si="14"/>
        <v>1</v>
      </c>
      <c r="D30" s="10">
        <f t="shared" si="14"/>
        <v>1</v>
      </c>
      <c r="E30" s="10">
        <f t="shared" si="14"/>
        <v>1</v>
      </c>
      <c r="F30" s="10">
        <f t="shared" si="14"/>
        <v>1</v>
      </c>
      <c r="G30" s="10">
        <f t="shared" si="14"/>
        <v>1</v>
      </c>
      <c r="H30" s="10">
        <f t="shared" si="14"/>
        <v>1</v>
      </c>
    </row>
    <row r="31" spans="1:8" ht="15.75" thickBot="1" x14ac:dyDescent="0.3">
      <c r="A31" s="24">
        <v>5</v>
      </c>
      <c r="B31" s="10">
        <f t="shared" ref="B31:H31" si="15">RANK(B20,B$16:B$22,0)</f>
        <v>5</v>
      </c>
      <c r="C31" s="10">
        <f t="shared" si="15"/>
        <v>7</v>
      </c>
      <c r="D31" s="10">
        <f t="shared" si="15"/>
        <v>5</v>
      </c>
      <c r="E31" s="10">
        <f t="shared" si="15"/>
        <v>4</v>
      </c>
      <c r="F31" s="10">
        <f t="shared" si="15"/>
        <v>4</v>
      </c>
      <c r="G31" s="10">
        <f t="shared" si="15"/>
        <v>7</v>
      </c>
      <c r="H31" s="10">
        <f t="shared" si="15"/>
        <v>5</v>
      </c>
    </row>
    <row r="32" spans="1:8" ht="15.75" thickBot="1" x14ac:dyDescent="0.3">
      <c r="A32" s="24">
        <v>6</v>
      </c>
      <c r="B32" s="10"/>
      <c r="C32" s="10"/>
      <c r="D32" s="10"/>
      <c r="E32" s="10"/>
      <c r="F32" s="10"/>
      <c r="G32" s="10"/>
      <c r="H32" s="10"/>
    </row>
    <row r="33" spans="1:8" ht="15.75" thickBot="1" x14ac:dyDescent="0.3">
      <c r="A33" s="24">
        <v>7</v>
      </c>
      <c r="B33" s="10"/>
      <c r="C33" s="10"/>
      <c r="D33" s="10"/>
      <c r="E33" s="10"/>
      <c r="F33" s="10"/>
      <c r="G33" s="10"/>
      <c r="H33" s="1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9DAA-378C-482D-BAD0-014F967D01CC}">
  <sheetPr>
    <tabColor theme="5" tint="-0.499984740745262"/>
  </sheetPr>
  <dimension ref="A1:B43"/>
  <sheetViews>
    <sheetView workbookViewId="0">
      <selection activeCell="F24" sqref="F24"/>
    </sheetView>
  </sheetViews>
  <sheetFormatPr defaultRowHeight="15" x14ac:dyDescent="0.25"/>
  <cols>
    <col min="1" max="2" width="15.7109375" customWidth="1"/>
  </cols>
  <sheetData>
    <row r="1" spans="1:2" ht="15" customHeight="1" thickBot="1" x14ac:dyDescent="0.3">
      <c r="A1" s="1" t="s">
        <v>60</v>
      </c>
      <c r="B1" s="2" t="s">
        <v>61</v>
      </c>
    </row>
    <row r="2" spans="1:2" ht="15" customHeight="1" thickTop="1" thickBot="1" x14ac:dyDescent="0.3">
      <c r="A2" s="4" t="s">
        <v>28</v>
      </c>
      <c r="B2" s="34">
        <v>49</v>
      </c>
    </row>
    <row r="3" spans="1:2" ht="15" customHeight="1" thickBot="1" x14ac:dyDescent="0.3">
      <c r="A3" s="4" t="s">
        <v>29</v>
      </c>
      <c r="B3" s="34">
        <v>154</v>
      </c>
    </row>
    <row r="4" spans="1:2" ht="15" customHeight="1" thickBot="1" x14ac:dyDescent="0.3">
      <c r="A4" s="4" t="s">
        <v>30</v>
      </c>
      <c r="B4" s="34">
        <v>43</v>
      </c>
    </row>
    <row r="5" spans="1:2" ht="15" customHeight="1" thickBot="1" x14ac:dyDescent="0.3">
      <c r="A5" s="4" t="s">
        <v>31</v>
      </c>
      <c r="B5" s="34">
        <v>1846</v>
      </c>
    </row>
    <row r="6" spans="1:2" ht="15" customHeight="1" thickBot="1" x14ac:dyDescent="0.3">
      <c r="A6" s="4" t="s">
        <v>22</v>
      </c>
      <c r="B6" s="34">
        <v>3317</v>
      </c>
    </row>
    <row r="7" spans="1:2" ht="15" customHeight="1" thickBot="1" x14ac:dyDescent="0.3">
      <c r="A7" s="4" t="s">
        <v>26</v>
      </c>
      <c r="B7" s="34">
        <v>1</v>
      </c>
    </row>
    <row r="8" spans="1:2" ht="15" customHeight="1" thickBot="1" x14ac:dyDescent="0.3">
      <c r="A8" s="4" t="s">
        <v>25</v>
      </c>
      <c r="B8" s="34">
        <v>3402</v>
      </c>
    </row>
    <row r="9" spans="1:2" ht="15" customHeight="1" thickBot="1" x14ac:dyDescent="0.3">
      <c r="A9" s="4" t="s">
        <v>21</v>
      </c>
      <c r="B9" s="34">
        <v>1953</v>
      </c>
    </row>
    <row r="10" spans="1:2" ht="15" customHeight="1" thickBot="1" x14ac:dyDescent="0.3">
      <c r="A10" s="4" t="s">
        <v>23</v>
      </c>
      <c r="B10" s="34">
        <v>3964</v>
      </c>
    </row>
    <row r="11" spans="1:2" ht="15" customHeight="1" thickBot="1" x14ac:dyDescent="0.3">
      <c r="A11" s="4" t="s">
        <v>24</v>
      </c>
      <c r="B11" s="34">
        <v>3111</v>
      </c>
    </row>
    <row r="12" spans="1:2" ht="15" customHeight="1" thickBot="1" x14ac:dyDescent="0.3">
      <c r="A12" s="4" t="s">
        <v>27</v>
      </c>
      <c r="B12" s="34">
        <v>1453</v>
      </c>
    </row>
    <row r="13" spans="1:2" ht="15" customHeight="1" thickBot="1" x14ac:dyDescent="0.3">
      <c r="A13" s="4" t="s">
        <v>9</v>
      </c>
      <c r="B13" s="34">
        <v>3110</v>
      </c>
    </row>
    <row r="14" spans="1:2" ht="15" customHeight="1" thickBot="1" x14ac:dyDescent="0.3">
      <c r="A14" s="4" t="s">
        <v>11</v>
      </c>
      <c r="B14" s="34">
        <v>2919</v>
      </c>
    </row>
    <row r="15" spans="1:2" ht="15" customHeight="1" thickBot="1" x14ac:dyDescent="0.3">
      <c r="A15" s="4" t="s">
        <v>12</v>
      </c>
      <c r="B15" s="34">
        <v>3987</v>
      </c>
    </row>
    <row r="16" spans="1:2" ht="15.75" thickBot="1" x14ac:dyDescent="0.3">
      <c r="A16" s="4" t="s">
        <v>13</v>
      </c>
      <c r="B16" s="34">
        <v>4394</v>
      </c>
    </row>
    <row r="17" spans="1:2" ht="15.75" thickBot="1" x14ac:dyDescent="0.3">
      <c r="A17" s="4" t="s">
        <v>15</v>
      </c>
      <c r="B17" s="34">
        <v>2382</v>
      </c>
    </row>
    <row r="18" spans="1:2" ht="15.75" thickBot="1" x14ac:dyDescent="0.3">
      <c r="A18" s="4" t="s">
        <v>17</v>
      </c>
      <c r="B18" s="34" t="s">
        <v>62</v>
      </c>
    </row>
    <row r="19" spans="1:2" ht="15.75" thickBot="1" x14ac:dyDescent="0.3">
      <c r="A19" s="4" t="s">
        <v>19</v>
      </c>
      <c r="B19" s="34">
        <v>1</v>
      </c>
    </row>
    <row r="20" spans="1:2" ht="15.75" thickBot="1" x14ac:dyDescent="0.3">
      <c r="A20" s="4"/>
      <c r="B20" s="34"/>
    </row>
    <row r="21" spans="1:2" ht="15.75" thickBot="1" x14ac:dyDescent="0.3">
      <c r="A21" s="4"/>
      <c r="B21" s="34"/>
    </row>
    <row r="22" spans="1:2" ht="15.75" thickBot="1" x14ac:dyDescent="0.3">
      <c r="A22" s="4"/>
      <c r="B22" s="34"/>
    </row>
    <row r="23" spans="1:2" ht="15.75" thickBot="1" x14ac:dyDescent="0.3">
      <c r="A23" s="4"/>
      <c r="B23" s="34"/>
    </row>
    <row r="24" spans="1:2" ht="15.75" thickBot="1" x14ac:dyDescent="0.3">
      <c r="A24" s="4"/>
      <c r="B24" s="34"/>
    </row>
    <row r="25" spans="1:2" ht="15.75" thickBot="1" x14ac:dyDescent="0.3">
      <c r="A25" s="4"/>
      <c r="B25" s="34"/>
    </row>
    <row r="26" spans="1:2" ht="15.75" thickBot="1" x14ac:dyDescent="0.3">
      <c r="A26" s="4"/>
      <c r="B26" s="34"/>
    </row>
    <row r="27" spans="1:2" ht="15.75" thickBot="1" x14ac:dyDescent="0.3">
      <c r="A27" s="4"/>
      <c r="B27" s="34"/>
    </row>
    <row r="28" spans="1:2" ht="15.75" thickBot="1" x14ac:dyDescent="0.3">
      <c r="A28" s="4"/>
      <c r="B28" s="34"/>
    </row>
    <row r="29" spans="1:2" ht="15.75" thickBot="1" x14ac:dyDescent="0.3">
      <c r="A29" s="4"/>
      <c r="B29" s="34"/>
    </row>
    <row r="30" spans="1:2" ht="15.75" thickBot="1" x14ac:dyDescent="0.3">
      <c r="A30" s="4"/>
      <c r="B30" s="34"/>
    </row>
    <row r="31" spans="1:2" ht="15.75" thickBot="1" x14ac:dyDescent="0.3">
      <c r="A31" s="4"/>
      <c r="B31" s="34"/>
    </row>
    <row r="32" spans="1:2" ht="15.75" thickBot="1" x14ac:dyDescent="0.3">
      <c r="A32" s="4"/>
      <c r="B32" s="34"/>
    </row>
    <row r="33" spans="1:2" ht="15.75" thickBot="1" x14ac:dyDescent="0.3">
      <c r="A33" s="4"/>
      <c r="B33" s="34"/>
    </row>
    <row r="34" spans="1:2" ht="15.75" thickBot="1" x14ac:dyDescent="0.3">
      <c r="A34" s="4"/>
      <c r="B34" s="34"/>
    </row>
    <row r="35" spans="1:2" ht="15.75" thickBot="1" x14ac:dyDescent="0.3">
      <c r="A35" s="4"/>
      <c r="B35" s="34"/>
    </row>
    <row r="36" spans="1:2" ht="15.75" thickBot="1" x14ac:dyDescent="0.3">
      <c r="A36" s="4"/>
      <c r="B36" s="34"/>
    </row>
    <row r="37" spans="1:2" ht="15.75" thickBot="1" x14ac:dyDescent="0.3">
      <c r="A37" s="4"/>
      <c r="B37" s="34"/>
    </row>
    <row r="38" spans="1:2" ht="15.75" thickBot="1" x14ac:dyDescent="0.3">
      <c r="A38" s="4"/>
      <c r="B38" s="34"/>
    </row>
    <row r="39" spans="1:2" ht="15.75" thickBot="1" x14ac:dyDescent="0.3">
      <c r="A39" s="4"/>
      <c r="B39" s="34"/>
    </row>
    <row r="40" spans="1:2" ht="15.75" thickBot="1" x14ac:dyDescent="0.3">
      <c r="A40" s="4"/>
      <c r="B40" s="34"/>
    </row>
    <row r="41" spans="1:2" ht="15.75" thickBot="1" x14ac:dyDescent="0.3">
      <c r="A41" s="4"/>
      <c r="B41" s="34"/>
    </row>
    <row r="42" spans="1:2" ht="15.75" thickBot="1" x14ac:dyDescent="0.3">
      <c r="A42" s="4"/>
      <c r="B42" s="34"/>
    </row>
    <row r="43" spans="1:2" ht="15.75" thickBot="1" x14ac:dyDescent="0.3">
      <c r="A43" s="6" t="s">
        <v>63</v>
      </c>
      <c r="B43" s="36">
        <f>SUM(B2:B42)</f>
        <v>36086</v>
      </c>
    </row>
  </sheetData>
  <sortState xmlns:xlrd2="http://schemas.microsoft.com/office/spreadsheetml/2017/richdata2" ref="A2:B43">
    <sortCondition ref="A2:A43"/>
  </sortState>
  <pageMargins left="0.7" right="0.7" top="0.75" bottom="0.75" header="0.3" footer="0.3"/>
  <pageSetup paperSize="9" orientation="portrait" horizontalDpi="0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459F-FD5C-4AEB-858C-C9851B699D41}">
  <sheetPr>
    <tabColor theme="5" tint="-0.499984740745262"/>
  </sheetPr>
  <dimension ref="A1:F15"/>
  <sheetViews>
    <sheetView workbookViewId="0">
      <selection activeCell="E40" sqref="E40"/>
    </sheetView>
  </sheetViews>
  <sheetFormatPr defaultRowHeight="15" x14ac:dyDescent="0.25"/>
  <cols>
    <col min="1" max="6" width="15.7109375" customWidth="1"/>
  </cols>
  <sheetData>
    <row r="1" spans="1:6" ht="15" customHeight="1" thickBot="1" x14ac:dyDescent="0.3">
      <c r="A1" s="1" t="s">
        <v>64</v>
      </c>
      <c r="B1" s="2" t="s">
        <v>61</v>
      </c>
      <c r="C1" s="2" t="s">
        <v>65</v>
      </c>
      <c r="D1" s="2" t="s">
        <v>66</v>
      </c>
      <c r="E1" s="3" t="s">
        <v>67</v>
      </c>
      <c r="F1" s="3" t="s">
        <v>68</v>
      </c>
    </row>
    <row r="2" spans="1:6" ht="15" customHeight="1" thickTop="1" thickBot="1" x14ac:dyDescent="0.3">
      <c r="A2" s="4" t="s">
        <v>69</v>
      </c>
      <c r="B2" s="34">
        <v>380.75</v>
      </c>
      <c r="C2" s="34">
        <v>578.75</v>
      </c>
      <c r="D2" s="34">
        <f>C2-B2</f>
        <v>198</v>
      </c>
      <c r="E2" s="33">
        <f>IFERROR(D2/B2,0)</f>
        <v>0.52002626395272489</v>
      </c>
      <c r="F2" s="35">
        <f>E2/24</f>
        <v>2.1667760998030205E-2</v>
      </c>
    </row>
    <row r="3" spans="1:6" ht="15" customHeight="1" thickBot="1" x14ac:dyDescent="0.3">
      <c r="A3" s="4" t="s">
        <v>70</v>
      </c>
      <c r="B3" s="34">
        <v>350.84000000000003</v>
      </c>
      <c r="C3" s="34">
        <v>517.23</v>
      </c>
      <c r="D3" s="34">
        <f t="shared" ref="D3:D11" si="0">C3-B3</f>
        <v>166.39</v>
      </c>
      <c r="E3" s="33">
        <f t="shared" ref="E3:E11" si="1">IFERROR(D3/B3,0)</f>
        <v>0.47426177174780521</v>
      </c>
      <c r="F3" s="35">
        <f t="shared" ref="F3:F15" si="2">E3/24</f>
        <v>1.9760907156158549E-2</v>
      </c>
    </row>
    <row r="4" spans="1:6" ht="15" customHeight="1" thickBot="1" x14ac:dyDescent="0.3">
      <c r="A4" s="4" t="s">
        <v>71</v>
      </c>
      <c r="B4" s="34">
        <v>894.24</v>
      </c>
      <c r="C4" s="34">
        <v>1210.2</v>
      </c>
      <c r="D4" s="34">
        <f t="shared" si="0"/>
        <v>315.96000000000004</v>
      </c>
      <c r="E4" s="33">
        <f t="shared" si="1"/>
        <v>0.35332796564680624</v>
      </c>
      <c r="F4" s="35">
        <f t="shared" si="2"/>
        <v>1.4721998568616926E-2</v>
      </c>
    </row>
    <row r="5" spans="1:6" ht="15" customHeight="1" thickBot="1" x14ac:dyDescent="0.3">
      <c r="A5" s="4" t="s">
        <v>72</v>
      </c>
      <c r="B5" s="34">
        <v>40700</v>
      </c>
      <c r="C5" s="34">
        <v>101065</v>
      </c>
      <c r="D5" s="34">
        <f t="shared" si="0"/>
        <v>60365</v>
      </c>
      <c r="E5" s="33">
        <f t="shared" si="1"/>
        <v>1.4831695331695331</v>
      </c>
      <c r="F5" s="35">
        <f t="shared" si="2"/>
        <v>6.179873054873055E-2</v>
      </c>
    </row>
    <row r="6" spans="1:6" ht="15" customHeight="1" thickBot="1" x14ac:dyDescent="0.3">
      <c r="A6" s="4" t="s">
        <v>73</v>
      </c>
      <c r="B6" s="34">
        <v>6408</v>
      </c>
      <c r="C6" s="34">
        <v>12716</v>
      </c>
      <c r="D6" s="34">
        <f t="shared" si="0"/>
        <v>6308</v>
      </c>
      <c r="E6" s="33">
        <f t="shared" si="1"/>
        <v>0.98439450686641694</v>
      </c>
      <c r="F6" s="35">
        <f t="shared" si="2"/>
        <v>4.1016437786100708E-2</v>
      </c>
    </row>
    <row r="7" spans="1:6" ht="15" customHeight="1" thickBot="1" x14ac:dyDescent="0.3">
      <c r="A7" s="4" t="s">
        <v>74</v>
      </c>
      <c r="B7" s="34">
        <v>7665</v>
      </c>
      <c r="C7" s="34">
        <v>29970</v>
      </c>
      <c r="D7" s="34">
        <f t="shared" si="0"/>
        <v>22305</v>
      </c>
      <c r="E7" s="33">
        <f t="shared" si="1"/>
        <v>2.9099804305283756</v>
      </c>
      <c r="F7" s="35">
        <f t="shared" si="2"/>
        <v>0.12124918460534899</v>
      </c>
    </row>
    <row r="8" spans="1:6" ht="15" customHeight="1" thickBot="1" x14ac:dyDescent="0.3">
      <c r="A8" s="4" t="s">
        <v>75</v>
      </c>
      <c r="B8" s="34">
        <v>16137</v>
      </c>
      <c r="C8" s="34">
        <v>16506</v>
      </c>
      <c r="D8" s="34">
        <f t="shared" si="0"/>
        <v>369</v>
      </c>
      <c r="E8" s="33">
        <f t="shared" si="1"/>
        <v>2.286670384829894E-2</v>
      </c>
      <c r="F8" s="35">
        <f t="shared" si="2"/>
        <v>9.527793270124558E-4</v>
      </c>
    </row>
    <row r="9" spans="1:6" ht="15" customHeight="1" thickBot="1" x14ac:dyDescent="0.3">
      <c r="A9" s="4" t="s">
        <v>76</v>
      </c>
      <c r="B9" s="34">
        <v>11856</v>
      </c>
      <c r="C9" s="34">
        <v>12685</v>
      </c>
      <c r="D9" s="34">
        <f t="shared" si="0"/>
        <v>829</v>
      </c>
      <c r="E9" s="33">
        <f t="shared" si="1"/>
        <v>6.9922402159244265E-2</v>
      </c>
      <c r="F9" s="35">
        <f t="shared" si="2"/>
        <v>2.9134334233018445E-3</v>
      </c>
    </row>
    <row r="10" spans="1:6" ht="15" customHeight="1" thickBot="1" x14ac:dyDescent="0.3">
      <c r="A10" s="4" t="s">
        <v>77</v>
      </c>
      <c r="B10" s="34">
        <v>6888.8</v>
      </c>
      <c r="C10" s="34">
        <v>7000.4000000000005</v>
      </c>
      <c r="D10" s="34">
        <f t="shared" si="0"/>
        <v>111.60000000000036</v>
      </c>
      <c r="E10" s="33">
        <f t="shared" si="1"/>
        <v>1.6200209034955341E-2</v>
      </c>
      <c r="F10" s="35">
        <f t="shared" si="2"/>
        <v>6.7500870978980587E-4</v>
      </c>
    </row>
    <row r="11" spans="1:6" ht="15" customHeight="1" thickBot="1" x14ac:dyDescent="0.3">
      <c r="A11" s="4" t="s">
        <v>78</v>
      </c>
      <c r="B11" s="34">
        <v>0</v>
      </c>
      <c r="C11" s="34">
        <v>0</v>
      </c>
      <c r="D11" s="34">
        <f t="shared" si="0"/>
        <v>0</v>
      </c>
      <c r="E11" s="33">
        <f t="shared" si="1"/>
        <v>0</v>
      </c>
      <c r="F11" s="35">
        <f t="shared" si="2"/>
        <v>0</v>
      </c>
    </row>
    <row r="12" spans="1:6" ht="15" customHeight="1" thickBot="1" x14ac:dyDescent="0.3">
      <c r="A12" s="4"/>
      <c r="B12" s="34"/>
      <c r="C12" s="34"/>
      <c r="D12" s="34"/>
      <c r="E12" s="33"/>
      <c r="F12" s="35"/>
    </row>
    <row r="13" spans="1:6" ht="15" customHeight="1" thickBot="1" x14ac:dyDescent="0.3">
      <c r="A13" s="4"/>
      <c r="B13" s="34"/>
      <c r="C13" s="34"/>
      <c r="D13" s="34"/>
      <c r="E13" s="33"/>
      <c r="F13" s="35"/>
    </row>
    <row r="14" spans="1:6" ht="15" customHeight="1" thickBot="1" x14ac:dyDescent="0.3">
      <c r="A14" s="4"/>
      <c r="B14" s="34"/>
      <c r="C14" s="34"/>
      <c r="D14" s="34"/>
      <c r="E14" s="33"/>
      <c r="F14" s="35"/>
    </row>
    <row r="15" spans="1:6" ht="15" customHeight="1" thickBot="1" x14ac:dyDescent="0.3">
      <c r="A15" s="6" t="s">
        <v>63</v>
      </c>
      <c r="B15" s="36">
        <f>SUM(B2:B14)</f>
        <v>91280.63</v>
      </c>
      <c r="C15" s="36">
        <f>SUM(C2:C14)</f>
        <v>182248.58</v>
      </c>
      <c r="D15" s="36">
        <f t="shared" ref="D15" si="3">C15-B15</f>
        <v>90967.949999999983</v>
      </c>
      <c r="E15" s="37">
        <f t="shared" ref="E15" si="4">D15/B15</f>
        <v>0.99657451969820954</v>
      </c>
      <c r="F15" s="38">
        <f t="shared" si="2"/>
        <v>4.1523938320758728E-2</v>
      </c>
    </row>
  </sheetData>
  <pageMargins left="0.7" right="0.7" top="0.75" bottom="0.75" header="0.3" footer="0.3"/>
  <pageSetup paperSize="9" orientation="portrait" horizontalDpi="0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4C99-B755-4811-9D31-44264DBE1132}">
  <sheetPr codeName="Sheet4">
    <tabColor theme="5" tint="-0.499984740745262"/>
  </sheetPr>
  <dimension ref="A1:U197"/>
  <sheetViews>
    <sheetView workbookViewId="0">
      <selection activeCell="D7" sqref="D7"/>
    </sheetView>
  </sheetViews>
  <sheetFormatPr defaultRowHeight="15" x14ac:dyDescent="0.25"/>
  <cols>
    <col min="1" max="1" width="23.7109375" customWidth="1"/>
    <col min="14" max="14" width="16.5703125" bestFit="1" customWidth="1"/>
    <col min="15" max="15" width="9.28515625" style="9" customWidth="1"/>
  </cols>
  <sheetData>
    <row r="1" spans="1:21" ht="14.1" customHeight="1" thickBot="1" x14ac:dyDescent="0.3">
      <c r="A1" s="1" t="s">
        <v>79</v>
      </c>
      <c r="B1" s="2" t="s">
        <v>80</v>
      </c>
      <c r="C1" s="3">
        <f t="shared" ref="C1:F1" si="0">D1-1</f>
        <v>2019</v>
      </c>
      <c r="D1" s="3">
        <f t="shared" si="0"/>
        <v>2020</v>
      </c>
      <c r="E1" s="3">
        <f t="shared" si="0"/>
        <v>2021</v>
      </c>
      <c r="F1" s="3">
        <f t="shared" si="0"/>
        <v>2022</v>
      </c>
      <c r="G1" s="3">
        <f>H1-1</f>
        <v>2023</v>
      </c>
      <c r="H1" s="3">
        <v>2024</v>
      </c>
      <c r="I1" s="7"/>
      <c r="J1" s="7"/>
      <c r="K1" s="7"/>
      <c r="L1" s="7"/>
      <c r="N1" s="1" t="s">
        <v>81</v>
      </c>
      <c r="O1" s="2" t="s">
        <v>82</v>
      </c>
      <c r="P1" s="2">
        <f>C1</f>
        <v>2019</v>
      </c>
      <c r="Q1" s="2">
        <f t="shared" ref="Q1:U1" si="1">D1</f>
        <v>2020</v>
      </c>
      <c r="R1" s="2">
        <f t="shared" si="1"/>
        <v>2021</v>
      </c>
      <c r="S1" s="2">
        <f t="shared" si="1"/>
        <v>2022</v>
      </c>
      <c r="T1" s="2">
        <f t="shared" si="1"/>
        <v>2023</v>
      </c>
      <c r="U1" s="2">
        <f t="shared" si="1"/>
        <v>2024</v>
      </c>
    </row>
    <row r="2" spans="1:21" ht="14.1" customHeight="1" thickTop="1" thickBot="1" x14ac:dyDescent="0.3">
      <c r="A2" s="4" t="str">
        <f>Ratings!A2</f>
        <v>SBY</v>
      </c>
      <c r="B2" s="10">
        <f>Ratings!D2</f>
        <v>38</v>
      </c>
      <c r="C2" s="28">
        <v>41.769572364524663</v>
      </c>
      <c r="D2" s="28">
        <v>45.639101517108472</v>
      </c>
      <c r="E2" s="28">
        <v>39.185496798752517</v>
      </c>
      <c r="F2" s="79">
        <v>40.886998928793957</v>
      </c>
      <c r="G2" s="79">
        <v>45.288224724279956</v>
      </c>
      <c r="H2" s="79"/>
      <c r="I2" s="7"/>
      <c r="J2" s="7"/>
      <c r="K2" s="7"/>
      <c r="L2" s="7"/>
      <c r="N2" s="4" t="str">
        <f>Ratings!H2</f>
        <v>SHM11</v>
      </c>
      <c r="O2" s="10">
        <f>Ratings!I2</f>
        <v>14.3</v>
      </c>
      <c r="P2" s="10">
        <v>4.7631397208144124</v>
      </c>
      <c r="Q2" s="10">
        <v>6.1349239604089636</v>
      </c>
      <c r="R2" s="10">
        <v>5.3728216050786566</v>
      </c>
      <c r="S2" s="10">
        <v>6.4778700203076003</v>
      </c>
      <c r="T2" s="10">
        <v>3.5437759522859231</v>
      </c>
      <c r="U2" s="10"/>
    </row>
    <row r="3" spans="1:21" ht="14.1" customHeight="1" thickBot="1" x14ac:dyDescent="0.3">
      <c r="A3" s="4" t="str">
        <f>Ratings!A3</f>
        <v>SHM</v>
      </c>
      <c r="B3" s="10">
        <f>Ratings!D3</f>
        <v>38</v>
      </c>
      <c r="C3" s="79">
        <v>41.133027767785556</v>
      </c>
      <c r="D3" s="79">
        <v>45.621752020052277</v>
      </c>
      <c r="E3" s="79">
        <v>34.346428609878451</v>
      </c>
      <c r="F3" s="79">
        <v>39.226243718460644</v>
      </c>
      <c r="G3" s="79">
        <v>39.789625258204261</v>
      </c>
      <c r="H3" s="79"/>
      <c r="I3" s="7"/>
      <c r="J3" s="7"/>
      <c r="K3" s="7"/>
      <c r="L3" s="7"/>
      <c r="N3" s="4" t="str">
        <f>Ratings!H3</f>
        <v>SHM12</v>
      </c>
      <c r="O3" s="10">
        <f>Ratings!I3</f>
        <v>14.3</v>
      </c>
      <c r="P3" s="10">
        <v>8.7641770862985187</v>
      </c>
      <c r="Q3" s="10">
        <v>9.1833333817301863</v>
      </c>
      <c r="R3" s="10">
        <v>6.9351314335057843</v>
      </c>
      <c r="S3" s="10">
        <v>8.0020747309682125</v>
      </c>
      <c r="T3" s="10">
        <v>8.1163900842677581</v>
      </c>
      <c r="U3" s="10"/>
    </row>
    <row r="4" spans="1:21" ht="14.1" customHeight="1" thickBot="1" x14ac:dyDescent="0.3">
      <c r="A4" s="4" t="str">
        <f>Ratings!A42</f>
        <v>KTS-SBY-SHM-GSB-WND</v>
      </c>
      <c r="B4" s="10">
        <f>Ratings!B43</f>
        <v>180</v>
      </c>
      <c r="C4" s="79">
        <f>(C2+C3)*1.6</f>
        <v>132.64416021169637</v>
      </c>
      <c r="D4" s="79">
        <f>(D2+D3)*1.6</f>
        <v>146.01736565945723</v>
      </c>
      <c r="E4" s="79">
        <f>(E2+E3)*1.6</f>
        <v>117.65108065380956</v>
      </c>
      <c r="F4" s="79">
        <f>(F2+F3)*1.6</f>
        <v>128.18118823560735</v>
      </c>
      <c r="G4" s="79">
        <f>(G2+G3)*1.6</f>
        <v>136.12455997197478</v>
      </c>
      <c r="H4" s="79"/>
      <c r="I4" s="7"/>
      <c r="J4" s="7"/>
      <c r="K4" s="7"/>
      <c r="L4" s="7"/>
      <c r="N4" s="4" t="str">
        <f>Ratings!H4</f>
        <v>SHM14</v>
      </c>
      <c r="O4" s="10">
        <f>Ratings!I4</f>
        <v>14.3</v>
      </c>
      <c r="P4" s="10">
        <v>8.4212310263998802</v>
      </c>
      <c r="Q4" s="10">
        <v>9.2976487350297319</v>
      </c>
      <c r="R4" s="10">
        <v>7.811549142135636</v>
      </c>
      <c r="S4" s="10">
        <v>9.5262794416288248</v>
      </c>
      <c r="T4" s="10">
        <v>10.517012503558222</v>
      </c>
      <c r="U4" s="10"/>
    </row>
    <row r="5" spans="1:21" ht="14.1" customHeight="1" thickBot="1" x14ac:dyDescent="0.3">
      <c r="A5" s="4"/>
      <c r="B5" s="10"/>
      <c r="C5" s="79"/>
      <c r="D5" s="79"/>
      <c r="E5" s="79"/>
      <c r="F5" s="79"/>
      <c r="G5" s="79"/>
      <c r="H5" s="79"/>
      <c r="I5" s="7"/>
      <c r="J5" s="7"/>
      <c r="K5" s="7"/>
      <c r="L5" s="7"/>
      <c r="N5" s="4" t="str">
        <f>Ratings!H5</f>
        <v>SHM21</v>
      </c>
      <c r="O5" s="10">
        <f>Ratings!I5</f>
        <v>14.3</v>
      </c>
      <c r="P5" s="10">
        <v>9.3357538527962483</v>
      </c>
      <c r="Q5" s="10">
        <v>10.021645972593523</v>
      </c>
      <c r="R5" s="10">
        <v>8.1544952020342727</v>
      </c>
      <c r="S5" s="10">
        <v>8.8022822040650333</v>
      </c>
      <c r="T5" s="10">
        <v>8.9165975573645788</v>
      </c>
      <c r="U5" s="10"/>
    </row>
    <row r="6" spans="1:21" ht="14.1" customHeight="1" thickBot="1" x14ac:dyDescent="0.3">
      <c r="A6" s="4"/>
      <c r="B6" s="10"/>
      <c r="C6" s="79"/>
      <c r="D6" s="79"/>
      <c r="E6" s="79"/>
      <c r="F6" s="79"/>
      <c r="G6" s="79"/>
      <c r="H6" s="79"/>
      <c r="I6" s="89"/>
      <c r="J6" s="89"/>
      <c r="K6" s="89"/>
      <c r="L6" s="89"/>
      <c r="N6" s="4" t="str">
        <f>Ratings!H6</f>
        <v>SHM22</v>
      </c>
      <c r="O6" s="10">
        <f>Ratings!I6</f>
        <v>14.3</v>
      </c>
      <c r="P6" s="10">
        <v>5.7919779005103251</v>
      </c>
      <c r="Q6" s="10">
        <v>6.5159751380741167</v>
      </c>
      <c r="R6" s="10">
        <v>5.029875545180019</v>
      </c>
      <c r="S6" s="10">
        <v>5.4490318406116875</v>
      </c>
      <c r="T6" s="10">
        <v>5.7538727827438096</v>
      </c>
      <c r="U6" s="10"/>
    </row>
    <row r="7" spans="1:21" ht="14.1" customHeight="1" thickBot="1" x14ac:dyDescent="0.3">
      <c r="A7" s="4"/>
      <c r="B7" s="10"/>
      <c r="C7" s="79"/>
      <c r="D7" s="79"/>
      <c r="E7" s="79"/>
      <c r="F7" s="79"/>
      <c r="G7" s="79"/>
      <c r="H7" s="79"/>
      <c r="I7" s="7"/>
      <c r="J7" s="7"/>
      <c r="K7" s="7"/>
      <c r="L7" s="7"/>
      <c r="N7" s="4" t="str">
        <f>Ratings!H7</f>
        <v>SHM23</v>
      </c>
      <c r="O7" s="10">
        <f>Ratings!I7</f>
        <v>14.3</v>
      </c>
      <c r="P7" s="10">
        <v>0</v>
      </c>
      <c r="Q7" s="10">
        <v>0</v>
      </c>
      <c r="R7" s="10">
        <v>0</v>
      </c>
      <c r="S7" s="10">
        <v>0</v>
      </c>
      <c r="T7" s="10">
        <v>1.7909405350262191</v>
      </c>
      <c r="U7" s="10"/>
    </row>
    <row r="8" spans="1:21" ht="14.1" customHeight="1" thickBot="1" x14ac:dyDescent="0.3">
      <c r="A8" s="4"/>
      <c r="B8" s="10"/>
      <c r="C8" s="79"/>
      <c r="D8" s="79"/>
      <c r="E8" s="79"/>
      <c r="F8" s="79"/>
      <c r="G8" s="79"/>
      <c r="H8" s="79"/>
      <c r="I8" s="7"/>
      <c r="J8" s="7"/>
      <c r="K8" s="7"/>
      <c r="L8" s="7"/>
      <c r="N8" s="4" t="str">
        <f>Ratings!H8</f>
        <v>SHM24</v>
      </c>
      <c r="O8" s="10">
        <f>Ratings!I8</f>
        <v>14.3</v>
      </c>
      <c r="P8" s="10">
        <v>6.3635546670080547</v>
      </c>
      <c r="Q8" s="10">
        <v>6.7827109624397224</v>
      </c>
      <c r="R8" s="10">
        <v>5.1822960162460801</v>
      </c>
      <c r="S8" s="10">
        <v>6.1730290781754791</v>
      </c>
      <c r="T8" s="10">
        <v>6.5540802558406313</v>
      </c>
      <c r="U8" s="10"/>
    </row>
    <row r="9" spans="1:21" ht="14.1" customHeight="1" thickBot="1" x14ac:dyDescent="0.3">
      <c r="A9" s="4"/>
      <c r="B9" s="10"/>
      <c r="C9" s="79"/>
      <c r="D9" s="79"/>
      <c r="E9" s="79"/>
      <c r="F9" s="79"/>
      <c r="G9" s="79"/>
      <c r="H9" s="79"/>
      <c r="I9" s="7"/>
      <c r="J9" s="7"/>
      <c r="K9" s="7"/>
      <c r="L9" s="7"/>
      <c r="N9" s="4" t="str">
        <f>Ratings!H9</f>
        <v>SBY12</v>
      </c>
      <c r="O9" s="10">
        <f>Ratings!I9</f>
        <v>14.3</v>
      </c>
      <c r="P9" s="10">
        <v>7.3161826111709383</v>
      </c>
      <c r="Q9" s="10">
        <v>7.5067082000035139</v>
      </c>
      <c r="R9" s="10">
        <v>6.3254495492415392</v>
      </c>
      <c r="S9" s="10">
        <v>6.1349239604089636</v>
      </c>
      <c r="T9" s="10">
        <v>6.5540802558406313</v>
      </c>
      <c r="U9" s="10"/>
    </row>
    <row r="10" spans="1:21" ht="14.1" customHeight="1" thickBot="1" x14ac:dyDescent="0.3">
      <c r="A10" s="4"/>
      <c r="B10" s="5"/>
      <c r="C10" s="79"/>
      <c r="D10" s="79"/>
      <c r="E10" s="79"/>
      <c r="F10" s="79"/>
      <c r="G10" s="79"/>
      <c r="H10" s="79"/>
      <c r="I10" s="7"/>
      <c r="J10" s="7"/>
      <c r="K10" s="7"/>
      <c r="L10" s="7"/>
      <c r="N10" s="4" t="str">
        <f>Ratings!H10</f>
        <v>SBY13</v>
      </c>
      <c r="O10" s="10">
        <f>Ratings!I10</f>
        <v>12.5</v>
      </c>
      <c r="P10" s="10">
        <v>6.8589211979727542</v>
      </c>
      <c r="Q10" s="10">
        <v>7.4304979644704829</v>
      </c>
      <c r="R10" s="10">
        <v>6.2111341959419937</v>
      </c>
      <c r="S10" s="10">
        <v>6.5159751380741167</v>
      </c>
      <c r="T10" s="10">
        <v>6.8208160802062388</v>
      </c>
      <c r="U10" s="10"/>
    </row>
    <row r="11" spans="1:21" ht="14.1" customHeight="1" thickBot="1" x14ac:dyDescent="0.3">
      <c r="A11" s="4"/>
      <c r="B11" s="5"/>
      <c r="C11" s="79"/>
      <c r="D11" s="79"/>
      <c r="E11" s="79"/>
      <c r="F11" s="79"/>
      <c r="G11" s="79"/>
      <c r="H11" s="79"/>
      <c r="I11" s="7"/>
      <c r="J11" s="7"/>
      <c r="K11" s="7"/>
      <c r="L11" s="7"/>
      <c r="N11" s="4" t="str">
        <f>Ratings!H11</f>
        <v>SBY23</v>
      </c>
      <c r="O11" s="10">
        <f>Ratings!I11</f>
        <v>14.3</v>
      </c>
      <c r="P11" s="10">
        <v>8.4212310263998802</v>
      </c>
      <c r="Q11" s="10">
        <v>9.9454357370604924</v>
      </c>
      <c r="R11" s="10">
        <v>8.0782849665012435</v>
      </c>
      <c r="S11" s="10">
        <v>9.0690180284306408</v>
      </c>
      <c r="T11" s="10">
        <v>9.7168050304614013</v>
      </c>
      <c r="U11" s="10"/>
    </row>
    <row r="12" spans="1:21" ht="14.1" customHeight="1" thickBot="1" x14ac:dyDescent="0.3">
      <c r="A12" s="4"/>
      <c r="B12" s="5"/>
      <c r="C12" s="79"/>
      <c r="D12" s="79"/>
      <c r="E12" s="79"/>
      <c r="F12" s="79"/>
      <c r="G12" s="79"/>
      <c r="H12" s="79"/>
      <c r="I12" s="7"/>
      <c r="J12" s="7"/>
      <c r="K12" s="7"/>
      <c r="L12" s="7"/>
      <c r="N12" s="4" t="str">
        <f>Ratings!H12</f>
        <v>SBY24</v>
      </c>
      <c r="O12" s="10">
        <f>Ratings!I12</f>
        <v>14.3</v>
      </c>
      <c r="P12" s="10">
        <v>7.8877593776686661</v>
      </c>
      <c r="Q12" s="10">
        <v>8.5355463796994258</v>
      </c>
      <c r="R12" s="10">
        <v>8.1544952020342727</v>
      </c>
      <c r="S12" s="10">
        <v>7.811549142135636</v>
      </c>
      <c r="T12" s="10">
        <v>8.9547026751310952</v>
      </c>
      <c r="U12" s="10"/>
    </row>
    <row r="13" spans="1:21" ht="14.1" customHeight="1" thickBot="1" x14ac:dyDescent="0.3">
      <c r="A13" s="4"/>
      <c r="B13" s="5"/>
      <c r="C13" s="79"/>
      <c r="D13" s="79"/>
      <c r="E13" s="79"/>
      <c r="F13" s="79"/>
      <c r="G13" s="79"/>
      <c r="H13" s="79"/>
      <c r="I13" s="7"/>
      <c r="J13" s="7"/>
      <c r="K13" s="7"/>
      <c r="L13" s="7"/>
      <c r="N13" s="4" t="str">
        <f>Ratings!H13</f>
        <v>SBY32</v>
      </c>
      <c r="O13" s="10">
        <f>Ratings!I13</f>
        <v>14.3</v>
      </c>
      <c r="P13" s="10">
        <v>7.4686030822369984</v>
      </c>
      <c r="Q13" s="10">
        <v>8.0020747309682125</v>
      </c>
      <c r="R13" s="10">
        <v>6.4016597847745711</v>
      </c>
      <c r="S13" s="10">
        <v>6.0587137248759326</v>
      </c>
      <c r="T13" s="10">
        <v>10.555117621324738</v>
      </c>
      <c r="U13" s="10"/>
    </row>
    <row r="14" spans="1:21" ht="14.1" customHeight="1" thickBot="1" x14ac:dyDescent="0.3">
      <c r="A14" s="4"/>
      <c r="B14" s="5"/>
      <c r="C14" s="79"/>
      <c r="D14" s="79"/>
      <c r="E14" s="79"/>
      <c r="F14" s="79"/>
      <c r="G14" s="79"/>
      <c r="H14" s="79"/>
      <c r="I14" s="7"/>
      <c r="J14" s="7"/>
      <c r="K14" s="7"/>
      <c r="L14" s="7"/>
      <c r="N14" s="4" t="str">
        <f>Ratings!H14</f>
        <v>SBY34</v>
      </c>
      <c r="O14" s="10">
        <f>Ratings!I14</f>
        <v>14.3</v>
      </c>
      <c r="P14" s="10">
        <v>3.5818810700524382</v>
      </c>
      <c r="Q14" s="10">
        <v>3.3913554812198612</v>
      </c>
      <c r="R14" s="10">
        <v>8.0401798487347271</v>
      </c>
      <c r="S14" s="10">
        <v>7.5448133177700285</v>
      </c>
      <c r="T14" s="10">
        <v>3.8105117766515302</v>
      </c>
      <c r="U14" s="10"/>
    </row>
    <row r="15" spans="1:21" ht="14.1" customHeight="1" thickBot="1" x14ac:dyDescent="0.3">
      <c r="N15" s="4" t="str">
        <f>Ratings!H15</f>
        <v>SBY35</v>
      </c>
      <c r="O15" s="10">
        <f>Ratings!I15</f>
        <v>14.3</v>
      </c>
      <c r="P15" s="10">
        <v>3.5437759522859231</v>
      </c>
      <c r="Q15" s="10">
        <v>3.8486168944180448</v>
      </c>
      <c r="R15" s="10">
        <v>3.2008298923872855</v>
      </c>
      <c r="S15" s="10">
        <v>3.5056708345194076</v>
      </c>
      <c r="T15" s="10">
        <v>3.6199861878189532</v>
      </c>
      <c r="U15" s="10"/>
    </row>
    <row r="16" spans="1:21" ht="14.1" customHeight="1" thickBot="1" x14ac:dyDescent="0.3">
      <c r="N16" s="4" t="str">
        <f>Ratings!H16</f>
        <v>SA 02</v>
      </c>
      <c r="O16" s="10">
        <f>Ratings!I16</f>
        <v>5.3</v>
      </c>
      <c r="P16" s="10">
        <v>0.44925933846721527</v>
      </c>
      <c r="Q16" s="10">
        <v>0.27931051322855716</v>
      </c>
      <c r="R16" s="10">
        <v>0.19860824999999999</v>
      </c>
      <c r="S16" s="10">
        <v>0.4096687499999998</v>
      </c>
      <c r="T16" s="10">
        <v>0.45611825966518815</v>
      </c>
      <c r="U16" s="10"/>
    </row>
    <row r="17" spans="14:21" ht="14.1" customHeight="1" thickBot="1" x14ac:dyDescent="0.3">
      <c r="N17" s="4" t="str">
        <f>Ratings!H17</f>
        <v>SA 06</v>
      </c>
      <c r="O17" s="10">
        <f>Ratings!I17</f>
        <v>12</v>
      </c>
      <c r="P17" s="10">
        <v>0.54985684937081569</v>
      </c>
      <c r="Q17" s="10">
        <v>0.68779737568560118</v>
      </c>
      <c r="R17" s="10">
        <v>0.49222850000000001</v>
      </c>
      <c r="S17" s="10">
        <v>0.38141450000000005</v>
      </c>
      <c r="T17" s="10">
        <v>0.41534578365501679</v>
      </c>
      <c r="U17" s="10"/>
    </row>
    <row r="18" spans="14:21" ht="14.1" customHeight="1" thickBot="1" x14ac:dyDescent="0.3">
      <c r="N18" s="4" t="str">
        <f>Ratings!H18</f>
        <v>SA 10</v>
      </c>
      <c r="O18" s="10">
        <f>Ratings!I18</f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/>
    </row>
    <row r="19" spans="14:21" ht="14.1" customHeight="1" thickBot="1" x14ac:dyDescent="0.3">
      <c r="N19" s="4" t="str">
        <f>Ratings!H19</f>
        <v>SA 12</v>
      </c>
      <c r="O19" s="10">
        <f>Ratings!I19</f>
        <v>8.8000000000000007</v>
      </c>
      <c r="P19" s="10">
        <v>3.0484094213212236</v>
      </c>
      <c r="Q19" s="10">
        <v>3.9629322477175912</v>
      </c>
      <c r="R19" s="10">
        <v>3.4242424242424239</v>
      </c>
      <c r="S19" s="10">
        <v>3.3151452456868311</v>
      </c>
      <c r="T19" s="10">
        <v>3.4675657167528922</v>
      </c>
      <c r="U19" s="10"/>
    </row>
    <row r="20" spans="14:21" ht="14.1" customHeight="1" thickBot="1" x14ac:dyDescent="0.3">
      <c r="N20" s="4" t="str">
        <f>Ratings!H20</f>
        <v>ACR51070 (SBY13)</v>
      </c>
      <c r="O20" s="10">
        <f>Ratings!I20</f>
        <v>2</v>
      </c>
      <c r="P20" s="10">
        <f t="shared" ref="P20:Q20" si="2">Q20*P10/Q10</f>
        <v>2.005532514027121</v>
      </c>
      <c r="Q20" s="10">
        <f t="shared" si="2"/>
        <v>2.1726602235293808</v>
      </c>
      <c r="R20" s="10">
        <f>S20*R10/S10</f>
        <v>1.8161211099245596</v>
      </c>
      <c r="S20" s="10">
        <v>1.9052558883257651</v>
      </c>
      <c r="T20" s="10">
        <v>2.6299091704228745</v>
      </c>
      <c r="U20" s="10"/>
    </row>
    <row r="21" spans="14:21" ht="14.1" customHeight="1" thickBot="1" x14ac:dyDescent="0.3">
      <c r="N21" s="4" t="str">
        <f>Ratings!H21</f>
        <v>ACR55612 (SBY23)</v>
      </c>
      <c r="O21" s="10">
        <f>Ratings!I21</f>
        <v>3</v>
      </c>
      <c r="P21" s="10">
        <f>Q21*P11/Q11</f>
        <v>1.8526708258079727</v>
      </c>
      <c r="Q21" s="10">
        <f t="shared" ref="Q21:S21" si="3">R21*Q11/R11</f>
        <v>2.1879958621533073</v>
      </c>
      <c r="R21" s="10">
        <f t="shared" si="3"/>
        <v>1.777222692630273</v>
      </c>
      <c r="S21" s="10">
        <f t="shared" si="3"/>
        <v>1.9951839662547404</v>
      </c>
      <c r="T21" s="10">
        <f>'Summer 10PoE'!P21*T11/'Summer 10PoE'!P11</f>
        <v>2.1376971067015078</v>
      </c>
      <c r="U21" s="10"/>
    </row>
    <row r="22" spans="14:21" ht="14.1" customHeight="1" thickBot="1" x14ac:dyDescent="0.3">
      <c r="N22" s="4" t="str">
        <f>Ratings!H22</f>
        <v>sw51196 (SBY24)</v>
      </c>
      <c r="O22" s="10">
        <f>Ratings!I22</f>
        <v>1.5</v>
      </c>
      <c r="P22" s="10">
        <f t="shared" ref="P22:S22" si="4">Q22*P12/Q12</f>
        <v>0.80212973937900423</v>
      </c>
      <c r="Q22" s="10">
        <f t="shared" si="4"/>
        <v>0.86800512860336687</v>
      </c>
      <c r="R22" s="10">
        <f t="shared" si="4"/>
        <v>0.82925489964785948</v>
      </c>
      <c r="S22" s="10">
        <f t="shared" si="4"/>
        <v>0.79437969358790284</v>
      </c>
      <c r="T22" s="10">
        <f>'Summer 10PoE'!P22*T11/'Summer 10PoE'!P11</f>
        <v>0.91063038045442524</v>
      </c>
      <c r="U22" s="10"/>
    </row>
    <row r="23" spans="14:21" ht="14.1" customHeight="1" thickBot="1" x14ac:dyDescent="0.3">
      <c r="N23" s="4" t="str">
        <f>Ratings!H23</f>
        <v>sw56781 (SBY24)</v>
      </c>
      <c r="O23" s="10">
        <f>Ratings!I23</f>
        <v>0.6</v>
      </c>
      <c r="P23" s="10">
        <f>Q23*P12/Q12</f>
        <v>0.37002666620917174</v>
      </c>
      <c r="Q23" s="10">
        <f t="shared" ref="Q23:S23" si="5">R23*Q12/R12</f>
        <v>0.40041532961765447</v>
      </c>
      <c r="R23" s="10">
        <f t="shared" si="5"/>
        <v>0.38253964525972345</v>
      </c>
      <c r="S23" s="10">
        <f t="shared" si="5"/>
        <v>0.36645152933758557</v>
      </c>
      <c r="T23" s="10">
        <f>'Summer 10PoE'!P23*T12/'Summer 10PoE'!P12</f>
        <v>0.42007858241137858</v>
      </c>
      <c r="U23" s="10"/>
    </row>
    <row r="24" spans="14:21" ht="14.1" customHeight="1" thickBot="1" x14ac:dyDescent="0.3">
      <c r="N24" s="4"/>
      <c r="O24" s="10"/>
      <c r="P24" s="10"/>
      <c r="Q24" s="10"/>
      <c r="R24" s="10"/>
      <c r="S24" s="10"/>
      <c r="T24" s="10"/>
      <c r="U24" s="10"/>
    </row>
    <row r="25" spans="14:21" ht="14.1" customHeight="1" thickBot="1" x14ac:dyDescent="0.3">
      <c r="N25" s="4"/>
      <c r="O25" s="10"/>
      <c r="P25" s="10"/>
      <c r="Q25" s="10"/>
      <c r="R25" s="10"/>
      <c r="S25" s="10"/>
      <c r="T25" s="10"/>
      <c r="U25" s="10"/>
    </row>
    <row r="26" spans="14:21" ht="14.1" customHeight="1" thickBot="1" x14ac:dyDescent="0.3">
      <c r="N26" s="4"/>
      <c r="O26" s="10"/>
      <c r="P26" s="10"/>
      <c r="Q26" s="10"/>
      <c r="R26" s="10"/>
      <c r="S26" s="10"/>
      <c r="T26" s="10"/>
      <c r="U26" s="10"/>
    </row>
    <row r="27" spans="14:21" ht="14.1" customHeight="1" thickBot="1" x14ac:dyDescent="0.3">
      <c r="N27" s="4"/>
      <c r="O27" s="10"/>
      <c r="P27" s="10"/>
      <c r="Q27" s="10"/>
      <c r="R27" s="10"/>
      <c r="S27" s="10"/>
      <c r="T27" s="10"/>
      <c r="U27" s="10"/>
    </row>
    <row r="28" spans="14:21" ht="14.1" customHeight="1" thickBot="1" x14ac:dyDescent="0.3">
      <c r="N28" s="4"/>
      <c r="O28" s="10"/>
      <c r="P28" s="10"/>
      <c r="Q28" s="10"/>
      <c r="R28" s="10"/>
      <c r="S28" s="10"/>
      <c r="T28" s="10"/>
      <c r="U28" s="10"/>
    </row>
    <row r="29" spans="14:21" ht="14.1" customHeight="1" thickBot="1" x14ac:dyDescent="0.3">
      <c r="N29" s="4"/>
      <c r="O29" s="10"/>
      <c r="P29" s="10"/>
      <c r="Q29" s="10"/>
      <c r="R29" s="10"/>
      <c r="S29" s="10"/>
      <c r="T29" s="10"/>
      <c r="U29" s="10"/>
    </row>
    <row r="30" spans="14:21" ht="14.1" customHeight="1" thickBot="1" x14ac:dyDescent="0.3">
      <c r="N30" s="4"/>
      <c r="O30" s="10"/>
      <c r="P30" s="10"/>
      <c r="Q30" s="10"/>
      <c r="R30" s="10"/>
      <c r="S30" s="10"/>
      <c r="T30" s="10"/>
      <c r="U30" s="10"/>
    </row>
    <row r="31" spans="14:21" ht="14.1" customHeight="1" thickBot="1" x14ac:dyDescent="0.3">
      <c r="N31" s="4"/>
      <c r="O31" s="10"/>
      <c r="P31" s="10"/>
      <c r="Q31" s="10"/>
      <c r="R31" s="10"/>
      <c r="S31" s="10"/>
      <c r="T31" s="10"/>
      <c r="U31" s="10"/>
    </row>
    <row r="32" spans="14:21" ht="14.1" customHeight="1" thickBot="1" x14ac:dyDescent="0.3">
      <c r="N32" s="4"/>
      <c r="O32" s="10"/>
      <c r="P32" s="10"/>
      <c r="Q32" s="10"/>
      <c r="R32" s="10"/>
      <c r="S32" s="10"/>
      <c r="T32" s="10"/>
      <c r="U32" s="10"/>
    </row>
    <row r="33" spans="14:21" ht="14.1" customHeight="1" thickBot="1" x14ac:dyDescent="0.3">
      <c r="N33" s="4"/>
      <c r="O33" s="10"/>
      <c r="P33" s="10"/>
      <c r="Q33" s="10"/>
      <c r="R33" s="10"/>
      <c r="S33" s="10"/>
      <c r="T33" s="10"/>
      <c r="U33" s="10"/>
    </row>
    <row r="34" spans="14:21" ht="14.1" customHeight="1" thickBot="1" x14ac:dyDescent="0.3">
      <c r="N34" s="4"/>
      <c r="O34" s="10"/>
      <c r="P34" s="10"/>
      <c r="Q34" s="10"/>
      <c r="R34" s="10"/>
      <c r="S34" s="10"/>
      <c r="T34" s="10"/>
      <c r="U34" s="10"/>
    </row>
    <row r="35" spans="14:21" ht="14.1" customHeight="1" thickBot="1" x14ac:dyDescent="0.3">
      <c r="N35" s="4"/>
      <c r="O35" s="10"/>
      <c r="P35" s="10"/>
      <c r="Q35" s="10"/>
      <c r="R35" s="10"/>
      <c r="S35" s="10"/>
      <c r="T35" s="10"/>
      <c r="U35" s="10"/>
    </row>
    <row r="36" spans="14:21" ht="14.1" customHeight="1" thickBot="1" x14ac:dyDescent="0.3">
      <c r="N36" s="4"/>
      <c r="O36" s="10"/>
      <c r="P36" s="10"/>
      <c r="Q36" s="10"/>
      <c r="R36" s="10"/>
      <c r="S36" s="10"/>
      <c r="T36" s="10"/>
      <c r="U36" s="10"/>
    </row>
    <row r="37" spans="14:21" ht="14.1" customHeight="1" thickBot="1" x14ac:dyDescent="0.3">
      <c r="N37" s="4"/>
      <c r="O37" s="10"/>
      <c r="P37" s="10"/>
      <c r="Q37" s="10"/>
      <c r="R37" s="10"/>
      <c r="S37" s="10"/>
      <c r="T37" s="10"/>
      <c r="U37" s="10"/>
    </row>
    <row r="38" spans="14:21" ht="14.1" customHeight="1" thickBot="1" x14ac:dyDescent="0.3">
      <c r="N38" s="4"/>
      <c r="O38" s="10"/>
      <c r="P38" s="10"/>
      <c r="Q38" s="10"/>
      <c r="R38" s="10"/>
      <c r="S38" s="10"/>
      <c r="T38" s="10"/>
      <c r="U38" s="10"/>
    </row>
    <row r="39" spans="14:21" ht="14.1" customHeight="1" thickBot="1" x14ac:dyDescent="0.3">
      <c r="N39" s="4"/>
      <c r="O39" s="10"/>
      <c r="P39" s="10"/>
      <c r="Q39" s="10"/>
      <c r="R39" s="10"/>
      <c r="S39" s="10"/>
      <c r="T39" s="10"/>
      <c r="U39" s="10"/>
    </row>
    <row r="40" spans="14:21" ht="14.1" customHeight="1" thickBot="1" x14ac:dyDescent="0.3">
      <c r="N40" s="4"/>
      <c r="O40" s="10"/>
      <c r="P40" s="10"/>
      <c r="Q40" s="10"/>
      <c r="R40" s="10"/>
      <c r="S40" s="10"/>
      <c r="T40" s="10"/>
      <c r="U40" s="10"/>
    </row>
    <row r="41" spans="14:21" ht="14.1" customHeight="1" thickBot="1" x14ac:dyDescent="0.3">
      <c r="N41" s="4"/>
      <c r="O41" s="10"/>
      <c r="P41" s="10"/>
      <c r="Q41" s="10"/>
      <c r="R41" s="10"/>
      <c r="S41" s="10"/>
      <c r="T41" s="10"/>
      <c r="U41" s="10"/>
    </row>
    <row r="42" spans="14:21" ht="14.1" customHeight="1" thickBot="1" x14ac:dyDescent="0.3">
      <c r="N42" s="4"/>
      <c r="O42" s="10"/>
      <c r="P42" s="10"/>
      <c r="Q42" s="10"/>
      <c r="R42" s="10"/>
      <c r="S42" s="10"/>
      <c r="T42" s="10"/>
      <c r="U42" s="10"/>
    </row>
    <row r="43" spans="14:21" ht="14.1" customHeight="1" thickBot="1" x14ac:dyDescent="0.3">
      <c r="N43" s="4"/>
      <c r="O43" s="10"/>
      <c r="P43" s="10"/>
      <c r="Q43" s="10"/>
      <c r="R43" s="10"/>
      <c r="S43" s="10"/>
      <c r="T43" s="10"/>
      <c r="U43" s="10"/>
    </row>
    <row r="44" spans="14:21" ht="14.1" customHeight="1" x14ac:dyDescent="0.25"/>
    <row r="45" spans="14:21" ht="14.1" customHeight="1" x14ac:dyDescent="0.25"/>
    <row r="46" spans="14:21" ht="14.1" customHeight="1" x14ac:dyDescent="0.25"/>
    <row r="47" spans="14:21" ht="14.1" customHeight="1" x14ac:dyDescent="0.25"/>
    <row r="48" spans="14:21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  <row r="63" ht="14.1" customHeight="1" x14ac:dyDescent="0.25"/>
    <row r="64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4.1" customHeight="1" x14ac:dyDescent="0.25"/>
    <row r="78" ht="14.1" customHeight="1" x14ac:dyDescent="0.25"/>
    <row r="79" ht="14.1" customHeight="1" x14ac:dyDescent="0.25"/>
    <row r="80" ht="14.1" customHeight="1" x14ac:dyDescent="0.25"/>
    <row r="81" ht="14.1" customHeight="1" x14ac:dyDescent="0.25"/>
    <row r="82" ht="14.1" customHeight="1" x14ac:dyDescent="0.25"/>
    <row r="83" ht="14.1" customHeight="1" x14ac:dyDescent="0.25"/>
    <row r="84" ht="14.1" customHeight="1" x14ac:dyDescent="0.25"/>
    <row r="85" ht="14.1" customHeight="1" x14ac:dyDescent="0.25"/>
    <row r="86" ht="14.1" customHeight="1" x14ac:dyDescent="0.25"/>
    <row r="87" ht="14.1" customHeight="1" x14ac:dyDescent="0.25"/>
    <row r="88" ht="14.1" customHeight="1" x14ac:dyDescent="0.25"/>
    <row r="89" ht="14.1" customHeight="1" x14ac:dyDescent="0.25"/>
    <row r="90" ht="14.1" customHeight="1" x14ac:dyDescent="0.25"/>
    <row r="91" ht="14.1" customHeight="1" x14ac:dyDescent="0.25"/>
    <row r="92" ht="14.1" customHeight="1" x14ac:dyDescent="0.25"/>
    <row r="93" ht="14.1" customHeight="1" x14ac:dyDescent="0.25"/>
    <row r="94" ht="14.1" customHeight="1" x14ac:dyDescent="0.25"/>
    <row r="95" ht="14.1" customHeight="1" x14ac:dyDescent="0.25"/>
    <row r="96" ht="14.1" customHeight="1" x14ac:dyDescent="0.25"/>
    <row r="97" ht="14.1" customHeight="1" x14ac:dyDescent="0.25"/>
    <row r="98" ht="14.1" customHeight="1" x14ac:dyDescent="0.25"/>
    <row r="99" ht="14.1" customHeight="1" x14ac:dyDescent="0.25"/>
    <row r="100" ht="14.1" customHeight="1" x14ac:dyDescent="0.25"/>
    <row r="101" ht="14.1" customHeight="1" x14ac:dyDescent="0.25"/>
    <row r="102" ht="14.1" customHeight="1" x14ac:dyDescent="0.25"/>
    <row r="103" ht="14.1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4.1" customHeight="1" x14ac:dyDescent="0.25"/>
    <row r="115" ht="14.1" customHeight="1" x14ac:dyDescent="0.25"/>
    <row r="116" ht="14.1" customHeight="1" x14ac:dyDescent="0.25"/>
    <row r="117" ht="14.1" customHeight="1" x14ac:dyDescent="0.25"/>
    <row r="118" ht="14.1" customHeight="1" x14ac:dyDescent="0.25"/>
    <row r="119" ht="14.1" customHeight="1" x14ac:dyDescent="0.25"/>
    <row r="120" ht="14.1" customHeight="1" x14ac:dyDescent="0.25"/>
    <row r="121" ht="14.1" customHeight="1" x14ac:dyDescent="0.25"/>
    <row r="122" ht="14.1" customHeight="1" x14ac:dyDescent="0.25"/>
    <row r="123" ht="14.1" customHeight="1" x14ac:dyDescent="0.25"/>
    <row r="124" ht="14.1" customHeight="1" x14ac:dyDescent="0.25"/>
    <row r="125" ht="14.1" customHeight="1" x14ac:dyDescent="0.25"/>
    <row r="126" ht="14.1" customHeight="1" x14ac:dyDescent="0.25"/>
    <row r="127" ht="14.1" customHeight="1" x14ac:dyDescent="0.25"/>
    <row r="128" ht="14.1" customHeight="1" x14ac:dyDescent="0.25"/>
    <row r="129" ht="14.1" customHeight="1" x14ac:dyDescent="0.25"/>
    <row r="130" ht="14.1" customHeight="1" x14ac:dyDescent="0.25"/>
    <row r="131" ht="14.1" customHeight="1" x14ac:dyDescent="0.25"/>
    <row r="132" ht="14.1" customHeight="1" x14ac:dyDescent="0.25"/>
    <row r="133" ht="14.1" customHeight="1" x14ac:dyDescent="0.25"/>
    <row r="134" ht="14.1" customHeight="1" x14ac:dyDescent="0.25"/>
    <row r="135" ht="14.1" customHeight="1" x14ac:dyDescent="0.25"/>
    <row r="136" ht="14.1" customHeight="1" x14ac:dyDescent="0.25"/>
    <row r="137" ht="14.1" customHeight="1" x14ac:dyDescent="0.25"/>
    <row r="138" ht="14.1" customHeight="1" x14ac:dyDescent="0.25"/>
    <row r="139" ht="14.1" customHeight="1" x14ac:dyDescent="0.25"/>
    <row r="140" ht="14.1" customHeight="1" x14ac:dyDescent="0.25"/>
    <row r="141" ht="14.1" customHeight="1" x14ac:dyDescent="0.25"/>
    <row r="142" ht="14.1" customHeight="1" x14ac:dyDescent="0.25"/>
    <row r="143" ht="14.1" customHeight="1" x14ac:dyDescent="0.25"/>
    <row r="144" ht="14.1" customHeight="1" x14ac:dyDescent="0.25"/>
    <row r="145" ht="14.1" customHeight="1" x14ac:dyDescent="0.25"/>
    <row r="146" ht="14.1" customHeight="1" x14ac:dyDescent="0.25"/>
    <row r="147" ht="14.1" customHeight="1" x14ac:dyDescent="0.25"/>
    <row r="148" ht="14.1" customHeight="1" x14ac:dyDescent="0.25"/>
    <row r="149" ht="14.1" customHeight="1" x14ac:dyDescent="0.25"/>
    <row r="150" ht="14.1" customHeight="1" x14ac:dyDescent="0.25"/>
    <row r="151" ht="14.1" customHeight="1" x14ac:dyDescent="0.25"/>
    <row r="152" ht="14.1" customHeight="1" x14ac:dyDescent="0.25"/>
    <row r="153" ht="14.1" customHeight="1" x14ac:dyDescent="0.25"/>
    <row r="154" ht="14.1" customHeight="1" x14ac:dyDescent="0.25"/>
    <row r="155" ht="14.1" customHeight="1" x14ac:dyDescent="0.25"/>
    <row r="156" ht="14.1" customHeight="1" x14ac:dyDescent="0.25"/>
    <row r="157" ht="14.1" customHeight="1" x14ac:dyDescent="0.25"/>
    <row r="158" ht="14.1" customHeight="1" x14ac:dyDescent="0.25"/>
    <row r="159" ht="14.1" customHeight="1" x14ac:dyDescent="0.25"/>
    <row r="160" ht="14.1" customHeight="1" x14ac:dyDescent="0.25"/>
    <row r="161" ht="14.1" customHeight="1" x14ac:dyDescent="0.25"/>
    <row r="162" ht="14.1" customHeight="1" x14ac:dyDescent="0.25"/>
    <row r="163" ht="14.1" customHeight="1" x14ac:dyDescent="0.25"/>
    <row r="164" ht="14.1" customHeight="1" x14ac:dyDescent="0.25"/>
    <row r="165" ht="14.1" customHeight="1" x14ac:dyDescent="0.25"/>
    <row r="166" ht="14.1" customHeight="1" x14ac:dyDescent="0.25"/>
    <row r="167" ht="14.1" customHeight="1" x14ac:dyDescent="0.25"/>
    <row r="168" ht="14.1" customHeight="1" x14ac:dyDescent="0.25"/>
    <row r="169" ht="14.1" customHeight="1" x14ac:dyDescent="0.25"/>
    <row r="170" ht="14.1" customHeight="1" x14ac:dyDescent="0.25"/>
    <row r="171" ht="14.1" customHeight="1" x14ac:dyDescent="0.25"/>
    <row r="172" ht="14.1" customHeight="1" x14ac:dyDescent="0.25"/>
    <row r="173" ht="14.1" customHeight="1" x14ac:dyDescent="0.25"/>
    <row r="174" ht="14.1" customHeight="1" x14ac:dyDescent="0.25"/>
    <row r="175" ht="14.1" customHeight="1" x14ac:dyDescent="0.25"/>
    <row r="176" ht="14.1" customHeight="1" x14ac:dyDescent="0.25"/>
    <row r="177" ht="14.1" customHeight="1" x14ac:dyDescent="0.25"/>
    <row r="178" ht="14.1" customHeight="1" x14ac:dyDescent="0.25"/>
    <row r="179" ht="14.1" customHeight="1" x14ac:dyDescent="0.25"/>
    <row r="180" ht="14.1" customHeight="1" x14ac:dyDescent="0.25"/>
    <row r="181" ht="14.1" customHeight="1" x14ac:dyDescent="0.25"/>
    <row r="182" ht="14.1" customHeight="1" x14ac:dyDescent="0.25"/>
    <row r="183" ht="14.1" customHeight="1" x14ac:dyDescent="0.25"/>
    <row r="184" ht="14.1" customHeight="1" x14ac:dyDescent="0.25"/>
    <row r="185" ht="14.1" customHeight="1" x14ac:dyDescent="0.25"/>
    <row r="186" ht="14.1" customHeight="1" x14ac:dyDescent="0.25"/>
    <row r="187" ht="14.1" customHeight="1" x14ac:dyDescent="0.25"/>
    <row r="188" ht="14.1" customHeight="1" x14ac:dyDescent="0.25"/>
    <row r="189" ht="14.1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4.1" customHeight="1" x14ac:dyDescent="0.25"/>
    <row r="195" ht="14.1" customHeight="1" x14ac:dyDescent="0.25"/>
    <row r="196" ht="14.1" customHeight="1" x14ac:dyDescent="0.25"/>
    <row r="197" ht="14.1" customHeight="1" x14ac:dyDescent="0.25"/>
  </sheetData>
  <conditionalFormatting sqref="C3:E14 F5:H5">
    <cfRule type="cellIs" dxfId="70" priority="48" operator="greaterThan">
      <formula>$B$5</formula>
    </cfRule>
  </conditionalFormatting>
  <conditionalFormatting sqref="C2:H2">
    <cfRule type="cellIs" dxfId="69" priority="51" operator="greaterThan">
      <formula>$B$2</formula>
    </cfRule>
  </conditionalFormatting>
  <conditionalFormatting sqref="F3:H3">
    <cfRule type="cellIs" dxfId="68" priority="50" operator="greaterThan">
      <formula>$B$3</formula>
    </cfRule>
  </conditionalFormatting>
  <conditionalFormatting sqref="F4:H4">
    <cfRule type="cellIs" dxfId="67" priority="49" operator="greaterThan">
      <formula>$B$4</formula>
    </cfRule>
  </conditionalFormatting>
  <conditionalFormatting sqref="F6:H6">
    <cfRule type="cellIs" dxfId="66" priority="47" operator="greaterThan">
      <formula>$B$6</formula>
    </cfRule>
  </conditionalFormatting>
  <conditionalFormatting sqref="F7:H7">
    <cfRule type="cellIs" dxfId="65" priority="46" operator="greaterThan">
      <formula>$B$7</formula>
    </cfRule>
  </conditionalFormatting>
  <conditionalFormatting sqref="F8:H8">
    <cfRule type="cellIs" dxfId="64" priority="44" operator="greaterThan">
      <formula>$B$8</formula>
    </cfRule>
  </conditionalFormatting>
  <conditionalFormatting sqref="F9:H9">
    <cfRule type="cellIs" dxfId="63" priority="43" operator="greaterThan">
      <formula>$B$9</formula>
    </cfRule>
  </conditionalFormatting>
  <conditionalFormatting sqref="P2:U2">
    <cfRule type="cellIs" dxfId="62" priority="42" operator="greaterThan">
      <formula>$O$2</formula>
    </cfRule>
  </conditionalFormatting>
  <conditionalFormatting sqref="P3:U3">
    <cfRule type="cellIs" dxfId="61" priority="41" operator="greaterThan">
      <formula>$O$3</formula>
    </cfRule>
  </conditionalFormatting>
  <conditionalFormatting sqref="P4:U4">
    <cfRule type="cellIs" dxfId="60" priority="40" operator="greaterThan">
      <formula>$O$4</formula>
    </cfRule>
  </conditionalFormatting>
  <conditionalFormatting sqref="P5:U5">
    <cfRule type="cellIs" dxfId="59" priority="39" operator="greaterThan">
      <formula>$O$5</formula>
    </cfRule>
  </conditionalFormatting>
  <conditionalFormatting sqref="P6:U6">
    <cfRule type="cellIs" dxfId="58" priority="38" operator="greaterThan">
      <formula>$O$6</formula>
    </cfRule>
  </conditionalFormatting>
  <conditionalFormatting sqref="P7:U7">
    <cfRule type="cellIs" dxfId="57" priority="37" operator="greaterThan">
      <formula>$O$7</formula>
    </cfRule>
  </conditionalFormatting>
  <conditionalFormatting sqref="P8:U8">
    <cfRule type="cellIs" dxfId="56" priority="36" operator="greaterThan">
      <formula>$O$8</formula>
    </cfRule>
  </conditionalFormatting>
  <conditionalFormatting sqref="P9:U9">
    <cfRule type="cellIs" dxfId="55" priority="35" operator="greaterThan">
      <formula>$O$9</formula>
    </cfRule>
  </conditionalFormatting>
  <conditionalFormatting sqref="P10:U10">
    <cfRule type="cellIs" dxfId="54" priority="34" operator="greaterThan">
      <formula>$O$10</formula>
    </cfRule>
  </conditionalFormatting>
  <conditionalFormatting sqref="P11:U11">
    <cfRule type="cellIs" dxfId="53" priority="33" operator="greaterThan">
      <formula>$O$11</formula>
    </cfRule>
  </conditionalFormatting>
  <conditionalFormatting sqref="P12:U12">
    <cfRule type="cellIs" dxfId="52" priority="32" operator="greaterThan">
      <formula>$O$12</formula>
    </cfRule>
  </conditionalFormatting>
  <conditionalFormatting sqref="P13:U13">
    <cfRule type="cellIs" dxfId="51" priority="31" operator="greaterThan">
      <formula>$O$13</formula>
    </cfRule>
  </conditionalFormatting>
  <conditionalFormatting sqref="P14:U14">
    <cfRule type="cellIs" dxfId="50" priority="30" operator="greaterThan">
      <formula>$O$14</formula>
    </cfRule>
  </conditionalFormatting>
  <conditionalFormatting sqref="P15:U15">
    <cfRule type="cellIs" dxfId="49" priority="29" operator="greaterThan">
      <formula>$O$15</formula>
    </cfRule>
  </conditionalFormatting>
  <conditionalFormatting sqref="P16:U16">
    <cfRule type="cellIs" dxfId="48" priority="28" operator="greaterThan">
      <formula>$O$16</formula>
    </cfRule>
  </conditionalFormatting>
  <conditionalFormatting sqref="P17:U17">
    <cfRule type="cellIs" dxfId="47" priority="27" operator="greaterThan">
      <formula>$O$17</formula>
    </cfRule>
  </conditionalFormatting>
  <conditionalFormatting sqref="P18:U18">
    <cfRule type="cellIs" dxfId="46" priority="26" operator="greaterThan">
      <formula>$O$18</formula>
    </cfRule>
  </conditionalFormatting>
  <conditionalFormatting sqref="P19:U19">
    <cfRule type="cellIs" dxfId="45" priority="25" operator="greaterThan">
      <formula>$O$19</formula>
    </cfRule>
  </conditionalFormatting>
  <conditionalFormatting sqref="P20:U20">
    <cfRule type="cellIs" dxfId="44" priority="24" operator="greaterThan">
      <formula>$O$20</formula>
    </cfRule>
  </conditionalFormatting>
  <conditionalFormatting sqref="P21:U21">
    <cfRule type="cellIs" dxfId="43" priority="23" operator="greaterThan">
      <formula>$O$21</formula>
    </cfRule>
  </conditionalFormatting>
  <conditionalFormatting sqref="P22:U22">
    <cfRule type="cellIs" dxfId="42" priority="22" operator="greaterThan">
      <formula>$O$22</formula>
    </cfRule>
  </conditionalFormatting>
  <conditionalFormatting sqref="P23:U23">
    <cfRule type="cellIs" dxfId="41" priority="21" operator="greaterThan">
      <formula>$O$23</formula>
    </cfRule>
  </conditionalFormatting>
  <conditionalFormatting sqref="P24:U24">
    <cfRule type="cellIs" dxfId="40" priority="20" operator="greaterThan">
      <formula>$O$24</formula>
    </cfRule>
  </conditionalFormatting>
  <conditionalFormatting sqref="P25:U25">
    <cfRule type="cellIs" dxfId="39" priority="19" operator="greaterThan">
      <formula>$O$25</formula>
    </cfRule>
  </conditionalFormatting>
  <conditionalFormatting sqref="P26:U26">
    <cfRule type="cellIs" dxfId="38" priority="18" operator="greaterThan">
      <formula>$O$26</formula>
    </cfRule>
  </conditionalFormatting>
  <conditionalFormatting sqref="P27:U27">
    <cfRule type="cellIs" dxfId="37" priority="17" operator="greaterThan">
      <formula>$O$27</formula>
    </cfRule>
  </conditionalFormatting>
  <conditionalFormatting sqref="P28:U28">
    <cfRule type="cellIs" dxfId="36" priority="16" operator="greaterThan">
      <formula>$O$28</formula>
    </cfRule>
  </conditionalFormatting>
  <conditionalFormatting sqref="P29:U29">
    <cfRule type="cellIs" dxfId="35" priority="15" operator="greaterThan">
      <formula>$O$29</formula>
    </cfRule>
  </conditionalFormatting>
  <conditionalFormatting sqref="P30:U30">
    <cfRule type="cellIs" dxfId="34" priority="14" operator="greaterThan">
      <formula>$O$30</formula>
    </cfRule>
  </conditionalFormatting>
  <conditionalFormatting sqref="P31:U31">
    <cfRule type="cellIs" dxfId="33" priority="13" operator="greaterThan">
      <formula>$O$31</formula>
    </cfRule>
  </conditionalFormatting>
  <conditionalFormatting sqref="P32:U32">
    <cfRule type="cellIs" dxfId="32" priority="12" operator="greaterThan">
      <formula>$O$32</formula>
    </cfRule>
  </conditionalFormatting>
  <conditionalFormatting sqref="P33:U33">
    <cfRule type="cellIs" dxfId="31" priority="11" operator="greaterThan">
      <formula>$O$33</formula>
    </cfRule>
  </conditionalFormatting>
  <conditionalFormatting sqref="P34:U34">
    <cfRule type="cellIs" dxfId="30" priority="10" operator="greaterThan">
      <formula>$O$34</formula>
    </cfRule>
  </conditionalFormatting>
  <conditionalFormatting sqref="P35:U35">
    <cfRule type="cellIs" dxfId="29" priority="9" operator="greaterThan">
      <formula>$O$35</formula>
    </cfRule>
  </conditionalFormatting>
  <conditionalFormatting sqref="P36:U36">
    <cfRule type="cellIs" dxfId="28" priority="8" operator="greaterThan">
      <formula>$O$36</formula>
    </cfRule>
  </conditionalFormatting>
  <conditionalFormatting sqref="P37:U37">
    <cfRule type="cellIs" dxfId="27" priority="7" operator="greaterThan">
      <formula>$O$37</formula>
    </cfRule>
  </conditionalFormatting>
  <conditionalFormatting sqref="P38:U38">
    <cfRule type="cellIs" dxfId="26" priority="6" operator="greaterThan">
      <formula>$O$38</formula>
    </cfRule>
  </conditionalFormatting>
  <conditionalFormatting sqref="P39:U39">
    <cfRule type="cellIs" dxfId="25" priority="5" operator="greaterThan">
      <formula>$O$39</formula>
    </cfRule>
  </conditionalFormatting>
  <conditionalFormatting sqref="P40:U40">
    <cfRule type="cellIs" dxfId="24" priority="4" operator="greaterThan">
      <formula>$O$40</formula>
    </cfRule>
  </conditionalFormatting>
  <conditionalFormatting sqref="P41:U41">
    <cfRule type="cellIs" dxfId="23" priority="3" operator="greaterThan">
      <formula>$O$41</formula>
    </cfRule>
  </conditionalFormatting>
  <conditionalFormatting sqref="P42:U42">
    <cfRule type="cellIs" dxfId="22" priority="2" operator="greaterThan">
      <formula>$O$42</formula>
    </cfRule>
  </conditionalFormatting>
  <conditionalFormatting sqref="P43:U43">
    <cfRule type="cellIs" dxfId="21" priority="1" operator="greaterThan">
      <formula>$O$43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14-0ACF-4431-A612-C4B461338DB3}">
  <sheetPr codeName="Sheet6">
    <tabColor theme="5"/>
  </sheetPr>
  <dimension ref="A1:Y153"/>
  <sheetViews>
    <sheetView workbookViewId="0">
      <selection activeCell="R68" sqref="R68"/>
    </sheetView>
  </sheetViews>
  <sheetFormatPr defaultRowHeight="15" x14ac:dyDescent="0.25"/>
  <cols>
    <col min="1" max="1" width="33.28515625" customWidth="1"/>
    <col min="2" max="2" width="7.7109375" customWidth="1"/>
    <col min="14" max="14" width="28" bestFit="1" customWidth="1"/>
    <col min="15" max="15" width="8.7109375" style="9" customWidth="1"/>
  </cols>
  <sheetData>
    <row r="1" spans="1:25" ht="14.1" customHeight="1" thickBot="1" x14ac:dyDescent="0.3">
      <c r="A1" s="1" t="s">
        <v>83</v>
      </c>
      <c r="B1" s="2" t="s">
        <v>82</v>
      </c>
      <c r="C1" s="2">
        <f>Costs!B9</f>
        <v>2025</v>
      </c>
      <c r="D1" s="2">
        <f>C1+1</f>
        <v>2026</v>
      </c>
      <c r="E1" s="2">
        <f t="shared" ref="E1:L1" si="0">D1+1</f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9">
        <f>((L2+L3)-(C2+C3))/(C2+C3)/9</f>
        <v>3.7735640621123223E-2</v>
      </c>
      <c r="N1" s="1" t="str">
        <f>A1</f>
        <v>Option 1 - Do Nothing</v>
      </c>
      <c r="O1" s="2" t="str">
        <f>B1</f>
        <v>Rating</v>
      </c>
      <c r="P1" s="2">
        <f t="shared" ref="P1:Y1" si="1">C1</f>
        <v>2025</v>
      </c>
      <c r="Q1" s="2">
        <f t="shared" si="1"/>
        <v>2026</v>
      </c>
      <c r="R1" s="2">
        <f t="shared" si="1"/>
        <v>2027</v>
      </c>
      <c r="S1" s="2">
        <f t="shared" si="1"/>
        <v>2028</v>
      </c>
      <c r="T1" s="2">
        <f t="shared" si="1"/>
        <v>2029</v>
      </c>
      <c r="U1" s="2">
        <f t="shared" si="1"/>
        <v>2030</v>
      </c>
      <c r="V1" s="2">
        <f t="shared" si="1"/>
        <v>2031</v>
      </c>
      <c r="W1" s="2">
        <f t="shared" si="1"/>
        <v>2032</v>
      </c>
      <c r="X1" s="2">
        <f t="shared" si="1"/>
        <v>2033</v>
      </c>
      <c r="Y1" s="2">
        <f t="shared" si="1"/>
        <v>2034</v>
      </c>
    </row>
    <row r="2" spans="1:25" ht="14.1" customHeight="1" thickTop="1" thickBot="1" x14ac:dyDescent="0.3">
      <c r="A2" s="4" t="str">
        <f>Historical!A2</f>
        <v>SBY</v>
      </c>
      <c r="B2" s="10">
        <f>Ratings!D2</f>
        <v>38</v>
      </c>
      <c r="C2" s="79">
        <v>51.530243729367236</v>
      </c>
      <c r="D2" s="79">
        <v>54.679295305037385</v>
      </c>
      <c r="E2" s="79">
        <v>57.083685511581237</v>
      </c>
      <c r="F2" s="79">
        <v>59.045519231405017</v>
      </c>
      <c r="G2" s="79">
        <v>60.17851239926847</v>
      </c>
      <c r="H2" s="79">
        <v>61.54813415223439</v>
      </c>
      <c r="I2" s="79">
        <v>63.10029618244203</v>
      </c>
      <c r="J2" s="79">
        <v>64.687340084240915</v>
      </c>
      <c r="K2" s="79">
        <v>66.254444867387406</v>
      </c>
      <c r="L2" s="79">
        <v>67.605066855054758</v>
      </c>
      <c r="M2" s="90">
        <f>($L3-$C3)/$C3/9</f>
        <v>4.1136213287766059E-2</v>
      </c>
      <c r="N2" s="4" t="str">
        <f>Ratings!H2</f>
        <v>SHM11</v>
      </c>
      <c r="O2" s="10">
        <f>Ratings!I2</f>
        <v>14.3</v>
      </c>
      <c r="P2" s="79">
        <v>5.5813436591398604</v>
      </c>
      <c r="Q2" s="79">
        <v>7.8358459621924936</v>
      </c>
      <c r="R2" s="79">
        <v>10.084371386746479</v>
      </c>
      <c r="S2" s="79">
        <v>11.674414837891469</v>
      </c>
      <c r="T2" s="79">
        <v>12.548689491103286</v>
      </c>
      <c r="U2" s="79">
        <v>13.220928866324558</v>
      </c>
      <c r="V2" s="79">
        <v>13.821219120331685</v>
      </c>
      <c r="W2" s="79">
        <v>14.250942481819813</v>
      </c>
      <c r="X2" s="79">
        <v>14.680808761475605</v>
      </c>
      <c r="Y2" s="79">
        <v>15.06722429585975</v>
      </c>
    </row>
    <row r="3" spans="1:25" ht="14.1" customHeight="1" thickBot="1" x14ac:dyDescent="0.3">
      <c r="A3" s="4" t="str">
        <f>Historical!A3</f>
        <v>SHM</v>
      </c>
      <c r="B3" s="10">
        <f>Ratings!D3</f>
        <v>38</v>
      </c>
      <c r="C3" s="79">
        <v>46.590770323687238</v>
      </c>
      <c r="D3" s="79">
        <v>49.389122344051358</v>
      </c>
      <c r="E3" s="79">
        <v>51.881816318589436</v>
      </c>
      <c r="F3" s="79">
        <v>53.864626943932301</v>
      </c>
      <c r="G3" s="79">
        <v>55.160933634038003</v>
      </c>
      <c r="H3" s="79">
        <v>56.75206367120618</v>
      </c>
      <c r="I3" s="79">
        <v>58.530083555013384</v>
      </c>
      <c r="J3" s="79">
        <v>60.360440118889535</v>
      </c>
      <c r="K3" s="79">
        <v>62.19236895923418</v>
      </c>
      <c r="L3" s="79">
        <v>63.839881111175913</v>
      </c>
      <c r="M3" s="91">
        <f>(L3-C3)</f>
        <v>17.249110787488675</v>
      </c>
      <c r="N3" s="4" t="str">
        <f>Ratings!H3</f>
        <v>SHM12</v>
      </c>
      <c r="O3" s="10">
        <f>Ratings!I3</f>
        <v>14.3</v>
      </c>
      <c r="P3" s="79">
        <v>8.592144758165718</v>
      </c>
      <c r="Q3" s="79">
        <v>8.7104789371507287</v>
      </c>
      <c r="R3" s="79">
        <v>8.759222149012226</v>
      </c>
      <c r="S3" s="79">
        <v>8.8773832299363455</v>
      </c>
      <c r="T3" s="79">
        <v>8.9910038013526599</v>
      </c>
      <c r="U3" s="79">
        <v>9.2490735284650416</v>
      </c>
      <c r="V3" s="79">
        <v>9.537287732699701</v>
      </c>
      <c r="W3" s="79">
        <v>9.8338169540580598</v>
      </c>
      <c r="X3" s="79">
        <v>10.130444795637644</v>
      </c>
      <c r="Y3" s="79">
        <v>10.397089590407244</v>
      </c>
    </row>
    <row r="4" spans="1:25" ht="14.1" customHeight="1" thickBot="1" x14ac:dyDescent="0.3">
      <c r="A4" s="4" t="str">
        <f>Ratings!A42</f>
        <v>KTS-SBY-SHM-GSB-WND</v>
      </c>
      <c r="B4" s="10">
        <f>Ratings!B43</f>
        <v>180</v>
      </c>
      <c r="C4" s="92">
        <f>67.7+36.2+50.8</f>
        <v>154.69999999999999</v>
      </c>
      <c r="D4" s="92">
        <f>70+37.2+52.3</f>
        <v>159.5</v>
      </c>
      <c r="E4" s="92">
        <f>72+38.2+53.7</f>
        <v>163.9</v>
      </c>
      <c r="F4" s="92">
        <f>74.1+39.3+55.2</f>
        <v>168.6</v>
      </c>
      <c r="G4" s="92">
        <f>(G2+G3)*1.6</f>
        <v>184.54311365329036</v>
      </c>
      <c r="H4" s="92">
        <f t="shared" ref="H4:L4" si="2">(H2+H3)*1.6</f>
        <v>189.28031651750493</v>
      </c>
      <c r="I4" s="92">
        <f t="shared" si="2"/>
        <v>194.60860757992867</v>
      </c>
      <c r="J4" s="92">
        <f t="shared" si="2"/>
        <v>200.07644832500876</v>
      </c>
      <c r="K4" s="92">
        <f t="shared" si="2"/>
        <v>205.51490212259455</v>
      </c>
      <c r="L4" s="92">
        <f t="shared" si="2"/>
        <v>210.31191674596909</v>
      </c>
      <c r="M4" s="91">
        <f>M3/9</f>
        <v>1.9165678652765195</v>
      </c>
      <c r="N4" s="4" t="str">
        <f>Ratings!H4</f>
        <v>SHM14</v>
      </c>
      <c r="O4" s="10">
        <f>Ratings!I4</f>
        <v>14.3</v>
      </c>
      <c r="P4" s="79">
        <v>14.636763852061602</v>
      </c>
      <c r="Q4" s="79">
        <v>17.111454107291593</v>
      </c>
      <c r="R4" s="79">
        <v>18.819033516668114</v>
      </c>
      <c r="S4" s="79">
        <v>20.126281363123546</v>
      </c>
      <c r="T4" s="79">
        <v>20.778095624763054</v>
      </c>
      <c r="U4" s="79">
        <v>21.529031120076816</v>
      </c>
      <c r="V4" s="79">
        <v>22.199906159951858</v>
      </c>
      <c r="W4" s="79">
        <v>22.89013603162374</v>
      </c>
      <c r="X4" s="79">
        <v>23.580595461186505</v>
      </c>
      <c r="Y4" s="79">
        <v>24.201263473710558</v>
      </c>
    </row>
    <row r="5" spans="1:25" ht="14.1" customHeight="1" thickBot="1" x14ac:dyDescent="0.3">
      <c r="A5" s="4"/>
      <c r="B5" s="10"/>
      <c r="C5" s="79"/>
      <c r="D5" s="79"/>
      <c r="E5" s="79"/>
      <c r="F5" s="79"/>
      <c r="G5" s="79"/>
      <c r="H5" s="79"/>
      <c r="I5" s="79"/>
      <c r="J5" s="79"/>
      <c r="K5" s="79"/>
      <c r="L5" s="79"/>
      <c r="M5" s="90"/>
      <c r="N5" s="4" t="str">
        <f>Ratings!H5</f>
        <v>SHM21</v>
      </c>
      <c r="O5" s="10">
        <f>Ratings!I5</f>
        <v>14.3</v>
      </c>
      <c r="P5" s="79">
        <v>10.746148130021385</v>
      </c>
      <c r="Q5" s="79">
        <v>11.491345386838757</v>
      </c>
      <c r="R5" s="79">
        <v>12.00765210889662</v>
      </c>
      <c r="S5" s="79">
        <v>12.134937716643941</v>
      </c>
      <c r="T5" s="79">
        <v>12.290251340237086</v>
      </c>
      <c r="U5" s="79">
        <v>12.643019716226474</v>
      </c>
      <c r="V5" s="79">
        <v>13.036994080839408</v>
      </c>
      <c r="W5" s="79">
        <v>13.442334656901755</v>
      </c>
      <c r="X5" s="79">
        <v>13.847810041861173</v>
      </c>
      <c r="Y5" s="79">
        <v>14.212300105338993</v>
      </c>
    </row>
    <row r="6" spans="1:25" ht="14.1" customHeight="1" thickBot="1" x14ac:dyDescent="0.3">
      <c r="A6" s="4"/>
      <c r="B6" s="10"/>
      <c r="C6" s="79"/>
      <c r="D6" s="79"/>
      <c r="E6" s="79"/>
      <c r="F6" s="79"/>
      <c r="G6" s="79"/>
      <c r="H6" s="79"/>
      <c r="I6" s="79"/>
      <c r="J6" s="79"/>
      <c r="K6" s="79"/>
      <c r="L6" s="79"/>
      <c r="M6" s="93"/>
      <c r="N6" s="4" t="str">
        <f>Ratings!H6</f>
        <v>SHM22</v>
      </c>
      <c r="O6" s="10">
        <f>Ratings!I6</f>
        <v>14.3</v>
      </c>
      <c r="P6" s="79">
        <v>6.1298096810534535</v>
      </c>
      <c r="Q6" s="79">
        <v>6.1330746819001654</v>
      </c>
      <c r="R6" s="79">
        <v>6.2096494724124573</v>
      </c>
      <c r="S6" s="79">
        <v>6.325092863325346</v>
      </c>
      <c r="T6" s="79">
        <v>6.4060469741007822</v>
      </c>
      <c r="U6" s="79">
        <v>6.5899204137078913</v>
      </c>
      <c r="V6" s="79">
        <v>6.7952716483111439</v>
      </c>
      <c r="W6" s="79">
        <v>7.006547292631236</v>
      </c>
      <c r="X6" s="79">
        <v>7.2178932033847216</v>
      </c>
      <c r="Y6" s="79">
        <v>7.4078763374633141</v>
      </c>
    </row>
    <row r="7" spans="1:25" ht="14.1" customHeight="1" thickBot="1" x14ac:dyDescent="0.3">
      <c r="A7" s="4"/>
      <c r="B7" s="10"/>
      <c r="C7" s="79"/>
      <c r="D7" s="79"/>
      <c r="E7" s="79"/>
      <c r="F7" s="79"/>
      <c r="G7" s="79"/>
      <c r="H7" s="79"/>
      <c r="I7" s="79"/>
      <c r="J7" s="79"/>
      <c r="K7" s="79"/>
      <c r="L7" s="79"/>
      <c r="M7" s="90"/>
      <c r="N7" s="4" t="str">
        <f>Ratings!H7</f>
        <v>SHM23</v>
      </c>
      <c r="O7" s="10">
        <f>Ratings!I7</f>
        <v>14.3</v>
      </c>
      <c r="P7" s="79">
        <v>2.0005671077288234</v>
      </c>
      <c r="Q7" s="79">
        <v>1.9854342013163291</v>
      </c>
      <c r="R7" s="79">
        <v>1.9888783255291858</v>
      </c>
      <c r="S7" s="79">
        <v>2.0099611803707988</v>
      </c>
      <c r="T7" s="79">
        <v>2.0356864343024097</v>
      </c>
      <c r="U7" s="79">
        <v>2.094116955987626</v>
      </c>
      <c r="V7" s="79">
        <v>2.1593726002623508</v>
      </c>
      <c r="W7" s="79">
        <v>2.2265108783267702</v>
      </c>
      <c r="X7" s="79">
        <v>2.2936714853603375</v>
      </c>
      <c r="Y7" s="79">
        <v>2.3540435198386422</v>
      </c>
    </row>
    <row r="8" spans="1:25" ht="14.1" customHeight="1" thickBot="1" x14ac:dyDescent="0.3">
      <c r="A8" s="4"/>
      <c r="B8" s="10"/>
      <c r="C8" s="79"/>
      <c r="D8" s="79"/>
      <c r="E8" s="79"/>
      <c r="F8" s="79"/>
      <c r="G8" s="79"/>
      <c r="H8" s="79"/>
      <c r="I8" s="79"/>
      <c r="J8" s="79"/>
      <c r="K8" s="79"/>
      <c r="L8" s="79"/>
      <c r="M8" s="90"/>
      <c r="N8" s="4" t="str">
        <f>Ratings!H8</f>
        <v>SHM24</v>
      </c>
      <c r="O8" s="10">
        <f>Ratings!I8</f>
        <v>14.3</v>
      </c>
      <c r="P8" s="79">
        <v>5.9163596967554497</v>
      </c>
      <c r="Q8" s="79">
        <v>5.8716065278926006</v>
      </c>
      <c r="R8" s="79">
        <v>5.8817919786104698</v>
      </c>
      <c r="S8" s="79">
        <v>5.9441411755934555</v>
      </c>
      <c r="T8" s="79">
        <v>6.0202195310566564</v>
      </c>
      <c r="U8" s="79">
        <v>6.1930185250135592</v>
      </c>
      <c r="V8" s="79">
        <v>6.3860017357647791</v>
      </c>
      <c r="W8" s="79">
        <v>6.5845525371427129</v>
      </c>
      <c r="X8" s="79">
        <v>6.7831693729029103</v>
      </c>
      <c r="Y8" s="79">
        <v>6.9617100827939513</v>
      </c>
    </row>
    <row r="9" spans="1:25" ht="14.1" customHeight="1" thickBot="1" x14ac:dyDescent="0.3">
      <c r="A9" s="4"/>
      <c r="B9" s="10"/>
      <c r="C9" s="79"/>
      <c r="D9" s="79"/>
      <c r="E9" s="79"/>
      <c r="F9" s="79"/>
      <c r="G9" s="79"/>
      <c r="H9" s="79"/>
      <c r="I9" s="79"/>
      <c r="J9" s="79"/>
      <c r="K9" s="79"/>
      <c r="L9" s="79"/>
      <c r="M9" s="90"/>
      <c r="N9" s="4" t="str">
        <f>Ratings!H9</f>
        <v>SBY12</v>
      </c>
      <c r="O9" s="10">
        <f>Ratings!I9</f>
        <v>14.3</v>
      </c>
      <c r="P9" s="79">
        <v>7.1705892267742</v>
      </c>
      <c r="Q9" s="79">
        <v>7.4442284738825846</v>
      </c>
      <c r="R9" s="79">
        <v>7.665044843642896</v>
      </c>
      <c r="S9" s="79">
        <v>7.8477557896632568</v>
      </c>
      <c r="T9" s="79">
        <v>7.9334452528496975</v>
      </c>
      <c r="U9" s="79">
        <v>8.113058627680612</v>
      </c>
      <c r="V9" s="79">
        <v>8.3165653024865875</v>
      </c>
      <c r="W9" s="79">
        <v>8.5245992482504125</v>
      </c>
      <c r="X9" s="79">
        <v>8.7299770118181623</v>
      </c>
      <c r="Y9" s="79">
        <v>8.9069518912460062</v>
      </c>
    </row>
    <row r="10" spans="1:25" ht="14.1" customHeight="1" thickBot="1" x14ac:dyDescent="0.3">
      <c r="A10" s="4"/>
      <c r="B10" s="1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90"/>
      <c r="N10" s="4" t="str">
        <f>Ratings!H10</f>
        <v>SBY13</v>
      </c>
      <c r="O10" s="10">
        <f>Ratings!I10</f>
        <v>12.5</v>
      </c>
      <c r="P10" s="79">
        <v>7.1864959959276584</v>
      </c>
      <c r="Q10" s="79">
        <v>7.4264648822788688</v>
      </c>
      <c r="R10" s="79">
        <v>7.5954475218138136</v>
      </c>
      <c r="S10" s="79">
        <v>7.7341207608333287</v>
      </c>
      <c r="T10" s="79">
        <v>7.8251041651668265</v>
      </c>
      <c r="U10" s="79">
        <v>8.0086951654492022</v>
      </c>
      <c r="V10" s="79">
        <v>8.2095840037344985</v>
      </c>
      <c r="W10" s="79">
        <v>8.4149418757956749</v>
      </c>
      <c r="X10" s="79">
        <v>8.6176777338312593</v>
      </c>
      <c r="Y10" s="79">
        <v>8.792376072192079</v>
      </c>
    </row>
    <row r="11" spans="1:25" ht="14.1" customHeight="1" thickBot="1" x14ac:dyDescent="0.3">
      <c r="A11" s="4"/>
      <c r="B11" s="1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90"/>
      <c r="N11" s="4" t="str">
        <f>Ratings!H11</f>
        <v>SBY23</v>
      </c>
      <c r="O11" s="10">
        <f>Ratings!I11</f>
        <v>14.3</v>
      </c>
      <c r="P11" s="79">
        <v>10.670416053561155</v>
      </c>
      <c r="Q11" s="79">
        <v>11.050577373281561</v>
      </c>
      <c r="R11" s="79">
        <v>11.336126866457667</v>
      </c>
      <c r="S11" s="79">
        <v>11.524955016681147</v>
      </c>
      <c r="T11" s="79">
        <v>11.693126526165184</v>
      </c>
      <c r="U11" s="79">
        <v>11.959553889180576</v>
      </c>
      <c r="V11" s="79">
        <v>12.259545440559986</v>
      </c>
      <c r="W11" s="79">
        <v>12.566210694605193</v>
      </c>
      <c r="X11" s="79">
        <v>12.868960439645567</v>
      </c>
      <c r="Y11" s="79">
        <v>13.129841163510568</v>
      </c>
    </row>
    <row r="12" spans="1:25" ht="14.1" customHeight="1" thickBot="1" x14ac:dyDescent="0.3">
      <c r="A12" s="4"/>
      <c r="B12" s="1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90"/>
      <c r="N12" s="4" t="str">
        <f>Ratings!H12</f>
        <v>SBY24</v>
      </c>
      <c r="O12" s="10">
        <f>Ratings!I12</f>
        <v>14.3</v>
      </c>
      <c r="P12" s="79">
        <v>8.5266929094345958</v>
      </c>
      <c r="Q12" s="79">
        <v>11.561618053496968</v>
      </c>
      <c r="R12" s="79">
        <v>14.149751507185629</v>
      </c>
      <c r="S12" s="79">
        <v>15.970843037313943</v>
      </c>
      <c r="T12" s="79">
        <v>16.790968999784837</v>
      </c>
      <c r="U12" s="79">
        <v>17.534271167558725</v>
      </c>
      <c r="V12" s="79">
        <v>17.974098042256944</v>
      </c>
      <c r="W12" s="79">
        <v>18.423709438461394</v>
      </c>
      <c r="X12" s="79">
        <v>18.86758018603582</v>
      </c>
      <c r="Y12" s="79">
        <v>19.250065469101123</v>
      </c>
    </row>
    <row r="13" spans="1:25" ht="14.1" customHeight="1" thickBot="1" x14ac:dyDescent="0.3">
      <c r="A13" s="4"/>
      <c r="B13" s="1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90"/>
      <c r="N13" s="4" t="str">
        <f>Ratings!H13</f>
        <v>SBY32</v>
      </c>
      <c r="O13" s="10">
        <f>Ratings!I13</f>
        <v>14.3</v>
      </c>
      <c r="P13" s="79">
        <v>13.402587531145107</v>
      </c>
      <c r="Q13" s="79">
        <v>15.159685452971493</v>
      </c>
      <c r="R13" s="79">
        <v>15.982737837334899</v>
      </c>
      <c r="S13" s="79">
        <v>16.647392058986163</v>
      </c>
      <c r="T13" s="79">
        <v>17.00370497033401</v>
      </c>
      <c r="U13" s="79">
        <v>17.505914173349449</v>
      </c>
      <c r="V13" s="79">
        <v>17.945029745706115</v>
      </c>
      <c r="W13" s="79">
        <v>18.393914015722274</v>
      </c>
      <c r="X13" s="79">
        <v>18.837066921072271</v>
      </c>
      <c r="Y13" s="79">
        <v>19.218933636484923</v>
      </c>
    </row>
    <row r="14" spans="1:25" ht="14.1" customHeight="1" thickBot="1" x14ac:dyDescent="0.3">
      <c r="A14" s="4"/>
      <c r="B14" s="10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4" t="str">
        <f>Ratings!H14</f>
        <v>SBY34</v>
      </c>
      <c r="O14" s="10">
        <f>Ratings!I14</f>
        <v>14.3</v>
      </c>
      <c r="P14" s="79">
        <v>3.2183683435744386</v>
      </c>
      <c r="Q14" s="79">
        <v>3.1902045334956708</v>
      </c>
      <c r="R14" s="79">
        <v>3.1900171339683512</v>
      </c>
      <c r="S14" s="79">
        <v>3.2161506214316002</v>
      </c>
      <c r="T14" s="79">
        <v>3.2476289722172886</v>
      </c>
      <c r="U14" s="79">
        <v>3.3211553635022191</v>
      </c>
      <c r="V14" s="79">
        <v>3.4044626974630967</v>
      </c>
      <c r="W14" s="79">
        <v>3.4896233115386259</v>
      </c>
      <c r="X14" s="79">
        <v>3.57369659293831</v>
      </c>
      <c r="Y14" s="79">
        <v>3.6461428917992089</v>
      </c>
    </row>
    <row r="15" spans="1:25" ht="14.1" customHeight="1" thickBot="1" x14ac:dyDescent="0.3">
      <c r="A15" s="4"/>
      <c r="B15" s="10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4" t="str">
        <f>Ratings!H15</f>
        <v>SBY35</v>
      </c>
      <c r="O15" s="10">
        <f>Ratings!I15</f>
        <v>14.3</v>
      </c>
      <c r="P15" s="79">
        <v>6.4984441454952151</v>
      </c>
      <c r="Q15" s="79">
        <v>6.4627816993085974</v>
      </c>
      <c r="R15" s="79">
        <v>6.4624020615070394</v>
      </c>
      <c r="S15" s="79">
        <v>6.515343815787455</v>
      </c>
      <c r="T15" s="79">
        <v>6.5791133036827167</v>
      </c>
      <c r="U15" s="79">
        <v>6.7280645734283491</v>
      </c>
      <c r="V15" s="79">
        <v>6.8968302772218308</v>
      </c>
      <c r="W15" s="79">
        <v>7.0693503938383477</v>
      </c>
      <c r="X15" s="79">
        <v>7.2396677696447602</v>
      </c>
      <c r="Y15" s="79">
        <v>7.386430966030737</v>
      </c>
    </row>
    <row r="16" spans="1:25" ht="14.1" customHeight="1" thickBot="1" x14ac:dyDescent="0.3">
      <c r="A16" s="4"/>
      <c r="B16" s="1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94"/>
      <c r="N16" s="4" t="str">
        <f>Ratings!H16</f>
        <v>SA 02</v>
      </c>
      <c r="O16" s="10">
        <f>Ratings!I16</f>
        <v>5.3</v>
      </c>
      <c r="P16" s="79">
        <v>0.95599896116459804</v>
      </c>
      <c r="Q16" s="79">
        <v>0.945364179226029</v>
      </c>
      <c r="R16" s="79">
        <v>0.94191774261217798</v>
      </c>
      <c r="S16" s="79">
        <v>0.94509771973445045</v>
      </c>
      <c r="T16" s="79">
        <v>0.94865600888833179</v>
      </c>
      <c r="U16" s="79">
        <v>0.95863004127723817</v>
      </c>
      <c r="V16" s="79">
        <v>0.97102387852405136</v>
      </c>
      <c r="W16" s="79">
        <v>0.98351132866910762</v>
      </c>
      <c r="X16" s="79">
        <v>0.99526328398090114</v>
      </c>
      <c r="Y16" s="79">
        <v>1.0033985680025084</v>
      </c>
    </row>
    <row r="17" spans="1:25" ht="14.1" customHeight="1" thickBot="1" x14ac:dyDescent="0.3">
      <c r="A17" s="4"/>
      <c r="B17" s="1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94"/>
      <c r="N17" s="4" t="str">
        <f>Ratings!H17</f>
        <v>SA 06</v>
      </c>
      <c r="O17" s="10">
        <f>Ratings!I17</f>
        <v>12</v>
      </c>
      <c r="P17" s="79">
        <v>0.38942853372509106</v>
      </c>
      <c r="Q17" s="79">
        <v>0.38509642908370323</v>
      </c>
      <c r="R17" s="79">
        <v>0.38369251463229698</v>
      </c>
      <c r="S17" s="79">
        <v>0.38498788615288654</v>
      </c>
      <c r="T17" s="79">
        <v>0.38643736401223255</v>
      </c>
      <c r="U17" s="79">
        <v>0.39050031069557067</v>
      </c>
      <c r="V17" s="79">
        <v>0.39554897085350033</v>
      </c>
      <c r="W17" s="79">
        <v>0.4006357644563201</v>
      </c>
      <c r="X17" s="79">
        <v>0.40542295242554088</v>
      </c>
      <c r="Y17" s="79">
        <v>0.40873688042825773</v>
      </c>
    </row>
    <row r="18" spans="1:25" ht="14.1" customHeight="1" thickBot="1" x14ac:dyDescent="0.3">
      <c r="A18" s="4"/>
      <c r="B18" s="1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94"/>
      <c r="N18" s="4" t="str">
        <f>Ratings!H18</f>
        <v>SA 10</v>
      </c>
      <c r="O18" s="10">
        <f>Ratings!I18</f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f t="shared" ref="X18:Y23" si="3">X18+X18-W18</f>
        <v>0</v>
      </c>
    </row>
    <row r="19" spans="1:25" ht="14.1" customHeight="1" thickBot="1" x14ac:dyDescent="0.3">
      <c r="A19" s="4"/>
      <c r="B19" s="1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94"/>
      <c r="N19" s="4" t="str">
        <f>Ratings!H19</f>
        <v>SA 12</v>
      </c>
      <c r="O19" s="10">
        <f>Ratings!I19</f>
        <v>8.8000000000000007</v>
      </c>
      <c r="P19" s="79">
        <v>3.4761571689835313</v>
      </c>
      <c r="Q19" s="79">
        <v>3.4374874894356586</v>
      </c>
      <c r="R19" s="79">
        <v>3.4249557233675341</v>
      </c>
      <c r="S19" s="79">
        <v>3.436518602324353</v>
      </c>
      <c r="T19" s="79">
        <v>3.4494570811868326</v>
      </c>
      <c r="U19" s="79">
        <v>3.4857241751909251</v>
      </c>
      <c r="V19" s="79">
        <v>3.5307900465431703</v>
      </c>
      <c r="W19" s="79">
        <v>3.5761963085867832</v>
      </c>
      <c r="X19" s="79">
        <v>3.6189281999027543</v>
      </c>
      <c r="Y19" s="79">
        <v>3.6485093260568839</v>
      </c>
    </row>
    <row r="20" spans="1:25" ht="14.1" customHeight="1" thickBot="1" x14ac:dyDescent="0.3">
      <c r="A20" s="4"/>
      <c r="B20" s="1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94"/>
      <c r="N20" s="4" t="str">
        <f>Ratings!H20</f>
        <v>ACR51070 (SBY13)</v>
      </c>
      <c r="O20" s="10">
        <f>Ratings!I20</f>
        <v>2</v>
      </c>
      <c r="P20" s="79">
        <v>2.7659788838112842</v>
      </c>
      <c r="Q20" s="79">
        <v>2.8082077711310252</v>
      </c>
      <c r="R20" s="79">
        <v>2.8414589296345532</v>
      </c>
      <c r="S20" s="79">
        <v>2.8870750187870775</v>
      </c>
      <c r="T20" s="79">
        <v>2.9809172935629622</v>
      </c>
      <c r="U20" s="79">
        <v>3.0959119242454038</v>
      </c>
      <c r="V20" s="79">
        <v>3.2619628818336399</v>
      </c>
      <c r="W20" s="79">
        <v>3.4265243586307017</v>
      </c>
      <c r="X20" s="79">
        <f t="shared" si="3"/>
        <v>3.5910858354277635</v>
      </c>
      <c r="Y20" s="79">
        <f t="shared" si="3"/>
        <v>3.7556473122248253</v>
      </c>
    </row>
    <row r="21" spans="1:25" ht="14.1" customHeight="1" thickBot="1" x14ac:dyDescent="0.3">
      <c r="A21" s="4"/>
      <c r="B21" s="1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94"/>
      <c r="N21" s="4" t="str">
        <f>Ratings!H21</f>
        <v>ACR55612 (SBY23)</v>
      </c>
      <c r="O21" s="10">
        <f>Ratings!I21</f>
        <v>3</v>
      </c>
      <c r="P21" s="79">
        <f>22%*P11</f>
        <v>2.3474915317834539</v>
      </c>
      <c r="Q21" s="79">
        <f>P21/P11*Q11</f>
        <v>2.431127022121943</v>
      </c>
      <c r="R21" s="79">
        <f t="shared" ref="R21:X21" si="4">Q21/Q11*R11</f>
        <v>2.4939479106206863</v>
      </c>
      <c r="S21" s="79">
        <f t="shared" si="4"/>
        <v>2.5354901036698521</v>
      </c>
      <c r="T21" s="79">
        <f t="shared" si="4"/>
        <v>2.5724878357563403</v>
      </c>
      <c r="U21" s="79">
        <f t="shared" si="4"/>
        <v>2.6311018556197268</v>
      </c>
      <c r="V21" s="79">
        <f t="shared" si="4"/>
        <v>2.697099996923197</v>
      </c>
      <c r="W21" s="79">
        <f t="shared" si="4"/>
        <v>2.7645663528131426</v>
      </c>
      <c r="X21" s="79">
        <f t="shared" si="4"/>
        <v>2.8311712967220251</v>
      </c>
      <c r="Y21" s="79">
        <f t="shared" ref="Y21" si="5">25%*Y11</f>
        <v>3.2824602908776419</v>
      </c>
    </row>
    <row r="22" spans="1:25" ht="14.1" customHeight="1" thickBot="1" x14ac:dyDescent="0.3">
      <c r="A22" s="4"/>
      <c r="B22" s="1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94"/>
      <c r="N22" s="4" t="str">
        <f>Ratings!H22</f>
        <v>sw51196 (SBY24)</v>
      </c>
      <c r="O22" s="10">
        <f>Ratings!I22</f>
        <v>1.5</v>
      </c>
      <c r="P22" s="79">
        <v>1</v>
      </c>
      <c r="Q22" s="79">
        <f>P22*Q12/P12</f>
        <v>1.3559322677968495</v>
      </c>
      <c r="R22" s="79">
        <f t="shared" ref="R22:X22" si="6">Q22*R12/Q12</f>
        <v>1.6594653586655201</v>
      </c>
      <c r="S22" s="79">
        <f t="shared" si="6"/>
        <v>1.8730407212909661</v>
      </c>
      <c r="T22" s="79">
        <f t="shared" si="6"/>
        <v>1.9692240799719669</v>
      </c>
      <c r="U22" s="79">
        <f t="shared" si="6"/>
        <v>2.0563976390140004</v>
      </c>
      <c r="V22" s="79">
        <f t="shared" si="6"/>
        <v>2.1079799909727015</v>
      </c>
      <c r="W22" s="79">
        <f t="shared" si="6"/>
        <v>2.1607098595137586</v>
      </c>
      <c r="X22" s="79">
        <f t="shared" si="6"/>
        <v>2.2127664718825812</v>
      </c>
      <c r="Y22" s="79">
        <f t="shared" si="3"/>
        <v>2.2648230842514039</v>
      </c>
    </row>
    <row r="23" spans="1:25" ht="14.1" customHeight="1" thickBot="1" x14ac:dyDescent="0.3">
      <c r="A23" s="4"/>
      <c r="B23" s="1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94"/>
      <c r="N23" s="4" t="str">
        <f>Ratings!H23</f>
        <v>sw56781 (SBY24)</v>
      </c>
      <c r="O23" s="10">
        <f>Ratings!I23</f>
        <v>0.6</v>
      </c>
      <c r="P23" s="79">
        <v>0.4</v>
      </c>
      <c r="Q23" s="79">
        <f>P23*Q12/P12</f>
        <v>0.54237290711873987</v>
      </c>
      <c r="R23" s="79">
        <f t="shared" ref="R23:X23" si="7">Q23*R12/Q12</f>
        <v>0.66378614346620812</v>
      </c>
      <c r="S23" s="79">
        <f t="shared" si="7"/>
        <v>0.74921628851638655</v>
      </c>
      <c r="T23" s="79">
        <f t="shared" si="7"/>
        <v>0.78768963198878694</v>
      </c>
      <c r="U23" s="79">
        <f t="shared" si="7"/>
        <v>0.82255905560560039</v>
      </c>
      <c r="V23" s="79">
        <f t="shared" si="7"/>
        <v>0.84319199638908093</v>
      </c>
      <c r="W23" s="79">
        <f t="shared" si="7"/>
        <v>0.86428394380550377</v>
      </c>
      <c r="X23" s="79">
        <f t="shared" si="7"/>
        <v>0.88510658875303283</v>
      </c>
      <c r="Y23" s="79">
        <f t="shared" si="3"/>
        <v>0.90592923370056189</v>
      </c>
    </row>
    <row r="24" spans="1:25" ht="14.1" customHeight="1" thickBot="1" x14ac:dyDescent="0.3">
      <c r="A24" s="4"/>
      <c r="B24" s="1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94"/>
      <c r="N24" s="4"/>
      <c r="O24" s="10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ht="14.1" customHeight="1" thickBot="1" x14ac:dyDescent="0.3">
      <c r="A25" s="4"/>
      <c r="B25" s="1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94"/>
      <c r="N25" s="4"/>
      <c r="O25" s="10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ht="14.1" customHeight="1" thickBot="1" x14ac:dyDescent="0.3">
      <c r="A26" s="4"/>
      <c r="B26" s="1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94"/>
      <c r="N26" s="4"/>
      <c r="O26" s="10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ht="14.1" customHeight="1" thickBot="1" x14ac:dyDescent="0.3">
      <c r="A27" s="4"/>
      <c r="B27" s="1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94"/>
      <c r="N27" s="4"/>
      <c r="O27" s="10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14.1" customHeight="1" thickBot="1" x14ac:dyDescent="0.3">
      <c r="A28" s="4"/>
      <c r="B28" s="10"/>
      <c r="C28" s="79"/>
      <c r="D28" s="79"/>
      <c r="E28" s="79"/>
      <c r="F28" s="79"/>
      <c r="G28" s="79"/>
      <c r="H28" s="79"/>
      <c r="I28" s="79"/>
      <c r="J28" s="79"/>
      <c r="K28" s="79"/>
      <c r="L28" s="79"/>
      <c r="N28" s="4"/>
      <c r="O28" s="10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14.1" customHeight="1" thickBot="1" x14ac:dyDescent="0.3">
      <c r="A29" s="4"/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N29" s="4"/>
      <c r="O29" s="10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spans="1:25" ht="14.1" customHeight="1" thickBot="1" x14ac:dyDescent="0.3">
      <c r="A30" s="4"/>
      <c r="B30" s="10"/>
      <c r="C30" s="79"/>
      <c r="D30" s="79"/>
      <c r="E30" s="79"/>
      <c r="F30" s="79"/>
      <c r="G30" s="79"/>
      <c r="H30" s="79"/>
      <c r="I30" s="79"/>
      <c r="J30" s="79"/>
      <c r="K30" s="79"/>
      <c r="L30" s="79"/>
      <c r="N30" s="4"/>
      <c r="O30" s="10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ht="14.1" customHeight="1" thickBot="1" x14ac:dyDescent="0.3">
      <c r="A31" s="4"/>
      <c r="B31" s="10"/>
      <c r="C31" s="79"/>
      <c r="D31" s="79"/>
      <c r="E31" s="79"/>
      <c r="F31" s="79"/>
      <c r="G31" s="79"/>
      <c r="H31" s="79"/>
      <c r="I31" s="79"/>
      <c r="J31" s="79"/>
      <c r="K31" s="79"/>
      <c r="L31" s="79"/>
      <c r="N31" s="4"/>
      <c r="O31" s="10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4.1" customHeight="1" thickBot="1" x14ac:dyDescent="0.3">
      <c r="A32" s="4"/>
      <c r="B32" s="10"/>
      <c r="C32" s="79"/>
      <c r="D32" s="79"/>
      <c r="E32" s="79"/>
      <c r="F32" s="79"/>
      <c r="G32" s="79"/>
      <c r="H32" s="79"/>
      <c r="I32" s="79"/>
      <c r="J32" s="79"/>
      <c r="K32" s="79"/>
      <c r="L32" s="79"/>
      <c r="N32" s="4"/>
      <c r="O32" s="10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spans="1:25" ht="14.1" customHeight="1" thickBot="1" x14ac:dyDescent="0.3">
      <c r="A33" s="4"/>
      <c r="B33" s="10"/>
      <c r="C33" s="79"/>
      <c r="D33" s="79"/>
      <c r="E33" s="79"/>
      <c r="F33" s="79"/>
      <c r="G33" s="79"/>
      <c r="H33" s="79"/>
      <c r="I33" s="79"/>
      <c r="J33" s="79"/>
      <c r="K33" s="79"/>
      <c r="L33" s="79"/>
      <c r="N33" s="4"/>
      <c r="O33" s="10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4.1" customHeight="1" thickBot="1" x14ac:dyDescent="0.3">
      <c r="A34" s="4"/>
      <c r="B34" s="10"/>
      <c r="C34" s="79"/>
      <c r="D34" s="79"/>
      <c r="E34" s="79"/>
      <c r="F34" s="79"/>
      <c r="G34" s="79"/>
      <c r="H34" s="79"/>
      <c r="I34" s="79"/>
      <c r="J34" s="79"/>
      <c r="K34" s="79"/>
      <c r="L34" s="79"/>
      <c r="N34" s="4"/>
      <c r="O34" s="10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4.1" customHeight="1" thickBot="1" x14ac:dyDescent="0.3">
      <c r="A35" s="4"/>
      <c r="B35" s="10"/>
      <c r="C35" s="79"/>
      <c r="D35" s="79"/>
      <c r="E35" s="79"/>
      <c r="F35" s="79"/>
      <c r="G35" s="79"/>
      <c r="H35" s="79"/>
      <c r="I35" s="79"/>
      <c r="J35" s="79"/>
      <c r="K35" s="79"/>
      <c r="L35" s="79"/>
      <c r="N35" s="4"/>
      <c r="O35" s="10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4.1" customHeight="1" thickBot="1" x14ac:dyDescent="0.3">
      <c r="A36" s="4"/>
      <c r="B36" s="10"/>
      <c r="C36" s="79"/>
      <c r="D36" s="79"/>
      <c r="E36" s="79"/>
      <c r="F36" s="79"/>
      <c r="G36" s="79"/>
      <c r="H36" s="79"/>
      <c r="I36" s="79"/>
      <c r="J36" s="79"/>
      <c r="K36" s="79"/>
      <c r="L36" s="79"/>
      <c r="N36" s="4"/>
      <c r="O36" s="10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1:25" ht="14.1" customHeight="1" thickBot="1" x14ac:dyDescent="0.3">
      <c r="A37" s="4"/>
      <c r="B37" s="10"/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4"/>
      <c r="O37" s="10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ht="14.1" customHeight="1" thickBot="1" x14ac:dyDescent="0.3">
      <c r="A38" s="4"/>
      <c r="B38" s="10"/>
      <c r="C38" s="79"/>
      <c r="D38" s="79"/>
      <c r="E38" s="79"/>
      <c r="F38" s="79"/>
      <c r="G38" s="79"/>
      <c r="H38" s="79"/>
      <c r="I38" s="79"/>
      <c r="J38" s="79"/>
      <c r="K38" s="79"/>
      <c r="L38" s="79"/>
      <c r="N38" s="4"/>
      <c r="O38" s="10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4.1" customHeight="1" thickBot="1" x14ac:dyDescent="0.3">
      <c r="A39" s="4"/>
      <c r="B39" s="10"/>
      <c r="C39" s="79"/>
      <c r="D39" s="79"/>
      <c r="E39" s="79"/>
      <c r="F39" s="79"/>
      <c r="G39" s="79"/>
      <c r="H39" s="79"/>
      <c r="I39" s="79"/>
      <c r="J39" s="79"/>
      <c r="K39" s="79"/>
      <c r="L39" s="79"/>
      <c r="N39" s="4"/>
      <c r="O39" s="10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4.1" customHeight="1" thickBot="1" x14ac:dyDescent="0.3">
      <c r="A40" s="4"/>
      <c r="B40" s="10"/>
      <c r="C40" s="79"/>
      <c r="D40" s="79"/>
      <c r="E40" s="79"/>
      <c r="F40" s="79"/>
      <c r="G40" s="79"/>
      <c r="H40" s="79"/>
      <c r="I40" s="79"/>
      <c r="J40" s="79"/>
      <c r="K40" s="79"/>
      <c r="L40" s="79"/>
      <c r="N40" s="4"/>
      <c r="O40" s="10"/>
      <c r="P40" s="79"/>
      <c r="Q40" s="79"/>
      <c r="R40" s="79"/>
      <c r="S40" s="79"/>
      <c r="T40" s="79"/>
      <c r="U40" s="79"/>
      <c r="V40" s="79"/>
      <c r="W40" s="79"/>
      <c r="X40" s="79"/>
      <c r="Y40" s="79"/>
    </row>
    <row r="41" spans="1:25" ht="14.1" customHeight="1" thickBot="1" x14ac:dyDescent="0.3">
      <c r="A41" s="4"/>
      <c r="B41" s="10"/>
      <c r="C41" s="79"/>
      <c r="D41" s="79"/>
      <c r="E41" s="79"/>
      <c r="F41" s="79"/>
      <c r="G41" s="79"/>
      <c r="H41" s="79"/>
      <c r="I41" s="79"/>
      <c r="J41" s="79"/>
      <c r="K41" s="79"/>
      <c r="L41" s="79"/>
      <c r="N41" s="4"/>
      <c r="O41" s="10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14.1" customHeight="1" thickBot="1" x14ac:dyDescent="0.3">
      <c r="A42" s="4"/>
      <c r="B42" s="10"/>
      <c r="C42" s="79"/>
      <c r="D42" s="79"/>
      <c r="E42" s="79"/>
      <c r="F42" s="79"/>
      <c r="G42" s="79"/>
      <c r="H42" s="79"/>
      <c r="I42" s="79"/>
      <c r="J42" s="79"/>
      <c r="K42" s="79"/>
      <c r="L42" s="79"/>
      <c r="N42" s="4"/>
      <c r="O42" s="10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ht="14.1" customHeight="1" thickBot="1" x14ac:dyDescent="0.3">
      <c r="A43" s="4"/>
      <c r="B43" s="10"/>
      <c r="C43" s="79"/>
      <c r="D43" s="79"/>
      <c r="E43" s="79"/>
      <c r="F43" s="79"/>
      <c r="G43" s="79"/>
      <c r="H43" s="79"/>
      <c r="I43" s="79"/>
      <c r="J43" s="79"/>
      <c r="K43" s="79"/>
      <c r="L43" s="79"/>
      <c r="N43" s="4"/>
      <c r="O43" s="10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1:25" ht="14.1" customHeight="1" thickBot="1" x14ac:dyDescent="0.3"/>
    <row r="45" spans="1:25" ht="14.1" customHeight="1" thickBot="1" x14ac:dyDescent="0.3">
      <c r="A45" s="1" t="s">
        <v>84</v>
      </c>
      <c r="B45" s="2" t="str">
        <f>B1</f>
        <v>Rating</v>
      </c>
      <c r="C45" s="2" t="s">
        <v>85</v>
      </c>
      <c r="D45" s="2">
        <f t="shared" ref="D45:L45" si="8">D1</f>
        <v>2026</v>
      </c>
      <c r="E45" s="2">
        <f t="shared" si="8"/>
        <v>2027</v>
      </c>
      <c r="F45" s="2">
        <f t="shared" si="8"/>
        <v>2028</v>
      </c>
      <c r="G45" s="2">
        <f t="shared" si="8"/>
        <v>2029</v>
      </c>
      <c r="H45" s="2">
        <f t="shared" si="8"/>
        <v>2030</v>
      </c>
      <c r="I45" s="2">
        <f t="shared" si="8"/>
        <v>2031</v>
      </c>
      <c r="J45" s="2">
        <f t="shared" si="8"/>
        <v>2032</v>
      </c>
      <c r="K45" s="2">
        <f t="shared" si="8"/>
        <v>2033</v>
      </c>
      <c r="L45" s="2">
        <f t="shared" si="8"/>
        <v>2034</v>
      </c>
      <c r="N45" s="1" t="s">
        <v>86</v>
      </c>
      <c r="O45" s="2" t="str">
        <f>O1</f>
        <v>Rating</v>
      </c>
      <c r="P45" s="2" t="s">
        <v>85</v>
      </c>
      <c r="Q45" s="2">
        <f t="shared" ref="Q45:T45" si="9">Q1</f>
        <v>2026</v>
      </c>
      <c r="R45" s="2">
        <f t="shared" si="9"/>
        <v>2027</v>
      </c>
      <c r="S45" s="2">
        <f t="shared" si="9"/>
        <v>2028</v>
      </c>
      <c r="T45" s="2">
        <f t="shared" si="9"/>
        <v>2029</v>
      </c>
      <c r="U45" s="2">
        <f>U1</f>
        <v>2030</v>
      </c>
      <c r="V45" s="2">
        <f>V1</f>
        <v>2031</v>
      </c>
      <c r="W45" s="2">
        <f t="shared" ref="W45:Y45" si="10">W1</f>
        <v>2032</v>
      </c>
      <c r="X45" s="2">
        <f t="shared" si="10"/>
        <v>2033</v>
      </c>
      <c r="Y45" s="2">
        <f t="shared" si="10"/>
        <v>2034</v>
      </c>
    </row>
    <row r="46" spans="1:25" ht="14.1" customHeight="1" thickTop="1" thickBot="1" x14ac:dyDescent="0.3">
      <c r="A46" s="6" t="s">
        <v>87</v>
      </c>
      <c r="B46" s="10"/>
      <c r="C46" s="79"/>
      <c r="D46" s="79"/>
      <c r="E46" s="79"/>
      <c r="F46" s="79"/>
      <c r="G46" s="79"/>
      <c r="H46" s="79"/>
      <c r="I46" s="79"/>
      <c r="J46" s="79"/>
      <c r="K46" s="79"/>
      <c r="L46" s="79"/>
      <c r="N46" s="6" t="s">
        <v>87</v>
      </c>
      <c r="O46" s="5"/>
      <c r="P46" s="92"/>
      <c r="Q46" s="92"/>
      <c r="R46" s="79"/>
      <c r="S46" s="79"/>
      <c r="T46" s="79"/>
      <c r="U46" s="79"/>
      <c r="V46" s="79"/>
      <c r="W46" s="79"/>
      <c r="X46" s="79"/>
      <c r="Y46" s="79"/>
    </row>
    <row r="47" spans="1:25" ht="14.1" customHeight="1" thickBot="1" x14ac:dyDescent="0.3">
      <c r="A47" s="4" t="str">
        <f>Ratings!A7</f>
        <v>SBY Replace No.1 &amp; 3 transformers</v>
      </c>
      <c r="B47" s="10">
        <f>Ratings!D7</f>
        <v>76</v>
      </c>
      <c r="C47" s="79">
        <v>7</v>
      </c>
      <c r="D47" s="79">
        <f>D2+$C47</f>
        <v>61.679295305037385</v>
      </c>
      <c r="E47" s="79">
        <f t="shared" ref="E47:L47" si="11">E2+$C47</f>
        <v>64.083685511581237</v>
      </c>
      <c r="F47" s="79">
        <f t="shared" si="11"/>
        <v>66.045519231405024</v>
      </c>
      <c r="G47" s="79">
        <f t="shared" si="11"/>
        <v>67.17851239926847</v>
      </c>
      <c r="H47" s="79">
        <f t="shared" si="11"/>
        <v>68.548134152234383</v>
      </c>
      <c r="I47" s="79">
        <f t="shared" si="11"/>
        <v>70.100296182442037</v>
      </c>
      <c r="J47" s="79">
        <f t="shared" si="11"/>
        <v>71.687340084240915</v>
      </c>
      <c r="K47" s="79">
        <f t="shared" si="11"/>
        <v>73.254444867387406</v>
      </c>
      <c r="L47" s="79">
        <f t="shared" si="11"/>
        <v>74.605066855054758</v>
      </c>
      <c r="N47" s="95" t="str">
        <f>Ratings!H56</f>
        <v>SBY14 new</v>
      </c>
      <c r="O47" s="5">
        <f>Ratings!I56</f>
        <v>14.3</v>
      </c>
      <c r="P47" s="79">
        <f>-P51</f>
        <v>7</v>
      </c>
      <c r="Q47" s="79">
        <f>$P47</f>
        <v>7</v>
      </c>
      <c r="R47" s="79">
        <f t="shared" ref="R47:Y48" si="12">$P47</f>
        <v>7</v>
      </c>
      <c r="S47" s="79">
        <f t="shared" si="12"/>
        <v>7</v>
      </c>
      <c r="T47" s="79">
        <f t="shared" si="12"/>
        <v>7</v>
      </c>
      <c r="U47" s="79">
        <f t="shared" si="12"/>
        <v>7</v>
      </c>
      <c r="V47" s="79">
        <f t="shared" si="12"/>
        <v>7</v>
      </c>
      <c r="W47" s="79">
        <f t="shared" si="12"/>
        <v>7</v>
      </c>
      <c r="X47" s="79">
        <f t="shared" si="12"/>
        <v>7</v>
      </c>
      <c r="Y47" s="79">
        <f t="shared" si="12"/>
        <v>7</v>
      </c>
    </row>
    <row r="48" spans="1:25" ht="14.1" customHeight="1" thickBot="1" x14ac:dyDescent="0.3">
      <c r="A48" s="4" t="str">
        <f>Ratings!A3</f>
        <v>SHM</v>
      </c>
      <c r="B48" s="10">
        <f>Ratings!D3</f>
        <v>38</v>
      </c>
      <c r="C48" s="79">
        <f>-(C49+C47)</f>
        <v>-27</v>
      </c>
      <c r="D48" s="79">
        <f>D3+$C48</f>
        <v>22.389122344051358</v>
      </c>
      <c r="E48" s="79">
        <f t="shared" ref="E48:L48" si="13">E3+$C48</f>
        <v>24.881816318589436</v>
      </c>
      <c r="F48" s="79">
        <f t="shared" si="13"/>
        <v>26.864626943932301</v>
      </c>
      <c r="G48" s="79">
        <f t="shared" si="13"/>
        <v>28.160933634038003</v>
      </c>
      <c r="H48" s="79">
        <f t="shared" si="13"/>
        <v>29.75206367120618</v>
      </c>
      <c r="I48" s="79">
        <f t="shared" si="13"/>
        <v>31.530083555013384</v>
      </c>
      <c r="J48" s="79">
        <f t="shared" si="13"/>
        <v>33.360440118889535</v>
      </c>
      <c r="K48" s="79">
        <f t="shared" si="13"/>
        <v>35.19236895923418</v>
      </c>
      <c r="L48" s="79">
        <f t="shared" si="13"/>
        <v>36.839881111175913</v>
      </c>
      <c r="N48" s="95" t="str">
        <f>Ratings!H46</f>
        <v>SBY22 new</v>
      </c>
      <c r="O48" s="5">
        <f>Ratings!I46</f>
        <v>14.3</v>
      </c>
      <c r="P48" s="79">
        <f>-(P60+P57+P58)</f>
        <v>12</v>
      </c>
      <c r="Q48" s="79">
        <f t="shared" ref="Q48" si="14">$P48</f>
        <v>12</v>
      </c>
      <c r="R48" s="79">
        <f t="shared" si="12"/>
        <v>12</v>
      </c>
      <c r="S48" s="79">
        <f t="shared" si="12"/>
        <v>12</v>
      </c>
      <c r="T48" s="79">
        <f t="shared" si="12"/>
        <v>12</v>
      </c>
      <c r="U48" s="79">
        <f t="shared" si="12"/>
        <v>12</v>
      </c>
      <c r="V48" s="79">
        <f t="shared" si="12"/>
        <v>12</v>
      </c>
      <c r="W48" s="79">
        <f t="shared" si="12"/>
        <v>12</v>
      </c>
      <c r="X48" s="79">
        <f t="shared" si="12"/>
        <v>12</v>
      </c>
      <c r="Y48" s="79">
        <f t="shared" si="12"/>
        <v>12</v>
      </c>
    </row>
    <row r="49" spans="1:25" ht="14.1" customHeight="1" thickBot="1" x14ac:dyDescent="0.3">
      <c r="A49" s="4" t="str">
        <f>Ratings!A9</f>
        <v>PLN New zone substation</v>
      </c>
      <c r="B49" s="10">
        <f>Ratings!B9</f>
        <v>33</v>
      </c>
      <c r="C49" s="79">
        <v>20</v>
      </c>
      <c r="D49" s="79">
        <f>$C49</f>
        <v>20</v>
      </c>
      <c r="E49" s="79">
        <f t="shared" ref="E49:L49" si="15">$C49</f>
        <v>20</v>
      </c>
      <c r="F49" s="79">
        <f t="shared" si="15"/>
        <v>20</v>
      </c>
      <c r="G49" s="79">
        <f t="shared" si="15"/>
        <v>20</v>
      </c>
      <c r="H49" s="79">
        <f t="shared" si="15"/>
        <v>20</v>
      </c>
      <c r="I49" s="79">
        <f t="shared" si="15"/>
        <v>20</v>
      </c>
      <c r="J49" s="79">
        <f t="shared" si="15"/>
        <v>20</v>
      </c>
      <c r="K49" s="79">
        <f t="shared" si="15"/>
        <v>20</v>
      </c>
      <c r="L49" s="79">
        <f t="shared" si="15"/>
        <v>20</v>
      </c>
      <c r="N49" s="95" t="str">
        <f>Ratings!H12</f>
        <v>SBY24</v>
      </c>
      <c r="O49" s="5">
        <f>Ratings!I12</f>
        <v>14.3</v>
      </c>
      <c r="P49" s="79">
        <f>-(P50+P59)</f>
        <v>-17</v>
      </c>
      <c r="Q49" s="79">
        <f>Q$12+$P49</f>
        <v>-5.4383819465030321</v>
      </c>
      <c r="R49" s="79">
        <f t="shared" ref="R49:Y49" si="16">R$12+$P49</f>
        <v>-2.8502484928143712</v>
      </c>
      <c r="S49" s="79">
        <f t="shared" si="16"/>
        <v>-1.0291569626860575</v>
      </c>
      <c r="T49" s="79">
        <f t="shared" si="16"/>
        <v>-0.20903100021516252</v>
      </c>
      <c r="U49" s="79">
        <f t="shared" si="16"/>
        <v>0.53427116755872461</v>
      </c>
      <c r="V49" s="79">
        <f t="shared" si="16"/>
        <v>0.9740980422569443</v>
      </c>
      <c r="W49" s="79">
        <f t="shared" si="16"/>
        <v>1.423709438461394</v>
      </c>
      <c r="X49" s="79">
        <f t="shared" si="16"/>
        <v>1.8675801860358199</v>
      </c>
      <c r="Y49" s="79">
        <f t="shared" si="16"/>
        <v>2.2500654691011235</v>
      </c>
    </row>
    <row r="50" spans="1:25" ht="14.1" customHeight="1" thickBot="1" x14ac:dyDescent="0.3">
      <c r="A50" s="4" t="str">
        <f>Ratings!A6</f>
        <v>SBY Replace No.1 transformer</v>
      </c>
      <c r="B50" s="10">
        <f>Ratings!D6</f>
        <v>49</v>
      </c>
      <c r="C50" s="79">
        <f>C47</f>
        <v>7</v>
      </c>
      <c r="D50" s="79">
        <f>D47</f>
        <v>61.679295305037385</v>
      </c>
      <c r="E50" s="79">
        <f t="shared" ref="E50:L50" si="17">E47</f>
        <v>64.083685511581237</v>
      </c>
      <c r="F50" s="79">
        <f t="shared" si="17"/>
        <v>66.045519231405024</v>
      </c>
      <c r="G50" s="79">
        <f t="shared" si="17"/>
        <v>67.17851239926847</v>
      </c>
      <c r="H50" s="79">
        <f t="shared" si="17"/>
        <v>68.548134152234383</v>
      </c>
      <c r="I50" s="79">
        <f t="shared" si="17"/>
        <v>70.100296182442037</v>
      </c>
      <c r="J50" s="79">
        <f t="shared" si="17"/>
        <v>71.687340084240915</v>
      </c>
      <c r="K50" s="79">
        <f t="shared" si="17"/>
        <v>73.254444867387406</v>
      </c>
      <c r="L50" s="79">
        <f t="shared" si="17"/>
        <v>74.605066855054758</v>
      </c>
      <c r="N50" s="95" t="str">
        <f>Ratings!H15</f>
        <v>SBY35</v>
      </c>
      <c r="O50" s="5">
        <f>Ratings!I15</f>
        <v>14.3</v>
      </c>
      <c r="P50" s="79">
        <v>6</v>
      </c>
      <c r="Q50" s="79">
        <f>Q$15+$P50</f>
        <v>12.462781699308596</v>
      </c>
      <c r="R50" s="79">
        <f t="shared" ref="R50:Y50" si="18">R$15+$P50</f>
        <v>12.462402061507039</v>
      </c>
      <c r="S50" s="79">
        <f t="shared" si="18"/>
        <v>12.515343815787455</v>
      </c>
      <c r="T50" s="79">
        <f t="shared" si="18"/>
        <v>12.579113303682718</v>
      </c>
      <c r="U50" s="79">
        <f t="shared" si="18"/>
        <v>12.728064573428348</v>
      </c>
      <c r="V50" s="79">
        <f t="shared" si="18"/>
        <v>12.896830277221831</v>
      </c>
      <c r="W50" s="79">
        <f t="shared" si="18"/>
        <v>13.069350393838349</v>
      </c>
      <c r="X50" s="79">
        <f t="shared" si="18"/>
        <v>13.239667769644761</v>
      </c>
      <c r="Y50" s="79">
        <f t="shared" si="18"/>
        <v>13.386430966030737</v>
      </c>
    </row>
    <row r="51" spans="1:25" ht="14.1" customHeight="1" thickBot="1" x14ac:dyDescent="0.3">
      <c r="A51" s="4"/>
      <c r="B51" s="10"/>
      <c r="C51" s="79"/>
      <c r="D51" s="79"/>
      <c r="E51" s="79"/>
      <c r="F51" s="79"/>
      <c r="G51" s="79"/>
      <c r="H51" s="79"/>
      <c r="I51" s="79"/>
      <c r="J51" s="79"/>
      <c r="K51" s="79"/>
      <c r="L51" s="79"/>
      <c r="N51" s="95" t="str">
        <f>Ratings!H2</f>
        <v>SHM11</v>
      </c>
      <c r="O51" s="5">
        <f>Ratings!I2</f>
        <v>14.3</v>
      </c>
      <c r="P51" s="79">
        <v>-7</v>
      </c>
      <c r="Q51" s="79">
        <f>Q$2+$P51</f>
        <v>0.83584596219249363</v>
      </c>
      <c r="R51" s="79">
        <f t="shared" ref="R51:Y51" si="19">R$2+$P51</f>
        <v>3.0843713867464793</v>
      </c>
      <c r="S51" s="79">
        <f t="shared" si="19"/>
        <v>4.6744148378914687</v>
      </c>
      <c r="T51" s="79">
        <f t="shared" si="19"/>
        <v>5.5486894911032856</v>
      </c>
      <c r="U51" s="79">
        <f t="shared" si="19"/>
        <v>6.2209288663245577</v>
      </c>
      <c r="V51" s="79">
        <f t="shared" si="19"/>
        <v>6.8212191203316852</v>
      </c>
      <c r="W51" s="79">
        <f t="shared" si="19"/>
        <v>7.2509424818198127</v>
      </c>
      <c r="X51" s="79">
        <f t="shared" si="19"/>
        <v>7.6808087614756051</v>
      </c>
      <c r="Y51" s="79">
        <f t="shared" si="19"/>
        <v>8.0672242958597504</v>
      </c>
    </row>
    <row r="52" spans="1:25" ht="14.1" customHeight="1" thickBot="1" x14ac:dyDescent="0.3">
      <c r="A52" s="4"/>
      <c r="B52" s="10"/>
      <c r="C52" s="79"/>
      <c r="D52" s="79"/>
      <c r="E52" s="79"/>
      <c r="F52" s="79"/>
      <c r="G52" s="79"/>
      <c r="H52" s="79"/>
      <c r="I52" s="79"/>
      <c r="J52" s="79"/>
      <c r="K52" s="79"/>
      <c r="L52" s="79"/>
      <c r="N52" s="95" t="str">
        <f>Ratings!H55</f>
        <v>SHM13 new</v>
      </c>
      <c r="O52" s="10">
        <f>Ratings!I55</f>
        <v>14.3</v>
      </c>
      <c r="P52" s="79">
        <f>-(P53+P54+P55)</f>
        <v>2</v>
      </c>
      <c r="Q52" s="79">
        <f t="shared" ref="Q52:Y52" si="20">$P52</f>
        <v>2</v>
      </c>
      <c r="R52" s="79">
        <f t="shared" si="20"/>
        <v>2</v>
      </c>
      <c r="S52" s="79">
        <f t="shared" si="20"/>
        <v>2</v>
      </c>
      <c r="T52" s="79">
        <f t="shared" si="20"/>
        <v>2</v>
      </c>
      <c r="U52" s="79">
        <f t="shared" si="20"/>
        <v>2</v>
      </c>
      <c r="V52" s="79">
        <f t="shared" si="20"/>
        <v>2</v>
      </c>
      <c r="W52" s="79">
        <f t="shared" si="20"/>
        <v>2</v>
      </c>
      <c r="X52" s="79">
        <f t="shared" si="20"/>
        <v>2</v>
      </c>
      <c r="Y52" s="79">
        <f t="shared" si="20"/>
        <v>2</v>
      </c>
    </row>
    <row r="53" spans="1:25" ht="14.1" customHeight="1" thickBot="1" x14ac:dyDescent="0.3">
      <c r="A53" s="4"/>
      <c r="B53" s="10"/>
      <c r="C53" s="79"/>
      <c r="D53" s="79"/>
      <c r="E53" s="79"/>
      <c r="F53" s="79"/>
      <c r="G53" s="79"/>
      <c r="H53" s="79"/>
      <c r="I53" s="79"/>
      <c r="J53" s="79"/>
      <c r="K53" s="79"/>
      <c r="L53" s="79"/>
      <c r="N53" s="95" t="str">
        <f>Ratings!H4</f>
        <v>SHM14</v>
      </c>
      <c r="O53" s="5">
        <f>Ratings!I4</f>
        <v>14.3</v>
      </c>
      <c r="P53" s="79">
        <v>-22</v>
      </c>
      <c r="Q53" s="79">
        <f>Q$4+$P53</f>
        <v>-4.8885458927084073</v>
      </c>
      <c r="R53" s="79">
        <f t="shared" ref="R53:Y53" si="21">R$4+$P53</f>
        <v>-3.1809664833318863</v>
      </c>
      <c r="S53" s="79">
        <f t="shared" si="21"/>
        <v>-1.873718636876454</v>
      </c>
      <c r="T53" s="79">
        <f t="shared" si="21"/>
        <v>-1.2219043752369458</v>
      </c>
      <c r="U53" s="79">
        <f t="shared" si="21"/>
        <v>-0.47096887992318415</v>
      </c>
      <c r="V53" s="79">
        <f t="shared" si="21"/>
        <v>0.19990615995185834</v>
      </c>
      <c r="W53" s="79">
        <f t="shared" si="21"/>
        <v>0.89013603162374011</v>
      </c>
      <c r="X53" s="79">
        <f t="shared" si="21"/>
        <v>1.5805954611865047</v>
      </c>
      <c r="Y53" s="79">
        <f t="shared" si="21"/>
        <v>2.2012634737105579</v>
      </c>
    </row>
    <row r="54" spans="1:25" ht="14.1" customHeight="1" thickBot="1" x14ac:dyDescent="0.3">
      <c r="A54" s="4"/>
      <c r="B54" s="10"/>
      <c r="C54" s="79"/>
      <c r="D54" s="79"/>
      <c r="E54" s="79"/>
      <c r="F54" s="79"/>
      <c r="G54" s="79"/>
      <c r="H54" s="79"/>
      <c r="I54" s="79"/>
      <c r="J54" s="79"/>
      <c r="K54" s="79"/>
      <c r="L54" s="79"/>
      <c r="N54" s="95" t="str">
        <f>Ratings!H51</f>
        <v>PLN11 new</v>
      </c>
      <c r="O54" s="10">
        <f>Ratings!I51</f>
        <v>14.3</v>
      </c>
      <c r="P54" s="79">
        <v>10</v>
      </c>
      <c r="Q54" s="79">
        <f>$P54</f>
        <v>10</v>
      </c>
      <c r="R54" s="79">
        <f t="shared" ref="R54:Y56" si="22">$P54</f>
        <v>10</v>
      </c>
      <c r="S54" s="79">
        <f t="shared" si="22"/>
        <v>10</v>
      </c>
      <c r="T54" s="79">
        <f t="shared" si="22"/>
        <v>10</v>
      </c>
      <c r="U54" s="79">
        <f t="shared" si="22"/>
        <v>10</v>
      </c>
      <c r="V54" s="79">
        <f t="shared" si="22"/>
        <v>10</v>
      </c>
      <c r="W54" s="79">
        <f t="shared" si="22"/>
        <v>10</v>
      </c>
      <c r="X54" s="79">
        <f t="shared" si="22"/>
        <v>10</v>
      </c>
      <c r="Y54" s="79">
        <f t="shared" si="22"/>
        <v>10</v>
      </c>
    </row>
    <row r="55" spans="1:25" ht="14.1" customHeight="1" thickBot="1" x14ac:dyDescent="0.3">
      <c r="A55" s="4"/>
      <c r="B55" s="10"/>
      <c r="C55" s="79"/>
      <c r="D55" s="79"/>
      <c r="E55" s="79"/>
      <c r="F55" s="79"/>
      <c r="G55" s="79"/>
      <c r="H55" s="79"/>
      <c r="I55" s="79"/>
      <c r="J55" s="79"/>
      <c r="K55" s="79"/>
      <c r="L55" s="79"/>
      <c r="N55" s="4" t="str">
        <f>Ratings!H52</f>
        <v>PLN12 new</v>
      </c>
      <c r="O55" s="96">
        <f>Ratings!I52</f>
        <v>14.3</v>
      </c>
      <c r="P55" s="79">
        <v>10</v>
      </c>
      <c r="Q55" s="79">
        <f t="shared" ref="Q55:Q56" si="23">$P55</f>
        <v>10</v>
      </c>
      <c r="R55" s="79">
        <f t="shared" si="22"/>
        <v>10</v>
      </c>
      <c r="S55" s="79">
        <f t="shared" si="22"/>
        <v>10</v>
      </c>
      <c r="T55" s="79">
        <f t="shared" si="22"/>
        <v>10</v>
      </c>
      <c r="U55" s="79">
        <f t="shared" si="22"/>
        <v>10</v>
      </c>
      <c r="V55" s="79">
        <f t="shared" si="22"/>
        <v>10</v>
      </c>
      <c r="W55" s="79">
        <f t="shared" si="22"/>
        <v>10</v>
      </c>
      <c r="X55" s="79">
        <f t="shared" si="22"/>
        <v>10</v>
      </c>
      <c r="Y55" s="79">
        <f t="shared" si="22"/>
        <v>10</v>
      </c>
    </row>
    <row r="56" spans="1:25" ht="14.1" customHeight="1" thickBot="1" x14ac:dyDescent="0.3">
      <c r="A56" s="6" t="s">
        <v>88</v>
      </c>
      <c r="B56" s="10"/>
      <c r="C56" s="79"/>
      <c r="D56" s="79"/>
      <c r="E56" s="79"/>
      <c r="F56" s="79"/>
      <c r="G56" s="79"/>
      <c r="H56" s="79"/>
      <c r="I56" s="79"/>
      <c r="J56" s="79"/>
      <c r="K56" s="79"/>
      <c r="L56" s="79"/>
      <c r="N56" s="4" t="str">
        <f>Ratings!H53</f>
        <v>PLN13 new</v>
      </c>
      <c r="O56" s="96">
        <f>Ratings!I53</f>
        <v>14.3</v>
      </c>
      <c r="P56" s="79">
        <v>0</v>
      </c>
      <c r="Q56" s="79">
        <f t="shared" si="23"/>
        <v>0</v>
      </c>
      <c r="R56" s="79">
        <f t="shared" si="22"/>
        <v>0</v>
      </c>
      <c r="S56" s="79">
        <f t="shared" si="22"/>
        <v>0</v>
      </c>
      <c r="T56" s="79">
        <f t="shared" si="22"/>
        <v>0</v>
      </c>
      <c r="U56" s="79">
        <f t="shared" si="22"/>
        <v>0</v>
      </c>
      <c r="V56" s="79">
        <f t="shared" si="22"/>
        <v>0</v>
      </c>
      <c r="W56" s="79">
        <f t="shared" si="22"/>
        <v>0</v>
      </c>
      <c r="X56" s="79">
        <f t="shared" si="22"/>
        <v>0</v>
      </c>
      <c r="Y56" s="79">
        <f t="shared" si="22"/>
        <v>0</v>
      </c>
    </row>
    <row r="57" spans="1:25" ht="14.1" customHeight="1" thickBot="1" x14ac:dyDescent="0.3">
      <c r="A57" s="4" t="str">
        <f>Ratings!A7</f>
        <v>SBY Replace No.1 &amp; 3 transformers</v>
      </c>
      <c r="B57" s="10">
        <f>Ratings!D7</f>
        <v>76</v>
      </c>
      <c r="C57" s="79">
        <f>C47</f>
        <v>7</v>
      </c>
      <c r="D57" s="79">
        <f>D2+$C57</f>
        <v>61.679295305037385</v>
      </c>
      <c r="E57" s="79">
        <f t="shared" ref="E57:L57" si="24">E2+$C57</f>
        <v>64.083685511581237</v>
      </c>
      <c r="F57" s="79">
        <f t="shared" si="24"/>
        <v>66.045519231405024</v>
      </c>
      <c r="G57" s="79">
        <f t="shared" si="24"/>
        <v>67.17851239926847</v>
      </c>
      <c r="H57" s="79">
        <f t="shared" si="24"/>
        <v>68.548134152234383</v>
      </c>
      <c r="I57" s="79">
        <f t="shared" si="24"/>
        <v>70.100296182442037</v>
      </c>
      <c r="J57" s="79">
        <f t="shared" si="24"/>
        <v>71.687340084240915</v>
      </c>
      <c r="K57" s="79">
        <f t="shared" si="24"/>
        <v>73.254444867387406</v>
      </c>
      <c r="L57" s="79">
        <f t="shared" si="24"/>
        <v>74.605066855054758</v>
      </c>
      <c r="N57" s="95" t="str">
        <f>Ratings!H13</f>
        <v>SBY32</v>
      </c>
      <c r="O57" s="5">
        <f>Ratings!I13</f>
        <v>14.3</v>
      </c>
      <c r="P57" s="79">
        <v>-5</v>
      </c>
      <c r="Q57" s="79">
        <f>Q$13+$P57</f>
        <v>10.159685452971493</v>
      </c>
      <c r="R57" s="79">
        <f t="shared" ref="R57:Y57" si="25">R$13+$P57</f>
        <v>10.982737837334899</v>
      </c>
      <c r="S57" s="79">
        <f t="shared" si="25"/>
        <v>11.647392058986163</v>
      </c>
      <c r="T57" s="79">
        <f t="shared" si="25"/>
        <v>12.00370497033401</v>
      </c>
      <c r="U57" s="79">
        <f t="shared" si="25"/>
        <v>12.505914173349449</v>
      </c>
      <c r="V57" s="79">
        <f t="shared" si="25"/>
        <v>12.945029745706115</v>
      </c>
      <c r="W57" s="79">
        <f t="shared" si="25"/>
        <v>13.393914015722274</v>
      </c>
      <c r="X57" s="79">
        <f t="shared" si="25"/>
        <v>13.837066921072271</v>
      </c>
      <c r="Y57" s="79">
        <f t="shared" si="25"/>
        <v>14.218933636484923</v>
      </c>
    </row>
    <row r="58" spans="1:25" ht="14.1" customHeight="1" thickBot="1" x14ac:dyDescent="0.3">
      <c r="A58" s="4" t="str">
        <f>Ratings!A8</f>
        <v>SHM 3rd transformer</v>
      </c>
      <c r="B58" s="10">
        <f>Ratings!D8</f>
        <v>76</v>
      </c>
      <c r="C58" s="79">
        <f>-C57</f>
        <v>-7</v>
      </c>
      <c r="D58" s="79">
        <f>D3+$C58</f>
        <v>42.389122344051358</v>
      </c>
      <c r="E58" s="79">
        <f t="shared" ref="E58:L58" si="26">E3+$C58</f>
        <v>44.881816318589436</v>
      </c>
      <c r="F58" s="79">
        <f t="shared" si="26"/>
        <v>46.864626943932301</v>
      </c>
      <c r="G58" s="79">
        <f t="shared" si="26"/>
        <v>48.160933634038003</v>
      </c>
      <c r="H58" s="79">
        <f t="shared" si="26"/>
        <v>49.75206367120618</v>
      </c>
      <c r="I58" s="79">
        <f t="shared" si="26"/>
        <v>51.530083555013384</v>
      </c>
      <c r="J58" s="79">
        <f t="shared" si="26"/>
        <v>53.360440118889535</v>
      </c>
      <c r="K58" s="79">
        <f t="shared" si="26"/>
        <v>55.19236895923418</v>
      </c>
      <c r="L58" s="79">
        <f t="shared" si="26"/>
        <v>56.839881111175913</v>
      </c>
      <c r="N58" s="95" t="str">
        <f>Ratings!H11</f>
        <v>SBY23</v>
      </c>
      <c r="O58" s="5">
        <f>Ratings!I11</f>
        <v>14.3</v>
      </c>
      <c r="P58" s="79">
        <v>-4</v>
      </c>
      <c r="Q58" s="79">
        <f>Q$11+$P58</f>
        <v>7.0505773732815609</v>
      </c>
      <c r="R58" s="79">
        <f t="shared" ref="R58:Y58" si="27">R$11+$P58</f>
        <v>7.3361268664576667</v>
      </c>
      <c r="S58" s="79">
        <f t="shared" si="27"/>
        <v>7.5249550166811474</v>
      </c>
      <c r="T58" s="79">
        <f t="shared" si="27"/>
        <v>7.6931265261651838</v>
      </c>
      <c r="U58" s="79">
        <f t="shared" si="27"/>
        <v>7.9595538891805759</v>
      </c>
      <c r="V58" s="79">
        <f t="shared" si="27"/>
        <v>8.259545440559986</v>
      </c>
      <c r="W58" s="79">
        <f t="shared" si="27"/>
        <v>8.5662106946051928</v>
      </c>
      <c r="X58" s="79">
        <f t="shared" si="27"/>
        <v>8.8689604396455675</v>
      </c>
      <c r="Y58" s="79">
        <f t="shared" si="27"/>
        <v>9.1298411635105676</v>
      </c>
    </row>
    <row r="59" spans="1:25" ht="14.1" customHeight="1" thickBot="1" x14ac:dyDescent="0.3">
      <c r="A59" s="4" t="str">
        <f>Ratings!A6</f>
        <v>SBY Replace No.1 transformer</v>
      </c>
      <c r="B59" s="10">
        <f>Ratings!D6</f>
        <v>49</v>
      </c>
      <c r="C59" s="79">
        <f>C57</f>
        <v>7</v>
      </c>
      <c r="D59" s="79">
        <f>D57</f>
        <v>61.679295305037385</v>
      </c>
      <c r="E59" s="79">
        <f t="shared" ref="E59:L59" si="28">E57</f>
        <v>64.083685511581237</v>
      </c>
      <c r="F59" s="79">
        <f t="shared" si="28"/>
        <v>66.045519231405024</v>
      </c>
      <c r="G59" s="79">
        <f t="shared" si="28"/>
        <v>67.17851239926847</v>
      </c>
      <c r="H59" s="79">
        <f t="shared" si="28"/>
        <v>68.548134152234383</v>
      </c>
      <c r="I59" s="79">
        <f t="shared" si="28"/>
        <v>70.100296182442037</v>
      </c>
      <c r="J59" s="79">
        <f t="shared" si="28"/>
        <v>71.687340084240915</v>
      </c>
      <c r="K59" s="79">
        <f t="shared" si="28"/>
        <v>73.254444867387406</v>
      </c>
      <c r="L59" s="79">
        <f t="shared" si="28"/>
        <v>74.605066855054758</v>
      </c>
      <c r="N59" s="95" t="str">
        <f>Ratings!H47</f>
        <v>SBY15 new</v>
      </c>
      <c r="O59" s="5">
        <f>Ratings!I47</f>
        <v>14.3</v>
      </c>
      <c r="P59" s="79">
        <v>11</v>
      </c>
      <c r="Q59" s="79">
        <f t="shared" ref="Q59:Y59" si="29">$P59</f>
        <v>11</v>
      </c>
      <c r="R59" s="79">
        <f t="shared" si="29"/>
        <v>11</v>
      </c>
      <c r="S59" s="79">
        <f t="shared" si="29"/>
        <v>11</v>
      </c>
      <c r="T59" s="79">
        <f t="shared" si="29"/>
        <v>11</v>
      </c>
      <c r="U59" s="79">
        <f t="shared" si="29"/>
        <v>11</v>
      </c>
      <c r="V59" s="79">
        <f t="shared" si="29"/>
        <v>11</v>
      </c>
      <c r="W59" s="79">
        <f t="shared" si="29"/>
        <v>11</v>
      </c>
      <c r="X59" s="79">
        <f t="shared" si="29"/>
        <v>11</v>
      </c>
      <c r="Y59" s="79">
        <f t="shared" si="29"/>
        <v>11</v>
      </c>
    </row>
    <row r="60" spans="1:25" ht="14.1" customHeight="1" thickBot="1" x14ac:dyDescent="0.3">
      <c r="A60" s="4" t="s">
        <v>89</v>
      </c>
      <c r="B60" s="10">
        <f>Ratings!B3</f>
        <v>66</v>
      </c>
      <c r="C60" s="79"/>
      <c r="D60" s="79">
        <f>Q67+P3+Q68+Q69+P5+Q70+P7+P8</f>
        <v>36.33559444405563</v>
      </c>
      <c r="E60" s="79">
        <f t="shared" ref="E60:L60" si="30">R67+Q3+R68+R69+Q5+R70+Q7+Q8</f>
        <v>41.171919429025472</v>
      </c>
      <c r="F60" s="79">
        <f t="shared" si="30"/>
        <v>44.763333626388864</v>
      </c>
      <c r="G60" s="79">
        <f t="shared" si="30"/>
        <v>46.699255392511667</v>
      </c>
      <c r="H60" s="79">
        <f t="shared" si="30"/>
        <v>48.677041507058078</v>
      </c>
      <c r="I60" s="79">
        <f t="shared" si="30"/>
        <v>50.99562565428738</v>
      </c>
      <c r="J60" s="79">
        <f t="shared" si="30"/>
        <v>53.267281955641032</v>
      </c>
      <c r="K60" s="79">
        <f t="shared" si="30"/>
        <v>55.566512452476125</v>
      </c>
      <c r="L60" s="79">
        <f t="shared" si="30"/>
        <v>57.731459802795683</v>
      </c>
      <c r="N60" s="95" t="str">
        <f>Ratings!H10</f>
        <v>SBY13</v>
      </c>
      <c r="O60" s="5">
        <f>Ratings!I10</f>
        <v>12.5</v>
      </c>
      <c r="P60" s="79">
        <v>-3</v>
      </c>
      <c r="Q60" s="79">
        <f>Q$10+$P60</f>
        <v>4.4264648822788688</v>
      </c>
      <c r="R60" s="79">
        <f t="shared" ref="R60:Y60" si="31">R$10+$P60</f>
        <v>4.5954475218138136</v>
      </c>
      <c r="S60" s="79">
        <f t="shared" si="31"/>
        <v>4.7341207608333287</v>
      </c>
      <c r="T60" s="79">
        <f t="shared" si="31"/>
        <v>4.8251041651668265</v>
      </c>
      <c r="U60" s="79">
        <f t="shared" si="31"/>
        <v>5.0086951654492022</v>
      </c>
      <c r="V60" s="79">
        <f t="shared" si="31"/>
        <v>5.2095840037344985</v>
      </c>
      <c r="W60" s="79">
        <f t="shared" si="31"/>
        <v>5.4149418757956749</v>
      </c>
      <c r="X60" s="79">
        <f t="shared" si="31"/>
        <v>5.6176777338312593</v>
      </c>
      <c r="Y60" s="79">
        <f t="shared" si="31"/>
        <v>5.792376072192079</v>
      </c>
    </row>
    <row r="61" spans="1:25" ht="14.1" customHeight="1" thickBot="1" x14ac:dyDescent="0.3">
      <c r="A61" s="4" t="s">
        <v>90</v>
      </c>
      <c r="B61" s="10">
        <f>B60/2</f>
        <v>33</v>
      </c>
      <c r="C61" s="79"/>
      <c r="D61" s="79">
        <f>Q71+Q72+Q73</f>
        <v>15</v>
      </c>
      <c r="E61" s="79">
        <f t="shared" ref="E61:L61" si="32">R71+R72+R73</f>
        <v>15</v>
      </c>
      <c r="F61" s="79">
        <f t="shared" si="32"/>
        <v>15</v>
      </c>
      <c r="G61" s="79">
        <f t="shared" si="32"/>
        <v>15</v>
      </c>
      <c r="H61" s="79">
        <f t="shared" si="32"/>
        <v>15</v>
      </c>
      <c r="I61" s="79">
        <f t="shared" si="32"/>
        <v>15</v>
      </c>
      <c r="J61" s="79">
        <f t="shared" si="32"/>
        <v>15</v>
      </c>
      <c r="K61" s="79">
        <f t="shared" si="32"/>
        <v>15</v>
      </c>
      <c r="L61" s="79">
        <f t="shared" si="32"/>
        <v>15</v>
      </c>
      <c r="N61" s="95"/>
      <c r="O61" s="5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 ht="14.1" customHeight="1" thickBot="1" x14ac:dyDescent="0.3">
      <c r="A62" s="4"/>
      <c r="B62" s="10"/>
      <c r="C62" s="79"/>
      <c r="D62" s="79"/>
      <c r="E62" s="79"/>
      <c r="F62" s="79"/>
      <c r="G62" s="79"/>
      <c r="H62" s="79"/>
      <c r="I62" s="79"/>
      <c r="J62" s="79"/>
      <c r="K62" s="79"/>
      <c r="L62" s="79"/>
      <c r="N62" s="97" t="str">
        <f>A56</f>
        <v>Option 3</v>
      </c>
      <c r="O62" s="5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 ht="14.1" customHeight="1" thickBot="1" x14ac:dyDescent="0.3">
      <c r="A63" s="4"/>
      <c r="B63" s="10"/>
      <c r="C63" s="79"/>
      <c r="D63" s="79"/>
      <c r="E63" s="79"/>
      <c r="F63" s="79"/>
      <c r="G63" s="79"/>
      <c r="H63" s="79"/>
      <c r="I63" s="79"/>
      <c r="J63" s="79"/>
      <c r="K63" s="79"/>
      <c r="L63" s="79"/>
      <c r="N63" s="95" t="str">
        <f>Ratings!H56</f>
        <v>SBY14 new</v>
      </c>
      <c r="O63" s="5">
        <f>Ratings!I56</f>
        <v>14.3</v>
      </c>
      <c r="P63" s="79">
        <f>-P67</f>
        <v>7</v>
      </c>
      <c r="Q63" s="79">
        <f t="shared" ref="Q63:Y64" si="33">$P63</f>
        <v>7</v>
      </c>
      <c r="R63" s="79">
        <f t="shared" si="33"/>
        <v>7</v>
      </c>
      <c r="S63" s="79">
        <f t="shared" si="33"/>
        <v>7</v>
      </c>
      <c r="T63" s="79">
        <f t="shared" si="33"/>
        <v>7</v>
      </c>
      <c r="U63" s="79">
        <f t="shared" si="33"/>
        <v>7</v>
      </c>
      <c r="V63" s="79">
        <f t="shared" si="33"/>
        <v>7</v>
      </c>
      <c r="W63" s="79">
        <f t="shared" si="33"/>
        <v>7</v>
      </c>
      <c r="X63" s="79">
        <f t="shared" si="33"/>
        <v>7</v>
      </c>
      <c r="Y63" s="79">
        <f t="shared" si="33"/>
        <v>7</v>
      </c>
    </row>
    <row r="64" spans="1:25" ht="14.1" customHeight="1" thickBot="1" x14ac:dyDescent="0.3">
      <c r="A64" s="4"/>
      <c r="B64" s="10"/>
      <c r="C64" s="79"/>
      <c r="D64" s="79"/>
      <c r="E64" s="79"/>
      <c r="F64" s="79"/>
      <c r="G64" s="79"/>
      <c r="H64" s="79"/>
      <c r="I64" s="79"/>
      <c r="J64" s="79"/>
      <c r="K64" s="79"/>
      <c r="L64" s="79"/>
      <c r="N64" s="95" t="str">
        <f>Ratings!H46</f>
        <v>SBY22 new</v>
      </c>
      <c r="O64" s="5">
        <f>Ratings!I46</f>
        <v>14.3</v>
      </c>
      <c r="P64" s="79">
        <f>-(P77+P74+P75)</f>
        <v>12</v>
      </c>
      <c r="Q64" s="79">
        <f t="shared" si="33"/>
        <v>12</v>
      </c>
      <c r="R64" s="79">
        <f t="shared" si="33"/>
        <v>12</v>
      </c>
      <c r="S64" s="79">
        <f t="shared" si="33"/>
        <v>12</v>
      </c>
      <c r="T64" s="79">
        <f t="shared" si="33"/>
        <v>12</v>
      </c>
      <c r="U64" s="79">
        <f t="shared" si="33"/>
        <v>12</v>
      </c>
      <c r="V64" s="79">
        <f t="shared" si="33"/>
        <v>12</v>
      </c>
      <c r="W64" s="79">
        <f t="shared" si="33"/>
        <v>12</v>
      </c>
      <c r="X64" s="79">
        <f t="shared" si="33"/>
        <v>12</v>
      </c>
      <c r="Y64" s="79">
        <f t="shared" si="33"/>
        <v>12</v>
      </c>
    </row>
    <row r="65" spans="1:25" ht="14.1" customHeight="1" thickBot="1" x14ac:dyDescent="0.3">
      <c r="A65" s="4"/>
      <c r="B65" s="10"/>
      <c r="C65" s="79"/>
      <c r="D65" s="92"/>
      <c r="E65" s="92"/>
      <c r="F65" s="92"/>
      <c r="G65" s="92"/>
      <c r="H65" s="92"/>
      <c r="I65" s="92"/>
      <c r="J65" s="92"/>
      <c r="K65" s="92"/>
      <c r="L65" s="92"/>
      <c r="N65" s="95" t="str">
        <f>Ratings!H12</f>
        <v>SBY24</v>
      </c>
      <c r="O65" s="5">
        <f>Ratings!I12</f>
        <v>14.3</v>
      </c>
      <c r="P65" s="79">
        <f>-(P66+P76)</f>
        <v>-17</v>
      </c>
      <c r="Q65" s="79">
        <f t="shared" ref="Q65:Y65" si="34">Q$12+$P65</f>
        <v>-5.4383819465030321</v>
      </c>
      <c r="R65" s="79">
        <f t="shared" si="34"/>
        <v>-2.8502484928143712</v>
      </c>
      <c r="S65" s="79">
        <f t="shared" si="34"/>
        <v>-1.0291569626860575</v>
      </c>
      <c r="T65" s="79">
        <f t="shared" si="34"/>
        <v>-0.20903100021516252</v>
      </c>
      <c r="U65" s="79">
        <f t="shared" si="34"/>
        <v>0.53427116755872461</v>
      </c>
      <c r="V65" s="79">
        <f t="shared" si="34"/>
        <v>0.9740980422569443</v>
      </c>
      <c r="W65" s="79">
        <f t="shared" si="34"/>
        <v>1.423709438461394</v>
      </c>
      <c r="X65" s="79">
        <f t="shared" si="34"/>
        <v>1.8675801860358199</v>
      </c>
      <c r="Y65" s="79">
        <f t="shared" si="34"/>
        <v>2.2500654691011235</v>
      </c>
    </row>
    <row r="66" spans="1:25" ht="14.1" customHeight="1" thickBot="1" x14ac:dyDescent="0.3">
      <c r="A66" s="6" t="s">
        <v>91</v>
      </c>
      <c r="B66" s="10"/>
      <c r="C66" s="79"/>
      <c r="D66" s="79"/>
      <c r="E66" s="79"/>
      <c r="F66" s="79"/>
      <c r="G66" s="79"/>
      <c r="H66" s="79"/>
      <c r="I66" s="79"/>
      <c r="J66" s="79"/>
      <c r="K66" s="79"/>
      <c r="L66" s="79"/>
      <c r="N66" s="95" t="str">
        <f>Ratings!H15</f>
        <v>SBY35</v>
      </c>
      <c r="O66" s="5">
        <f>Ratings!I15</f>
        <v>14.3</v>
      </c>
      <c r="P66" s="79">
        <v>6</v>
      </c>
      <c r="Q66" s="79">
        <f t="shared" ref="Q66:Y66" si="35">Q$15+$P66</f>
        <v>12.462781699308596</v>
      </c>
      <c r="R66" s="79">
        <f t="shared" si="35"/>
        <v>12.462402061507039</v>
      </c>
      <c r="S66" s="79">
        <f t="shared" si="35"/>
        <v>12.515343815787455</v>
      </c>
      <c r="T66" s="79">
        <f t="shared" si="35"/>
        <v>12.579113303682718</v>
      </c>
      <c r="U66" s="79">
        <f t="shared" si="35"/>
        <v>12.728064573428348</v>
      </c>
      <c r="V66" s="79">
        <f t="shared" si="35"/>
        <v>12.896830277221831</v>
      </c>
      <c r="W66" s="79">
        <f t="shared" si="35"/>
        <v>13.069350393838349</v>
      </c>
      <c r="X66" s="79">
        <f t="shared" si="35"/>
        <v>13.239667769644761</v>
      </c>
      <c r="Y66" s="79">
        <f t="shared" si="35"/>
        <v>13.386430966030737</v>
      </c>
    </row>
    <row r="67" spans="1:25" ht="14.1" customHeight="1" thickBot="1" x14ac:dyDescent="0.3">
      <c r="A67" s="4"/>
      <c r="B67" s="10"/>
      <c r="C67" s="79"/>
      <c r="D67" s="79"/>
      <c r="E67" s="79"/>
      <c r="F67" s="79"/>
      <c r="G67" s="79"/>
      <c r="H67" s="79"/>
      <c r="I67" s="79"/>
      <c r="J67" s="79"/>
      <c r="K67" s="79"/>
      <c r="L67" s="79"/>
      <c r="N67" s="4" t="str">
        <f>Ratings!H2</f>
        <v>SHM11</v>
      </c>
      <c r="O67" s="96">
        <f>Ratings!I2</f>
        <v>14.3</v>
      </c>
      <c r="P67" s="79">
        <v>-7</v>
      </c>
      <c r="Q67" s="79">
        <f t="shared" ref="Q67:Y67" si="36">Q$2+$P67</f>
        <v>0.83584596219249363</v>
      </c>
      <c r="R67" s="79">
        <f t="shared" si="36"/>
        <v>3.0843713867464793</v>
      </c>
      <c r="S67" s="79">
        <f t="shared" si="36"/>
        <v>4.6744148378914687</v>
      </c>
      <c r="T67" s="79">
        <f t="shared" si="36"/>
        <v>5.5486894911032856</v>
      </c>
      <c r="U67" s="79">
        <f t="shared" si="36"/>
        <v>6.2209288663245577</v>
      </c>
      <c r="V67" s="79">
        <f t="shared" si="36"/>
        <v>6.8212191203316852</v>
      </c>
      <c r="W67" s="79">
        <f t="shared" si="36"/>
        <v>7.2509424818198127</v>
      </c>
      <c r="X67" s="79">
        <f t="shared" si="36"/>
        <v>7.6808087614756051</v>
      </c>
      <c r="Y67" s="79">
        <f t="shared" si="36"/>
        <v>8.0672242958597504</v>
      </c>
    </row>
    <row r="68" spans="1:25" ht="14.1" customHeight="1" thickBot="1" x14ac:dyDescent="0.3">
      <c r="A68" s="4" t="str">
        <f>Ratings!A3</f>
        <v>SHM</v>
      </c>
      <c r="B68" s="10">
        <f>Ratings!D3</f>
        <v>38</v>
      </c>
      <c r="C68" s="79">
        <f>-C69</f>
        <v>-17</v>
      </c>
      <c r="D68" s="79">
        <f>D3+$C68</f>
        <v>32.389122344051358</v>
      </c>
      <c r="E68" s="79">
        <f t="shared" ref="E68:L68" si="37">E3+$C68</f>
        <v>34.881816318589436</v>
      </c>
      <c r="F68" s="79">
        <f t="shared" si="37"/>
        <v>36.864626943932301</v>
      </c>
      <c r="G68" s="79">
        <f t="shared" si="37"/>
        <v>38.160933634038003</v>
      </c>
      <c r="H68" s="79">
        <f t="shared" si="37"/>
        <v>39.75206367120618</v>
      </c>
      <c r="I68" s="79">
        <f t="shared" si="37"/>
        <v>41.530083555013384</v>
      </c>
      <c r="J68" s="79">
        <f t="shared" si="37"/>
        <v>43.360440118889535</v>
      </c>
      <c r="K68" s="79">
        <f t="shared" si="37"/>
        <v>45.19236895923418</v>
      </c>
      <c r="L68" s="79">
        <f t="shared" si="37"/>
        <v>46.839881111175913</v>
      </c>
      <c r="N68" s="4" t="str">
        <f>Ratings!H55</f>
        <v>SHM13 new</v>
      </c>
      <c r="O68" s="96">
        <f>Ratings!I55</f>
        <v>14.3</v>
      </c>
      <c r="P68" s="79">
        <f>-P70</f>
        <v>4</v>
      </c>
      <c r="Q68" s="79">
        <f t="shared" ref="Q68:Y68" si="38">$P68</f>
        <v>4</v>
      </c>
      <c r="R68" s="79">
        <f t="shared" si="38"/>
        <v>4</v>
      </c>
      <c r="S68" s="79">
        <f t="shared" si="38"/>
        <v>4</v>
      </c>
      <c r="T68" s="79">
        <f t="shared" si="38"/>
        <v>4</v>
      </c>
      <c r="U68" s="79">
        <f t="shared" si="38"/>
        <v>4</v>
      </c>
      <c r="V68" s="79">
        <f t="shared" si="38"/>
        <v>4</v>
      </c>
      <c r="W68" s="79">
        <f t="shared" si="38"/>
        <v>4</v>
      </c>
      <c r="X68" s="79">
        <f t="shared" si="38"/>
        <v>4</v>
      </c>
      <c r="Y68" s="79">
        <f t="shared" si="38"/>
        <v>4</v>
      </c>
    </row>
    <row r="69" spans="1:25" ht="14.1" customHeight="1" thickBot="1" x14ac:dyDescent="0.3">
      <c r="A69" s="4" t="str">
        <f>Ratings!A7</f>
        <v>SBY Replace No.1 &amp; 3 transformers</v>
      </c>
      <c r="B69" s="10">
        <f>Ratings!D7</f>
        <v>76</v>
      </c>
      <c r="C69" s="79">
        <v>17</v>
      </c>
      <c r="D69" s="79">
        <f>D2+$C69</f>
        <v>71.679295305037385</v>
      </c>
      <c r="E69" s="79">
        <f t="shared" ref="E69:L69" si="39">E2+$C69</f>
        <v>74.083685511581237</v>
      </c>
      <c r="F69" s="79">
        <f t="shared" si="39"/>
        <v>76.045519231405024</v>
      </c>
      <c r="G69" s="79">
        <f t="shared" si="39"/>
        <v>77.17851239926847</v>
      </c>
      <c r="H69" s="79">
        <f t="shared" si="39"/>
        <v>78.548134152234383</v>
      </c>
      <c r="I69" s="79">
        <f t="shared" si="39"/>
        <v>80.100296182442037</v>
      </c>
      <c r="J69" s="79">
        <f t="shared" si="39"/>
        <v>81.687340084240915</v>
      </c>
      <c r="K69" s="79">
        <f t="shared" si="39"/>
        <v>83.254444867387406</v>
      </c>
      <c r="L69" s="79">
        <f t="shared" si="39"/>
        <v>84.605066855054758</v>
      </c>
      <c r="N69" s="4" t="str">
        <f>Ratings!H4</f>
        <v>SHM14</v>
      </c>
      <c r="O69" s="96">
        <f>Ratings!I4</f>
        <v>14.3</v>
      </c>
      <c r="P69" s="79">
        <f>-(P71+P72)</f>
        <v>-15</v>
      </c>
      <c r="Q69" s="79">
        <f t="shared" ref="Q69:Y69" si="40">Q$4+$P69</f>
        <v>2.1114541072915927</v>
      </c>
      <c r="R69" s="79">
        <f t="shared" si="40"/>
        <v>3.8190335166681137</v>
      </c>
      <c r="S69" s="79">
        <f t="shared" si="40"/>
        <v>5.126281363123546</v>
      </c>
      <c r="T69" s="79">
        <f t="shared" si="40"/>
        <v>5.7780956247630542</v>
      </c>
      <c r="U69" s="79">
        <f t="shared" si="40"/>
        <v>6.5290311200768159</v>
      </c>
      <c r="V69" s="79">
        <f t="shared" si="40"/>
        <v>7.1999061599518583</v>
      </c>
      <c r="W69" s="79">
        <f t="shared" si="40"/>
        <v>7.8901360316237401</v>
      </c>
      <c r="X69" s="79">
        <f t="shared" si="40"/>
        <v>8.5805954611865047</v>
      </c>
      <c r="Y69" s="79">
        <f t="shared" si="40"/>
        <v>9.2012634737105579</v>
      </c>
    </row>
    <row r="70" spans="1:25" ht="14.1" customHeight="1" thickBot="1" x14ac:dyDescent="0.3">
      <c r="A70" s="4" t="s">
        <v>92</v>
      </c>
      <c r="B70" s="10">
        <f>B60/2</f>
        <v>33</v>
      </c>
      <c r="C70" s="79"/>
      <c r="D70" s="79">
        <f>Q86+P3+Q87+Q88</f>
        <v>16.539444827649803</v>
      </c>
      <c r="E70" s="79">
        <f t="shared" ref="E70:L70" si="41">R86+Q3+R87+R88</f>
        <v>20.613883840565322</v>
      </c>
      <c r="F70" s="79">
        <f t="shared" si="41"/>
        <v>23.559918350027239</v>
      </c>
      <c r="G70" s="79">
        <f t="shared" si="41"/>
        <v>25.204168345802685</v>
      </c>
      <c r="H70" s="79">
        <f t="shared" si="41"/>
        <v>26.740963787754033</v>
      </c>
      <c r="I70" s="79">
        <f t="shared" si="41"/>
        <v>28.270198808748585</v>
      </c>
      <c r="J70" s="79">
        <f t="shared" si="41"/>
        <v>29.678366246143256</v>
      </c>
      <c r="K70" s="79">
        <f t="shared" si="41"/>
        <v>31.09522117672017</v>
      </c>
      <c r="L70" s="79">
        <f t="shared" si="41"/>
        <v>32.398932565207957</v>
      </c>
      <c r="N70" s="95" t="str">
        <f>Ratings!H6</f>
        <v>SHM22</v>
      </c>
      <c r="O70" s="5">
        <f>Ratings!I6</f>
        <v>14.3</v>
      </c>
      <c r="P70" s="79">
        <v>-4</v>
      </c>
      <c r="Q70" s="79">
        <f>Q$6+$P70</f>
        <v>2.1330746819001654</v>
      </c>
      <c r="R70" s="79">
        <f t="shared" ref="R70:Y70" si="42">R$6+$P70</f>
        <v>2.2096494724124573</v>
      </c>
      <c r="S70" s="79">
        <f t="shared" si="42"/>
        <v>2.325092863325346</v>
      </c>
      <c r="T70" s="79">
        <f t="shared" si="42"/>
        <v>2.4060469741007822</v>
      </c>
      <c r="U70" s="79">
        <f t="shared" si="42"/>
        <v>2.5899204137078913</v>
      </c>
      <c r="V70" s="79">
        <f t="shared" si="42"/>
        <v>2.7952716483111439</v>
      </c>
      <c r="W70" s="79">
        <f t="shared" si="42"/>
        <v>3.006547292631236</v>
      </c>
      <c r="X70" s="79">
        <f t="shared" si="42"/>
        <v>3.2178932033847216</v>
      </c>
      <c r="Y70" s="79">
        <f t="shared" si="42"/>
        <v>3.4078763374633141</v>
      </c>
    </row>
    <row r="71" spans="1:25" ht="14.1" customHeight="1" thickBot="1" x14ac:dyDescent="0.3">
      <c r="A71" s="4" t="s">
        <v>93</v>
      </c>
      <c r="B71" s="10">
        <f>B70</f>
        <v>33</v>
      </c>
      <c r="C71" s="79"/>
      <c r="D71" s="79">
        <f>P5+P6+Q89+P8</f>
        <v>24.777751709146621</v>
      </c>
      <c r="E71" s="79">
        <f t="shared" ref="E71:L71" si="43">Q5+Q6+R89+Q8</f>
        <v>25.484904922160709</v>
      </c>
      <c r="F71" s="79">
        <f t="shared" si="43"/>
        <v>26.109054740290343</v>
      </c>
      <c r="G71" s="79">
        <f t="shared" si="43"/>
        <v>26.439858189865152</v>
      </c>
      <c r="H71" s="79">
        <f t="shared" si="43"/>
        <v>26.81063480138215</v>
      </c>
      <c r="I71" s="79">
        <f t="shared" si="43"/>
        <v>27.585331255210278</v>
      </c>
      <c r="J71" s="79">
        <f t="shared" si="43"/>
        <v>28.444778343242103</v>
      </c>
      <c r="K71" s="79">
        <f t="shared" si="43"/>
        <v>29.327105972036041</v>
      </c>
      <c r="L71" s="79">
        <f t="shared" si="43"/>
        <v>30.202916137987451</v>
      </c>
      <c r="N71" s="95" t="str">
        <f>Ratings!H48</f>
        <v>SHM31 new</v>
      </c>
      <c r="O71" s="5">
        <f>Ratings!I48</f>
        <v>14.3</v>
      </c>
      <c r="P71" s="79">
        <v>10</v>
      </c>
      <c r="Q71" s="79">
        <f t="shared" ref="Q71:Y73" si="44">$P71</f>
        <v>10</v>
      </c>
      <c r="R71" s="79">
        <f t="shared" si="44"/>
        <v>10</v>
      </c>
      <c r="S71" s="79">
        <f t="shared" si="44"/>
        <v>10</v>
      </c>
      <c r="T71" s="79">
        <f t="shared" si="44"/>
        <v>10</v>
      </c>
      <c r="U71" s="79">
        <f t="shared" si="44"/>
        <v>10</v>
      </c>
      <c r="V71" s="79">
        <f t="shared" si="44"/>
        <v>10</v>
      </c>
      <c r="W71" s="79">
        <f t="shared" si="44"/>
        <v>10</v>
      </c>
      <c r="X71" s="79">
        <f t="shared" si="44"/>
        <v>10</v>
      </c>
      <c r="Y71" s="79">
        <f t="shared" si="44"/>
        <v>10</v>
      </c>
    </row>
    <row r="72" spans="1:25" ht="14.1" customHeight="1" thickBot="1" x14ac:dyDescent="0.3">
      <c r="A72" s="4"/>
      <c r="B72" s="10"/>
      <c r="C72" s="79"/>
      <c r="D72" s="79"/>
      <c r="E72" s="79"/>
      <c r="F72" s="79"/>
      <c r="G72" s="79"/>
      <c r="H72" s="79"/>
      <c r="I72" s="79"/>
      <c r="J72" s="79"/>
      <c r="K72" s="79"/>
      <c r="L72" s="79"/>
      <c r="N72" s="95" t="str">
        <f>Ratings!H49</f>
        <v>SHM32 new</v>
      </c>
      <c r="O72" s="5">
        <f>Ratings!I49</f>
        <v>14.3</v>
      </c>
      <c r="P72" s="79">
        <v>5</v>
      </c>
      <c r="Q72" s="79">
        <f t="shared" si="44"/>
        <v>5</v>
      </c>
      <c r="R72" s="79">
        <f t="shared" si="44"/>
        <v>5</v>
      </c>
      <c r="S72" s="79">
        <f t="shared" si="44"/>
        <v>5</v>
      </c>
      <c r="T72" s="79">
        <f t="shared" si="44"/>
        <v>5</v>
      </c>
      <c r="U72" s="79">
        <f t="shared" si="44"/>
        <v>5</v>
      </c>
      <c r="V72" s="79">
        <f t="shared" si="44"/>
        <v>5</v>
      </c>
      <c r="W72" s="79">
        <f t="shared" si="44"/>
        <v>5</v>
      </c>
      <c r="X72" s="79">
        <f t="shared" si="44"/>
        <v>5</v>
      </c>
      <c r="Y72" s="79">
        <f t="shared" si="44"/>
        <v>5</v>
      </c>
    </row>
    <row r="73" spans="1:25" ht="14.1" customHeight="1" thickBot="1" x14ac:dyDescent="0.3">
      <c r="A73" s="4"/>
      <c r="B73" s="10"/>
      <c r="C73" s="79"/>
      <c r="D73" s="79"/>
      <c r="E73" s="79"/>
      <c r="F73" s="79"/>
      <c r="G73" s="79"/>
      <c r="H73" s="79"/>
      <c r="I73" s="79"/>
      <c r="J73" s="79"/>
      <c r="K73" s="79"/>
      <c r="L73" s="79"/>
      <c r="N73" s="4" t="str">
        <f>Ratings!H50</f>
        <v>SHM33 new</v>
      </c>
      <c r="O73" s="96">
        <f>Ratings!I50</f>
        <v>14.3</v>
      </c>
      <c r="P73" s="79">
        <v>0</v>
      </c>
      <c r="Q73" s="79">
        <f t="shared" si="44"/>
        <v>0</v>
      </c>
      <c r="R73" s="79">
        <f t="shared" si="44"/>
        <v>0</v>
      </c>
      <c r="S73" s="79">
        <f t="shared" si="44"/>
        <v>0</v>
      </c>
      <c r="T73" s="79">
        <f t="shared" si="44"/>
        <v>0</v>
      </c>
      <c r="U73" s="79">
        <f t="shared" si="44"/>
        <v>0</v>
      </c>
      <c r="V73" s="79">
        <f t="shared" si="44"/>
        <v>0</v>
      </c>
      <c r="W73" s="79">
        <f t="shared" si="44"/>
        <v>0</v>
      </c>
      <c r="X73" s="79">
        <f t="shared" si="44"/>
        <v>0</v>
      </c>
      <c r="Y73" s="79">
        <f t="shared" si="44"/>
        <v>0</v>
      </c>
    </row>
    <row r="74" spans="1:25" ht="14.1" customHeight="1" thickBot="1" x14ac:dyDescent="0.3">
      <c r="A74" s="4"/>
      <c r="B74" s="10"/>
      <c r="C74" s="79"/>
      <c r="D74" s="79"/>
      <c r="E74" s="79"/>
      <c r="F74" s="79"/>
      <c r="G74" s="79"/>
      <c r="H74" s="79"/>
      <c r="I74" s="79"/>
      <c r="J74" s="79"/>
      <c r="K74" s="79"/>
      <c r="L74" s="79"/>
      <c r="N74" s="4" t="str">
        <f>Ratings!H13</f>
        <v>SBY32</v>
      </c>
      <c r="O74" s="5">
        <f>Ratings!I13</f>
        <v>14.3</v>
      </c>
      <c r="P74" s="79">
        <v>-5</v>
      </c>
      <c r="Q74" s="79">
        <f t="shared" ref="Q74:Y74" si="45">Q$13+$P74</f>
        <v>10.159685452971493</v>
      </c>
      <c r="R74" s="79">
        <f t="shared" si="45"/>
        <v>10.982737837334899</v>
      </c>
      <c r="S74" s="79">
        <f t="shared" si="45"/>
        <v>11.647392058986163</v>
      </c>
      <c r="T74" s="79">
        <f t="shared" si="45"/>
        <v>12.00370497033401</v>
      </c>
      <c r="U74" s="79">
        <f t="shared" si="45"/>
        <v>12.505914173349449</v>
      </c>
      <c r="V74" s="79">
        <f t="shared" si="45"/>
        <v>12.945029745706115</v>
      </c>
      <c r="W74" s="79">
        <f t="shared" si="45"/>
        <v>13.393914015722274</v>
      </c>
      <c r="X74" s="79">
        <f t="shared" si="45"/>
        <v>13.837066921072271</v>
      </c>
      <c r="Y74" s="79">
        <f t="shared" si="45"/>
        <v>14.218933636484923</v>
      </c>
    </row>
    <row r="75" spans="1:25" ht="14.1" customHeight="1" thickBot="1" x14ac:dyDescent="0.3">
      <c r="A75" s="4"/>
      <c r="B75" s="10"/>
      <c r="C75" s="79"/>
      <c r="D75" s="79"/>
      <c r="E75" s="79"/>
      <c r="F75" s="79"/>
      <c r="G75" s="79"/>
      <c r="H75" s="79"/>
      <c r="I75" s="79"/>
      <c r="J75" s="79"/>
      <c r="K75" s="79"/>
      <c r="L75" s="79"/>
      <c r="N75" s="95" t="str">
        <f>Ratings!H11</f>
        <v>SBY23</v>
      </c>
      <c r="O75" s="5">
        <f>Ratings!I11</f>
        <v>14.3</v>
      </c>
      <c r="P75" s="79">
        <v>-4</v>
      </c>
      <c r="Q75" s="79">
        <f t="shared" ref="Q75:Y75" si="46">Q$11+$P75</f>
        <v>7.0505773732815609</v>
      </c>
      <c r="R75" s="79">
        <f t="shared" si="46"/>
        <v>7.3361268664576667</v>
      </c>
      <c r="S75" s="79">
        <f t="shared" si="46"/>
        <v>7.5249550166811474</v>
      </c>
      <c r="T75" s="79">
        <f t="shared" si="46"/>
        <v>7.6931265261651838</v>
      </c>
      <c r="U75" s="79">
        <f t="shared" si="46"/>
        <v>7.9595538891805759</v>
      </c>
      <c r="V75" s="79">
        <f t="shared" si="46"/>
        <v>8.259545440559986</v>
      </c>
      <c r="W75" s="79">
        <f t="shared" si="46"/>
        <v>8.5662106946051928</v>
      </c>
      <c r="X75" s="79">
        <f t="shared" si="46"/>
        <v>8.8689604396455675</v>
      </c>
      <c r="Y75" s="79">
        <f t="shared" si="46"/>
        <v>9.1298411635105676</v>
      </c>
    </row>
    <row r="76" spans="1:25" ht="14.1" customHeight="1" thickBot="1" x14ac:dyDescent="0.3">
      <c r="A76" s="6"/>
      <c r="B76" s="10"/>
      <c r="C76" s="79"/>
      <c r="D76" s="79"/>
      <c r="E76" s="79"/>
      <c r="F76" s="79"/>
      <c r="G76" s="79"/>
      <c r="H76" s="79"/>
      <c r="I76" s="79"/>
      <c r="J76" s="79"/>
      <c r="K76" s="79"/>
      <c r="L76" s="79"/>
      <c r="N76" s="95" t="str">
        <f>Ratings!H47</f>
        <v>SBY15 new</v>
      </c>
      <c r="O76" s="5">
        <f>Ratings!I47</f>
        <v>14.3</v>
      </c>
      <c r="P76" s="79">
        <v>11</v>
      </c>
      <c r="Q76" s="79">
        <f t="shared" ref="Q76:Y76" si="47">$P76</f>
        <v>11</v>
      </c>
      <c r="R76" s="79">
        <f t="shared" si="47"/>
        <v>11</v>
      </c>
      <c r="S76" s="79">
        <f t="shared" si="47"/>
        <v>11</v>
      </c>
      <c r="T76" s="79">
        <f t="shared" si="47"/>
        <v>11</v>
      </c>
      <c r="U76" s="79">
        <f t="shared" si="47"/>
        <v>11</v>
      </c>
      <c r="V76" s="79">
        <f t="shared" si="47"/>
        <v>11</v>
      </c>
      <c r="W76" s="79">
        <f t="shared" si="47"/>
        <v>11</v>
      </c>
      <c r="X76" s="79">
        <f t="shared" si="47"/>
        <v>11</v>
      </c>
      <c r="Y76" s="79">
        <f t="shared" si="47"/>
        <v>11</v>
      </c>
    </row>
    <row r="77" spans="1:25" ht="14.1" customHeight="1" thickBot="1" x14ac:dyDescent="0.3">
      <c r="A77" s="4"/>
      <c r="B77" s="10"/>
      <c r="C77" s="79"/>
      <c r="D77" s="79"/>
      <c r="E77" s="79"/>
      <c r="F77" s="79"/>
      <c r="G77" s="79"/>
      <c r="H77" s="79"/>
      <c r="I77" s="79"/>
      <c r="J77" s="79"/>
      <c r="K77" s="79"/>
      <c r="L77" s="79"/>
      <c r="N77" s="95" t="str">
        <f>Ratings!H10</f>
        <v>SBY13</v>
      </c>
      <c r="O77" s="5">
        <f>Ratings!I10</f>
        <v>12.5</v>
      </c>
      <c r="P77" s="79">
        <v>-3</v>
      </c>
      <c r="Q77" s="79">
        <f>Q$10+$P77</f>
        <v>4.4264648822788688</v>
      </c>
      <c r="R77" s="79">
        <f t="shared" ref="R77:Y77" si="48">R$10+$P77</f>
        <v>4.5954475218138136</v>
      </c>
      <c r="S77" s="79">
        <f t="shared" si="48"/>
        <v>4.7341207608333287</v>
      </c>
      <c r="T77" s="79">
        <f t="shared" si="48"/>
        <v>4.8251041651668265</v>
      </c>
      <c r="U77" s="79">
        <f t="shared" si="48"/>
        <v>5.0086951654492022</v>
      </c>
      <c r="V77" s="79">
        <f t="shared" si="48"/>
        <v>5.2095840037344985</v>
      </c>
      <c r="W77" s="79">
        <f t="shared" si="48"/>
        <v>5.4149418757956749</v>
      </c>
      <c r="X77" s="79">
        <f t="shared" si="48"/>
        <v>5.6176777338312593</v>
      </c>
      <c r="Y77" s="79">
        <f t="shared" si="48"/>
        <v>5.792376072192079</v>
      </c>
    </row>
    <row r="78" spans="1:25" ht="14.1" customHeight="1" thickBot="1" x14ac:dyDescent="0.3">
      <c r="A78" s="4"/>
      <c r="B78" s="10"/>
      <c r="C78" s="79"/>
      <c r="D78" s="79"/>
      <c r="E78" s="79"/>
      <c r="F78" s="79"/>
      <c r="G78" s="79"/>
      <c r="H78" s="79"/>
      <c r="I78" s="79"/>
      <c r="J78" s="79"/>
      <c r="K78" s="79"/>
      <c r="L78" s="79"/>
      <c r="N78" s="95"/>
      <c r="O78" s="5"/>
      <c r="P78" s="79"/>
      <c r="Q78" s="79"/>
      <c r="R78" s="79"/>
      <c r="S78" s="79"/>
      <c r="T78" s="79"/>
      <c r="U78" s="79"/>
      <c r="V78" s="79"/>
      <c r="W78" s="79"/>
      <c r="X78" s="79"/>
      <c r="Y78" s="79"/>
    </row>
    <row r="79" spans="1:25" ht="14.1" customHeight="1" thickBot="1" x14ac:dyDescent="0.3">
      <c r="A79" s="4"/>
      <c r="B79" s="10"/>
      <c r="C79" s="79"/>
      <c r="D79" s="79"/>
      <c r="E79" s="79"/>
      <c r="F79" s="79"/>
      <c r="G79" s="79"/>
      <c r="H79" s="79"/>
      <c r="I79" s="79"/>
      <c r="J79" s="79"/>
      <c r="K79" s="79"/>
      <c r="L79" s="79"/>
      <c r="N79" s="6" t="str">
        <f>A66</f>
        <v>Option 4</v>
      </c>
      <c r="O79" s="24"/>
      <c r="P79" s="79"/>
      <c r="Q79" s="79"/>
      <c r="R79" s="79"/>
      <c r="S79" s="79"/>
      <c r="T79" s="79"/>
      <c r="U79" s="79"/>
      <c r="V79" s="79"/>
      <c r="W79" s="79"/>
      <c r="X79" s="79"/>
      <c r="Y79" s="79"/>
    </row>
    <row r="80" spans="1:25" ht="14.1" customHeight="1" thickBot="1" x14ac:dyDescent="0.3">
      <c r="A80" s="4"/>
      <c r="B80" s="10"/>
      <c r="C80" s="79"/>
      <c r="D80" s="79"/>
      <c r="E80" s="79"/>
      <c r="F80" s="79"/>
      <c r="G80" s="79"/>
      <c r="H80" s="79"/>
      <c r="I80" s="79"/>
      <c r="J80" s="79"/>
      <c r="K80" s="79"/>
      <c r="L80" s="79"/>
      <c r="N80" s="4" t="str">
        <f>Ratings!H56</f>
        <v>SBY14 new</v>
      </c>
      <c r="O80" s="24">
        <f>Ratings!I56</f>
        <v>14.3</v>
      </c>
      <c r="P80" s="79">
        <f>-P86-P84</f>
        <v>7</v>
      </c>
      <c r="Q80" s="79">
        <f t="shared" ref="Q80:Y82" si="49">$P80</f>
        <v>7</v>
      </c>
      <c r="R80" s="79">
        <f t="shared" si="49"/>
        <v>7</v>
      </c>
      <c r="S80" s="79">
        <f t="shared" si="49"/>
        <v>7</v>
      </c>
      <c r="T80" s="79">
        <f t="shared" si="49"/>
        <v>7</v>
      </c>
      <c r="U80" s="79">
        <f t="shared" si="49"/>
        <v>7</v>
      </c>
      <c r="V80" s="79">
        <f t="shared" si="49"/>
        <v>7</v>
      </c>
      <c r="W80" s="79">
        <f t="shared" si="49"/>
        <v>7</v>
      </c>
      <c r="X80" s="79">
        <f t="shared" si="49"/>
        <v>7</v>
      </c>
      <c r="Y80" s="79">
        <f t="shared" si="49"/>
        <v>7</v>
      </c>
    </row>
    <row r="81" spans="1:25" ht="14.1" customHeight="1" thickBot="1" x14ac:dyDescent="0.3">
      <c r="A81" s="4"/>
      <c r="B81" s="10"/>
      <c r="C81" s="79"/>
      <c r="D81" s="79"/>
      <c r="E81" s="79"/>
      <c r="F81" s="79"/>
      <c r="G81" s="79"/>
      <c r="H81" s="79"/>
      <c r="I81" s="79"/>
      <c r="J81" s="79"/>
      <c r="K81" s="79"/>
      <c r="L81" s="79"/>
      <c r="N81" s="4" t="str">
        <f>Ratings!H47</f>
        <v>SBY15 new</v>
      </c>
      <c r="O81" s="24">
        <f>Ratings!I47</f>
        <v>14.3</v>
      </c>
      <c r="P81" s="79">
        <v>11</v>
      </c>
      <c r="Q81" s="79">
        <f t="shared" si="49"/>
        <v>11</v>
      </c>
      <c r="R81" s="79">
        <f t="shared" si="49"/>
        <v>11</v>
      </c>
      <c r="S81" s="79">
        <f t="shared" si="49"/>
        <v>11</v>
      </c>
      <c r="T81" s="79">
        <f t="shared" si="49"/>
        <v>11</v>
      </c>
      <c r="U81" s="79">
        <f t="shared" si="49"/>
        <v>11</v>
      </c>
      <c r="V81" s="79">
        <f t="shared" si="49"/>
        <v>11</v>
      </c>
      <c r="W81" s="79">
        <f t="shared" si="49"/>
        <v>11</v>
      </c>
      <c r="X81" s="79">
        <f t="shared" si="49"/>
        <v>11</v>
      </c>
      <c r="Y81" s="79">
        <f t="shared" si="49"/>
        <v>11</v>
      </c>
    </row>
    <row r="82" spans="1:25" ht="14.1" customHeight="1" thickBot="1" x14ac:dyDescent="0.3">
      <c r="A82" s="4"/>
      <c r="B82" s="10"/>
      <c r="C82" s="79"/>
      <c r="D82" s="79"/>
      <c r="E82" s="79"/>
      <c r="F82" s="79"/>
      <c r="G82" s="79"/>
      <c r="H82" s="79"/>
      <c r="I82" s="79"/>
      <c r="J82" s="79"/>
      <c r="K82" s="79"/>
      <c r="L82" s="79"/>
      <c r="N82" s="4" t="str">
        <f>Ratings!H46</f>
        <v>SBY22 new</v>
      </c>
      <c r="O82" s="24">
        <f>Ratings!I46</f>
        <v>14.3</v>
      </c>
      <c r="P82" s="79">
        <f>-(P90+P91+P92)</f>
        <v>12</v>
      </c>
      <c r="Q82" s="79">
        <f t="shared" si="49"/>
        <v>12</v>
      </c>
      <c r="R82" s="79">
        <f t="shared" si="49"/>
        <v>12</v>
      </c>
      <c r="S82" s="79">
        <f t="shared" si="49"/>
        <v>12</v>
      </c>
      <c r="T82" s="79">
        <f t="shared" si="49"/>
        <v>12</v>
      </c>
      <c r="U82" s="79">
        <f t="shared" si="49"/>
        <v>12</v>
      </c>
      <c r="V82" s="79">
        <f t="shared" si="49"/>
        <v>12</v>
      </c>
      <c r="W82" s="79">
        <f t="shared" si="49"/>
        <v>12</v>
      </c>
      <c r="X82" s="79">
        <f t="shared" si="49"/>
        <v>12</v>
      </c>
      <c r="Y82" s="79">
        <f t="shared" si="49"/>
        <v>12</v>
      </c>
    </row>
    <row r="83" spans="1:25" ht="14.1" customHeight="1" thickBot="1" x14ac:dyDescent="0.3">
      <c r="A83" s="4"/>
      <c r="B83" s="10"/>
      <c r="C83" s="79"/>
      <c r="D83" s="79"/>
      <c r="E83" s="79"/>
      <c r="F83" s="79"/>
      <c r="G83" s="79"/>
      <c r="H83" s="79"/>
      <c r="I83" s="79"/>
      <c r="J83" s="79"/>
      <c r="K83" s="79"/>
      <c r="L83" s="79"/>
      <c r="N83" s="4" t="str">
        <f>Ratings!H12</f>
        <v>SBY24</v>
      </c>
      <c r="O83" s="24">
        <f>Ratings!I12</f>
        <v>14.3</v>
      </c>
      <c r="P83" s="79">
        <f>-(P81+P85)</f>
        <v>-17</v>
      </c>
      <c r="Q83" s="79">
        <f t="shared" ref="Q83:Y83" si="50">Q$12+$P83</f>
        <v>-5.4383819465030321</v>
      </c>
      <c r="R83" s="79">
        <f t="shared" si="50"/>
        <v>-2.8502484928143712</v>
      </c>
      <c r="S83" s="79">
        <f t="shared" si="50"/>
        <v>-1.0291569626860575</v>
      </c>
      <c r="T83" s="79">
        <f t="shared" si="50"/>
        <v>-0.20903100021516252</v>
      </c>
      <c r="U83" s="79">
        <f t="shared" si="50"/>
        <v>0.53427116755872461</v>
      </c>
      <c r="V83" s="79">
        <f t="shared" si="50"/>
        <v>0.9740980422569443</v>
      </c>
      <c r="W83" s="79">
        <f t="shared" si="50"/>
        <v>1.423709438461394</v>
      </c>
      <c r="X83" s="79">
        <f t="shared" si="50"/>
        <v>1.8675801860358199</v>
      </c>
      <c r="Y83" s="79">
        <f t="shared" si="50"/>
        <v>2.2500654691011235</v>
      </c>
    </row>
    <row r="84" spans="1:25" ht="14.1" customHeight="1" thickBot="1" x14ac:dyDescent="0.3">
      <c r="A84" s="4"/>
      <c r="B84" s="10"/>
      <c r="C84" s="79"/>
      <c r="D84" s="79"/>
      <c r="E84" s="79"/>
      <c r="F84" s="79"/>
      <c r="G84" s="79"/>
      <c r="H84" s="79"/>
      <c r="I84" s="79"/>
      <c r="J84" s="79"/>
      <c r="K84" s="79"/>
      <c r="L84" s="79"/>
      <c r="N84" s="4" t="str">
        <f>Ratings!H45</f>
        <v>SBY31 new</v>
      </c>
      <c r="O84" s="96">
        <f>Ratings!I45</f>
        <v>14.3</v>
      </c>
      <c r="P84" s="79">
        <v>10</v>
      </c>
      <c r="Q84" s="79">
        <f t="shared" ref="Q84:Y84" si="51">$P84</f>
        <v>10</v>
      </c>
      <c r="R84" s="79">
        <f t="shared" si="51"/>
        <v>10</v>
      </c>
      <c r="S84" s="79">
        <f t="shared" si="51"/>
        <v>10</v>
      </c>
      <c r="T84" s="79">
        <f t="shared" si="51"/>
        <v>10</v>
      </c>
      <c r="U84" s="79">
        <f t="shared" si="51"/>
        <v>10</v>
      </c>
      <c r="V84" s="79">
        <f t="shared" si="51"/>
        <v>10</v>
      </c>
      <c r="W84" s="79">
        <f t="shared" si="51"/>
        <v>10</v>
      </c>
      <c r="X84" s="79">
        <f t="shared" si="51"/>
        <v>10</v>
      </c>
      <c r="Y84" s="79">
        <f t="shared" si="51"/>
        <v>10</v>
      </c>
    </row>
    <row r="85" spans="1:25" ht="14.1" customHeight="1" thickBot="1" x14ac:dyDescent="0.3">
      <c r="A85" s="4"/>
      <c r="B85" s="10"/>
      <c r="C85" s="79"/>
      <c r="D85" s="79"/>
      <c r="E85" s="79"/>
      <c r="F85" s="79"/>
      <c r="G85" s="79"/>
      <c r="H85" s="79"/>
      <c r="I85" s="79"/>
      <c r="J85" s="79"/>
      <c r="K85" s="79"/>
      <c r="L85" s="79"/>
      <c r="N85" s="95" t="str">
        <f>Ratings!H15</f>
        <v>SBY35</v>
      </c>
      <c r="O85" s="10">
        <f>Ratings!I15</f>
        <v>14.3</v>
      </c>
      <c r="P85" s="79">
        <v>6</v>
      </c>
      <c r="Q85" s="79">
        <f t="shared" ref="Q85:Y85" si="52">Q$15+$P85</f>
        <v>12.462781699308596</v>
      </c>
      <c r="R85" s="79">
        <f t="shared" si="52"/>
        <v>12.462402061507039</v>
      </c>
      <c r="S85" s="79">
        <f t="shared" si="52"/>
        <v>12.515343815787455</v>
      </c>
      <c r="T85" s="79">
        <f t="shared" si="52"/>
        <v>12.579113303682718</v>
      </c>
      <c r="U85" s="79">
        <f t="shared" si="52"/>
        <v>12.728064573428348</v>
      </c>
      <c r="V85" s="79">
        <f t="shared" si="52"/>
        <v>12.896830277221831</v>
      </c>
      <c r="W85" s="79">
        <f t="shared" si="52"/>
        <v>13.069350393838349</v>
      </c>
      <c r="X85" s="79">
        <f t="shared" si="52"/>
        <v>13.239667769644761</v>
      </c>
      <c r="Y85" s="79">
        <f t="shared" si="52"/>
        <v>13.386430966030737</v>
      </c>
    </row>
    <row r="86" spans="1:25" ht="14.1" customHeight="1" thickBot="1" x14ac:dyDescent="0.3">
      <c r="A86" s="4"/>
      <c r="B86" s="10"/>
      <c r="C86" s="79"/>
      <c r="D86" s="79"/>
      <c r="E86" s="79"/>
      <c r="F86" s="79"/>
      <c r="G86" s="79"/>
      <c r="H86" s="79"/>
      <c r="I86" s="79"/>
      <c r="J86" s="79"/>
      <c r="K86" s="79"/>
      <c r="L86" s="79"/>
      <c r="N86" s="4" t="str">
        <f>Ratings!H2</f>
        <v>SHM11</v>
      </c>
      <c r="O86" s="96">
        <f>Ratings!I2</f>
        <v>14.3</v>
      </c>
      <c r="P86" s="79">
        <v>-17</v>
      </c>
      <c r="Q86" s="79">
        <f t="shared" ref="Q86:Y86" si="53">Q$2+$P86</f>
        <v>-9.1641540378075064</v>
      </c>
      <c r="R86" s="79">
        <f t="shared" si="53"/>
        <v>-6.9156286132535207</v>
      </c>
      <c r="S86" s="79">
        <f t="shared" si="53"/>
        <v>-5.3255851621085313</v>
      </c>
      <c r="T86" s="79">
        <f t="shared" si="53"/>
        <v>-4.4513105088967144</v>
      </c>
      <c r="U86" s="79">
        <f t="shared" si="53"/>
        <v>-3.7790711336754423</v>
      </c>
      <c r="V86" s="79">
        <f t="shared" si="53"/>
        <v>-3.1787808796683148</v>
      </c>
      <c r="W86" s="79">
        <f t="shared" si="53"/>
        <v>-2.7490575181801873</v>
      </c>
      <c r="X86" s="79">
        <f t="shared" si="53"/>
        <v>-2.3191912385243949</v>
      </c>
      <c r="Y86" s="79">
        <f t="shared" si="53"/>
        <v>-1.9327757041402496</v>
      </c>
    </row>
    <row r="87" spans="1:25" ht="14.1" customHeight="1" thickBot="1" x14ac:dyDescent="0.3">
      <c r="A87" s="4"/>
      <c r="B87" s="10"/>
      <c r="C87" s="79"/>
      <c r="D87" s="79"/>
      <c r="E87" s="79"/>
      <c r="F87" s="79"/>
      <c r="G87" s="79"/>
      <c r="H87" s="79"/>
      <c r="I87" s="79"/>
      <c r="J87" s="79"/>
      <c r="K87" s="79"/>
      <c r="L87" s="79"/>
      <c r="N87" s="4" t="str">
        <f>Ratings!H55</f>
        <v>SHM13 new</v>
      </c>
      <c r="O87" s="96">
        <f>Ratings!I55</f>
        <v>14.3</v>
      </c>
      <c r="P87" s="79">
        <f>14</f>
        <v>14</v>
      </c>
      <c r="Q87" s="79">
        <f t="shared" ref="Q87:Y87" si="54">$P87</f>
        <v>14</v>
      </c>
      <c r="R87" s="79">
        <f t="shared" si="54"/>
        <v>14</v>
      </c>
      <c r="S87" s="79">
        <f t="shared" si="54"/>
        <v>14</v>
      </c>
      <c r="T87" s="79">
        <f t="shared" si="54"/>
        <v>14</v>
      </c>
      <c r="U87" s="79">
        <f t="shared" si="54"/>
        <v>14</v>
      </c>
      <c r="V87" s="79">
        <f t="shared" si="54"/>
        <v>14</v>
      </c>
      <c r="W87" s="79">
        <f t="shared" si="54"/>
        <v>14</v>
      </c>
      <c r="X87" s="79">
        <f t="shared" si="54"/>
        <v>14</v>
      </c>
      <c r="Y87" s="79">
        <f t="shared" si="54"/>
        <v>14</v>
      </c>
    </row>
    <row r="88" spans="1:25" ht="14.1" customHeight="1" thickBot="1" x14ac:dyDescent="0.3">
      <c r="A88" s="4"/>
      <c r="B88" s="10"/>
      <c r="C88" s="79"/>
      <c r="D88" s="79"/>
      <c r="E88" s="79"/>
      <c r="F88" s="79"/>
      <c r="G88" s="79"/>
      <c r="H88" s="79"/>
      <c r="I88" s="79"/>
      <c r="J88" s="79"/>
      <c r="K88" s="79"/>
      <c r="L88" s="79"/>
      <c r="N88" s="4" t="str">
        <f>Ratings!H4</f>
        <v>SHM14</v>
      </c>
      <c r="O88" s="24">
        <f>Ratings!I4</f>
        <v>14.3</v>
      </c>
      <c r="P88" s="79">
        <f>-P87</f>
        <v>-14</v>
      </c>
      <c r="Q88" s="79">
        <f t="shared" ref="Q88:Y88" si="55">Q$4+$P88</f>
        <v>3.1114541072915927</v>
      </c>
      <c r="R88" s="79">
        <f t="shared" si="55"/>
        <v>4.8190335166681137</v>
      </c>
      <c r="S88" s="79">
        <f t="shared" si="55"/>
        <v>6.126281363123546</v>
      </c>
      <c r="T88" s="79">
        <f t="shared" si="55"/>
        <v>6.7780956247630542</v>
      </c>
      <c r="U88" s="79">
        <f t="shared" si="55"/>
        <v>7.5290311200768159</v>
      </c>
      <c r="V88" s="79">
        <f t="shared" si="55"/>
        <v>8.1999061599518583</v>
      </c>
      <c r="W88" s="79">
        <f t="shared" si="55"/>
        <v>8.8901360316237401</v>
      </c>
      <c r="X88" s="79">
        <f t="shared" si="55"/>
        <v>9.5805954611865047</v>
      </c>
      <c r="Y88" s="79">
        <f t="shared" si="55"/>
        <v>10.201263473710558</v>
      </c>
    </row>
    <row r="89" spans="1:25" ht="14.1" customHeight="1" thickBot="1" x14ac:dyDescent="0.3">
      <c r="A89" s="4"/>
      <c r="B89" s="10"/>
      <c r="C89" s="79"/>
      <c r="D89" s="79"/>
      <c r="E89" s="79"/>
      <c r="F89" s="79"/>
      <c r="G89" s="79"/>
      <c r="H89" s="79"/>
      <c r="I89" s="79"/>
      <c r="J89" s="79"/>
      <c r="K89" s="79"/>
      <c r="L89" s="79"/>
      <c r="N89" s="95" t="str">
        <f>Ratings!H7</f>
        <v>SHM23</v>
      </c>
      <c r="O89" s="5">
        <f>Ratings!I7</f>
        <v>14.3</v>
      </c>
      <c r="P89" s="79">
        <v>0</v>
      </c>
      <c r="Q89" s="79">
        <f t="shared" ref="Q89:Y89" si="56">Q$7+$P89</f>
        <v>1.9854342013163291</v>
      </c>
      <c r="R89" s="79">
        <f t="shared" si="56"/>
        <v>1.9888783255291858</v>
      </c>
      <c r="S89" s="79">
        <f t="shared" si="56"/>
        <v>2.0099611803707988</v>
      </c>
      <c r="T89" s="79">
        <f t="shared" si="56"/>
        <v>2.0356864343024097</v>
      </c>
      <c r="U89" s="79">
        <f t="shared" si="56"/>
        <v>2.094116955987626</v>
      </c>
      <c r="V89" s="79">
        <f t="shared" si="56"/>
        <v>2.1593726002623508</v>
      </c>
      <c r="W89" s="79">
        <f t="shared" si="56"/>
        <v>2.2265108783267702</v>
      </c>
      <c r="X89" s="79">
        <f t="shared" si="56"/>
        <v>2.2936714853603375</v>
      </c>
      <c r="Y89" s="79">
        <f t="shared" si="56"/>
        <v>2.3540435198386422</v>
      </c>
    </row>
    <row r="90" spans="1:25" ht="14.1" customHeight="1" thickBot="1" x14ac:dyDescent="0.3">
      <c r="A90" s="4"/>
      <c r="B90" s="10"/>
      <c r="C90" s="79"/>
      <c r="D90" s="79"/>
      <c r="E90" s="79"/>
      <c r="F90" s="79"/>
      <c r="G90" s="79"/>
      <c r="H90" s="79"/>
      <c r="I90" s="79"/>
      <c r="J90" s="79"/>
      <c r="K90" s="79"/>
      <c r="L90" s="79"/>
      <c r="N90" s="4" t="str">
        <f>Ratings!H13</f>
        <v>SBY32</v>
      </c>
      <c r="O90" s="24">
        <f>Ratings!I13</f>
        <v>14.3</v>
      </c>
      <c r="P90" s="79">
        <v>-5</v>
      </c>
      <c r="Q90" s="79">
        <f t="shared" ref="Q90:Y90" si="57">Q$13+$P90</f>
        <v>10.159685452971493</v>
      </c>
      <c r="R90" s="79">
        <f t="shared" si="57"/>
        <v>10.982737837334899</v>
      </c>
      <c r="S90" s="79">
        <f t="shared" si="57"/>
        <v>11.647392058986163</v>
      </c>
      <c r="T90" s="79">
        <f t="shared" si="57"/>
        <v>12.00370497033401</v>
      </c>
      <c r="U90" s="79">
        <f t="shared" si="57"/>
        <v>12.505914173349449</v>
      </c>
      <c r="V90" s="79">
        <f t="shared" si="57"/>
        <v>12.945029745706115</v>
      </c>
      <c r="W90" s="79">
        <f t="shared" si="57"/>
        <v>13.393914015722274</v>
      </c>
      <c r="X90" s="79">
        <f t="shared" si="57"/>
        <v>13.837066921072271</v>
      </c>
      <c r="Y90" s="79">
        <f t="shared" si="57"/>
        <v>14.218933636484923</v>
      </c>
    </row>
    <row r="91" spans="1:25" ht="14.1" customHeight="1" thickBot="1" x14ac:dyDescent="0.3">
      <c r="A91" s="4"/>
      <c r="B91" s="10"/>
      <c r="C91" s="79"/>
      <c r="D91" s="79"/>
      <c r="E91" s="79"/>
      <c r="F91" s="79"/>
      <c r="G91" s="79"/>
      <c r="H91" s="79"/>
      <c r="I91" s="79"/>
      <c r="J91" s="79"/>
      <c r="K91" s="79"/>
      <c r="L91" s="79"/>
      <c r="N91" s="4" t="str">
        <f>Ratings!H11</f>
        <v>SBY23</v>
      </c>
      <c r="O91" s="5">
        <f>Ratings!I11</f>
        <v>14.3</v>
      </c>
      <c r="P91" s="79">
        <v>-4</v>
      </c>
      <c r="Q91" s="79">
        <f t="shared" ref="Q91:Y91" si="58">Q$11+$P91</f>
        <v>7.0505773732815609</v>
      </c>
      <c r="R91" s="79">
        <f t="shared" si="58"/>
        <v>7.3361268664576667</v>
      </c>
      <c r="S91" s="79">
        <f t="shared" si="58"/>
        <v>7.5249550166811474</v>
      </c>
      <c r="T91" s="79">
        <f t="shared" si="58"/>
        <v>7.6931265261651838</v>
      </c>
      <c r="U91" s="79">
        <f t="shared" si="58"/>
        <v>7.9595538891805759</v>
      </c>
      <c r="V91" s="79">
        <f t="shared" si="58"/>
        <v>8.259545440559986</v>
      </c>
      <c r="W91" s="79">
        <f t="shared" si="58"/>
        <v>8.5662106946051928</v>
      </c>
      <c r="X91" s="79">
        <f t="shared" si="58"/>
        <v>8.8689604396455675</v>
      </c>
      <c r="Y91" s="79">
        <f t="shared" si="58"/>
        <v>9.1298411635105676</v>
      </c>
    </row>
    <row r="92" spans="1:25" ht="14.1" customHeight="1" thickBot="1" x14ac:dyDescent="0.3">
      <c r="A92" s="4"/>
      <c r="B92" s="10"/>
      <c r="C92" s="79"/>
      <c r="D92" s="79"/>
      <c r="E92" s="79"/>
      <c r="F92" s="79"/>
      <c r="G92" s="79"/>
      <c r="H92" s="79"/>
      <c r="I92" s="79"/>
      <c r="J92" s="79"/>
      <c r="K92" s="79"/>
      <c r="L92" s="79"/>
      <c r="N92" s="4" t="str">
        <f>Ratings!H10</f>
        <v>SBY13</v>
      </c>
      <c r="O92" s="96">
        <f>Ratings!I10</f>
        <v>12.5</v>
      </c>
      <c r="P92" s="79">
        <v>-3</v>
      </c>
      <c r="Q92" s="79">
        <f>Q$10+$P92</f>
        <v>4.4264648822788688</v>
      </c>
      <c r="R92" s="79">
        <f t="shared" ref="R92:Y92" si="59">R$10+$P92</f>
        <v>4.5954475218138136</v>
      </c>
      <c r="S92" s="79">
        <f t="shared" si="59"/>
        <v>4.7341207608333287</v>
      </c>
      <c r="T92" s="79">
        <f t="shared" si="59"/>
        <v>4.8251041651668265</v>
      </c>
      <c r="U92" s="79">
        <f t="shared" si="59"/>
        <v>5.0086951654492022</v>
      </c>
      <c r="V92" s="79">
        <f t="shared" si="59"/>
        <v>5.2095840037344985</v>
      </c>
      <c r="W92" s="79">
        <f t="shared" si="59"/>
        <v>5.4149418757956749</v>
      </c>
      <c r="X92" s="79">
        <f t="shared" si="59"/>
        <v>5.6176777338312593</v>
      </c>
      <c r="Y92" s="79">
        <f t="shared" si="59"/>
        <v>5.792376072192079</v>
      </c>
    </row>
    <row r="93" spans="1:25" ht="14.1" customHeight="1" thickBot="1" x14ac:dyDescent="0.3">
      <c r="A93" s="4"/>
      <c r="B93" s="10"/>
      <c r="C93" s="79"/>
      <c r="D93" s="79"/>
      <c r="E93" s="79"/>
      <c r="F93" s="79"/>
      <c r="G93" s="79"/>
      <c r="H93" s="79"/>
      <c r="I93" s="79"/>
      <c r="J93" s="79"/>
      <c r="K93" s="79"/>
      <c r="L93" s="79"/>
      <c r="N93" s="95"/>
      <c r="O93" s="5"/>
      <c r="P93" s="79"/>
      <c r="Q93" s="79"/>
      <c r="R93" s="79"/>
      <c r="S93" s="79"/>
      <c r="T93" s="79"/>
      <c r="U93" s="79"/>
      <c r="V93" s="79"/>
      <c r="W93" s="79"/>
      <c r="X93" s="79"/>
      <c r="Y93" s="79"/>
    </row>
    <row r="94" spans="1:25" ht="14.1" customHeight="1" thickBot="1" x14ac:dyDescent="0.3">
      <c r="A94" s="4"/>
      <c r="B94" s="10"/>
      <c r="C94" s="79"/>
      <c r="D94" s="79"/>
      <c r="E94" s="79"/>
      <c r="F94" s="79"/>
      <c r="G94" s="79"/>
      <c r="H94" s="79"/>
      <c r="I94" s="79"/>
      <c r="J94" s="79"/>
      <c r="K94" s="79"/>
      <c r="L94" s="79"/>
      <c r="N94" s="95"/>
      <c r="O94" s="5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ht="14.1" customHeight="1" thickBot="1" x14ac:dyDescent="0.3">
      <c r="A95" s="4"/>
      <c r="B95" s="10"/>
      <c r="C95" s="79"/>
      <c r="D95" s="79"/>
      <c r="E95" s="79"/>
      <c r="F95" s="79"/>
      <c r="G95" s="79"/>
      <c r="H95" s="79"/>
      <c r="I95" s="79"/>
      <c r="J95" s="79"/>
      <c r="K95" s="79"/>
      <c r="L95" s="79"/>
      <c r="N95" s="95"/>
      <c r="O95" s="5"/>
      <c r="P95" s="79"/>
      <c r="Q95" s="79"/>
      <c r="R95" s="79"/>
      <c r="S95" s="79"/>
      <c r="T95" s="79"/>
      <c r="U95" s="79"/>
      <c r="V95" s="79"/>
      <c r="W95" s="79"/>
      <c r="X95" s="79"/>
      <c r="Y95" s="79"/>
    </row>
    <row r="96" spans="1:25" ht="14.1" customHeight="1" thickBot="1" x14ac:dyDescent="0.3">
      <c r="A96" s="4"/>
      <c r="B96" s="10"/>
      <c r="C96" s="79"/>
      <c r="D96" s="79"/>
      <c r="E96" s="79"/>
      <c r="F96" s="79"/>
      <c r="G96" s="79"/>
      <c r="H96" s="79"/>
      <c r="I96" s="79"/>
      <c r="J96" s="79"/>
      <c r="K96" s="79"/>
      <c r="L96" s="79"/>
      <c r="N96" s="4"/>
      <c r="O96" s="96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5" ht="14.1" customHeight="1" thickBot="1" x14ac:dyDescent="0.3">
      <c r="A97" s="4"/>
      <c r="B97" s="10"/>
      <c r="C97" s="79"/>
      <c r="D97" s="79"/>
      <c r="E97" s="79"/>
      <c r="F97" s="79"/>
      <c r="G97" s="79"/>
      <c r="H97" s="79"/>
      <c r="I97" s="79"/>
      <c r="J97" s="79"/>
      <c r="K97" s="79"/>
      <c r="L97" s="79"/>
      <c r="N97" s="6"/>
      <c r="O97" s="96"/>
      <c r="P97" s="79"/>
      <c r="Q97" s="79"/>
      <c r="R97" s="79"/>
      <c r="S97" s="79"/>
      <c r="T97" s="79"/>
      <c r="U97" s="79"/>
      <c r="V97" s="79"/>
      <c r="W97" s="79"/>
      <c r="X97" s="79"/>
      <c r="Y97" s="79"/>
    </row>
    <row r="98" spans="1:25" ht="14.1" customHeight="1" thickBot="1" x14ac:dyDescent="0.3">
      <c r="A98" s="4"/>
      <c r="B98" s="10"/>
      <c r="C98" s="79"/>
      <c r="D98" s="79"/>
      <c r="E98" s="79"/>
      <c r="F98" s="79"/>
      <c r="G98" s="79"/>
      <c r="H98" s="79"/>
      <c r="I98" s="79"/>
      <c r="J98" s="79"/>
      <c r="K98" s="79"/>
      <c r="L98" s="79"/>
      <c r="N98" s="4"/>
      <c r="O98" s="96"/>
      <c r="P98" s="79"/>
      <c r="Q98" s="79"/>
      <c r="R98" s="79"/>
      <c r="S98" s="79"/>
      <c r="T98" s="79"/>
      <c r="U98" s="79"/>
      <c r="V98" s="79"/>
      <c r="W98" s="79"/>
      <c r="X98" s="79"/>
      <c r="Y98" s="79"/>
    </row>
    <row r="99" spans="1:25" ht="14.1" customHeight="1" thickBot="1" x14ac:dyDescent="0.3">
      <c r="A99" s="4"/>
      <c r="B99" s="10"/>
      <c r="C99" s="79"/>
      <c r="D99" s="79"/>
      <c r="E99" s="79"/>
      <c r="F99" s="79"/>
      <c r="G99" s="79"/>
      <c r="H99" s="79"/>
      <c r="I99" s="79"/>
      <c r="J99" s="79"/>
      <c r="K99" s="79"/>
      <c r="L99" s="79"/>
      <c r="N99" s="4"/>
      <c r="O99" s="96"/>
      <c r="P99" s="79"/>
      <c r="Q99" s="79"/>
      <c r="R99" s="79"/>
      <c r="S99" s="79"/>
      <c r="T99" s="79"/>
      <c r="U99" s="79"/>
      <c r="V99" s="79"/>
      <c r="W99" s="79"/>
      <c r="X99" s="79"/>
      <c r="Y99" s="79"/>
    </row>
    <row r="100" spans="1:25" ht="14.1" customHeight="1" thickBot="1" x14ac:dyDescent="0.3">
      <c r="A100" s="4"/>
      <c r="B100" s="10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N100" s="4"/>
      <c r="O100" s="96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  <row r="101" spans="1:25" ht="14.1" customHeight="1" thickBot="1" x14ac:dyDescent="0.3">
      <c r="A101" s="4"/>
      <c r="B101" s="10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N101" s="4"/>
      <c r="O101" s="96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  <row r="102" spans="1:25" ht="14.1" customHeight="1" thickBot="1" x14ac:dyDescent="0.3">
      <c r="A102" s="4"/>
      <c r="B102" s="10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N102" s="4"/>
      <c r="O102" s="96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  <row r="103" spans="1:25" ht="14.1" customHeight="1" thickBot="1" x14ac:dyDescent="0.3">
      <c r="A103" s="4"/>
      <c r="B103" s="10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N103" s="4"/>
      <c r="O103" s="96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  <row r="104" spans="1:25" ht="14.1" customHeight="1" thickBot="1" x14ac:dyDescent="0.3">
      <c r="A104" s="4"/>
      <c r="B104" s="10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N104" s="95"/>
      <c r="O104" s="5"/>
      <c r="P104" s="79"/>
      <c r="Q104" s="79"/>
      <c r="R104" s="79"/>
      <c r="S104" s="79"/>
      <c r="T104" s="79"/>
      <c r="U104" s="79"/>
      <c r="V104" s="79"/>
      <c r="W104" s="79"/>
      <c r="X104" s="79"/>
      <c r="Y104" s="79"/>
    </row>
    <row r="105" spans="1:25" ht="14.1" customHeight="1" thickBot="1" x14ac:dyDescent="0.3">
      <c r="A105" s="4"/>
      <c r="B105" s="10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N105" s="95"/>
      <c r="O105" s="10"/>
      <c r="P105" s="79"/>
      <c r="Q105" s="79"/>
      <c r="R105" s="79"/>
      <c r="S105" s="79"/>
      <c r="T105" s="79"/>
      <c r="U105" s="79"/>
      <c r="V105" s="79"/>
      <c r="W105" s="79"/>
      <c r="X105" s="79"/>
      <c r="Y105" s="79"/>
    </row>
    <row r="106" spans="1:25" ht="14.1" customHeight="1" thickBot="1" x14ac:dyDescent="0.3">
      <c r="A106" s="4"/>
      <c r="B106" s="10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N106" s="4"/>
      <c r="O106" s="96"/>
      <c r="P106" s="79"/>
      <c r="Q106" s="79"/>
      <c r="R106" s="79"/>
      <c r="S106" s="79"/>
      <c r="T106" s="79"/>
      <c r="U106" s="79"/>
      <c r="V106" s="79"/>
      <c r="W106" s="79"/>
      <c r="X106" s="79"/>
      <c r="Y106" s="79"/>
    </row>
    <row r="107" spans="1:25" ht="14.1" customHeight="1" thickBot="1" x14ac:dyDescent="0.3">
      <c r="A107" s="4"/>
      <c r="B107" s="10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N107" s="4"/>
      <c r="O107" s="96"/>
      <c r="P107" s="79"/>
      <c r="Q107" s="79"/>
      <c r="R107" s="79"/>
      <c r="S107" s="79"/>
      <c r="T107" s="79"/>
      <c r="U107" s="79"/>
      <c r="V107" s="79"/>
      <c r="W107" s="79"/>
      <c r="X107" s="79"/>
      <c r="Y107" s="79"/>
    </row>
    <row r="108" spans="1:25" ht="14.1" customHeight="1" thickBot="1" x14ac:dyDescent="0.3">
      <c r="A108" s="4"/>
      <c r="B108" s="10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N108" s="4"/>
      <c r="O108" s="96"/>
      <c r="P108" s="79"/>
      <c r="Q108" s="79"/>
      <c r="R108" s="79"/>
      <c r="S108" s="79"/>
      <c r="T108" s="79"/>
      <c r="U108" s="79"/>
      <c r="V108" s="79"/>
      <c r="W108" s="79"/>
      <c r="X108" s="79"/>
      <c r="Y108" s="79"/>
    </row>
    <row r="109" spans="1:25" ht="14.1" customHeight="1" thickBot="1" x14ac:dyDescent="0.3">
      <c r="A109" s="4"/>
      <c r="B109" s="10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N109" s="95"/>
      <c r="O109" s="5"/>
      <c r="P109" s="79"/>
      <c r="Q109" s="79"/>
      <c r="R109" s="79"/>
      <c r="S109" s="79"/>
      <c r="T109" s="79"/>
      <c r="U109" s="79"/>
      <c r="V109" s="79"/>
      <c r="W109" s="79"/>
      <c r="X109" s="79"/>
      <c r="Y109" s="79"/>
    </row>
    <row r="110" spans="1:25" ht="14.1" customHeight="1" thickBot="1" x14ac:dyDescent="0.3">
      <c r="A110" s="4"/>
      <c r="B110" s="10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N110" s="4"/>
      <c r="O110" s="96"/>
      <c r="P110" s="79"/>
      <c r="Q110" s="79"/>
      <c r="R110" s="79"/>
      <c r="S110" s="79"/>
      <c r="T110" s="79"/>
      <c r="U110" s="79"/>
      <c r="V110" s="79"/>
      <c r="W110" s="79"/>
      <c r="X110" s="79"/>
      <c r="Y110" s="79"/>
    </row>
    <row r="111" spans="1:25" ht="14.1" customHeight="1" thickBot="1" x14ac:dyDescent="0.3">
      <c r="A111" s="4"/>
      <c r="B111" s="10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N111" s="4"/>
      <c r="O111" s="96"/>
      <c r="P111" s="79"/>
      <c r="Q111" s="79"/>
      <c r="R111" s="79"/>
      <c r="S111" s="79"/>
      <c r="T111" s="79"/>
      <c r="U111" s="79"/>
      <c r="V111" s="79"/>
      <c r="W111" s="79"/>
      <c r="X111" s="79"/>
      <c r="Y111" s="79"/>
    </row>
    <row r="112" spans="1:25" ht="14.1" customHeight="1" thickBot="1" x14ac:dyDescent="0.3">
      <c r="A112" s="4"/>
      <c r="B112" s="10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N112" s="95"/>
      <c r="O112" s="5"/>
      <c r="P112" s="79"/>
      <c r="Q112" s="79"/>
      <c r="R112" s="79"/>
      <c r="S112" s="79"/>
      <c r="T112" s="79"/>
      <c r="U112" s="79"/>
      <c r="V112" s="79"/>
      <c r="W112" s="79"/>
      <c r="X112" s="79"/>
      <c r="Y112" s="79"/>
    </row>
    <row r="113" spans="1:25" ht="14.1" customHeight="1" thickBot="1" x14ac:dyDescent="0.3">
      <c r="A113" s="4"/>
      <c r="B113" s="10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N113" s="4"/>
      <c r="O113" s="96"/>
      <c r="P113" s="79"/>
      <c r="Q113" s="79"/>
      <c r="R113" s="79"/>
      <c r="S113" s="79"/>
      <c r="T113" s="79"/>
      <c r="U113" s="79"/>
      <c r="V113" s="79"/>
      <c r="W113" s="79"/>
      <c r="X113" s="79"/>
      <c r="Y113" s="79"/>
    </row>
    <row r="114" spans="1:25" ht="14.1" customHeight="1" thickBot="1" x14ac:dyDescent="0.3">
      <c r="A114" s="4"/>
      <c r="B114" s="10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N114" s="4"/>
      <c r="O114" s="96"/>
      <c r="P114" s="79"/>
      <c r="Q114" s="79"/>
      <c r="R114" s="79"/>
      <c r="S114" s="79"/>
      <c r="T114" s="79"/>
      <c r="U114" s="79"/>
      <c r="V114" s="79"/>
      <c r="W114" s="79"/>
      <c r="X114" s="79"/>
      <c r="Y114" s="79"/>
    </row>
    <row r="115" spans="1:25" ht="14.1" customHeight="1" thickBot="1" x14ac:dyDescent="0.3">
      <c r="A115" s="4"/>
      <c r="B115" s="10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N115" s="4"/>
      <c r="O115" s="96"/>
      <c r="P115" s="79"/>
      <c r="Q115" s="79"/>
      <c r="R115" s="79"/>
      <c r="S115" s="79"/>
      <c r="T115" s="79"/>
      <c r="U115" s="79"/>
      <c r="V115" s="79"/>
      <c r="W115" s="79"/>
      <c r="X115" s="79"/>
      <c r="Y115" s="79"/>
    </row>
    <row r="116" spans="1:25" ht="14.1" customHeight="1" thickBot="1" x14ac:dyDescent="0.3">
      <c r="A116" s="4"/>
      <c r="B116" s="10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N116" s="4"/>
      <c r="O116" s="96"/>
      <c r="P116" s="79"/>
      <c r="Q116" s="79"/>
      <c r="R116" s="79"/>
      <c r="S116" s="79"/>
      <c r="T116" s="79"/>
      <c r="U116" s="79"/>
      <c r="V116" s="79"/>
      <c r="W116" s="79"/>
      <c r="X116" s="79"/>
      <c r="Y116" s="79"/>
    </row>
    <row r="117" spans="1:25" ht="14.1" customHeight="1" thickBot="1" x14ac:dyDescent="0.3">
      <c r="A117" s="4"/>
      <c r="B117" s="10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N117" s="4"/>
      <c r="O117" s="96"/>
      <c r="P117" s="79"/>
      <c r="Q117" s="79"/>
      <c r="R117" s="79"/>
      <c r="S117" s="79"/>
      <c r="T117" s="79"/>
      <c r="U117" s="79"/>
      <c r="V117" s="79"/>
      <c r="W117" s="79"/>
      <c r="X117" s="79"/>
      <c r="Y117" s="79"/>
    </row>
    <row r="118" spans="1:25" ht="14.1" customHeight="1" thickBot="1" x14ac:dyDescent="0.3">
      <c r="A118" s="4"/>
      <c r="B118" s="10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N118" s="95"/>
      <c r="O118" s="5"/>
      <c r="P118" s="79"/>
      <c r="Q118" s="79"/>
      <c r="R118" s="79"/>
      <c r="S118" s="79"/>
      <c r="T118" s="79"/>
      <c r="U118" s="79"/>
      <c r="V118" s="79"/>
      <c r="W118" s="79"/>
      <c r="X118" s="79"/>
      <c r="Y118" s="79"/>
    </row>
    <row r="119" spans="1:25" ht="14.1" customHeight="1" thickBot="1" x14ac:dyDescent="0.3">
      <c r="A119" s="4"/>
      <c r="B119" s="10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N119" s="95"/>
      <c r="O119" s="5"/>
      <c r="P119" s="79"/>
      <c r="Q119" s="79"/>
      <c r="R119" s="79"/>
      <c r="S119" s="79"/>
      <c r="T119" s="79"/>
      <c r="U119" s="79"/>
      <c r="V119" s="79"/>
      <c r="W119" s="79"/>
      <c r="X119" s="79"/>
      <c r="Y119" s="79"/>
    </row>
    <row r="120" spans="1:25" ht="14.1" customHeight="1" thickBot="1" x14ac:dyDescent="0.3">
      <c r="A120" s="4"/>
      <c r="B120" s="10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N120" s="95"/>
      <c r="O120" s="5"/>
      <c r="P120" s="79"/>
      <c r="Q120" s="79"/>
      <c r="R120" s="79"/>
      <c r="S120" s="79"/>
      <c r="T120" s="79"/>
      <c r="U120" s="79"/>
      <c r="V120" s="79"/>
      <c r="W120" s="79"/>
      <c r="X120" s="79"/>
      <c r="Y120" s="79"/>
    </row>
    <row r="121" spans="1:25" ht="14.1" customHeight="1" thickBot="1" x14ac:dyDescent="0.3">
      <c r="A121" s="4"/>
      <c r="B121" s="10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N121" s="4"/>
      <c r="O121" s="96"/>
      <c r="P121" s="79"/>
      <c r="Q121" s="79"/>
      <c r="R121" s="79"/>
      <c r="S121" s="79"/>
      <c r="T121" s="79"/>
      <c r="U121" s="79"/>
      <c r="V121" s="79"/>
      <c r="W121" s="79"/>
      <c r="X121" s="79"/>
      <c r="Y121" s="79"/>
    </row>
    <row r="122" spans="1:25" ht="14.1" customHeight="1" thickBot="1" x14ac:dyDescent="0.3">
      <c r="A122" s="4"/>
      <c r="B122" s="10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N122" s="6"/>
      <c r="O122" s="96"/>
      <c r="P122" s="79"/>
      <c r="Q122" s="79"/>
      <c r="R122" s="79"/>
      <c r="S122" s="79"/>
      <c r="T122" s="79"/>
      <c r="U122" s="79"/>
      <c r="V122" s="79"/>
      <c r="W122" s="79"/>
      <c r="X122" s="79"/>
      <c r="Y122" s="79"/>
    </row>
    <row r="123" spans="1:25" ht="14.1" customHeight="1" thickBot="1" x14ac:dyDescent="0.3">
      <c r="A123" s="4"/>
      <c r="B123" s="10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N123" s="4"/>
      <c r="O123" s="96"/>
      <c r="P123" s="79"/>
      <c r="Q123" s="79"/>
      <c r="R123" s="79"/>
      <c r="S123" s="79"/>
      <c r="T123" s="79"/>
      <c r="U123" s="79"/>
      <c r="V123" s="79"/>
      <c r="W123" s="79"/>
      <c r="X123" s="79"/>
      <c r="Y123" s="79"/>
    </row>
    <row r="124" spans="1:25" ht="14.1" customHeight="1" thickBot="1" x14ac:dyDescent="0.3">
      <c r="A124" s="4"/>
      <c r="B124" s="10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N124" s="4"/>
      <c r="O124" s="96"/>
      <c r="P124" s="79"/>
      <c r="Q124" s="79"/>
      <c r="R124" s="79"/>
      <c r="S124" s="79"/>
      <c r="T124" s="79"/>
      <c r="U124" s="79"/>
      <c r="V124" s="79"/>
      <c r="W124" s="79"/>
      <c r="X124" s="79"/>
      <c r="Y124" s="79"/>
    </row>
    <row r="125" spans="1:25" ht="14.1" customHeight="1" thickBot="1" x14ac:dyDescent="0.3">
      <c r="A125" s="4"/>
      <c r="B125" s="10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N125" s="4"/>
      <c r="O125" s="96"/>
      <c r="P125" s="79"/>
      <c r="Q125" s="79"/>
      <c r="R125" s="79"/>
      <c r="S125" s="79"/>
      <c r="T125" s="79"/>
      <c r="U125" s="79"/>
      <c r="V125" s="79"/>
      <c r="W125" s="79"/>
      <c r="X125" s="79"/>
      <c r="Y125" s="79"/>
    </row>
    <row r="126" spans="1:25" ht="14.1" customHeight="1" thickBot="1" x14ac:dyDescent="0.3">
      <c r="A126" s="4"/>
      <c r="B126" s="10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N126" s="4"/>
      <c r="O126" s="96"/>
      <c r="P126" s="79"/>
      <c r="Q126" s="79"/>
      <c r="R126" s="79"/>
      <c r="S126" s="79"/>
      <c r="T126" s="79"/>
      <c r="U126" s="79"/>
      <c r="V126" s="79"/>
      <c r="W126" s="79"/>
      <c r="X126" s="79"/>
      <c r="Y126" s="79"/>
    </row>
    <row r="127" spans="1:25" ht="14.1" customHeight="1" thickBot="1" x14ac:dyDescent="0.3">
      <c r="A127" s="4"/>
      <c r="B127" s="10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N127" s="4"/>
      <c r="O127" s="96"/>
      <c r="P127" s="79"/>
      <c r="Q127" s="79"/>
      <c r="R127" s="79"/>
      <c r="S127" s="79"/>
      <c r="T127" s="79"/>
      <c r="U127" s="79"/>
      <c r="V127" s="79"/>
      <c r="W127" s="79"/>
      <c r="X127" s="79"/>
      <c r="Y127" s="79"/>
    </row>
    <row r="128" spans="1:25" ht="14.1" customHeight="1" thickBot="1" x14ac:dyDescent="0.3">
      <c r="A128" s="4"/>
      <c r="B128" s="10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N128" s="4"/>
      <c r="O128" s="96"/>
      <c r="P128" s="79"/>
      <c r="Q128" s="79"/>
      <c r="R128" s="79"/>
      <c r="S128" s="79"/>
      <c r="T128" s="79"/>
      <c r="U128" s="79"/>
      <c r="V128" s="79"/>
      <c r="W128" s="79"/>
      <c r="X128" s="79"/>
      <c r="Y128" s="79"/>
    </row>
    <row r="129" spans="1:25" ht="14.1" customHeight="1" thickBot="1" x14ac:dyDescent="0.3">
      <c r="A129" s="4"/>
      <c r="B129" s="10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N129" s="95"/>
      <c r="O129" s="5"/>
      <c r="P129" s="79"/>
      <c r="Q129" s="79"/>
      <c r="R129" s="79"/>
      <c r="S129" s="79"/>
      <c r="T129" s="79"/>
      <c r="U129" s="79"/>
      <c r="V129" s="79"/>
      <c r="W129" s="79"/>
      <c r="X129" s="79"/>
      <c r="Y129" s="79"/>
    </row>
    <row r="130" spans="1:25" ht="14.1" customHeight="1" thickBot="1" x14ac:dyDescent="0.3">
      <c r="A130" s="4"/>
      <c r="B130" s="10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N130" s="95"/>
      <c r="O130" s="10"/>
      <c r="P130" s="79"/>
      <c r="Q130" s="79"/>
      <c r="R130" s="79"/>
      <c r="S130" s="79"/>
      <c r="T130" s="79"/>
      <c r="U130" s="79"/>
      <c r="V130" s="79"/>
      <c r="W130" s="79"/>
      <c r="X130" s="79"/>
      <c r="Y130" s="79"/>
    </row>
    <row r="131" spans="1:25" ht="14.1" customHeight="1" thickBot="1" x14ac:dyDescent="0.3">
      <c r="A131" s="4"/>
      <c r="B131" s="10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N131" s="4"/>
      <c r="O131" s="96"/>
      <c r="P131" s="79"/>
      <c r="Q131" s="79"/>
      <c r="R131" s="79"/>
      <c r="S131" s="79"/>
      <c r="T131" s="79"/>
      <c r="U131" s="79"/>
      <c r="V131" s="79"/>
      <c r="W131" s="79"/>
      <c r="X131" s="79"/>
      <c r="Y131" s="79"/>
    </row>
    <row r="132" spans="1:25" ht="14.1" customHeight="1" thickBot="1" x14ac:dyDescent="0.3">
      <c r="A132" s="4"/>
      <c r="B132" s="10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N132" s="4"/>
      <c r="O132" s="96"/>
      <c r="P132" s="79"/>
      <c r="Q132" s="79"/>
      <c r="R132" s="79"/>
      <c r="S132" s="79"/>
      <c r="T132" s="79"/>
      <c r="U132" s="79"/>
      <c r="V132" s="79"/>
      <c r="W132" s="79"/>
      <c r="X132" s="79"/>
      <c r="Y132" s="79"/>
    </row>
    <row r="133" spans="1:25" ht="14.1" customHeight="1" thickBot="1" x14ac:dyDescent="0.3">
      <c r="A133" s="4"/>
      <c r="B133" s="10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N133" s="4"/>
      <c r="O133" s="96"/>
      <c r="P133" s="79"/>
      <c r="Q133" s="79"/>
      <c r="R133" s="79"/>
      <c r="S133" s="79"/>
      <c r="T133" s="79"/>
      <c r="U133" s="79"/>
      <c r="V133" s="79"/>
      <c r="W133" s="79"/>
      <c r="X133" s="79"/>
      <c r="Y133" s="79"/>
    </row>
    <row r="134" spans="1:25" ht="14.1" customHeight="1" thickBot="1" x14ac:dyDescent="0.3">
      <c r="A134" s="4"/>
      <c r="B134" s="10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N134" s="4"/>
      <c r="O134" s="96"/>
      <c r="P134" s="79"/>
      <c r="Q134" s="79"/>
      <c r="R134" s="79"/>
      <c r="S134" s="79"/>
      <c r="T134" s="79"/>
      <c r="U134" s="79"/>
      <c r="V134" s="79"/>
      <c r="W134" s="79"/>
      <c r="X134" s="79"/>
      <c r="Y134" s="79"/>
    </row>
    <row r="135" spans="1:25" ht="14.1" customHeight="1" thickBot="1" x14ac:dyDescent="0.3">
      <c r="A135" s="4"/>
      <c r="B135" s="10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N135" s="4"/>
      <c r="O135" s="96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ht="14.1" customHeight="1" thickBot="1" x14ac:dyDescent="0.3">
      <c r="A136" s="4"/>
      <c r="B136" s="10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N136" s="4"/>
      <c r="O136" s="96"/>
      <c r="P136" s="79"/>
      <c r="Q136" s="79"/>
      <c r="R136" s="79"/>
      <c r="S136" s="79"/>
      <c r="T136" s="79"/>
      <c r="U136" s="79"/>
      <c r="V136" s="79"/>
      <c r="W136" s="79"/>
      <c r="X136" s="79"/>
      <c r="Y136" s="79"/>
    </row>
    <row r="137" spans="1:25" ht="14.1" customHeight="1" thickBot="1" x14ac:dyDescent="0.3">
      <c r="A137" s="4"/>
      <c r="B137" s="10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N137" s="4"/>
      <c r="O137" s="96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1:25" ht="14.1" customHeight="1" thickBot="1" x14ac:dyDescent="0.3">
      <c r="A138" s="4"/>
      <c r="B138" s="10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N138" s="4"/>
      <c r="O138" s="96"/>
      <c r="P138" s="79"/>
      <c r="Q138" s="79"/>
      <c r="R138" s="79"/>
      <c r="S138" s="79"/>
      <c r="T138" s="79"/>
      <c r="U138" s="79"/>
      <c r="V138" s="79"/>
      <c r="W138" s="79"/>
      <c r="X138" s="79"/>
      <c r="Y138" s="79"/>
    </row>
    <row r="139" spans="1:25" ht="14.1" customHeight="1" thickBot="1" x14ac:dyDescent="0.3">
      <c r="A139" s="4"/>
      <c r="B139" s="10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N139" s="4"/>
      <c r="O139" s="96"/>
      <c r="P139" s="79"/>
      <c r="Q139" s="79"/>
      <c r="R139" s="79"/>
      <c r="S139" s="79"/>
      <c r="T139" s="79"/>
      <c r="U139" s="79"/>
      <c r="V139" s="79"/>
      <c r="W139" s="79"/>
      <c r="X139" s="79"/>
      <c r="Y139" s="79"/>
    </row>
    <row r="140" spans="1:25" ht="14.1" customHeight="1" thickBot="1" x14ac:dyDescent="0.3">
      <c r="A140" s="4"/>
      <c r="B140" s="10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N140" s="4"/>
      <c r="O140" s="96"/>
      <c r="P140" s="79"/>
      <c r="Q140" s="79"/>
      <c r="R140" s="79"/>
      <c r="S140" s="79"/>
      <c r="T140" s="79"/>
      <c r="U140" s="79"/>
      <c r="V140" s="79"/>
      <c r="W140" s="79"/>
      <c r="X140" s="79"/>
      <c r="Y140" s="79"/>
    </row>
    <row r="141" spans="1:25" ht="14.1" customHeight="1" thickBot="1" x14ac:dyDescent="0.3">
      <c r="A141" s="4"/>
      <c r="B141" s="10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N141" s="4"/>
      <c r="O141" s="96"/>
      <c r="P141" s="79"/>
      <c r="Q141" s="79"/>
      <c r="R141" s="79"/>
      <c r="S141" s="79"/>
      <c r="T141" s="79"/>
      <c r="U141" s="79"/>
      <c r="V141" s="79"/>
      <c r="W141" s="79"/>
      <c r="X141" s="79"/>
      <c r="Y141" s="79"/>
    </row>
    <row r="142" spans="1:25" ht="14.1" customHeight="1" thickBot="1" x14ac:dyDescent="0.3">
      <c r="A142" s="4"/>
      <c r="B142" s="10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N142" s="95"/>
      <c r="O142" s="5"/>
      <c r="P142" s="79"/>
      <c r="Q142" s="79"/>
      <c r="R142" s="79"/>
      <c r="S142" s="79"/>
      <c r="T142" s="79"/>
      <c r="U142" s="79"/>
      <c r="V142" s="79"/>
      <c r="W142" s="79"/>
      <c r="X142" s="79"/>
      <c r="Y142" s="79"/>
    </row>
    <row r="143" spans="1:25" ht="14.1" customHeight="1" thickBot="1" x14ac:dyDescent="0.3">
      <c r="A143" s="4"/>
      <c r="B143" s="10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N143" s="4"/>
      <c r="O143" s="96"/>
      <c r="P143" s="79"/>
      <c r="Q143" s="79"/>
      <c r="R143" s="79"/>
      <c r="S143" s="79"/>
      <c r="T143" s="79"/>
      <c r="U143" s="79"/>
      <c r="V143" s="79"/>
      <c r="W143" s="79"/>
      <c r="X143" s="79"/>
      <c r="Y143" s="79"/>
    </row>
    <row r="144" spans="1:25" ht="14.1" customHeight="1" thickBot="1" x14ac:dyDescent="0.3">
      <c r="A144" s="4"/>
      <c r="B144" s="10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N144" s="4"/>
      <c r="O144" s="96"/>
      <c r="P144" s="79"/>
      <c r="Q144" s="79"/>
      <c r="R144" s="79"/>
      <c r="S144" s="79"/>
      <c r="T144" s="79"/>
      <c r="U144" s="79"/>
      <c r="V144" s="79"/>
      <c r="W144" s="79"/>
      <c r="X144" s="79"/>
      <c r="Y144" s="79"/>
    </row>
    <row r="145" spans="1:25" ht="14.1" customHeight="1" thickBot="1" x14ac:dyDescent="0.3">
      <c r="A145" s="4"/>
      <c r="B145" s="10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N145" s="95"/>
      <c r="O145" s="5"/>
      <c r="P145" s="79"/>
      <c r="Q145" s="79"/>
      <c r="R145" s="79"/>
      <c r="S145" s="79"/>
      <c r="T145" s="79"/>
      <c r="U145" s="79"/>
      <c r="V145" s="79"/>
      <c r="W145" s="79"/>
      <c r="X145" s="79"/>
      <c r="Y145" s="79"/>
    </row>
    <row r="146" spans="1:25" ht="14.1" customHeight="1" thickBot="1" x14ac:dyDescent="0.3">
      <c r="A146" s="4"/>
      <c r="B146" s="10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N146" s="95"/>
      <c r="O146" s="5"/>
      <c r="P146" s="79"/>
      <c r="Q146" s="79"/>
      <c r="R146" s="79"/>
      <c r="S146" s="79"/>
      <c r="T146" s="79"/>
      <c r="U146" s="79"/>
      <c r="V146" s="79"/>
      <c r="W146" s="79"/>
      <c r="X146" s="79"/>
      <c r="Y146" s="79"/>
    </row>
    <row r="147" spans="1:25" ht="14.1" customHeight="1" thickBot="1" x14ac:dyDescent="0.3">
      <c r="A147" s="4"/>
      <c r="B147" s="10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N147" s="4"/>
      <c r="O147" s="96"/>
      <c r="P147" s="79"/>
      <c r="Q147" s="79"/>
      <c r="R147" s="79"/>
      <c r="S147" s="79"/>
      <c r="T147" s="79"/>
      <c r="U147" s="79"/>
      <c r="V147" s="79"/>
      <c r="W147" s="79"/>
      <c r="X147" s="79"/>
      <c r="Y147" s="79"/>
    </row>
    <row r="148" spans="1:25" ht="14.1" customHeight="1" thickBot="1" x14ac:dyDescent="0.3">
      <c r="A148" s="4"/>
      <c r="B148" s="10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N148" s="4"/>
      <c r="O148" s="10"/>
      <c r="P148" s="79"/>
      <c r="Q148" s="79"/>
      <c r="R148" s="79"/>
      <c r="S148" s="79"/>
      <c r="T148" s="79"/>
      <c r="U148" s="79"/>
      <c r="V148" s="79"/>
      <c r="W148" s="79"/>
      <c r="X148" s="79"/>
      <c r="Y148" s="79"/>
    </row>
    <row r="149" spans="1:25" ht="14.1" customHeight="1" thickBot="1" x14ac:dyDescent="0.3">
      <c r="A149" s="4"/>
      <c r="B149" s="10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N149" s="4"/>
      <c r="O149" s="10"/>
      <c r="P149" s="79"/>
      <c r="Q149" s="79"/>
      <c r="R149" s="79"/>
      <c r="S149" s="79"/>
      <c r="T149" s="79"/>
      <c r="U149" s="79"/>
      <c r="V149" s="79"/>
      <c r="W149" s="79"/>
      <c r="X149" s="79"/>
      <c r="Y149" s="79"/>
    </row>
    <row r="150" spans="1:25" ht="14.1" customHeight="1" thickBot="1" x14ac:dyDescent="0.3">
      <c r="A150" s="4"/>
      <c r="B150" s="10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N150" s="4"/>
      <c r="O150" s="10"/>
      <c r="P150" s="92"/>
      <c r="Q150" s="79"/>
      <c r="R150" s="79"/>
      <c r="S150" s="79"/>
      <c r="T150" s="79"/>
      <c r="U150" s="79"/>
      <c r="V150" s="79"/>
      <c r="W150" s="79"/>
      <c r="X150" s="79"/>
      <c r="Y150" s="79"/>
    </row>
    <row r="151" spans="1:25" ht="14.1" customHeight="1" thickBot="1" x14ac:dyDescent="0.3">
      <c r="A151" s="4"/>
      <c r="B151" s="10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N151" s="4"/>
      <c r="O151" s="10"/>
      <c r="P151" s="92"/>
      <c r="Q151" s="79"/>
      <c r="R151" s="79"/>
      <c r="S151" s="79"/>
      <c r="T151" s="79"/>
      <c r="U151" s="79"/>
      <c r="V151" s="79"/>
      <c r="W151" s="79"/>
      <c r="X151" s="79"/>
      <c r="Y151" s="79"/>
    </row>
    <row r="152" spans="1:25" ht="14.1" customHeight="1" thickBot="1" x14ac:dyDescent="0.3">
      <c r="A152" s="4"/>
      <c r="B152" s="10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N152" s="4"/>
      <c r="O152" s="10"/>
      <c r="P152" s="92"/>
      <c r="Q152" s="79"/>
      <c r="R152" s="79"/>
      <c r="S152" s="79"/>
      <c r="T152" s="79"/>
      <c r="U152" s="79"/>
      <c r="V152" s="79"/>
      <c r="W152" s="79"/>
      <c r="X152" s="79"/>
      <c r="Y152" s="79"/>
    </row>
    <row r="153" spans="1:25" ht="14.1" customHeight="1" thickBot="1" x14ac:dyDescent="0.3">
      <c r="A153" s="4"/>
      <c r="B153" s="10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N153" s="4"/>
      <c r="O153" s="10"/>
      <c r="P153" s="92"/>
      <c r="Q153" s="79"/>
      <c r="R153" s="79"/>
      <c r="S153" s="79"/>
      <c r="T153" s="79"/>
      <c r="U153" s="79"/>
      <c r="V153" s="79"/>
      <c r="W153" s="79"/>
      <c r="X153" s="79"/>
      <c r="Y153" s="79"/>
    </row>
  </sheetData>
  <conditionalFormatting sqref="C2:L43">
    <cfRule type="cellIs" dxfId="20" priority="158" operator="greaterThan">
      <formula>$B2</formula>
    </cfRule>
  </conditionalFormatting>
  <conditionalFormatting sqref="C46:L153">
    <cfRule type="cellIs" dxfId="19" priority="6" operator="greaterThan">
      <formula>$B46</formula>
    </cfRule>
  </conditionalFormatting>
  <conditionalFormatting sqref="M3:M4">
    <cfRule type="cellIs" dxfId="18" priority="216" operator="greaterThan">
      <formula>$B3</formula>
    </cfRule>
  </conditionalFormatting>
  <conditionalFormatting sqref="P2:Y43">
    <cfRule type="cellIs" dxfId="17" priority="140" stopIfTrue="1" operator="greaterThan">
      <formula>$O2</formula>
    </cfRule>
  </conditionalFormatting>
  <conditionalFormatting sqref="Q47:Y153">
    <cfRule type="cellIs" dxfId="16" priority="1" operator="greaterThan">
      <formula>$O47</formula>
    </cfRule>
  </conditionalFormatting>
  <pageMargins left="0.7" right="0.7" top="0.75" bottom="0.75" header="0.3" footer="0.3"/>
  <pageSetup paperSize="9" orientation="portrait" horizontalDpi="0" verticalDpi="0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90C2-D507-4721-A8CE-D12A9FD82AB7}">
  <sheetPr codeName="Sheet2">
    <tabColor theme="5"/>
  </sheetPr>
  <dimension ref="A1:Y153"/>
  <sheetViews>
    <sheetView workbookViewId="0">
      <selection activeCell="N65" sqref="N65"/>
    </sheetView>
  </sheetViews>
  <sheetFormatPr defaultRowHeight="15" x14ac:dyDescent="0.25"/>
  <cols>
    <col min="1" max="1" width="33.28515625" customWidth="1"/>
    <col min="2" max="2" width="7.7109375" customWidth="1"/>
    <col min="14" max="14" width="28" bestFit="1" customWidth="1"/>
    <col min="15" max="15" width="8.7109375" style="9" customWidth="1"/>
  </cols>
  <sheetData>
    <row r="1" spans="1:25" ht="14.1" customHeight="1" thickBot="1" x14ac:dyDescent="0.3">
      <c r="A1" s="1" t="s">
        <v>83</v>
      </c>
      <c r="B1" s="2" t="s">
        <v>82</v>
      </c>
      <c r="C1" s="2">
        <f>Costs!B9</f>
        <v>2025</v>
      </c>
      <c r="D1" s="2">
        <f>C1+1</f>
        <v>2026</v>
      </c>
      <c r="E1" s="2">
        <f t="shared" ref="E1:L1" si="0">D1+1</f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9">
        <f>((L2+L4+L6+L8)-(C2+C4+C6+C8))/(C2+C4+C6+C8)/9</f>
        <v>5.7211643481614512E-2</v>
      </c>
      <c r="N1" s="1" t="str">
        <f>A1</f>
        <v>Option 1 - Do Nothing</v>
      </c>
      <c r="O1" s="2" t="str">
        <f>B1</f>
        <v>Rating</v>
      </c>
      <c r="P1" s="2">
        <f t="shared" ref="P1:Y1" si="1">C1</f>
        <v>2025</v>
      </c>
      <c r="Q1" s="2">
        <f t="shared" si="1"/>
        <v>2026</v>
      </c>
      <c r="R1" s="2">
        <f t="shared" si="1"/>
        <v>2027</v>
      </c>
      <c r="S1" s="2">
        <f t="shared" si="1"/>
        <v>2028</v>
      </c>
      <c r="T1" s="2">
        <f t="shared" si="1"/>
        <v>2029</v>
      </c>
      <c r="U1" s="2">
        <f t="shared" si="1"/>
        <v>2030</v>
      </c>
      <c r="V1" s="2">
        <f t="shared" si="1"/>
        <v>2031</v>
      </c>
      <c r="W1" s="2">
        <f t="shared" si="1"/>
        <v>2032</v>
      </c>
      <c r="X1" s="2">
        <f t="shared" si="1"/>
        <v>2033</v>
      </c>
      <c r="Y1" s="2">
        <f t="shared" si="1"/>
        <v>2034</v>
      </c>
    </row>
    <row r="2" spans="1:25" ht="14.1" customHeight="1" thickTop="1" thickBot="1" x14ac:dyDescent="0.3">
      <c r="A2" s="4" t="str">
        <f>Historical!A2</f>
        <v>SBY</v>
      </c>
      <c r="B2" s="10">
        <f>Ratings!E2</f>
        <v>38</v>
      </c>
      <c r="C2" s="79">
        <v>44.414455853255184</v>
      </c>
      <c r="D2" s="79">
        <v>48.691564330643146</v>
      </c>
      <c r="E2" s="79">
        <v>51.922450175558922</v>
      </c>
      <c r="F2" s="79">
        <v>54.57150879459045</v>
      </c>
      <c r="G2" s="79">
        <v>56.436226103954887</v>
      </c>
      <c r="H2" s="79">
        <v>58.360171607498437</v>
      </c>
      <c r="I2" s="79">
        <v>59.913860428283513</v>
      </c>
      <c r="J2" s="79">
        <v>61.450817526453896</v>
      </c>
      <c r="K2" s="79">
        <v>62.971603898250827</v>
      </c>
      <c r="L2" s="79">
        <v>64.478106550861938</v>
      </c>
      <c r="M2" s="90">
        <f>($L3-$C3)/$C3/9</f>
        <v>6.5776085940243936E-2</v>
      </c>
      <c r="N2" s="4" t="str">
        <f>Ratings!H2</f>
        <v>SHM11</v>
      </c>
      <c r="O2" s="5">
        <f>Ratings!J2</f>
        <v>14.3</v>
      </c>
      <c r="P2" s="79">
        <v>5.841248587803431</v>
      </c>
      <c r="Q2" s="79">
        <v>8.6778641395487863</v>
      </c>
      <c r="R2" s="79">
        <v>11.589968470662564</v>
      </c>
      <c r="S2" s="79">
        <v>13.759248596514476</v>
      </c>
      <c r="T2" s="79">
        <v>15.108237158981334</v>
      </c>
      <c r="U2" s="79">
        <v>16.227321190606556</v>
      </c>
      <c r="V2" s="79">
        <v>17.037771755050134</v>
      </c>
      <c r="W2" s="79">
        <v>17.612339745052022</v>
      </c>
      <c r="X2" s="79">
        <v>18.178458265102677</v>
      </c>
      <c r="Y2" s="79">
        <v>18.73846428183225</v>
      </c>
    </row>
    <row r="3" spans="1:25" ht="14.1" customHeight="1" thickBot="1" x14ac:dyDescent="0.3">
      <c r="A3" s="4" t="str">
        <f>Historical!A3</f>
        <v>SHM</v>
      </c>
      <c r="B3" s="10">
        <f>Ratings!E3</f>
        <v>39.6</v>
      </c>
      <c r="C3" s="79">
        <v>35.715940975231803</v>
      </c>
      <c r="D3" s="79">
        <v>39.410320524272855</v>
      </c>
      <c r="E3" s="79">
        <v>42.814381032934989</v>
      </c>
      <c r="F3" s="79">
        <v>45.559601149811975</v>
      </c>
      <c r="G3" s="79">
        <v>47.65215553088121</v>
      </c>
      <c r="H3" s="79">
        <v>49.931492695188247</v>
      </c>
      <c r="I3" s="79">
        <v>51.687466379132786</v>
      </c>
      <c r="J3" s="79">
        <v>53.434411616247466</v>
      </c>
      <c r="K3" s="79">
        <v>55.155978539427828</v>
      </c>
      <c r="L3" s="79">
        <v>56.859234202443545</v>
      </c>
      <c r="M3" s="91">
        <f>(L3-C3)</f>
        <v>21.143293227211743</v>
      </c>
      <c r="N3" s="4" t="str">
        <f>Ratings!H3</f>
        <v>SHM12</v>
      </c>
      <c r="O3" s="5">
        <f>Ratings!J3</f>
        <v>14.3</v>
      </c>
      <c r="P3" s="79">
        <v>5.9285765755500135</v>
      </c>
      <c r="Q3" s="79">
        <v>6.1929674425650436</v>
      </c>
      <c r="R3" s="79">
        <v>6.3735777635280648</v>
      </c>
      <c r="S3" s="79">
        <v>6.5835097638480153</v>
      </c>
      <c r="T3" s="79">
        <v>6.794876639032509</v>
      </c>
      <c r="U3" s="79">
        <v>7.119272021077113</v>
      </c>
      <c r="V3" s="79">
        <v>7.3691169888527508</v>
      </c>
      <c r="W3" s="79">
        <v>7.6176271107892601</v>
      </c>
      <c r="X3" s="79">
        <v>7.862482697763121</v>
      </c>
      <c r="Y3" s="79">
        <v>8.1046945263444279</v>
      </c>
    </row>
    <row r="4" spans="1:25" ht="14.1" customHeight="1" thickBot="1" x14ac:dyDescent="0.3">
      <c r="A4" s="4" t="str">
        <f>Ratings!A42</f>
        <v>KTS-SBY-SHM-GSB-WND</v>
      </c>
      <c r="B4" s="10">
        <f>Ratings!C43</f>
        <v>216</v>
      </c>
      <c r="C4" s="92">
        <f>(C2+C3)/('Summer 10PoE'!C2+'Summer 10PoE'!C3)*'Summer 10PoE'!C4</f>
        <v>126.33555114569313</v>
      </c>
      <c r="D4" s="92">
        <f>(D2+D3)/('Summer 10PoE'!D2+'Summer 10PoE'!D3)*'Summer 10PoE'!D4</f>
        <v>135.02896413532764</v>
      </c>
      <c r="E4" s="92">
        <f>(E2+E3)/('Summer 10PoE'!E2+'Summer 10PoE'!E3)*'Summer 10PoE'!E4</f>
        <v>142.49800509589258</v>
      </c>
      <c r="F4" s="92">
        <f>(F2+F3)/('Summer 10PoE'!F2+'Summer 10PoE'!F3)*'Summer 10PoE'!F4</f>
        <v>149.51805226086728</v>
      </c>
      <c r="G4" s="92">
        <f>(G2+G3)/('Summer 10PoE'!G2+'Summer 10PoE'!G3)*'Summer 10PoE'!G4</f>
        <v>166.54141061573776</v>
      </c>
      <c r="H4" s="92">
        <f>(H2+H3)/('Summer 10PoE'!H2+'Summer 10PoE'!H3)*'Summer 10PoE'!H4</f>
        <v>173.26666288429871</v>
      </c>
      <c r="I4" s="92">
        <f>(I2+I3)/('Summer 10PoE'!I2+'Summer 10PoE'!I3)*'Summer 10PoE'!I4</f>
        <v>178.56212289186607</v>
      </c>
      <c r="J4" s="92">
        <f>(J2+J3)/('Summer 10PoE'!J2+'Summer 10PoE'!J3)*'Summer 10PoE'!J4</f>
        <v>183.81636662832219</v>
      </c>
      <c r="K4" s="92">
        <f>(K2+K3)/('Summer 10PoE'!K2+'Summer 10PoE'!K3)*'Summer 10PoE'!K4</f>
        <v>189.00413190028584</v>
      </c>
      <c r="L4" s="92">
        <f t="shared" ref="L4" si="2">K4+K4-J4</f>
        <v>194.1918971722495</v>
      </c>
      <c r="M4" s="91">
        <f>M3/9</f>
        <v>2.349254803023527</v>
      </c>
      <c r="N4" s="4" t="str">
        <f>Ratings!H4</f>
        <v>SHM14</v>
      </c>
      <c r="O4" s="5">
        <f>Ratings!J4</f>
        <v>14.3</v>
      </c>
      <c r="P4" s="79">
        <v>9.3985259633130518</v>
      </c>
      <c r="Q4" s="79">
        <v>11.333519263909759</v>
      </c>
      <c r="R4" s="79">
        <v>12.763179610480091</v>
      </c>
      <c r="S4" s="79">
        <v>13.915716088511655</v>
      </c>
      <c r="T4" s="79">
        <v>14.641611538669775</v>
      </c>
      <c r="U4" s="79">
        <v>15.452064765836791</v>
      </c>
      <c r="V4" s="79">
        <v>15.99434220825758</v>
      </c>
      <c r="W4" s="79">
        <v>16.533722426875485</v>
      </c>
      <c r="X4" s="79">
        <v>17.065170639135907</v>
      </c>
      <c r="Y4" s="79">
        <v>17.590880690839185</v>
      </c>
    </row>
    <row r="5" spans="1:25" ht="14.1" customHeight="1" thickBot="1" x14ac:dyDescent="0.3">
      <c r="A5" s="4"/>
      <c r="B5" s="10"/>
      <c r="C5" s="79"/>
      <c r="D5" s="79"/>
      <c r="E5" s="79"/>
      <c r="F5" s="79"/>
      <c r="G5" s="79"/>
      <c r="H5" s="79"/>
      <c r="I5" s="79"/>
      <c r="J5" s="79"/>
      <c r="K5" s="79"/>
      <c r="L5" s="79"/>
      <c r="M5" s="90"/>
      <c r="N5" s="4" t="str">
        <f>Ratings!H5</f>
        <v>SHM21</v>
      </c>
      <c r="O5" s="5">
        <f>Ratings!J5</f>
        <v>14.3</v>
      </c>
      <c r="P5" s="79">
        <v>7.6426295704534155</v>
      </c>
      <c r="Q5" s="79">
        <v>8.4203839826438074</v>
      </c>
      <c r="R5" s="79">
        <v>9.0043985678241434</v>
      </c>
      <c r="S5" s="79">
        <v>9.2745118429094777</v>
      </c>
      <c r="T5" s="79">
        <v>9.5722746863493207</v>
      </c>
      <c r="U5" s="79">
        <v>10.029266309431428</v>
      </c>
      <c r="V5" s="79">
        <v>10.381235121758687</v>
      </c>
      <c r="W5" s="79">
        <v>10.731323471538223</v>
      </c>
      <c r="X5" s="79">
        <v>11.076263499372905</v>
      </c>
      <c r="Y5" s="79">
        <v>11.417479135598697</v>
      </c>
    </row>
    <row r="6" spans="1:25" ht="14.1" customHeight="1" thickBot="1" x14ac:dyDescent="0.3">
      <c r="A6" s="4"/>
      <c r="B6" s="10"/>
      <c r="C6" s="79"/>
      <c r="D6" s="79"/>
      <c r="E6" s="79"/>
      <c r="F6" s="79"/>
      <c r="G6" s="79"/>
      <c r="H6" s="79"/>
      <c r="I6" s="79"/>
      <c r="J6" s="79"/>
      <c r="K6" s="79"/>
      <c r="L6" s="79"/>
      <c r="M6" s="93"/>
      <c r="N6" s="4" t="str">
        <f>Ratings!H6</f>
        <v>SHM22</v>
      </c>
      <c r="O6" s="5">
        <f>Ratings!J6</f>
        <v>14.3</v>
      </c>
      <c r="P6" s="79">
        <v>4.5262910242951575</v>
      </c>
      <c r="Q6" s="79">
        <v>4.6665011341274809</v>
      </c>
      <c r="R6" s="79">
        <v>4.8354374292135498</v>
      </c>
      <c r="S6" s="79">
        <v>5.0198000047357434</v>
      </c>
      <c r="T6" s="79">
        <v>5.1809631956644582</v>
      </c>
      <c r="U6" s="79">
        <v>5.4283084565867963</v>
      </c>
      <c r="V6" s="79">
        <v>5.6188104555828913</v>
      </c>
      <c r="W6" s="79">
        <v>5.8082946602124643</v>
      </c>
      <c r="X6" s="79">
        <v>5.9949923519817467</v>
      </c>
      <c r="Y6" s="79">
        <v>6.1796742286512591</v>
      </c>
    </row>
    <row r="7" spans="1:25" ht="14.1" customHeight="1" thickBot="1" x14ac:dyDescent="0.3">
      <c r="A7" s="4"/>
      <c r="B7" s="10"/>
      <c r="C7" s="79"/>
      <c r="D7" s="79"/>
      <c r="E7" s="79"/>
      <c r="F7" s="79"/>
      <c r="G7" s="79"/>
      <c r="H7" s="79"/>
      <c r="I7" s="79"/>
      <c r="J7" s="79"/>
      <c r="K7" s="79"/>
      <c r="L7" s="79"/>
      <c r="M7" s="90"/>
      <c r="N7" s="4" t="str">
        <f>Ratings!H7</f>
        <v>SHM23</v>
      </c>
      <c r="O7" s="5">
        <f>Ratings!J7</f>
        <v>14.3</v>
      </c>
      <c r="P7" s="79">
        <v>1.9287027364038249</v>
      </c>
      <c r="Q7" s="79">
        <v>1.9723849951199597</v>
      </c>
      <c r="R7" s="79">
        <v>2.0221262575682326</v>
      </c>
      <c r="S7" s="79">
        <v>2.0827858498723297</v>
      </c>
      <c r="T7" s="79">
        <v>2.1496547317540631</v>
      </c>
      <c r="U7" s="79">
        <v>2.252281770479911</v>
      </c>
      <c r="V7" s="79">
        <v>2.3313237377907869</v>
      </c>
      <c r="W7" s="79">
        <v>2.4099434078582127</v>
      </c>
      <c r="X7" s="79">
        <v>2.4874069144230244</v>
      </c>
      <c r="Y7" s="79">
        <v>2.5640340308603795</v>
      </c>
    </row>
    <row r="8" spans="1:25" ht="14.1" customHeight="1" thickBot="1" x14ac:dyDescent="0.3">
      <c r="A8" s="4"/>
      <c r="B8" s="10"/>
      <c r="C8" s="79"/>
      <c r="D8" s="79"/>
      <c r="E8" s="79"/>
      <c r="F8" s="79"/>
      <c r="G8" s="79"/>
      <c r="H8" s="79"/>
      <c r="I8" s="79"/>
      <c r="J8" s="79"/>
      <c r="K8" s="79"/>
      <c r="L8" s="79"/>
      <c r="M8" s="90"/>
      <c r="N8" s="4" t="str">
        <f>Ratings!H8</f>
        <v>SHM24</v>
      </c>
      <c r="O8" s="5">
        <f>Ratings!J8</f>
        <v>14.3</v>
      </c>
      <c r="P8" s="79">
        <v>5.9647611003431553</v>
      </c>
      <c r="Q8" s="79">
        <v>5.976263374274442</v>
      </c>
      <c r="R8" s="79">
        <v>6.0003638234330632</v>
      </c>
      <c r="S8" s="79">
        <v>6.0370453536633395</v>
      </c>
      <c r="T8" s="79">
        <v>6.0875004217560438</v>
      </c>
      <c r="U8" s="79">
        <v>6.1977154498655098</v>
      </c>
      <c r="V8" s="79">
        <v>6.308136622622226</v>
      </c>
      <c r="W8" s="79">
        <v>6.418561166646886</v>
      </c>
      <c r="X8" s="79">
        <v>6.5318737728929763</v>
      </c>
      <c r="Y8" s="79">
        <v>6.6472416948795852</v>
      </c>
    </row>
    <row r="9" spans="1:25" ht="14.1" customHeight="1" thickBot="1" x14ac:dyDescent="0.3">
      <c r="A9" s="4"/>
      <c r="B9" s="10"/>
      <c r="C9" s="79"/>
      <c r="D9" s="79"/>
      <c r="E9" s="79"/>
      <c r="F9" s="79"/>
      <c r="G9" s="79"/>
      <c r="H9" s="79"/>
      <c r="I9" s="79"/>
      <c r="J9" s="79"/>
      <c r="K9" s="79"/>
      <c r="L9" s="79"/>
      <c r="M9" s="90"/>
      <c r="N9" s="4" t="str">
        <f>Ratings!H9</f>
        <v>SBY12</v>
      </c>
      <c r="O9" s="5">
        <f>Ratings!J9</f>
        <v>14.3</v>
      </c>
      <c r="P9" s="79">
        <v>6.2464133314976751</v>
      </c>
      <c r="Q9" s="79">
        <v>6.661023234783733</v>
      </c>
      <c r="R9" s="79">
        <v>6.9923449820191781</v>
      </c>
      <c r="S9" s="79">
        <v>7.2476224244932004</v>
      </c>
      <c r="T9" s="79">
        <v>7.4159116056785255</v>
      </c>
      <c r="U9" s="79">
        <v>7.6284364350962486</v>
      </c>
      <c r="V9" s="79">
        <v>7.8427950890008944</v>
      </c>
      <c r="W9" s="79">
        <v>8.0586889932545276</v>
      </c>
      <c r="X9" s="79">
        <v>8.2797238968564404</v>
      </c>
      <c r="Y9" s="79">
        <v>8.5048869285212394</v>
      </c>
    </row>
    <row r="10" spans="1:25" ht="14.1" customHeight="1" thickBot="1" x14ac:dyDescent="0.3">
      <c r="A10" s="4"/>
      <c r="B10" s="1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90"/>
      <c r="N10" s="4" t="str">
        <f>Ratings!H10</f>
        <v>SBY13</v>
      </c>
      <c r="O10" s="5">
        <f>Ratings!J10</f>
        <v>14.1</v>
      </c>
      <c r="P10" s="79">
        <v>7.0703021623590043</v>
      </c>
      <c r="Q10" s="79">
        <v>7.528469208120443</v>
      </c>
      <c r="R10" s="79">
        <v>7.8800894557485428</v>
      </c>
      <c r="S10" s="79">
        <v>8.1778853732514527</v>
      </c>
      <c r="T10" s="79">
        <v>8.4317976593230206</v>
      </c>
      <c r="U10" s="79">
        <v>8.7893225488202056</v>
      </c>
      <c r="V10" s="79">
        <v>9.0441550867879954</v>
      </c>
      <c r="W10" s="79">
        <v>9.2940497724996938</v>
      </c>
      <c r="X10" s="79">
        <v>9.5362520531779751</v>
      </c>
      <c r="Y10" s="79">
        <v>9.7720887750170515</v>
      </c>
    </row>
    <row r="11" spans="1:25" ht="14.1" customHeight="1" thickBot="1" x14ac:dyDescent="0.3">
      <c r="A11" s="4"/>
      <c r="B11" s="1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90"/>
      <c r="N11" s="4" t="str">
        <f>Ratings!H11</f>
        <v>SBY23</v>
      </c>
      <c r="O11" s="5">
        <f>Ratings!J11</f>
        <v>14.3</v>
      </c>
      <c r="P11" s="79">
        <v>9.9420179606915937</v>
      </c>
      <c r="Q11" s="79">
        <v>10.609165588004243</v>
      </c>
      <c r="R11" s="79">
        <v>11.138148496131336</v>
      </c>
      <c r="S11" s="79">
        <v>11.540925619750883</v>
      </c>
      <c r="T11" s="79">
        <v>11.932482049823083</v>
      </c>
      <c r="U11" s="79">
        <v>12.430225774939597</v>
      </c>
      <c r="V11" s="79">
        <v>12.790620556692794</v>
      </c>
      <c r="W11" s="79">
        <v>13.144032022263699</v>
      </c>
      <c r="X11" s="79">
        <v>13.486564568465509</v>
      </c>
      <c r="Y11" s="79">
        <v>13.820094676411632</v>
      </c>
    </row>
    <row r="12" spans="1:25" ht="14.1" customHeight="1" thickBot="1" x14ac:dyDescent="0.3">
      <c r="A12" s="4"/>
      <c r="B12" s="1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90"/>
      <c r="N12" s="4" t="str">
        <f>Ratings!H12</f>
        <v>SBY24</v>
      </c>
      <c r="O12" s="5">
        <f>Ratings!J12</f>
        <v>14.3</v>
      </c>
      <c r="P12" s="79">
        <v>6.7642169299200647</v>
      </c>
      <c r="Q12" s="79">
        <v>9.4479879536210607</v>
      </c>
      <c r="R12" s="79">
        <v>11.832149397683278</v>
      </c>
      <c r="S12" s="79">
        <v>13.610256518471511</v>
      </c>
      <c r="T12" s="79">
        <v>14.581564002603239</v>
      </c>
      <c r="U12" s="79">
        <v>15.508667754715532</v>
      </c>
      <c r="V12" s="79">
        <v>15.958317103966445</v>
      </c>
      <c r="W12" s="79">
        <v>16.39925366453128</v>
      </c>
      <c r="X12" s="79">
        <v>16.826617056830276</v>
      </c>
      <c r="Y12" s="79">
        <v>17.242748487102389</v>
      </c>
    </row>
    <row r="13" spans="1:25" ht="14.1" customHeight="1" thickBot="1" x14ac:dyDescent="0.3">
      <c r="A13" s="4"/>
      <c r="B13" s="1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90"/>
      <c r="N13" s="4" t="str">
        <f>Ratings!H13</f>
        <v>SBY32</v>
      </c>
      <c r="O13" s="5">
        <f>Ratings!J13</f>
        <v>14.3</v>
      </c>
      <c r="P13" s="79">
        <v>11.298148323063922</v>
      </c>
      <c r="Q13" s="79">
        <v>13.166748770974898</v>
      </c>
      <c r="R13" s="79">
        <v>14.206384414571879</v>
      </c>
      <c r="S13" s="79">
        <v>15.080779470151748</v>
      </c>
      <c r="T13" s="79">
        <v>15.697048675441273</v>
      </c>
      <c r="U13" s="79">
        <v>16.459660003012861</v>
      </c>
      <c r="V13" s="79">
        <v>16.936881871860727</v>
      </c>
      <c r="W13" s="79">
        <v>17.404856683403672</v>
      </c>
      <c r="X13" s="79">
        <v>17.858426019353683</v>
      </c>
      <c r="Y13" s="79">
        <v>18.300074648828247</v>
      </c>
    </row>
    <row r="14" spans="1:25" ht="14.1" customHeight="1" thickBot="1" x14ac:dyDescent="0.3">
      <c r="A14" s="4"/>
      <c r="B14" s="10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4" t="str">
        <f>Ratings!H14</f>
        <v>SBY34</v>
      </c>
      <c r="O14" s="5">
        <f>Ratings!J14</f>
        <v>14.3</v>
      </c>
      <c r="P14" s="79">
        <v>3.6385454580532333</v>
      </c>
      <c r="Q14" s="79">
        <v>3.641202942600462</v>
      </c>
      <c r="R14" s="79">
        <v>3.6493415526674227</v>
      </c>
      <c r="S14" s="79">
        <v>3.6629018027047811</v>
      </c>
      <c r="T14" s="79">
        <v>3.6825330755873291</v>
      </c>
      <c r="U14" s="79">
        <v>3.7271083604167479</v>
      </c>
      <c r="V14" s="79">
        <v>3.7711535135366008</v>
      </c>
      <c r="W14" s="79">
        <v>3.8145520009712071</v>
      </c>
      <c r="X14" s="79">
        <v>3.859014171614318</v>
      </c>
      <c r="Y14" s="79">
        <v>3.9040268380756737</v>
      </c>
    </row>
    <row r="15" spans="1:25" ht="14.1" customHeight="1" thickBot="1" x14ac:dyDescent="0.3">
      <c r="A15" s="4"/>
      <c r="B15" s="10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4" t="str">
        <f>Ratings!H15</f>
        <v>SBY35</v>
      </c>
      <c r="O15" s="5">
        <f>Ratings!J15</f>
        <v>14.3</v>
      </c>
      <c r="P15" s="79">
        <v>5.7571178503491485</v>
      </c>
      <c r="Q15" s="79">
        <v>5.8821904647601277</v>
      </c>
      <c r="R15" s="79">
        <v>5.9967340986844935</v>
      </c>
      <c r="S15" s="79">
        <v>6.1207896712635534</v>
      </c>
      <c r="T15" s="79">
        <v>6.2559122755189449</v>
      </c>
      <c r="U15" s="79">
        <v>6.4351939012854737</v>
      </c>
      <c r="V15" s="79">
        <v>6.6160225041100995</v>
      </c>
      <c r="W15" s="79">
        <v>6.798146212919657</v>
      </c>
      <c r="X15" s="79">
        <v>6.9846067642701515</v>
      </c>
      <c r="Y15" s="79">
        <v>7.1745497205354694</v>
      </c>
    </row>
    <row r="16" spans="1:25" ht="14.1" customHeight="1" thickBot="1" x14ac:dyDescent="0.3">
      <c r="A16" s="4"/>
      <c r="B16" s="1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94"/>
      <c r="N16" s="4" t="str">
        <f>Ratings!H16</f>
        <v>SA 02</v>
      </c>
      <c r="O16" s="5">
        <f>Ratings!J16</f>
        <v>7.4</v>
      </c>
      <c r="P16" s="79">
        <v>0.36187949451496038</v>
      </c>
      <c r="Q16" s="79">
        <v>0.36759921088753184</v>
      </c>
      <c r="R16" s="79">
        <v>0.37341316661077395</v>
      </c>
      <c r="S16" s="79">
        <v>0.37931731232024751</v>
      </c>
      <c r="T16" s="79">
        <v>0.38537885138855432</v>
      </c>
      <c r="U16" s="79">
        <v>0.39172235130854488</v>
      </c>
      <c r="V16" s="79">
        <v>0.39795427700664809</v>
      </c>
      <c r="W16" s="79">
        <v>0.40406030879357568</v>
      </c>
      <c r="X16" s="79">
        <v>0.41022029071445837</v>
      </c>
      <c r="Y16" s="79">
        <v>0.41637947666148578</v>
      </c>
    </row>
    <row r="17" spans="1:25" ht="14.1" customHeight="1" thickBot="1" x14ac:dyDescent="0.3">
      <c r="A17" s="4"/>
      <c r="B17" s="1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94"/>
      <c r="N17" s="4" t="str">
        <f>Ratings!H17</f>
        <v>SA 06</v>
      </c>
      <c r="O17" s="5">
        <f>Ratings!J17</f>
        <v>12.8</v>
      </c>
      <c r="P17" s="79">
        <v>0.39554270330704971</v>
      </c>
      <c r="Q17" s="79">
        <v>0.40179448631893011</v>
      </c>
      <c r="R17" s="79">
        <v>0.4081492751327066</v>
      </c>
      <c r="S17" s="79">
        <v>0.41460264369887528</v>
      </c>
      <c r="T17" s="79">
        <v>0.42122804686655946</v>
      </c>
      <c r="U17" s="79">
        <v>0.4281616398023631</v>
      </c>
      <c r="V17" s="79">
        <v>0.43497327951889442</v>
      </c>
      <c r="W17" s="79">
        <v>0.44164731426274562</v>
      </c>
      <c r="X17" s="79">
        <v>0.44838031775766374</v>
      </c>
      <c r="Y17" s="79">
        <v>0.45511245123464739</v>
      </c>
    </row>
    <row r="18" spans="1:25" ht="14.1" customHeight="1" thickBot="1" x14ac:dyDescent="0.3">
      <c r="A18" s="4"/>
      <c r="B18" s="1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94"/>
      <c r="N18" s="4" t="str">
        <f>Ratings!H18</f>
        <v>SA 10</v>
      </c>
      <c r="O18" s="10">
        <f>Ratings!J18</f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f t="shared" ref="X18:Y23" si="3">X18+X18-W18</f>
        <v>0</v>
      </c>
    </row>
    <row r="19" spans="1:25" ht="14.1" customHeight="1" thickBot="1" x14ac:dyDescent="0.3">
      <c r="A19" s="4"/>
      <c r="B19" s="1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94"/>
      <c r="N19" s="4" t="str">
        <f>Ratings!H19</f>
        <v>SA 12</v>
      </c>
      <c r="O19" s="5">
        <f>Ratings!J19</f>
        <v>12.8</v>
      </c>
      <c r="P19" s="79">
        <v>2.8963561346448969</v>
      </c>
      <c r="Q19" s="79">
        <v>2.9513295225249143</v>
      </c>
      <c r="R19" s="79">
        <v>3.0095072914209076</v>
      </c>
      <c r="S19" s="79">
        <v>3.0776273492491355</v>
      </c>
      <c r="T19" s="79">
        <v>3.1481031865818005</v>
      </c>
      <c r="U19" s="79">
        <v>3.2400759585996286</v>
      </c>
      <c r="V19" s="79">
        <v>3.2944830516392174</v>
      </c>
      <c r="W19" s="79">
        <v>3.3453669203213252</v>
      </c>
      <c r="X19" s="79">
        <v>3.3918448082984929</v>
      </c>
      <c r="Y19" s="79">
        <v>3.4345128290362261</v>
      </c>
    </row>
    <row r="20" spans="1:25" ht="14.1" customHeight="1" thickBot="1" x14ac:dyDescent="0.3">
      <c r="A20" s="4"/>
      <c r="B20" s="1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94"/>
      <c r="N20" s="4" t="str">
        <f>Ratings!H20</f>
        <v>ACR51070 (SBY13)</v>
      </c>
      <c r="O20" s="10">
        <f>Ratings!J20</f>
        <v>2</v>
      </c>
      <c r="P20" s="79">
        <v>2.5637439048025477</v>
      </c>
      <c r="Q20" s="79">
        <v>2.5963968748431712</v>
      </c>
      <c r="R20" s="79">
        <v>2.6221245521992573</v>
      </c>
      <c r="S20" s="79">
        <v>2.6620995394987226</v>
      </c>
      <c r="T20" s="79">
        <v>2.7309870666644906</v>
      </c>
      <c r="U20" s="79">
        <v>2.8594441042748793</v>
      </c>
      <c r="V20" s="79">
        <v>3.0055841930561948</v>
      </c>
      <c r="W20" s="79">
        <v>3.1535334877094718</v>
      </c>
      <c r="X20" s="79">
        <f t="shared" si="3"/>
        <v>3.3014827823627488</v>
      </c>
      <c r="Y20" s="79">
        <f t="shared" si="3"/>
        <v>3.4494320770160258</v>
      </c>
    </row>
    <row r="21" spans="1:25" ht="14.1" customHeight="1" thickBot="1" x14ac:dyDescent="0.3">
      <c r="A21" s="4"/>
      <c r="B21" s="1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94"/>
      <c r="N21" s="4" t="str">
        <f>Ratings!H21</f>
        <v>ACR55612 (SBY23)</v>
      </c>
      <c r="O21" s="10">
        <f>Ratings!J21</f>
        <v>3</v>
      </c>
      <c r="P21" s="79">
        <f>'Summer 10PoE'!P21*P11/'Summer 10PoE'!P11</f>
        <v>2.1872439513521504</v>
      </c>
      <c r="Q21" s="79">
        <f>'Summer 10PoE'!Q21*Q11/'Summer 10PoE'!Q11</f>
        <v>2.3340164293609331</v>
      </c>
      <c r="R21" s="79">
        <f>'Summer 10PoE'!R21*R11/'Summer 10PoE'!R11</f>
        <v>2.4503926691488935</v>
      </c>
      <c r="S21" s="79">
        <f>'Summer 10PoE'!S21*S11/'Summer 10PoE'!S11</f>
        <v>2.539003636345194</v>
      </c>
      <c r="T21" s="79">
        <f>'Summer 10PoE'!T21*T11/'Summer 10PoE'!T11</f>
        <v>2.625146050961078</v>
      </c>
      <c r="U21" s="79">
        <f>'Summer 10PoE'!U21*U11/'Summer 10PoE'!U11</f>
        <v>2.7346496704867116</v>
      </c>
      <c r="V21" s="79">
        <f>'Summer 10PoE'!V21*V11/'Summer 10PoE'!V11</f>
        <v>2.8139365224724147</v>
      </c>
      <c r="W21" s="79">
        <f>'Summer 10PoE'!W21*W11/'Summer 10PoE'!W11</f>
        <v>2.8916870448980139</v>
      </c>
      <c r="X21" s="79">
        <f>'Summer 10PoE'!X21*X11/'Summer 10PoE'!X11</f>
        <v>2.967044205062412</v>
      </c>
      <c r="Y21" s="79">
        <f t="shared" si="3"/>
        <v>3.04240136522681</v>
      </c>
    </row>
    <row r="22" spans="1:25" ht="14.1" customHeight="1" thickBot="1" x14ac:dyDescent="0.3">
      <c r="A22" s="4"/>
      <c r="B22" s="1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94"/>
      <c r="N22" s="4" t="str">
        <f>Ratings!H22</f>
        <v>sw51196 (SBY24)</v>
      </c>
      <c r="O22" s="5">
        <f>Ratings!J22</f>
        <v>1.5</v>
      </c>
      <c r="P22" s="79">
        <f>'Summer 10PoE'!P22*P$12/'Summer 10PoE'!P$12</f>
        <v>0.79329899666441717</v>
      </c>
      <c r="Q22" s="79">
        <f>'Summer 10PoE'!Q22*Q$12/'Summer 10PoE'!Q$12</f>
        <v>1.108048343475238</v>
      </c>
      <c r="R22" s="79">
        <f>'Summer 10PoE'!R22*R$12/'Summer 10PoE'!R$12</f>
        <v>1.3876598492941228</v>
      </c>
      <c r="S22" s="79">
        <f>'Summer 10PoE'!S22*S$12/'Summer 10PoE'!S$12</f>
        <v>1.5961940535482479</v>
      </c>
      <c r="T22" s="79">
        <f>'Summer 10PoE'!T22*T$12/'Summer 10PoE'!T$12</f>
        <v>1.7101077941330645</v>
      </c>
      <c r="U22" s="79">
        <f>'Summer 10PoE'!U22*U$12/'Summer 10PoE'!U$12</f>
        <v>1.8188373756905836</v>
      </c>
      <c r="V22" s="79">
        <f>'Summer 10PoE'!V22*V$12/'Summer 10PoE'!V$12</f>
        <v>1.8715716953179957</v>
      </c>
      <c r="W22" s="79">
        <f>'Summer 10PoE'!W22*W$12/'Summer 10PoE'!W$12</f>
        <v>1.9232841898628557</v>
      </c>
      <c r="X22" s="79">
        <f>'Summer 10PoE'!X22*X$12/'Summer 10PoE'!X$12</f>
        <v>1.973404840018572</v>
      </c>
      <c r="Y22" s="79">
        <f t="shared" si="3"/>
        <v>2.0235254901742881</v>
      </c>
    </row>
    <row r="23" spans="1:25" ht="14.1" customHeight="1" thickBot="1" x14ac:dyDescent="0.3">
      <c r="A23" s="4"/>
      <c r="B23" s="1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94"/>
      <c r="N23" s="4" t="str">
        <f>Ratings!H23</f>
        <v>sw56781 (SBY24)</v>
      </c>
      <c r="O23" s="5">
        <f>Ratings!J23</f>
        <v>0.6</v>
      </c>
      <c r="P23" s="79">
        <f>'Summer 10PoE'!P23*P$12/'Summer 10PoE'!P$12</f>
        <v>0.31731959866576687</v>
      </c>
      <c r="Q23" s="79">
        <f>'Summer 10PoE'!Q23*Q$12/'Summer 10PoE'!Q$12</f>
        <v>0.44321933739009522</v>
      </c>
      <c r="R23" s="79">
        <f>'Summer 10PoE'!R23*R$12/'Summer 10PoE'!R$12</f>
        <v>0.55506393971764922</v>
      </c>
      <c r="S23" s="79">
        <f>'Summer 10PoE'!S23*S$12/'Summer 10PoE'!S$12</f>
        <v>0.63847762141929931</v>
      </c>
      <c r="T23" s="79">
        <f>'Summer 10PoE'!T23*T$12/'Summer 10PoE'!T$12</f>
        <v>0.6840431176532259</v>
      </c>
      <c r="U23" s="79">
        <f>'Summer 10PoE'!U23*U$12/'Summer 10PoE'!U$12</f>
        <v>0.72753495027623372</v>
      </c>
      <c r="V23" s="79">
        <f>'Summer 10PoE'!V23*V$12/'Summer 10PoE'!V$12</f>
        <v>0.74862867812719858</v>
      </c>
      <c r="W23" s="79">
        <f>'Summer 10PoE'!W23*W$12/'Summer 10PoE'!W$12</f>
        <v>0.76931367594514266</v>
      </c>
      <c r="X23" s="79">
        <f>'Summer 10PoE'!X23*X$12/'Summer 10PoE'!X$12</f>
        <v>0.78936193600742899</v>
      </c>
      <c r="Y23" s="79">
        <f t="shared" si="3"/>
        <v>0.80941019606971532</v>
      </c>
    </row>
    <row r="24" spans="1:25" ht="14.1" customHeight="1" thickBot="1" x14ac:dyDescent="0.3">
      <c r="A24" s="4"/>
      <c r="B24" s="1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94"/>
      <c r="N24" s="4"/>
      <c r="O24" s="5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ht="14.1" customHeight="1" thickBot="1" x14ac:dyDescent="0.3">
      <c r="A25" s="4"/>
      <c r="B25" s="1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94"/>
      <c r="N25" s="4"/>
      <c r="O25" s="10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ht="14.1" customHeight="1" thickBot="1" x14ac:dyDescent="0.3">
      <c r="A26" s="4"/>
      <c r="B26" s="1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94"/>
      <c r="N26" s="4"/>
      <c r="O26" s="10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ht="14.1" customHeight="1" thickBot="1" x14ac:dyDescent="0.3">
      <c r="A27" s="4"/>
      <c r="B27" s="1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94"/>
      <c r="N27" s="4"/>
      <c r="O27" s="5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14.1" customHeight="1" thickBot="1" x14ac:dyDescent="0.3">
      <c r="A28" s="4"/>
      <c r="B28" s="10"/>
      <c r="C28" s="79"/>
      <c r="D28" s="79"/>
      <c r="E28" s="79"/>
      <c r="F28" s="79"/>
      <c r="G28" s="79"/>
      <c r="H28" s="79"/>
      <c r="I28" s="79"/>
      <c r="J28" s="79"/>
      <c r="K28" s="79"/>
      <c r="L28" s="79"/>
      <c r="N28" s="4"/>
      <c r="O28" s="5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14.1" customHeight="1" thickBot="1" x14ac:dyDescent="0.3">
      <c r="A29" s="4"/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N29" s="4"/>
      <c r="O29" s="5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spans="1:25" ht="14.1" customHeight="1" thickBot="1" x14ac:dyDescent="0.3">
      <c r="A30" s="4"/>
      <c r="B30" s="10"/>
      <c r="C30" s="79"/>
      <c r="D30" s="79"/>
      <c r="E30" s="79"/>
      <c r="F30" s="79"/>
      <c r="G30" s="79"/>
      <c r="H30" s="79"/>
      <c r="I30" s="79"/>
      <c r="J30" s="79"/>
      <c r="K30" s="79"/>
      <c r="L30" s="79"/>
      <c r="N30" s="4"/>
      <c r="O30" s="5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ht="14.1" customHeight="1" thickBot="1" x14ac:dyDescent="0.3">
      <c r="A31" s="4"/>
      <c r="B31" s="10"/>
      <c r="C31" s="79"/>
      <c r="D31" s="79"/>
      <c r="E31" s="79"/>
      <c r="F31" s="79"/>
      <c r="G31" s="79"/>
      <c r="H31" s="79"/>
      <c r="I31" s="79"/>
      <c r="J31" s="79"/>
      <c r="K31" s="79"/>
      <c r="L31" s="79"/>
      <c r="N31" s="4"/>
      <c r="O31" s="5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4.1" customHeight="1" thickBot="1" x14ac:dyDescent="0.3">
      <c r="A32" s="4"/>
      <c r="B32" s="10"/>
      <c r="C32" s="79"/>
      <c r="D32" s="79"/>
      <c r="E32" s="79"/>
      <c r="F32" s="79"/>
      <c r="G32" s="79"/>
      <c r="H32" s="79"/>
      <c r="I32" s="79"/>
      <c r="J32" s="79"/>
      <c r="K32" s="79"/>
      <c r="L32" s="79"/>
      <c r="N32" s="4"/>
      <c r="O32" s="5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spans="1:25" ht="14.1" customHeight="1" thickBot="1" x14ac:dyDescent="0.3">
      <c r="A33" s="4"/>
      <c r="B33" s="10"/>
      <c r="C33" s="79"/>
      <c r="D33" s="79"/>
      <c r="E33" s="79"/>
      <c r="F33" s="79"/>
      <c r="G33" s="79"/>
      <c r="H33" s="79"/>
      <c r="I33" s="79"/>
      <c r="J33" s="79"/>
      <c r="K33" s="79"/>
      <c r="L33" s="79"/>
      <c r="N33" s="4"/>
      <c r="O33" s="5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4.1" customHeight="1" thickBot="1" x14ac:dyDescent="0.3">
      <c r="A34" s="4"/>
      <c r="B34" s="10"/>
      <c r="C34" s="79"/>
      <c r="D34" s="79"/>
      <c r="E34" s="79"/>
      <c r="F34" s="79"/>
      <c r="G34" s="79"/>
      <c r="H34" s="79"/>
      <c r="I34" s="79"/>
      <c r="J34" s="79"/>
      <c r="K34" s="79"/>
      <c r="L34" s="79"/>
      <c r="N34" s="4"/>
      <c r="O34" s="5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4.1" customHeight="1" thickBot="1" x14ac:dyDescent="0.3">
      <c r="A35" s="4"/>
      <c r="B35" s="10"/>
      <c r="C35" s="79"/>
      <c r="D35" s="79"/>
      <c r="E35" s="79"/>
      <c r="F35" s="79"/>
      <c r="G35" s="79"/>
      <c r="H35" s="79"/>
      <c r="I35" s="79"/>
      <c r="J35" s="79"/>
      <c r="K35" s="79"/>
      <c r="L35" s="79"/>
      <c r="N35" s="4"/>
      <c r="O35" s="5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4.1" customHeight="1" thickBot="1" x14ac:dyDescent="0.3">
      <c r="A36" s="4"/>
      <c r="B36" s="10"/>
      <c r="C36" s="79"/>
      <c r="D36" s="79"/>
      <c r="E36" s="79"/>
      <c r="F36" s="79"/>
      <c r="G36" s="79"/>
      <c r="H36" s="79"/>
      <c r="I36" s="79"/>
      <c r="J36" s="79"/>
      <c r="K36" s="79"/>
      <c r="L36" s="79"/>
      <c r="N36" s="4"/>
      <c r="O36" s="5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1:25" ht="14.1" customHeight="1" thickBot="1" x14ac:dyDescent="0.3">
      <c r="A37" s="4"/>
      <c r="B37" s="10"/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4"/>
      <c r="O37" s="5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ht="14.1" customHeight="1" thickBot="1" x14ac:dyDescent="0.3">
      <c r="A38" s="4"/>
      <c r="B38" s="10"/>
      <c r="C38" s="79"/>
      <c r="D38" s="79"/>
      <c r="E38" s="79"/>
      <c r="F38" s="79"/>
      <c r="G38" s="79"/>
      <c r="H38" s="79"/>
      <c r="I38" s="79"/>
      <c r="J38" s="79"/>
      <c r="K38" s="79"/>
      <c r="L38" s="79"/>
      <c r="N38" s="4"/>
      <c r="O38" s="5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4.1" customHeight="1" thickBot="1" x14ac:dyDescent="0.3">
      <c r="A39" s="4"/>
      <c r="B39" s="10"/>
      <c r="C39" s="79"/>
      <c r="D39" s="79"/>
      <c r="E39" s="79"/>
      <c r="F39" s="79"/>
      <c r="G39" s="79"/>
      <c r="H39" s="79"/>
      <c r="I39" s="79"/>
      <c r="J39" s="79"/>
      <c r="K39" s="79"/>
      <c r="L39" s="79"/>
      <c r="N39" s="4"/>
      <c r="O39" s="5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4.1" customHeight="1" thickBot="1" x14ac:dyDescent="0.3">
      <c r="A40" s="4"/>
      <c r="B40" s="10"/>
      <c r="C40" s="79"/>
      <c r="D40" s="79"/>
      <c r="E40" s="79"/>
      <c r="F40" s="79"/>
      <c r="G40" s="79"/>
      <c r="H40" s="79"/>
      <c r="I40" s="79"/>
      <c r="J40" s="79"/>
      <c r="K40" s="79"/>
      <c r="L40" s="79"/>
      <c r="N40" s="4"/>
      <c r="O40" s="5"/>
      <c r="P40" s="79"/>
      <c r="Q40" s="79"/>
      <c r="R40" s="79"/>
      <c r="S40" s="79"/>
      <c r="T40" s="79"/>
      <c r="U40" s="79"/>
      <c r="V40" s="79"/>
      <c r="W40" s="79"/>
      <c r="X40" s="79"/>
      <c r="Y40" s="79"/>
    </row>
    <row r="41" spans="1:25" ht="14.1" customHeight="1" thickBot="1" x14ac:dyDescent="0.3">
      <c r="A41" s="4"/>
      <c r="B41" s="10"/>
      <c r="C41" s="79"/>
      <c r="D41" s="79"/>
      <c r="E41" s="79"/>
      <c r="F41" s="79"/>
      <c r="G41" s="79"/>
      <c r="H41" s="79"/>
      <c r="I41" s="79"/>
      <c r="J41" s="79"/>
      <c r="K41" s="79"/>
      <c r="L41" s="79"/>
      <c r="N41" s="4"/>
      <c r="O41" s="5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14.1" customHeight="1" thickBot="1" x14ac:dyDescent="0.3">
      <c r="A42" s="4"/>
      <c r="B42" s="10"/>
      <c r="C42" s="79"/>
      <c r="D42" s="79"/>
      <c r="E42" s="79"/>
      <c r="F42" s="79"/>
      <c r="G42" s="79"/>
      <c r="H42" s="79"/>
      <c r="I42" s="79"/>
      <c r="J42" s="79"/>
      <c r="K42" s="79"/>
      <c r="L42" s="79"/>
      <c r="N42" s="4"/>
      <c r="O42" s="5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ht="14.1" customHeight="1" thickBot="1" x14ac:dyDescent="0.3">
      <c r="A43" s="4"/>
      <c r="B43" s="10"/>
      <c r="C43" s="79"/>
      <c r="D43" s="79"/>
      <c r="E43" s="79"/>
      <c r="F43" s="79"/>
      <c r="G43" s="79"/>
      <c r="H43" s="79"/>
      <c r="I43" s="79"/>
      <c r="J43" s="79"/>
      <c r="K43" s="79"/>
      <c r="L43" s="79"/>
      <c r="N43" s="4"/>
      <c r="O43" s="5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1:25" ht="14.1" customHeight="1" thickBot="1" x14ac:dyDescent="0.3"/>
    <row r="45" spans="1:25" ht="14.1" customHeight="1" thickBot="1" x14ac:dyDescent="0.3">
      <c r="A45" s="1" t="s">
        <v>84</v>
      </c>
      <c r="B45" s="2" t="str">
        <f>B1</f>
        <v>Rating</v>
      </c>
      <c r="C45" s="2" t="s">
        <v>85</v>
      </c>
      <c r="D45" s="2">
        <f t="shared" ref="D45:L45" si="4">D1</f>
        <v>2026</v>
      </c>
      <c r="E45" s="2">
        <f t="shared" si="4"/>
        <v>2027</v>
      </c>
      <c r="F45" s="2">
        <f t="shared" si="4"/>
        <v>2028</v>
      </c>
      <c r="G45" s="2">
        <f t="shared" si="4"/>
        <v>2029</v>
      </c>
      <c r="H45" s="2">
        <f t="shared" si="4"/>
        <v>2030</v>
      </c>
      <c r="I45" s="2">
        <f t="shared" si="4"/>
        <v>2031</v>
      </c>
      <c r="J45" s="2">
        <f t="shared" si="4"/>
        <v>2032</v>
      </c>
      <c r="K45" s="2">
        <f t="shared" si="4"/>
        <v>2033</v>
      </c>
      <c r="L45" s="2">
        <f t="shared" si="4"/>
        <v>2034</v>
      </c>
      <c r="N45" s="1" t="s">
        <v>86</v>
      </c>
      <c r="O45" s="2" t="str">
        <f>O1</f>
        <v>Rating</v>
      </c>
      <c r="P45" s="2" t="s">
        <v>85</v>
      </c>
      <c r="Q45" s="2">
        <f t="shared" ref="Q45:T45" si="5">Q1</f>
        <v>2026</v>
      </c>
      <c r="R45" s="2">
        <f t="shared" si="5"/>
        <v>2027</v>
      </c>
      <c r="S45" s="2">
        <f t="shared" si="5"/>
        <v>2028</v>
      </c>
      <c r="T45" s="2">
        <f t="shared" si="5"/>
        <v>2029</v>
      </c>
      <c r="U45" s="2">
        <f>U1</f>
        <v>2030</v>
      </c>
      <c r="V45" s="2">
        <f>V1</f>
        <v>2031</v>
      </c>
      <c r="W45" s="2">
        <f t="shared" ref="W45:Y45" si="6">W1</f>
        <v>2032</v>
      </c>
      <c r="X45" s="2">
        <f t="shared" si="6"/>
        <v>2033</v>
      </c>
      <c r="Y45" s="2">
        <f t="shared" si="6"/>
        <v>2034</v>
      </c>
    </row>
    <row r="46" spans="1:25" ht="14.1" customHeight="1" thickTop="1" thickBot="1" x14ac:dyDescent="0.3">
      <c r="A46" s="6" t="s">
        <v>87</v>
      </c>
      <c r="B46" s="10"/>
      <c r="C46" s="79"/>
      <c r="D46" s="79"/>
      <c r="E46" s="79"/>
      <c r="F46" s="79"/>
      <c r="G46" s="79"/>
      <c r="H46" s="79"/>
      <c r="I46" s="79"/>
      <c r="J46" s="79"/>
      <c r="K46" s="79"/>
      <c r="L46" s="79"/>
      <c r="N46" s="6" t="s">
        <v>87</v>
      </c>
      <c r="O46" s="5"/>
      <c r="P46" s="92"/>
      <c r="Q46" s="92"/>
      <c r="R46" s="79"/>
      <c r="S46" s="79"/>
      <c r="T46" s="79"/>
      <c r="U46" s="79"/>
      <c r="V46" s="79"/>
      <c r="W46" s="79"/>
      <c r="X46" s="79"/>
      <c r="Y46" s="79"/>
    </row>
    <row r="47" spans="1:25" ht="14.1" customHeight="1" thickBot="1" x14ac:dyDescent="0.3">
      <c r="A47" s="4" t="str">
        <f>Ratings!A7</f>
        <v>SBY Replace No.1 &amp; 3 transformers</v>
      </c>
      <c r="B47" s="10">
        <f>Ratings!E7</f>
        <v>79.2</v>
      </c>
      <c r="C47" s="79">
        <v>7</v>
      </c>
      <c r="D47" s="79">
        <f>D2+$C47</f>
        <v>55.691564330643146</v>
      </c>
      <c r="E47" s="79">
        <f t="shared" ref="E47:L48" si="7">E2+$C47</f>
        <v>58.922450175558922</v>
      </c>
      <c r="F47" s="79">
        <f t="shared" si="7"/>
        <v>61.57150879459045</v>
      </c>
      <c r="G47" s="79">
        <f t="shared" si="7"/>
        <v>63.436226103954887</v>
      </c>
      <c r="H47" s="79">
        <f t="shared" si="7"/>
        <v>65.360171607498444</v>
      </c>
      <c r="I47" s="79">
        <f t="shared" si="7"/>
        <v>66.913860428283513</v>
      </c>
      <c r="J47" s="79">
        <f t="shared" si="7"/>
        <v>68.450817526453903</v>
      </c>
      <c r="K47" s="79">
        <f t="shared" si="7"/>
        <v>69.971603898250834</v>
      </c>
      <c r="L47" s="79">
        <f t="shared" si="7"/>
        <v>71.478106550861938</v>
      </c>
      <c r="N47" s="95" t="str">
        <f>Ratings!H56</f>
        <v>SBY14 new</v>
      </c>
      <c r="O47" s="5">
        <f>Ratings!J56</f>
        <v>14.3</v>
      </c>
      <c r="P47" s="79">
        <f>-P51</f>
        <v>7</v>
      </c>
      <c r="Q47" s="79">
        <f>$P47</f>
        <v>7</v>
      </c>
      <c r="R47" s="79">
        <f t="shared" ref="R47:Y48" si="8">$P47</f>
        <v>7</v>
      </c>
      <c r="S47" s="79">
        <f t="shared" si="8"/>
        <v>7</v>
      </c>
      <c r="T47" s="79">
        <f t="shared" si="8"/>
        <v>7</v>
      </c>
      <c r="U47" s="79">
        <f t="shared" si="8"/>
        <v>7</v>
      </c>
      <c r="V47" s="79">
        <f t="shared" si="8"/>
        <v>7</v>
      </c>
      <c r="W47" s="79">
        <f t="shared" si="8"/>
        <v>7</v>
      </c>
      <c r="X47" s="79">
        <f t="shared" si="8"/>
        <v>7</v>
      </c>
      <c r="Y47" s="79">
        <f t="shared" si="8"/>
        <v>7</v>
      </c>
    </row>
    <row r="48" spans="1:25" ht="14.1" customHeight="1" thickBot="1" x14ac:dyDescent="0.3">
      <c r="A48" s="4" t="str">
        <f>Ratings!A3</f>
        <v>SHM</v>
      </c>
      <c r="B48" s="10">
        <f>Ratings!E3</f>
        <v>39.6</v>
      </c>
      <c r="C48" s="79">
        <f>-(C49+C47)</f>
        <v>-27</v>
      </c>
      <c r="D48" s="79">
        <f>D3+$C48</f>
        <v>12.410320524272855</v>
      </c>
      <c r="E48" s="79">
        <f t="shared" si="7"/>
        <v>15.814381032934989</v>
      </c>
      <c r="F48" s="79">
        <f t="shared" si="7"/>
        <v>18.559601149811975</v>
      </c>
      <c r="G48" s="79">
        <f t="shared" si="7"/>
        <v>20.65215553088121</v>
      </c>
      <c r="H48" s="79">
        <f t="shared" si="7"/>
        <v>22.931492695188247</v>
      </c>
      <c r="I48" s="79">
        <f t="shared" si="7"/>
        <v>24.687466379132786</v>
      </c>
      <c r="J48" s="79">
        <f t="shared" si="7"/>
        <v>26.434411616247466</v>
      </c>
      <c r="K48" s="79">
        <f t="shared" si="7"/>
        <v>28.155978539427828</v>
      </c>
      <c r="L48" s="79">
        <f t="shared" si="7"/>
        <v>29.859234202443545</v>
      </c>
      <c r="N48" s="95" t="str">
        <f>Ratings!H46</f>
        <v>SBY22 new</v>
      </c>
      <c r="O48" s="5">
        <f>Ratings!J46</f>
        <v>14.3</v>
      </c>
      <c r="P48" s="79">
        <f>-(P60+P57+P58)</f>
        <v>11</v>
      </c>
      <c r="Q48" s="79">
        <f t="shared" ref="Q48" si="9">$P48</f>
        <v>11</v>
      </c>
      <c r="R48" s="79">
        <f t="shared" si="8"/>
        <v>11</v>
      </c>
      <c r="S48" s="79">
        <f t="shared" si="8"/>
        <v>11</v>
      </c>
      <c r="T48" s="79">
        <f t="shared" si="8"/>
        <v>11</v>
      </c>
      <c r="U48" s="79">
        <f t="shared" si="8"/>
        <v>11</v>
      </c>
      <c r="V48" s="79">
        <f t="shared" si="8"/>
        <v>11</v>
      </c>
      <c r="W48" s="79">
        <f t="shared" si="8"/>
        <v>11</v>
      </c>
      <c r="X48" s="79">
        <f t="shared" si="8"/>
        <v>11</v>
      </c>
      <c r="Y48" s="79">
        <f t="shared" si="8"/>
        <v>11</v>
      </c>
    </row>
    <row r="49" spans="1:25" ht="14.1" customHeight="1" thickBot="1" x14ac:dyDescent="0.3">
      <c r="A49" s="4" t="str">
        <f>Ratings!A9</f>
        <v>PLN New zone substation</v>
      </c>
      <c r="B49" s="10">
        <f>Ratings!C9</f>
        <v>33</v>
      </c>
      <c r="C49" s="79">
        <v>20</v>
      </c>
      <c r="D49" s="79">
        <f>$C49</f>
        <v>20</v>
      </c>
      <c r="E49" s="79">
        <f t="shared" ref="E49:L49" si="10">$C49</f>
        <v>20</v>
      </c>
      <c r="F49" s="79">
        <f t="shared" si="10"/>
        <v>20</v>
      </c>
      <c r="G49" s="79">
        <f t="shared" si="10"/>
        <v>20</v>
      </c>
      <c r="H49" s="79">
        <f t="shared" si="10"/>
        <v>20</v>
      </c>
      <c r="I49" s="79">
        <f t="shared" si="10"/>
        <v>20</v>
      </c>
      <c r="J49" s="79">
        <f t="shared" si="10"/>
        <v>20</v>
      </c>
      <c r="K49" s="79">
        <f t="shared" si="10"/>
        <v>20</v>
      </c>
      <c r="L49" s="79">
        <f t="shared" si="10"/>
        <v>20</v>
      </c>
      <c r="N49" s="95" t="str">
        <f>Ratings!H12</f>
        <v>SBY24</v>
      </c>
      <c r="O49" s="5">
        <f>Ratings!J12</f>
        <v>14.3</v>
      </c>
      <c r="P49" s="79">
        <f>-(P50+P59)</f>
        <v>-17</v>
      </c>
      <c r="Q49" s="79">
        <f>Q$12+$P49</f>
        <v>-7.5520120463789393</v>
      </c>
      <c r="R49" s="79">
        <f t="shared" ref="R49:Y49" si="11">R$12+$P49</f>
        <v>-5.1678506023167223</v>
      </c>
      <c r="S49" s="79">
        <f t="shared" si="11"/>
        <v>-3.3897434815284893</v>
      </c>
      <c r="T49" s="79">
        <f t="shared" si="11"/>
        <v>-2.4184359973967613</v>
      </c>
      <c r="U49" s="79">
        <f t="shared" si="11"/>
        <v>-1.4913322452844682</v>
      </c>
      <c r="V49" s="79">
        <f t="shared" si="11"/>
        <v>-1.0416828960335547</v>
      </c>
      <c r="W49" s="79">
        <f t="shared" si="11"/>
        <v>-0.60074633546872036</v>
      </c>
      <c r="X49" s="79">
        <f t="shared" si="11"/>
        <v>-0.1733829431697238</v>
      </c>
      <c r="Y49" s="79">
        <f t="shared" si="11"/>
        <v>0.24274848710238928</v>
      </c>
    </row>
    <row r="50" spans="1:25" ht="14.1" customHeight="1" thickBot="1" x14ac:dyDescent="0.3">
      <c r="A50" s="4" t="str">
        <f>Ratings!A6</f>
        <v>SBY Replace No.1 transformer</v>
      </c>
      <c r="B50" s="10">
        <f>Ratings!E6</f>
        <v>49</v>
      </c>
      <c r="C50" s="79">
        <f>C47</f>
        <v>7</v>
      </c>
      <c r="D50" s="79">
        <f>D47</f>
        <v>55.691564330643146</v>
      </c>
      <c r="E50" s="79">
        <f t="shared" ref="E50:L50" si="12">E47</f>
        <v>58.922450175558922</v>
      </c>
      <c r="F50" s="79">
        <f t="shared" si="12"/>
        <v>61.57150879459045</v>
      </c>
      <c r="G50" s="79">
        <f t="shared" si="12"/>
        <v>63.436226103954887</v>
      </c>
      <c r="H50" s="79">
        <f t="shared" si="12"/>
        <v>65.360171607498444</v>
      </c>
      <c r="I50" s="79">
        <f t="shared" si="12"/>
        <v>66.913860428283513</v>
      </c>
      <c r="J50" s="79">
        <f t="shared" si="12"/>
        <v>68.450817526453903</v>
      </c>
      <c r="K50" s="79">
        <f t="shared" si="12"/>
        <v>69.971603898250834</v>
      </c>
      <c r="L50" s="79">
        <f t="shared" si="12"/>
        <v>71.478106550861938</v>
      </c>
      <c r="N50" s="95" t="str">
        <f>Ratings!H15</f>
        <v>SBY35</v>
      </c>
      <c r="O50" s="5">
        <f>Ratings!J15</f>
        <v>14.3</v>
      </c>
      <c r="P50" s="79">
        <v>6</v>
      </c>
      <c r="Q50" s="79">
        <f>Q$15+$P50</f>
        <v>11.882190464760129</v>
      </c>
      <c r="R50" s="79">
        <f t="shared" ref="R50:Y50" si="13">R$15+$P50</f>
        <v>11.996734098684493</v>
      </c>
      <c r="S50" s="79">
        <f t="shared" si="13"/>
        <v>12.120789671263553</v>
      </c>
      <c r="T50" s="79">
        <f t="shared" si="13"/>
        <v>12.255912275518945</v>
      </c>
      <c r="U50" s="79">
        <f t="shared" si="13"/>
        <v>12.435193901285473</v>
      </c>
      <c r="V50" s="79">
        <f t="shared" si="13"/>
        <v>12.616022504110099</v>
      </c>
      <c r="W50" s="79">
        <f t="shared" si="13"/>
        <v>12.798146212919658</v>
      </c>
      <c r="X50" s="79">
        <f t="shared" si="13"/>
        <v>12.984606764270151</v>
      </c>
      <c r="Y50" s="79">
        <f t="shared" si="13"/>
        <v>13.17454972053547</v>
      </c>
    </row>
    <row r="51" spans="1:25" ht="14.1" customHeight="1" thickBot="1" x14ac:dyDescent="0.3">
      <c r="A51" s="4"/>
      <c r="B51" s="10"/>
      <c r="C51" s="79"/>
      <c r="D51" s="79"/>
      <c r="E51" s="79"/>
      <c r="F51" s="79"/>
      <c r="G51" s="79"/>
      <c r="H51" s="79"/>
      <c r="I51" s="79"/>
      <c r="J51" s="79"/>
      <c r="K51" s="79"/>
      <c r="L51" s="79"/>
      <c r="N51" s="95" t="str">
        <f>Ratings!H2</f>
        <v>SHM11</v>
      </c>
      <c r="O51" s="5">
        <f>Ratings!J2</f>
        <v>14.3</v>
      </c>
      <c r="P51" s="79">
        <v>-7</v>
      </c>
      <c r="Q51" s="79">
        <f>Q$2+$P51</f>
        <v>1.6778641395487863</v>
      </c>
      <c r="R51" s="79">
        <f t="shared" ref="R51:Y51" si="14">R$2+$P51</f>
        <v>4.5899684706625639</v>
      </c>
      <c r="S51" s="79">
        <f t="shared" si="14"/>
        <v>6.7592485965144764</v>
      </c>
      <c r="T51" s="79">
        <f t="shared" si="14"/>
        <v>8.1082371589813338</v>
      </c>
      <c r="U51" s="79">
        <f t="shared" si="14"/>
        <v>9.2273211906065562</v>
      </c>
      <c r="V51" s="79">
        <f t="shared" si="14"/>
        <v>10.037771755050134</v>
      </c>
      <c r="W51" s="79">
        <f t="shared" si="14"/>
        <v>10.612339745052022</v>
      </c>
      <c r="X51" s="79">
        <f t="shared" si="14"/>
        <v>11.178458265102677</v>
      </c>
      <c r="Y51" s="79">
        <f t="shared" si="14"/>
        <v>11.73846428183225</v>
      </c>
    </row>
    <row r="52" spans="1:25" ht="14.1" customHeight="1" thickBot="1" x14ac:dyDescent="0.3">
      <c r="A52" s="4"/>
      <c r="B52" s="10"/>
      <c r="C52" s="79"/>
      <c r="D52" s="79"/>
      <c r="E52" s="79"/>
      <c r="F52" s="79"/>
      <c r="G52" s="79"/>
      <c r="H52" s="79"/>
      <c r="I52" s="79"/>
      <c r="J52" s="79"/>
      <c r="K52" s="79"/>
      <c r="L52" s="79"/>
      <c r="N52" s="95" t="str">
        <f>Ratings!H55</f>
        <v>SHM13 new</v>
      </c>
      <c r="O52" s="10">
        <f>Ratings!J55</f>
        <v>14.3</v>
      </c>
      <c r="P52" s="79">
        <f>-(P53+P54+P55)</f>
        <v>2</v>
      </c>
      <c r="Q52" s="79">
        <f t="shared" ref="Q52:Y52" si="15">$P52</f>
        <v>2</v>
      </c>
      <c r="R52" s="79">
        <f t="shared" si="15"/>
        <v>2</v>
      </c>
      <c r="S52" s="79">
        <f t="shared" si="15"/>
        <v>2</v>
      </c>
      <c r="T52" s="79">
        <f t="shared" si="15"/>
        <v>2</v>
      </c>
      <c r="U52" s="79">
        <f t="shared" si="15"/>
        <v>2</v>
      </c>
      <c r="V52" s="79">
        <f t="shared" si="15"/>
        <v>2</v>
      </c>
      <c r="W52" s="79">
        <f t="shared" si="15"/>
        <v>2</v>
      </c>
      <c r="X52" s="79">
        <f t="shared" si="15"/>
        <v>2</v>
      </c>
      <c r="Y52" s="79">
        <f t="shared" si="15"/>
        <v>2</v>
      </c>
    </row>
    <row r="53" spans="1:25" ht="14.1" customHeight="1" thickBot="1" x14ac:dyDescent="0.3">
      <c r="A53" s="4"/>
      <c r="B53" s="10"/>
      <c r="C53" s="79"/>
      <c r="D53" s="79"/>
      <c r="E53" s="79"/>
      <c r="F53" s="79"/>
      <c r="G53" s="79"/>
      <c r="H53" s="79"/>
      <c r="I53" s="79"/>
      <c r="J53" s="79"/>
      <c r="K53" s="79"/>
      <c r="L53" s="79"/>
      <c r="N53" s="95" t="str">
        <f>Ratings!H4</f>
        <v>SHM14</v>
      </c>
      <c r="O53" s="5">
        <f>Ratings!J4</f>
        <v>14.3</v>
      </c>
      <c r="P53" s="79">
        <v>-22</v>
      </c>
      <c r="Q53" s="79">
        <f>Q$4+$P53</f>
        <v>-10.666480736090241</v>
      </c>
      <c r="R53" s="79">
        <f t="shared" ref="R53:Y53" si="16">R$4+$P53</f>
        <v>-9.2368203895199095</v>
      </c>
      <c r="S53" s="79">
        <f t="shared" si="16"/>
        <v>-8.0842839114883454</v>
      </c>
      <c r="T53" s="79">
        <f t="shared" si="16"/>
        <v>-7.3583884613302253</v>
      </c>
      <c r="U53" s="79">
        <f t="shared" si="16"/>
        <v>-6.5479352341632087</v>
      </c>
      <c r="V53" s="79">
        <f t="shared" si="16"/>
        <v>-6.0056577917424203</v>
      </c>
      <c r="W53" s="79">
        <f t="shared" si="16"/>
        <v>-5.4662775731245148</v>
      </c>
      <c r="X53" s="79">
        <f t="shared" si="16"/>
        <v>-4.934829360864093</v>
      </c>
      <c r="Y53" s="79">
        <f t="shared" si="16"/>
        <v>-4.4091193091608147</v>
      </c>
    </row>
    <row r="54" spans="1:25" ht="14.1" customHeight="1" thickBot="1" x14ac:dyDescent="0.3">
      <c r="A54" s="4"/>
      <c r="B54" s="10"/>
      <c r="C54" s="79"/>
      <c r="D54" s="79"/>
      <c r="E54" s="79"/>
      <c r="F54" s="79"/>
      <c r="G54" s="79"/>
      <c r="H54" s="79"/>
      <c r="I54" s="79"/>
      <c r="J54" s="79"/>
      <c r="K54" s="79"/>
      <c r="L54" s="79"/>
      <c r="N54" s="95" t="str">
        <f>Ratings!H51</f>
        <v>PLN11 new</v>
      </c>
      <c r="O54" s="10">
        <f>Ratings!J51</f>
        <v>14.3</v>
      </c>
      <c r="P54" s="79">
        <v>10</v>
      </c>
      <c r="Q54" s="79">
        <f>$P54</f>
        <v>10</v>
      </c>
      <c r="R54" s="79">
        <f t="shared" ref="R54:Y56" si="17">$P54</f>
        <v>10</v>
      </c>
      <c r="S54" s="79">
        <f t="shared" si="17"/>
        <v>10</v>
      </c>
      <c r="T54" s="79">
        <f t="shared" si="17"/>
        <v>10</v>
      </c>
      <c r="U54" s="79">
        <f t="shared" si="17"/>
        <v>10</v>
      </c>
      <c r="V54" s="79">
        <f t="shared" si="17"/>
        <v>10</v>
      </c>
      <c r="W54" s="79">
        <f t="shared" si="17"/>
        <v>10</v>
      </c>
      <c r="X54" s="79">
        <f t="shared" si="17"/>
        <v>10</v>
      </c>
      <c r="Y54" s="79">
        <f t="shared" si="17"/>
        <v>10</v>
      </c>
    </row>
    <row r="55" spans="1:25" ht="14.1" customHeight="1" thickBot="1" x14ac:dyDescent="0.3">
      <c r="A55" s="4"/>
      <c r="B55" s="10"/>
      <c r="C55" s="79"/>
      <c r="D55" s="79"/>
      <c r="E55" s="79"/>
      <c r="F55" s="79"/>
      <c r="G55" s="79"/>
      <c r="H55" s="79"/>
      <c r="I55" s="79"/>
      <c r="J55" s="79"/>
      <c r="K55" s="79"/>
      <c r="L55" s="79"/>
      <c r="N55" s="4" t="str">
        <f>Ratings!H52</f>
        <v>PLN12 new</v>
      </c>
      <c r="O55" s="96">
        <f>Ratings!J52</f>
        <v>14.3</v>
      </c>
      <c r="P55" s="79">
        <v>10</v>
      </c>
      <c r="Q55" s="79">
        <f t="shared" ref="Q55:Q56" si="18">$P55</f>
        <v>10</v>
      </c>
      <c r="R55" s="79">
        <f t="shared" si="17"/>
        <v>10</v>
      </c>
      <c r="S55" s="79">
        <f t="shared" si="17"/>
        <v>10</v>
      </c>
      <c r="T55" s="79">
        <f t="shared" si="17"/>
        <v>10</v>
      </c>
      <c r="U55" s="79">
        <f t="shared" si="17"/>
        <v>10</v>
      </c>
      <c r="V55" s="79">
        <f t="shared" si="17"/>
        <v>10</v>
      </c>
      <c r="W55" s="79">
        <f t="shared" si="17"/>
        <v>10</v>
      </c>
      <c r="X55" s="79">
        <f t="shared" si="17"/>
        <v>10</v>
      </c>
      <c r="Y55" s="79">
        <f t="shared" si="17"/>
        <v>10</v>
      </c>
    </row>
    <row r="56" spans="1:25" ht="14.1" customHeight="1" thickBot="1" x14ac:dyDescent="0.3">
      <c r="A56" s="6" t="s">
        <v>88</v>
      </c>
      <c r="B56" s="10"/>
      <c r="C56" s="79"/>
      <c r="D56" s="79"/>
      <c r="E56" s="79"/>
      <c r="F56" s="79"/>
      <c r="G56" s="79"/>
      <c r="H56" s="79"/>
      <c r="I56" s="79"/>
      <c r="J56" s="79"/>
      <c r="K56" s="79"/>
      <c r="L56" s="79"/>
      <c r="N56" s="4" t="str">
        <f>Ratings!H53</f>
        <v>PLN13 new</v>
      </c>
      <c r="O56" s="96">
        <f>Ratings!J53</f>
        <v>14.3</v>
      </c>
      <c r="P56" s="79">
        <v>0</v>
      </c>
      <c r="Q56" s="79">
        <f t="shared" si="18"/>
        <v>0</v>
      </c>
      <c r="R56" s="79">
        <f t="shared" si="17"/>
        <v>0</v>
      </c>
      <c r="S56" s="79">
        <f t="shared" si="17"/>
        <v>0</v>
      </c>
      <c r="T56" s="79">
        <f t="shared" si="17"/>
        <v>0</v>
      </c>
      <c r="U56" s="79">
        <f t="shared" si="17"/>
        <v>0</v>
      </c>
      <c r="V56" s="79">
        <f t="shared" si="17"/>
        <v>0</v>
      </c>
      <c r="W56" s="79">
        <f t="shared" si="17"/>
        <v>0</v>
      </c>
      <c r="X56" s="79">
        <f t="shared" si="17"/>
        <v>0</v>
      </c>
      <c r="Y56" s="79">
        <f t="shared" si="17"/>
        <v>0</v>
      </c>
    </row>
    <row r="57" spans="1:25" ht="14.1" customHeight="1" thickBot="1" x14ac:dyDescent="0.3">
      <c r="A57" s="4" t="str">
        <f>Ratings!A7</f>
        <v>SBY Replace No.1 &amp; 3 transformers</v>
      </c>
      <c r="B57" s="10">
        <f>Ratings!E7</f>
        <v>79.2</v>
      </c>
      <c r="C57" s="79">
        <f>C47</f>
        <v>7</v>
      </c>
      <c r="D57" s="79">
        <f>D2+$C57</f>
        <v>55.691564330643146</v>
      </c>
      <c r="E57" s="79">
        <f t="shared" ref="E57:L58" si="19">E2+$C57</f>
        <v>58.922450175558922</v>
      </c>
      <c r="F57" s="79">
        <f t="shared" si="19"/>
        <v>61.57150879459045</v>
      </c>
      <c r="G57" s="79">
        <f t="shared" si="19"/>
        <v>63.436226103954887</v>
      </c>
      <c r="H57" s="79">
        <f t="shared" si="19"/>
        <v>65.360171607498444</v>
      </c>
      <c r="I57" s="79">
        <f t="shared" si="19"/>
        <v>66.913860428283513</v>
      </c>
      <c r="J57" s="79">
        <f t="shared" si="19"/>
        <v>68.450817526453903</v>
      </c>
      <c r="K57" s="79">
        <f t="shared" si="19"/>
        <v>69.971603898250834</v>
      </c>
      <c r="L57" s="79">
        <f t="shared" si="19"/>
        <v>71.478106550861938</v>
      </c>
      <c r="N57" s="95" t="str">
        <f>Ratings!H13</f>
        <v>SBY32</v>
      </c>
      <c r="O57" s="5">
        <f>Ratings!J13</f>
        <v>14.3</v>
      </c>
      <c r="P57" s="79">
        <v>-4</v>
      </c>
      <c r="Q57" s="79">
        <f>Q$13+$P57</f>
        <v>9.1667487709748983</v>
      </c>
      <c r="R57" s="79">
        <f t="shared" ref="R57:Y57" si="20">R$13+$P57</f>
        <v>10.206384414571879</v>
      </c>
      <c r="S57" s="79">
        <f t="shared" si="20"/>
        <v>11.080779470151748</v>
      </c>
      <c r="T57" s="79">
        <f t="shared" si="20"/>
        <v>11.697048675441273</v>
      </c>
      <c r="U57" s="79">
        <f t="shared" si="20"/>
        <v>12.459660003012861</v>
      </c>
      <c r="V57" s="79">
        <f t="shared" si="20"/>
        <v>12.936881871860727</v>
      </c>
      <c r="W57" s="79">
        <f t="shared" si="20"/>
        <v>13.404856683403672</v>
      </c>
      <c r="X57" s="79">
        <f t="shared" si="20"/>
        <v>13.858426019353683</v>
      </c>
      <c r="Y57" s="79">
        <f t="shared" si="20"/>
        <v>14.300074648828247</v>
      </c>
    </row>
    <row r="58" spans="1:25" ht="14.1" customHeight="1" thickBot="1" x14ac:dyDescent="0.3">
      <c r="A58" s="4" t="str">
        <f>Ratings!A8</f>
        <v>SHM 3rd transformer</v>
      </c>
      <c r="B58" s="10">
        <f>Ratings!E8</f>
        <v>79.2</v>
      </c>
      <c r="C58" s="79">
        <f>-C57</f>
        <v>-7</v>
      </c>
      <c r="D58" s="79">
        <f>D3+$C58</f>
        <v>32.410320524272855</v>
      </c>
      <c r="E58" s="79">
        <f t="shared" si="19"/>
        <v>35.814381032934989</v>
      </c>
      <c r="F58" s="79">
        <f t="shared" si="19"/>
        <v>38.559601149811975</v>
      </c>
      <c r="G58" s="79">
        <f t="shared" si="19"/>
        <v>40.65215553088121</v>
      </c>
      <c r="H58" s="79">
        <f t="shared" si="19"/>
        <v>42.931492695188247</v>
      </c>
      <c r="I58" s="79">
        <f t="shared" si="19"/>
        <v>44.687466379132786</v>
      </c>
      <c r="J58" s="79">
        <f t="shared" si="19"/>
        <v>46.434411616247466</v>
      </c>
      <c r="K58" s="79">
        <f t="shared" si="19"/>
        <v>48.155978539427828</v>
      </c>
      <c r="L58" s="79">
        <f t="shared" si="19"/>
        <v>49.859234202443545</v>
      </c>
      <c r="N58" s="95" t="str">
        <f>Ratings!H11</f>
        <v>SBY23</v>
      </c>
      <c r="O58" s="5">
        <f>Ratings!J11</f>
        <v>14.3</v>
      </c>
      <c r="P58" s="79">
        <v>-4</v>
      </c>
      <c r="Q58" s="79">
        <f>Q$11+$P58</f>
        <v>6.6091655880042435</v>
      </c>
      <c r="R58" s="79">
        <f t="shared" ref="R58:Y58" si="21">R$11+$P58</f>
        <v>7.1381484961313362</v>
      </c>
      <c r="S58" s="79">
        <f t="shared" si="21"/>
        <v>7.5409256197508832</v>
      </c>
      <c r="T58" s="79">
        <f t="shared" si="21"/>
        <v>7.9324820498230828</v>
      </c>
      <c r="U58" s="79">
        <f t="shared" si="21"/>
        <v>8.430225774939597</v>
      </c>
      <c r="V58" s="79">
        <f t="shared" si="21"/>
        <v>8.7906205566927937</v>
      </c>
      <c r="W58" s="79">
        <f t="shared" si="21"/>
        <v>9.1440320222636995</v>
      </c>
      <c r="X58" s="79">
        <f t="shared" si="21"/>
        <v>9.4865645684655089</v>
      </c>
      <c r="Y58" s="79">
        <f t="shared" si="21"/>
        <v>9.8200946764116317</v>
      </c>
    </row>
    <row r="59" spans="1:25" ht="14.1" customHeight="1" thickBot="1" x14ac:dyDescent="0.3">
      <c r="A59" s="4" t="str">
        <f>Ratings!A6</f>
        <v>SBY Replace No.1 transformer</v>
      </c>
      <c r="B59" s="10">
        <f>Ratings!E6</f>
        <v>49</v>
      </c>
      <c r="C59" s="79">
        <f>C57</f>
        <v>7</v>
      </c>
      <c r="D59" s="79">
        <f>D57</f>
        <v>55.691564330643146</v>
      </c>
      <c r="E59" s="79">
        <f t="shared" ref="E59:L59" si="22">E57</f>
        <v>58.922450175558922</v>
      </c>
      <c r="F59" s="79">
        <f t="shared" si="22"/>
        <v>61.57150879459045</v>
      </c>
      <c r="G59" s="79">
        <f t="shared" si="22"/>
        <v>63.436226103954887</v>
      </c>
      <c r="H59" s="79">
        <f t="shared" si="22"/>
        <v>65.360171607498444</v>
      </c>
      <c r="I59" s="79">
        <f t="shared" si="22"/>
        <v>66.913860428283513</v>
      </c>
      <c r="J59" s="79">
        <f t="shared" si="22"/>
        <v>68.450817526453903</v>
      </c>
      <c r="K59" s="79">
        <f t="shared" si="22"/>
        <v>69.971603898250834</v>
      </c>
      <c r="L59" s="79">
        <f t="shared" si="22"/>
        <v>71.478106550861938</v>
      </c>
      <c r="N59" s="95" t="str">
        <f>Ratings!H47</f>
        <v>SBY15 new</v>
      </c>
      <c r="O59" s="5">
        <f>Ratings!J47</f>
        <v>14.3</v>
      </c>
      <c r="P59" s="79">
        <v>11</v>
      </c>
      <c r="Q59" s="79">
        <f t="shared" ref="Q59:Y59" si="23">$P59</f>
        <v>11</v>
      </c>
      <c r="R59" s="79">
        <f t="shared" si="23"/>
        <v>11</v>
      </c>
      <c r="S59" s="79">
        <f t="shared" si="23"/>
        <v>11</v>
      </c>
      <c r="T59" s="79">
        <f t="shared" si="23"/>
        <v>11</v>
      </c>
      <c r="U59" s="79">
        <f t="shared" si="23"/>
        <v>11</v>
      </c>
      <c r="V59" s="79">
        <f t="shared" si="23"/>
        <v>11</v>
      </c>
      <c r="W59" s="79">
        <f t="shared" si="23"/>
        <v>11</v>
      </c>
      <c r="X59" s="79">
        <f t="shared" si="23"/>
        <v>11</v>
      </c>
      <c r="Y59" s="79">
        <f t="shared" si="23"/>
        <v>11</v>
      </c>
    </row>
    <row r="60" spans="1:25" ht="14.1" customHeight="1" thickBot="1" x14ac:dyDescent="0.3">
      <c r="A60" s="4" t="s">
        <v>89</v>
      </c>
      <c r="B60" s="10">
        <f>Ratings!C3</f>
        <v>66</v>
      </c>
      <c r="C60" s="79"/>
      <c r="D60" s="79">
        <f>Q67+P3+Q68+Q69+P5+Q70+P7+P8</f>
        <v>24.142554520336432</v>
      </c>
      <c r="E60" s="79">
        <f t="shared" ref="E60:L60" si="24">R67+Q3+R68+R69+Q5+R70+Q7+Q8</f>
        <v>29.750585304959454</v>
      </c>
      <c r="F60" s="79">
        <f t="shared" si="24"/>
        <v>34.095231102115378</v>
      </c>
      <c r="G60" s="79">
        <f t="shared" si="24"/>
        <v>36.908664703608729</v>
      </c>
      <c r="H60" s="79">
        <f t="shared" si="24"/>
        <v>39.712000891922074</v>
      </c>
      <c r="I60" s="79">
        <f t="shared" si="24"/>
        <v>42.249459969744564</v>
      </c>
      <c r="J60" s="79">
        <f t="shared" si="24"/>
        <v>44.344169303164428</v>
      </c>
      <c r="K60" s="79">
        <f t="shared" si="24"/>
        <v>46.41607641305292</v>
      </c>
      <c r="L60" s="79">
        <f t="shared" si="24"/>
        <v>48.467046085774726</v>
      </c>
      <c r="N60" s="95" t="str">
        <f>Ratings!H10</f>
        <v>SBY13</v>
      </c>
      <c r="O60" s="5">
        <f>Ratings!J10</f>
        <v>14.1</v>
      </c>
      <c r="P60" s="79">
        <v>-3</v>
      </c>
      <c r="Q60" s="79">
        <f>Q$10+$P60</f>
        <v>4.528469208120443</v>
      </c>
      <c r="R60" s="79">
        <f t="shared" ref="R60:Y60" si="25">R$10+$P60</f>
        <v>4.8800894557485428</v>
      </c>
      <c r="S60" s="79">
        <f t="shared" si="25"/>
        <v>5.1778853732514527</v>
      </c>
      <c r="T60" s="79">
        <f t="shared" si="25"/>
        <v>5.4317976593230206</v>
      </c>
      <c r="U60" s="79">
        <f t="shared" si="25"/>
        <v>5.7893225488202056</v>
      </c>
      <c r="V60" s="79">
        <f t="shared" si="25"/>
        <v>6.0441550867879954</v>
      </c>
      <c r="W60" s="79">
        <f t="shared" si="25"/>
        <v>6.2940497724996938</v>
      </c>
      <c r="X60" s="79">
        <f t="shared" si="25"/>
        <v>6.5362520531779751</v>
      </c>
      <c r="Y60" s="79">
        <f t="shared" si="25"/>
        <v>6.7720887750170515</v>
      </c>
    </row>
    <row r="61" spans="1:25" ht="14.1" customHeight="1" thickBot="1" x14ac:dyDescent="0.3">
      <c r="A61" s="4" t="s">
        <v>90</v>
      </c>
      <c r="B61" s="10">
        <f>B60/2</f>
        <v>33</v>
      </c>
      <c r="C61" s="79"/>
      <c r="D61" s="79">
        <f>Q71+Q72+Q73</f>
        <v>15</v>
      </c>
      <c r="E61" s="79">
        <f t="shared" ref="E61:L61" si="26">R71+R72+R73</f>
        <v>15</v>
      </c>
      <c r="F61" s="79">
        <f t="shared" si="26"/>
        <v>15</v>
      </c>
      <c r="G61" s="79">
        <f t="shared" si="26"/>
        <v>15</v>
      </c>
      <c r="H61" s="79">
        <f t="shared" si="26"/>
        <v>15</v>
      </c>
      <c r="I61" s="79">
        <f t="shared" si="26"/>
        <v>15</v>
      </c>
      <c r="J61" s="79">
        <f t="shared" si="26"/>
        <v>15</v>
      </c>
      <c r="K61" s="79">
        <f t="shared" si="26"/>
        <v>15</v>
      </c>
      <c r="L61" s="79">
        <f t="shared" si="26"/>
        <v>15</v>
      </c>
      <c r="N61" s="95"/>
      <c r="O61" s="5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 ht="14.1" customHeight="1" thickBot="1" x14ac:dyDescent="0.3">
      <c r="A62" s="4"/>
      <c r="B62" s="10"/>
      <c r="C62" s="79"/>
      <c r="D62" s="79"/>
      <c r="E62" s="79"/>
      <c r="F62" s="79"/>
      <c r="G62" s="79"/>
      <c r="H62" s="79"/>
      <c r="I62" s="79"/>
      <c r="J62" s="79"/>
      <c r="K62" s="79"/>
      <c r="L62" s="79"/>
      <c r="N62" s="97" t="str">
        <f>A56</f>
        <v>Option 3</v>
      </c>
      <c r="O62" s="5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 ht="14.1" customHeight="1" thickBot="1" x14ac:dyDescent="0.3">
      <c r="A63" s="4"/>
      <c r="B63" s="10"/>
      <c r="C63" s="79"/>
      <c r="D63" s="79"/>
      <c r="E63" s="79"/>
      <c r="F63" s="79"/>
      <c r="G63" s="79"/>
      <c r="H63" s="79"/>
      <c r="I63" s="79"/>
      <c r="J63" s="79"/>
      <c r="K63" s="79"/>
      <c r="L63" s="79"/>
      <c r="N63" s="95" t="str">
        <f>Ratings!H56</f>
        <v>SBY14 new</v>
      </c>
      <c r="O63" s="5">
        <f>Ratings!J56</f>
        <v>14.3</v>
      </c>
      <c r="P63" s="79">
        <f>-P67</f>
        <v>7</v>
      </c>
      <c r="Q63" s="79">
        <f t="shared" ref="Q63:Y64" si="27">$P63</f>
        <v>7</v>
      </c>
      <c r="R63" s="79">
        <f t="shared" si="27"/>
        <v>7</v>
      </c>
      <c r="S63" s="79">
        <f t="shared" si="27"/>
        <v>7</v>
      </c>
      <c r="T63" s="79">
        <f t="shared" si="27"/>
        <v>7</v>
      </c>
      <c r="U63" s="79">
        <f t="shared" si="27"/>
        <v>7</v>
      </c>
      <c r="V63" s="79">
        <f t="shared" si="27"/>
        <v>7</v>
      </c>
      <c r="W63" s="79">
        <f t="shared" si="27"/>
        <v>7</v>
      </c>
      <c r="X63" s="79">
        <f t="shared" si="27"/>
        <v>7</v>
      </c>
      <c r="Y63" s="79">
        <f t="shared" si="27"/>
        <v>7</v>
      </c>
    </row>
    <row r="64" spans="1:25" ht="14.1" customHeight="1" thickBot="1" x14ac:dyDescent="0.3">
      <c r="A64" s="4"/>
      <c r="B64" s="10"/>
      <c r="C64" s="79"/>
      <c r="D64" s="79"/>
      <c r="E64" s="79"/>
      <c r="F64" s="79"/>
      <c r="G64" s="79"/>
      <c r="H64" s="79"/>
      <c r="I64" s="79"/>
      <c r="J64" s="79"/>
      <c r="K64" s="79"/>
      <c r="L64" s="79"/>
      <c r="N64" s="95" t="str">
        <f>Ratings!H46</f>
        <v>SBY22 new</v>
      </c>
      <c r="O64" s="5">
        <f>Ratings!J46</f>
        <v>14.3</v>
      </c>
      <c r="P64" s="79">
        <f>-(P77+P74+P75)</f>
        <v>11</v>
      </c>
      <c r="Q64" s="79">
        <f t="shared" si="27"/>
        <v>11</v>
      </c>
      <c r="R64" s="79">
        <f t="shared" si="27"/>
        <v>11</v>
      </c>
      <c r="S64" s="79">
        <f t="shared" si="27"/>
        <v>11</v>
      </c>
      <c r="T64" s="79">
        <f t="shared" si="27"/>
        <v>11</v>
      </c>
      <c r="U64" s="79">
        <f t="shared" si="27"/>
        <v>11</v>
      </c>
      <c r="V64" s="79">
        <f t="shared" si="27"/>
        <v>11</v>
      </c>
      <c r="W64" s="79">
        <f t="shared" si="27"/>
        <v>11</v>
      </c>
      <c r="X64" s="79">
        <f t="shared" si="27"/>
        <v>11</v>
      </c>
      <c r="Y64" s="79">
        <f t="shared" si="27"/>
        <v>11</v>
      </c>
    </row>
    <row r="65" spans="1:25" ht="14.1" customHeight="1" thickBot="1" x14ac:dyDescent="0.3">
      <c r="A65" s="4"/>
      <c r="B65" s="10"/>
      <c r="C65" s="79"/>
      <c r="D65" s="92"/>
      <c r="E65" s="92"/>
      <c r="F65" s="92"/>
      <c r="G65" s="92"/>
      <c r="H65" s="92"/>
      <c r="I65" s="92"/>
      <c r="J65" s="92"/>
      <c r="K65" s="92"/>
      <c r="L65" s="92"/>
      <c r="N65" s="95" t="str">
        <f>Ratings!H12</f>
        <v>SBY24</v>
      </c>
      <c r="O65" s="5">
        <f>Ratings!J12</f>
        <v>14.3</v>
      </c>
      <c r="P65" s="79">
        <f>-(P66+P76)</f>
        <v>-17</v>
      </c>
      <c r="Q65" s="79">
        <f t="shared" ref="Q65:Y65" si="28">Q$12+$P65</f>
        <v>-7.5520120463789393</v>
      </c>
      <c r="R65" s="79">
        <f t="shared" si="28"/>
        <v>-5.1678506023167223</v>
      </c>
      <c r="S65" s="79">
        <f t="shared" si="28"/>
        <v>-3.3897434815284893</v>
      </c>
      <c r="T65" s="79">
        <f t="shared" si="28"/>
        <v>-2.4184359973967613</v>
      </c>
      <c r="U65" s="79">
        <f t="shared" si="28"/>
        <v>-1.4913322452844682</v>
      </c>
      <c r="V65" s="79">
        <f t="shared" si="28"/>
        <v>-1.0416828960335547</v>
      </c>
      <c r="W65" s="79">
        <f t="shared" si="28"/>
        <v>-0.60074633546872036</v>
      </c>
      <c r="X65" s="79">
        <f t="shared" si="28"/>
        <v>-0.1733829431697238</v>
      </c>
      <c r="Y65" s="79">
        <f t="shared" si="28"/>
        <v>0.24274848710238928</v>
      </c>
    </row>
    <row r="66" spans="1:25" ht="14.1" customHeight="1" thickBot="1" x14ac:dyDescent="0.3">
      <c r="A66" s="6" t="s">
        <v>91</v>
      </c>
      <c r="B66" s="10"/>
      <c r="C66" s="79"/>
      <c r="D66" s="79"/>
      <c r="E66" s="79"/>
      <c r="F66" s="79"/>
      <c r="G66" s="79"/>
      <c r="H66" s="79"/>
      <c r="I66" s="79"/>
      <c r="J66" s="79"/>
      <c r="K66" s="79"/>
      <c r="L66" s="79"/>
      <c r="N66" s="95" t="str">
        <f>Ratings!H15</f>
        <v>SBY35</v>
      </c>
      <c r="O66" s="5">
        <f>Ratings!J15</f>
        <v>14.3</v>
      </c>
      <c r="P66" s="79">
        <v>6</v>
      </c>
      <c r="Q66" s="79">
        <f t="shared" ref="Q66:Y66" si="29">Q$15+$P66</f>
        <v>11.882190464760129</v>
      </c>
      <c r="R66" s="79">
        <f t="shared" si="29"/>
        <v>11.996734098684493</v>
      </c>
      <c r="S66" s="79">
        <f t="shared" si="29"/>
        <v>12.120789671263553</v>
      </c>
      <c r="T66" s="79">
        <f t="shared" si="29"/>
        <v>12.255912275518945</v>
      </c>
      <c r="U66" s="79">
        <f t="shared" si="29"/>
        <v>12.435193901285473</v>
      </c>
      <c r="V66" s="79">
        <f t="shared" si="29"/>
        <v>12.616022504110099</v>
      </c>
      <c r="W66" s="79">
        <f t="shared" si="29"/>
        <v>12.798146212919658</v>
      </c>
      <c r="X66" s="79">
        <f t="shared" si="29"/>
        <v>12.984606764270151</v>
      </c>
      <c r="Y66" s="79">
        <f t="shared" si="29"/>
        <v>13.17454972053547</v>
      </c>
    </row>
    <row r="67" spans="1:25" ht="14.1" customHeight="1" thickBot="1" x14ac:dyDescent="0.3">
      <c r="A67" s="4"/>
      <c r="B67" s="10"/>
      <c r="C67" s="79"/>
      <c r="D67" s="79"/>
      <c r="E67" s="79"/>
      <c r="F67" s="79"/>
      <c r="G67" s="79"/>
      <c r="H67" s="79"/>
      <c r="I67" s="79"/>
      <c r="J67" s="79"/>
      <c r="K67" s="79"/>
      <c r="L67" s="79"/>
      <c r="N67" s="4" t="str">
        <f>Ratings!H2</f>
        <v>SHM11</v>
      </c>
      <c r="O67" s="96">
        <f>Ratings!J2</f>
        <v>14.3</v>
      </c>
      <c r="P67" s="79">
        <v>-7</v>
      </c>
      <c r="Q67" s="79">
        <f t="shared" ref="Q67:Y67" si="30">Q$2+$P67</f>
        <v>1.6778641395487863</v>
      </c>
      <c r="R67" s="79">
        <f t="shared" si="30"/>
        <v>4.5899684706625639</v>
      </c>
      <c r="S67" s="79">
        <f t="shared" si="30"/>
        <v>6.7592485965144764</v>
      </c>
      <c r="T67" s="79">
        <f t="shared" si="30"/>
        <v>8.1082371589813338</v>
      </c>
      <c r="U67" s="79">
        <f t="shared" si="30"/>
        <v>9.2273211906065562</v>
      </c>
      <c r="V67" s="79">
        <f t="shared" si="30"/>
        <v>10.037771755050134</v>
      </c>
      <c r="W67" s="79">
        <f t="shared" si="30"/>
        <v>10.612339745052022</v>
      </c>
      <c r="X67" s="79">
        <f t="shared" si="30"/>
        <v>11.178458265102677</v>
      </c>
      <c r="Y67" s="79">
        <f t="shared" si="30"/>
        <v>11.73846428183225</v>
      </c>
    </row>
    <row r="68" spans="1:25" ht="14.1" customHeight="1" thickBot="1" x14ac:dyDescent="0.3">
      <c r="A68" s="4" t="str">
        <f>Ratings!A3</f>
        <v>SHM</v>
      </c>
      <c r="B68" s="10">
        <f>Ratings!E3</f>
        <v>39.6</v>
      </c>
      <c r="C68" s="79">
        <f>-C69</f>
        <v>-17</v>
      </c>
      <c r="D68" s="79">
        <f>D3+$C68</f>
        <v>22.410320524272855</v>
      </c>
      <c r="E68" s="79">
        <f t="shared" ref="E68:L68" si="31">E3+$C68</f>
        <v>25.814381032934989</v>
      </c>
      <c r="F68" s="79">
        <f t="shared" si="31"/>
        <v>28.559601149811975</v>
      </c>
      <c r="G68" s="79">
        <f t="shared" si="31"/>
        <v>30.65215553088121</v>
      </c>
      <c r="H68" s="79">
        <f t="shared" si="31"/>
        <v>32.931492695188247</v>
      </c>
      <c r="I68" s="79">
        <f t="shared" si="31"/>
        <v>34.687466379132786</v>
      </c>
      <c r="J68" s="79">
        <f t="shared" si="31"/>
        <v>36.434411616247466</v>
      </c>
      <c r="K68" s="79">
        <f t="shared" si="31"/>
        <v>38.155978539427828</v>
      </c>
      <c r="L68" s="79">
        <f t="shared" si="31"/>
        <v>39.859234202443545</v>
      </c>
      <c r="N68" s="4" t="str">
        <f>Ratings!H55</f>
        <v>SHM13 new</v>
      </c>
      <c r="O68" s="96">
        <f>Ratings!J55</f>
        <v>14.3</v>
      </c>
      <c r="P68" s="79">
        <f>-P70</f>
        <v>4</v>
      </c>
      <c r="Q68" s="79">
        <f t="shared" ref="Q68:Y68" si="32">$P68</f>
        <v>4</v>
      </c>
      <c r="R68" s="79">
        <f t="shared" si="32"/>
        <v>4</v>
      </c>
      <c r="S68" s="79">
        <f t="shared" si="32"/>
        <v>4</v>
      </c>
      <c r="T68" s="79">
        <f t="shared" si="32"/>
        <v>4</v>
      </c>
      <c r="U68" s="79">
        <f t="shared" si="32"/>
        <v>4</v>
      </c>
      <c r="V68" s="79">
        <f t="shared" si="32"/>
        <v>4</v>
      </c>
      <c r="W68" s="79">
        <f t="shared" si="32"/>
        <v>4</v>
      </c>
      <c r="X68" s="79">
        <f t="shared" si="32"/>
        <v>4</v>
      </c>
      <c r="Y68" s="79">
        <f t="shared" si="32"/>
        <v>4</v>
      </c>
    </row>
    <row r="69" spans="1:25" ht="14.1" customHeight="1" thickBot="1" x14ac:dyDescent="0.3">
      <c r="A69" s="4" t="str">
        <f>Ratings!A7</f>
        <v>SBY Replace No.1 &amp; 3 transformers</v>
      </c>
      <c r="B69" s="10">
        <f>Ratings!E7</f>
        <v>79.2</v>
      </c>
      <c r="C69" s="79">
        <v>17</v>
      </c>
      <c r="D69" s="79">
        <f>D2+$C69</f>
        <v>65.691564330643146</v>
      </c>
      <c r="E69" s="79">
        <f t="shared" ref="E69:L69" si="33">E2+$C69</f>
        <v>68.922450175558922</v>
      </c>
      <c r="F69" s="79">
        <f t="shared" si="33"/>
        <v>71.571508794590443</v>
      </c>
      <c r="G69" s="79">
        <f t="shared" si="33"/>
        <v>73.43622610395488</v>
      </c>
      <c r="H69" s="79">
        <f t="shared" si="33"/>
        <v>75.360171607498444</v>
      </c>
      <c r="I69" s="79">
        <f t="shared" si="33"/>
        <v>76.913860428283513</v>
      </c>
      <c r="J69" s="79">
        <f t="shared" si="33"/>
        <v>78.450817526453903</v>
      </c>
      <c r="K69" s="79">
        <f t="shared" si="33"/>
        <v>79.971603898250834</v>
      </c>
      <c r="L69" s="79">
        <f t="shared" si="33"/>
        <v>81.478106550861938</v>
      </c>
      <c r="N69" s="4" t="str">
        <f>Ratings!H4</f>
        <v>SHM14</v>
      </c>
      <c r="O69" s="96">
        <f>Ratings!J4</f>
        <v>14.3</v>
      </c>
      <c r="P69" s="79">
        <f>-(P71+P72)</f>
        <v>-15</v>
      </c>
      <c r="Q69" s="79">
        <f t="shared" ref="Q69:Y69" si="34">Q$4+$P69</f>
        <v>-3.6664807360902412</v>
      </c>
      <c r="R69" s="79">
        <f t="shared" si="34"/>
        <v>-2.2368203895199095</v>
      </c>
      <c r="S69" s="79">
        <f t="shared" si="34"/>
        <v>-1.0842839114883454</v>
      </c>
      <c r="T69" s="79">
        <f t="shared" si="34"/>
        <v>-0.35838846133022528</v>
      </c>
      <c r="U69" s="79">
        <f t="shared" si="34"/>
        <v>0.45206476583679134</v>
      </c>
      <c r="V69" s="79">
        <f t="shared" si="34"/>
        <v>0.99434220825757968</v>
      </c>
      <c r="W69" s="79">
        <f t="shared" si="34"/>
        <v>1.5337224268754852</v>
      </c>
      <c r="X69" s="79">
        <f t="shared" si="34"/>
        <v>2.065170639135907</v>
      </c>
      <c r="Y69" s="79">
        <f t="shared" si="34"/>
        <v>2.5908806908391853</v>
      </c>
    </row>
    <row r="70" spans="1:25" ht="14.1" customHeight="1" thickBot="1" x14ac:dyDescent="0.3">
      <c r="A70" s="4" t="s">
        <v>92</v>
      </c>
      <c r="B70" s="10">
        <f>B60/2</f>
        <v>33</v>
      </c>
      <c r="C70" s="79"/>
      <c r="D70" s="79">
        <f>Q86+P3+Q87+Q88</f>
        <v>8.9399599790085578</v>
      </c>
      <c r="E70" s="79">
        <f t="shared" ref="E70:L70" si="35">R86+Q3+R87+R88</f>
        <v>13.546115523707698</v>
      </c>
      <c r="F70" s="79">
        <f t="shared" si="35"/>
        <v>17.048542448554198</v>
      </c>
      <c r="G70" s="79">
        <f t="shared" si="35"/>
        <v>19.333358461499124</v>
      </c>
      <c r="H70" s="79">
        <f t="shared" si="35"/>
        <v>21.474262595475857</v>
      </c>
      <c r="I70" s="79">
        <f t="shared" si="35"/>
        <v>23.151385984384824</v>
      </c>
      <c r="J70" s="79">
        <f t="shared" si="35"/>
        <v>24.515179160780256</v>
      </c>
      <c r="K70" s="79">
        <f t="shared" si="35"/>
        <v>25.861256015027845</v>
      </c>
      <c r="L70" s="79">
        <f t="shared" si="35"/>
        <v>27.191827670434556</v>
      </c>
      <c r="N70" s="95" t="str">
        <f>Ratings!H6</f>
        <v>SHM22</v>
      </c>
      <c r="O70" s="5">
        <f>Ratings!J6</f>
        <v>14.3</v>
      </c>
      <c r="P70" s="79">
        <v>-4</v>
      </c>
      <c r="Q70" s="79">
        <f>Q$6+$P70</f>
        <v>0.66650113412748091</v>
      </c>
      <c r="R70" s="79">
        <f t="shared" ref="R70:Y70" si="36">R$6+$P70</f>
        <v>0.8354374292135498</v>
      </c>
      <c r="S70" s="79">
        <f t="shared" si="36"/>
        <v>1.0198000047357434</v>
      </c>
      <c r="T70" s="79">
        <f t="shared" si="36"/>
        <v>1.1809631956644582</v>
      </c>
      <c r="U70" s="79">
        <f t="shared" si="36"/>
        <v>1.4283084565867963</v>
      </c>
      <c r="V70" s="79">
        <f t="shared" si="36"/>
        <v>1.6188104555828913</v>
      </c>
      <c r="W70" s="79">
        <f t="shared" si="36"/>
        <v>1.8082946602124643</v>
      </c>
      <c r="X70" s="79">
        <f t="shared" si="36"/>
        <v>1.9949923519817467</v>
      </c>
      <c r="Y70" s="79">
        <f t="shared" si="36"/>
        <v>2.1796742286512591</v>
      </c>
    </row>
    <row r="71" spans="1:25" ht="14.1" customHeight="1" thickBot="1" x14ac:dyDescent="0.3">
      <c r="A71" s="4" t="s">
        <v>93</v>
      </c>
      <c r="B71" s="10">
        <f>B70</f>
        <v>33</v>
      </c>
      <c r="C71" s="79"/>
      <c r="D71" s="79">
        <f>P5+P6+Q89+P8</f>
        <v>20.106066690211691</v>
      </c>
      <c r="E71" s="79">
        <f t="shared" ref="E71:L71" si="37">Q5+Q6+R89+Q8</f>
        <v>21.085274748613962</v>
      </c>
      <c r="F71" s="79">
        <f t="shared" si="37"/>
        <v>21.922985670343085</v>
      </c>
      <c r="G71" s="79">
        <f t="shared" si="37"/>
        <v>22.481011933062625</v>
      </c>
      <c r="H71" s="79">
        <f t="shared" si="37"/>
        <v>23.093020074249733</v>
      </c>
      <c r="I71" s="79">
        <f t="shared" si="37"/>
        <v>23.986613953674521</v>
      </c>
      <c r="J71" s="79">
        <f t="shared" si="37"/>
        <v>24.718125607822014</v>
      </c>
      <c r="K71" s="79">
        <f t="shared" si="37"/>
        <v>25.445586212820597</v>
      </c>
      <c r="L71" s="79">
        <f t="shared" si="37"/>
        <v>26.167163655108006</v>
      </c>
      <c r="N71" s="95" t="str">
        <f>Ratings!H48</f>
        <v>SHM31 new</v>
      </c>
      <c r="O71" s="5">
        <f>Ratings!J48</f>
        <v>14.3</v>
      </c>
      <c r="P71" s="79">
        <v>10</v>
      </c>
      <c r="Q71" s="79">
        <f t="shared" ref="Q71:Y73" si="38">$P71</f>
        <v>10</v>
      </c>
      <c r="R71" s="79">
        <f t="shared" si="38"/>
        <v>10</v>
      </c>
      <c r="S71" s="79">
        <f t="shared" si="38"/>
        <v>10</v>
      </c>
      <c r="T71" s="79">
        <f t="shared" si="38"/>
        <v>10</v>
      </c>
      <c r="U71" s="79">
        <f t="shared" si="38"/>
        <v>10</v>
      </c>
      <c r="V71" s="79">
        <f t="shared" si="38"/>
        <v>10</v>
      </c>
      <c r="W71" s="79">
        <f t="shared" si="38"/>
        <v>10</v>
      </c>
      <c r="X71" s="79">
        <f t="shared" si="38"/>
        <v>10</v>
      </c>
      <c r="Y71" s="79">
        <f t="shared" si="38"/>
        <v>10</v>
      </c>
    </row>
    <row r="72" spans="1:25" ht="14.1" customHeight="1" thickBot="1" x14ac:dyDescent="0.3">
      <c r="A72" s="4"/>
      <c r="B72" s="10"/>
      <c r="C72" s="79"/>
      <c r="D72" s="79"/>
      <c r="E72" s="79"/>
      <c r="F72" s="79"/>
      <c r="G72" s="79"/>
      <c r="H72" s="79"/>
      <c r="I72" s="79"/>
      <c r="J72" s="79"/>
      <c r="K72" s="79"/>
      <c r="L72" s="79"/>
      <c r="N72" s="95" t="str">
        <f>Ratings!H49</f>
        <v>SHM32 new</v>
      </c>
      <c r="O72" s="5">
        <f>Ratings!J49</f>
        <v>14.3</v>
      </c>
      <c r="P72" s="79">
        <v>5</v>
      </c>
      <c r="Q72" s="79">
        <f t="shared" si="38"/>
        <v>5</v>
      </c>
      <c r="R72" s="79">
        <f t="shared" si="38"/>
        <v>5</v>
      </c>
      <c r="S72" s="79">
        <f t="shared" si="38"/>
        <v>5</v>
      </c>
      <c r="T72" s="79">
        <f t="shared" si="38"/>
        <v>5</v>
      </c>
      <c r="U72" s="79">
        <f t="shared" si="38"/>
        <v>5</v>
      </c>
      <c r="V72" s="79">
        <f t="shared" si="38"/>
        <v>5</v>
      </c>
      <c r="W72" s="79">
        <f t="shared" si="38"/>
        <v>5</v>
      </c>
      <c r="X72" s="79">
        <f t="shared" si="38"/>
        <v>5</v>
      </c>
      <c r="Y72" s="79">
        <f t="shared" si="38"/>
        <v>5</v>
      </c>
    </row>
    <row r="73" spans="1:25" ht="14.1" customHeight="1" thickBot="1" x14ac:dyDescent="0.3">
      <c r="A73" s="4"/>
      <c r="B73" s="10"/>
      <c r="C73" s="79"/>
      <c r="D73" s="79"/>
      <c r="E73" s="79"/>
      <c r="F73" s="79"/>
      <c r="G73" s="79"/>
      <c r="H73" s="79"/>
      <c r="I73" s="79"/>
      <c r="J73" s="79"/>
      <c r="K73" s="79"/>
      <c r="L73" s="79"/>
      <c r="N73" s="4" t="str">
        <f>Ratings!H50</f>
        <v>SHM33 new</v>
      </c>
      <c r="O73" s="96">
        <f>Ratings!J50</f>
        <v>14.3</v>
      </c>
      <c r="P73" s="79">
        <v>0</v>
      </c>
      <c r="Q73" s="79">
        <f t="shared" si="38"/>
        <v>0</v>
      </c>
      <c r="R73" s="79">
        <f t="shared" si="38"/>
        <v>0</v>
      </c>
      <c r="S73" s="79">
        <f t="shared" si="38"/>
        <v>0</v>
      </c>
      <c r="T73" s="79">
        <f t="shared" si="38"/>
        <v>0</v>
      </c>
      <c r="U73" s="79">
        <f t="shared" si="38"/>
        <v>0</v>
      </c>
      <c r="V73" s="79">
        <f t="shared" si="38"/>
        <v>0</v>
      </c>
      <c r="W73" s="79">
        <f t="shared" si="38"/>
        <v>0</v>
      </c>
      <c r="X73" s="79">
        <f t="shared" si="38"/>
        <v>0</v>
      </c>
      <c r="Y73" s="79">
        <f t="shared" si="38"/>
        <v>0</v>
      </c>
    </row>
    <row r="74" spans="1:25" ht="14.1" customHeight="1" thickBot="1" x14ac:dyDescent="0.3">
      <c r="A74" s="4"/>
      <c r="B74" s="10"/>
      <c r="C74" s="79"/>
      <c r="D74" s="79"/>
      <c r="E74" s="79"/>
      <c r="F74" s="79"/>
      <c r="G74" s="79"/>
      <c r="H74" s="79"/>
      <c r="I74" s="79"/>
      <c r="J74" s="79"/>
      <c r="K74" s="79"/>
      <c r="L74" s="79"/>
      <c r="N74" s="98" t="str">
        <f>Ratings!H13</f>
        <v>SBY32</v>
      </c>
      <c r="O74" s="5">
        <f>Ratings!J13</f>
        <v>14.3</v>
      </c>
      <c r="P74" s="79">
        <v>-4</v>
      </c>
      <c r="Q74" s="79">
        <f t="shared" ref="Q74:Y74" si="39">Q$13+$P74</f>
        <v>9.1667487709748983</v>
      </c>
      <c r="R74" s="79">
        <f t="shared" si="39"/>
        <v>10.206384414571879</v>
      </c>
      <c r="S74" s="79">
        <f t="shared" si="39"/>
        <v>11.080779470151748</v>
      </c>
      <c r="T74" s="79">
        <f t="shared" si="39"/>
        <v>11.697048675441273</v>
      </c>
      <c r="U74" s="79">
        <f t="shared" si="39"/>
        <v>12.459660003012861</v>
      </c>
      <c r="V74" s="79">
        <f t="shared" si="39"/>
        <v>12.936881871860727</v>
      </c>
      <c r="W74" s="79">
        <f t="shared" si="39"/>
        <v>13.404856683403672</v>
      </c>
      <c r="X74" s="79">
        <f t="shared" si="39"/>
        <v>13.858426019353683</v>
      </c>
      <c r="Y74" s="79">
        <f t="shared" si="39"/>
        <v>14.300074648828247</v>
      </c>
    </row>
    <row r="75" spans="1:25" ht="14.1" customHeight="1" thickBot="1" x14ac:dyDescent="0.3">
      <c r="A75" s="4"/>
      <c r="B75" s="10"/>
      <c r="C75" s="79"/>
      <c r="D75" s="79"/>
      <c r="E75" s="79"/>
      <c r="F75" s="79"/>
      <c r="G75" s="79"/>
      <c r="H75" s="79"/>
      <c r="I75" s="79"/>
      <c r="J75" s="79"/>
      <c r="K75" s="79"/>
      <c r="L75" s="79"/>
      <c r="N75" s="95" t="str">
        <f>Ratings!H11</f>
        <v>SBY23</v>
      </c>
      <c r="O75" s="5">
        <f>Ratings!J11</f>
        <v>14.3</v>
      </c>
      <c r="P75" s="79">
        <v>-4</v>
      </c>
      <c r="Q75" s="79">
        <f t="shared" ref="Q75:Y75" si="40">Q$11+$P75</f>
        <v>6.6091655880042435</v>
      </c>
      <c r="R75" s="79">
        <f t="shared" si="40"/>
        <v>7.1381484961313362</v>
      </c>
      <c r="S75" s="79">
        <f t="shared" si="40"/>
        <v>7.5409256197508832</v>
      </c>
      <c r="T75" s="79">
        <f t="shared" si="40"/>
        <v>7.9324820498230828</v>
      </c>
      <c r="U75" s="79">
        <f t="shared" si="40"/>
        <v>8.430225774939597</v>
      </c>
      <c r="V75" s="79">
        <f t="shared" si="40"/>
        <v>8.7906205566927937</v>
      </c>
      <c r="W75" s="79">
        <f t="shared" si="40"/>
        <v>9.1440320222636995</v>
      </c>
      <c r="X75" s="79">
        <f t="shared" si="40"/>
        <v>9.4865645684655089</v>
      </c>
      <c r="Y75" s="79">
        <f t="shared" si="40"/>
        <v>9.8200946764116317</v>
      </c>
    </row>
    <row r="76" spans="1:25" ht="14.1" customHeight="1" thickBot="1" x14ac:dyDescent="0.3">
      <c r="A76" s="6"/>
      <c r="B76" s="10"/>
      <c r="C76" s="79"/>
      <c r="D76" s="79"/>
      <c r="E76" s="79"/>
      <c r="F76" s="79"/>
      <c r="G76" s="79"/>
      <c r="H76" s="79"/>
      <c r="I76" s="79"/>
      <c r="J76" s="79"/>
      <c r="K76" s="79"/>
      <c r="L76" s="79"/>
      <c r="N76" s="95" t="str">
        <f>Ratings!H47</f>
        <v>SBY15 new</v>
      </c>
      <c r="O76" s="5">
        <f>Ratings!J47</f>
        <v>14.3</v>
      </c>
      <c r="P76" s="79">
        <v>11</v>
      </c>
      <c r="Q76" s="79">
        <f t="shared" ref="Q76:Y76" si="41">$P76</f>
        <v>11</v>
      </c>
      <c r="R76" s="79">
        <f t="shared" si="41"/>
        <v>11</v>
      </c>
      <c r="S76" s="79">
        <f t="shared" si="41"/>
        <v>11</v>
      </c>
      <c r="T76" s="79">
        <f t="shared" si="41"/>
        <v>11</v>
      </c>
      <c r="U76" s="79">
        <f t="shared" si="41"/>
        <v>11</v>
      </c>
      <c r="V76" s="79">
        <f t="shared" si="41"/>
        <v>11</v>
      </c>
      <c r="W76" s="79">
        <f t="shared" si="41"/>
        <v>11</v>
      </c>
      <c r="X76" s="79">
        <f t="shared" si="41"/>
        <v>11</v>
      </c>
      <c r="Y76" s="79">
        <f t="shared" si="41"/>
        <v>11</v>
      </c>
    </row>
    <row r="77" spans="1:25" ht="14.1" customHeight="1" thickBot="1" x14ac:dyDescent="0.3">
      <c r="A77" s="4"/>
      <c r="B77" s="10"/>
      <c r="C77" s="79"/>
      <c r="D77" s="79"/>
      <c r="E77" s="79"/>
      <c r="F77" s="79"/>
      <c r="G77" s="79"/>
      <c r="H77" s="79"/>
      <c r="I77" s="79"/>
      <c r="J77" s="79"/>
      <c r="K77" s="79"/>
      <c r="L77" s="79"/>
      <c r="N77" s="95" t="str">
        <f>Ratings!H10</f>
        <v>SBY13</v>
      </c>
      <c r="O77" s="5">
        <f>Ratings!J10</f>
        <v>14.1</v>
      </c>
      <c r="P77" s="79">
        <v>-3</v>
      </c>
      <c r="Q77" s="79">
        <f>Q$10+$P77</f>
        <v>4.528469208120443</v>
      </c>
      <c r="R77" s="79">
        <f t="shared" ref="R77:Y77" si="42">R$10+$P77</f>
        <v>4.8800894557485428</v>
      </c>
      <c r="S77" s="79">
        <f t="shared" si="42"/>
        <v>5.1778853732514527</v>
      </c>
      <c r="T77" s="79">
        <f t="shared" si="42"/>
        <v>5.4317976593230206</v>
      </c>
      <c r="U77" s="79">
        <f t="shared" si="42"/>
        <v>5.7893225488202056</v>
      </c>
      <c r="V77" s="79">
        <f t="shared" si="42"/>
        <v>6.0441550867879954</v>
      </c>
      <c r="W77" s="79">
        <f t="shared" si="42"/>
        <v>6.2940497724996938</v>
      </c>
      <c r="X77" s="79">
        <f t="shared" si="42"/>
        <v>6.5362520531779751</v>
      </c>
      <c r="Y77" s="79">
        <f t="shared" si="42"/>
        <v>6.7720887750170515</v>
      </c>
    </row>
    <row r="78" spans="1:25" ht="14.1" customHeight="1" thickBot="1" x14ac:dyDescent="0.3">
      <c r="A78" s="4"/>
      <c r="B78" s="10"/>
      <c r="C78" s="79"/>
      <c r="D78" s="79"/>
      <c r="E78" s="79"/>
      <c r="F78" s="79"/>
      <c r="G78" s="79"/>
      <c r="H78" s="79"/>
      <c r="I78" s="79"/>
      <c r="J78" s="79"/>
      <c r="K78" s="79"/>
      <c r="L78" s="79"/>
      <c r="N78" s="95"/>
      <c r="O78" s="5"/>
      <c r="P78" s="79"/>
      <c r="Q78" s="79"/>
      <c r="R78" s="79"/>
      <c r="S78" s="79"/>
      <c r="T78" s="79"/>
      <c r="U78" s="79"/>
      <c r="V78" s="79"/>
      <c r="W78" s="79"/>
      <c r="X78" s="79"/>
      <c r="Y78" s="79"/>
    </row>
    <row r="79" spans="1:25" ht="14.1" customHeight="1" thickBot="1" x14ac:dyDescent="0.3">
      <c r="A79" s="4"/>
      <c r="B79" s="10"/>
      <c r="C79" s="79"/>
      <c r="D79" s="79"/>
      <c r="E79" s="79"/>
      <c r="F79" s="79"/>
      <c r="G79" s="79"/>
      <c r="H79" s="79"/>
      <c r="I79" s="79"/>
      <c r="J79" s="79"/>
      <c r="K79" s="79"/>
      <c r="L79" s="79"/>
      <c r="N79" s="6" t="str">
        <f>A66</f>
        <v>Option 4</v>
      </c>
      <c r="O79" s="24"/>
      <c r="P79" s="79"/>
      <c r="Q79" s="79"/>
      <c r="R79" s="79"/>
      <c r="S79" s="79"/>
      <c r="T79" s="79"/>
      <c r="U79" s="79"/>
      <c r="V79" s="79"/>
      <c r="W79" s="79"/>
      <c r="X79" s="79"/>
      <c r="Y79" s="79"/>
    </row>
    <row r="80" spans="1:25" ht="14.1" customHeight="1" thickBot="1" x14ac:dyDescent="0.3">
      <c r="A80" s="4"/>
      <c r="B80" s="10"/>
      <c r="C80" s="79"/>
      <c r="D80" s="79"/>
      <c r="E80" s="79"/>
      <c r="F80" s="79"/>
      <c r="G80" s="79"/>
      <c r="H80" s="79"/>
      <c r="I80" s="79"/>
      <c r="J80" s="79"/>
      <c r="K80" s="79"/>
      <c r="L80" s="79"/>
      <c r="N80" s="4" t="str">
        <f>Ratings!H56</f>
        <v>SBY14 new</v>
      </c>
      <c r="O80" s="24">
        <f>Ratings!J56</f>
        <v>14.3</v>
      </c>
      <c r="P80" s="79">
        <f>-P86-P84</f>
        <v>7</v>
      </c>
      <c r="Q80" s="79">
        <f t="shared" ref="Q80:Y82" si="43">$P80</f>
        <v>7</v>
      </c>
      <c r="R80" s="79">
        <f t="shared" si="43"/>
        <v>7</v>
      </c>
      <c r="S80" s="79">
        <f t="shared" si="43"/>
        <v>7</v>
      </c>
      <c r="T80" s="79">
        <f t="shared" si="43"/>
        <v>7</v>
      </c>
      <c r="U80" s="79">
        <f t="shared" si="43"/>
        <v>7</v>
      </c>
      <c r="V80" s="79">
        <f t="shared" si="43"/>
        <v>7</v>
      </c>
      <c r="W80" s="79">
        <f t="shared" si="43"/>
        <v>7</v>
      </c>
      <c r="X80" s="79">
        <f t="shared" si="43"/>
        <v>7</v>
      </c>
      <c r="Y80" s="79">
        <f t="shared" si="43"/>
        <v>7</v>
      </c>
    </row>
    <row r="81" spans="1:25" ht="14.1" customHeight="1" thickBot="1" x14ac:dyDescent="0.3">
      <c r="A81" s="4"/>
      <c r="B81" s="10"/>
      <c r="C81" s="79"/>
      <c r="D81" s="79"/>
      <c r="E81" s="79"/>
      <c r="F81" s="79"/>
      <c r="G81" s="79"/>
      <c r="H81" s="79"/>
      <c r="I81" s="79"/>
      <c r="J81" s="79"/>
      <c r="K81" s="79"/>
      <c r="L81" s="79"/>
      <c r="N81" s="4" t="str">
        <f>Ratings!H47</f>
        <v>SBY15 new</v>
      </c>
      <c r="O81" s="24">
        <f>Ratings!J47</f>
        <v>14.3</v>
      </c>
      <c r="P81" s="79">
        <v>11</v>
      </c>
      <c r="Q81" s="79">
        <f t="shared" si="43"/>
        <v>11</v>
      </c>
      <c r="R81" s="79">
        <f t="shared" si="43"/>
        <v>11</v>
      </c>
      <c r="S81" s="79">
        <f t="shared" si="43"/>
        <v>11</v>
      </c>
      <c r="T81" s="79">
        <f t="shared" si="43"/>
        <v>11</v>
      </c>
      <c r="U81" s="79">
        <f t="shared" si="43"/>
        <v>11</v>
      </c>
      <c r="V81" s="79">
        <f t="shared" si="43"/>
        <v>11</v>
      </c>
      <c r="W81" s="79">
        <f t="shared" si="43"/>
        <v>11</v>
      </c>
      <c r="X81" s="79">
        <f t="shared" si="43"/>
        <v>11</v>
      </c>
      <c r="Y81" s="79">
        <f t="shared" si="43"/>
        <v>11</v>
      </c>
    </row>
    <row r="82" spans="1:25" ht="14.1" customHeight="1" thickBot="1" x14ac:dyDescent="0.3">
      <c r="A82" s="4"/>
      <c r="B82" s="10"/>
      <c r="C82" s="79"/>
      <c r="D82" s="79"/>
      <c r="E82" s="79"/>
      <c r="F82" s="79"/>
      <c r="G82" s="79"/>
      <c r="H82" s="79"/>
      <c r="I82" s="79"/>
      <c r="J82" s="79"/>
      <c r="K82" s="79"/>
      <c r="L82" s="79"/>
      <c r="N82" s="4" t="str">
        <f>Ratings!H46</f>
        <v>SBY22 new</v>
      </c>
      <c r="O82" s="24">
        <f>Ratings!J46</f>
        <v>14.3</v>
      </c>
      <c r="P82" s="79">
        <f>-(P90+P91+P92)</f>
        <v>11</v>
      </c>
      <c r="Q82" s="79">
        <f t="shared" si="43"/>
        <v>11</v>
      </c>
      <c r="R82" s="79">
        <f t="shared" si="43"/>
        <v>11</v>
      </c>
      <c r="S82" s="79">
        <f t="shared" si="43"/>
        <v>11</v>
      </c>
      <c r="T82" s="79">
        <f t="shared" si="43"/>
        <v>11</v>
      </c>
      <c r="U82" s="79">
        <f t="shared" si="43"/>
        <v>11</v>
      </c>
      <c r="V82" s="79">
        <f t="shared" si="43"/>
        <v>11</v>
      </c>
      <c r="W82" s="79">
        <f t="shared" si="43"/>
        <v>11</v>
      </c>
      <c r="X82" s="79">
        <f t="shared" si="43"/>
        <v>11</v>
      </c>
      <c r="Y82" s="79">
        <f t="shared" si="43"/>
        <v>11</v>
      </c>
    </row>
    <row r="83" spans="1:25" ht="14.1" customHeight="1" thickBot="1" x14ac:dyDescent="0.3">
      <c r="A83" s="4"/>
      <c r="B83" s="10"/>
      <c r="C83" s="79"/>
      <c r="D83" s="79"/>
      <c r="E83" s="79"/>
      <c r="F83" s="79"/>
      <c r="G83" s="79"/>
      <c r="H83" s="79"/>
      <c r="I83" s="79"/>
      <c r="J83" s="79"/>
      <c r="K83" s="79"/>
      <c r="L83" s="79"/>
      <c r="N83" s="4" t="str">
        <f>Ratings!H12</f>
        <v>SBY24</v>
      </c>
      <c r="O83" s="24">
        <f>Ratings!J12</f>
        <v>14.3</v>
      </c>
      <c r="P83" s="79">
        <f>-(P81+P85)</f>
        <v>-17</v>
      </c>
      <c r="Q83" s="79">
        <f t="shared" ref="Q83:Y83" si="44">Q$12+$P83</f>
        <v>-7.5520120463789393</v>
      </c>
      <c r="R83" s="79">
        <f t="shared" si="44"/>
        <v>-5.1678506023167223</v>
      </c>
      <c r="S83" s="79">
        <f t="shared" si="44"/>
        <v>-3.3897434815284893</v>
      </c>
      <c r="T83" s="79">
        <f t="shared" si="44"/>
        <v>-2.4184359973967613</v>
      </c>
      <c r="U83" s="79">
        <f t="shared" si="44"/>
        <v>-1.4913322452844682</v>
      </c>
      <c r="V83" s="79">
        <f t="shared" si="44"/>
        <v>-1.0416828960335547</v>
      </c>
      <c r="W83" s="79">
        <f t="shared" si="44"/>
        <v>-0.60074633546872036</v>
      </c>
      <c r="X83" s="79">
        <f t="shared" si="44"/>
        <v>-0.1733829431697238</v>
      </c>
      <c r="Y83" s="79">
        <f t="shared" si="44"/>
        <v>0.24274848710238928</v>
      </c>
    </row>
    <row r="84" spans="1:25" ht="14.1" customHeight="1" thickBot="1" x14ac:dyDescent="0.3">
      <c r="A84" s="4"/>
      <c r="B84" s="10"/>
      <c r="C84" s="79"/>
      <c r="D84" s="79"/>
      <c r="E84" s="79"/>
      <c r="F84" s="79"/>
      <c r="G84" s="79"/>
      <c r="H84" s="79"/>
      <c r="I84" s="79"/>
      <c r="J84" s="79"/>
      <c r="K84" s="79"/>
      <c r="L84" s="79"/>
      <c r="N84" s="4" t="str">
        <f>Ratings!H45</f>
        <v>SBY31 new</v>
      </c>
      <c r="O84" s="96">
        <f>Ratings!J45</f>
        <v>14.3</v>
      </c>
      <c r="P84" s="79">
        <v>10</v>
      </c>
      <c r="Q84" s="79">
        <f t="shared" ref="Q84:Y84" si="45">$P84</f>
        <v>10</v>
      </c>
      <c r="R84" s="79">
        <f t="shared" si="45"/>
        <v>10</v>
      </c>
      <c r="S84" s="79">
        <f t="shared" si="45"/>
        <v>10</v>
      </c>
      <c r="T84" s="79">
        <f t="shared" si="45"/>
        <v>10</v>
      </c>
      <c r="U84" s="79">
        <f t="shared" si="45"/>
        <v>10</v>
      </c>
      <c r="V84" s="79">
        <f t="shared" si="45"/>
        <v>10</v>
      </c>
      <c r="W84" s="79">
        <f t="shared" si="45"/>
        <v>10</v>
      </c>
      <c r="X84" s="79">
        <f t="shared" si="45"/>
        <v>10</v>
      </c>
      <c r="Y84" s="79">
        <f t="shared" si="45"/>
        <v>10</v>
      </c>
    </row>
    <row r="85" spans="1:25" ht="14.1" customHeight="1" thickBot="1" x14ac:dyDescent="0.3">
      <c r="A85" s="4"/>
      <c r="B85" s="10"/>
      <c r="C85" s="79"/>
      <c r="D85" s="79"/>
      <c r="E85" s="79"/>
      <c r="F85" s="79"/>
      <c r="G85" s="79"/>
      <c r="H85" s="79"/>
      <c r="I85" s="79"/>
      <c r="J85" s="79"/>
      <c r="K85" s="79"/>
      <c r="L85" s="79"/>
      <c r="N85" s="95" t="str">
        <f>Ratings!H15</f>
        <v>SBY35</v>
      </c>
      <c r="O85" s="10">
        <f>Ratings!J15</f>
        <v>14.3</v>
      </c>
      <c r="P85" s="79">
        <v>6</v>
      </c>
      <c r="Q85" s="79">
        <f t="shared" ref="Q85:Y85" si="46">Q$15+$P85</f>
        <v>11.882190464760129</v>
      </c>
      <c r="R85" s="79">
        <f t="shared" si="46"/>
        <v>11.996734098684493</v>
      </c>
      <c r="S85" s="79">
        <f t="shared" si="46"/>
        <v>12.120789671263553</v>
      </c>
      <c r="T85" s="79">
        <f t="shared" si="46"/>
        <v>12.255912275518945</v>
      </c>
      <c r="U85" s="79">
        <f t="shared" si="46"/>
        <v>12.435193901285473</v>
      </c>
      <c r="V85" s="79">
        <f t="shared" si="46"/>
        <v>12.616022504110099</v>
      </c>
      <c r="W85" s="79">
        <f t="shared" si="46"/>
        <v>12.798146212919658</v>
      </c>
      <c r="X85" s="79">
        <f t="shared" si="46"/>
        <v>12.984606764270151</v>
      </c>
      <c r="Y85" s="79">
        <f t="shared" si="46"/>
        <v>13.17454972053547</v>
      </c>
    </row>
    <row r="86" spans="1:25" ht="14.1" customHeight="1" thickBot="1" x14ac:dyDescent="0.3">
      <c r="A86" s="4"/>
      <c r="B86" s="10"/>
      <c r="C86" s="79"/>
      <c r="D86" s="79"/>
      <c r="E86" s="79"/>
      <c r="F86" s="79"/>
      <c r="G86" s="79"/>
      <c r="H86" s="79"/>
      <c r="I86" s="79"/>
      <c r="J86" s="79"/>
      <c r="K86" s="79"/>
      <c r="L86" s="79"/>
      <c r="N86" s="4" t="str">
        <f>Ratings!H2</f>
        <v>SHM11</v>
      </c>
      <c r="O86" s="96">
        <f>Ratings!J2</f>
        <v>14.3</v>
      </c>
      <c r="P86" s="79">
        <v>-17</v>
      </c>
      <c r="Q86" s="79">
        <f t="shared" ref="Q86:Y86" si="47">Q$2+$P86</f>
        <v>-8.3221358604512137</v>
      </c>
      <c r="R86" s="79">
        <f t="shared" si="47"/>
        <v>-5.4100315293374361</v>
      </c>
      <c r="S86" s="79">
        <f t="shared" si="47"/>
        <v>-3.2407514034855236</v>
      </c>
      <c r="T86" s="79">
        <f t="shared" si="47"/>
        <v>-1.8917628410186662</v>
      </c>
      <c r="U86" s="79">
        <f t="shared" si="47"/>
        <v>-0.7726788093934438</v>
      </c>
      <c r="V86" s="79">
        <f t="shared" si="47"/>
        <v>3.7771755050133748E-2</v>
      </c>
      <c r="W86" s="79">
        <f t="shared" si="47"/>
        <v>0.61233974505202227</v>
      </c>
      <c r="X86" s="79">
        <f t="shared" si="47"/>
        <v>1.1784582651026767</v>
      </c>
      <c r="Y86" s="79">
        <f t="shared" si="47"/>
        <v>1.7384642818322504</v>
      </c>
    </row>
    <row r="87" spans="1:25" ht="14.1" customHeight="1" thickBot="1" x14ac:dyDescent="0.3">
      <c r="A87" s="4"/>
      <c r="B87" s="10"/>
      <c r="C87" s="79"/>
      <c r="D87" s="79"/>
      <c r="E87" s="79"/>
      <c r="F87" s="79"/>
      <c r="G87" s="79"/>
      <c r="H87" s="79"/>
      <c r="I87" s="79"/>
      <c r="J87" s="79"/>
      <c r="K87" s="79"/>
      <c r="L87" s="79"/>
      <c r="N87" s="4" t="str">
        <f>Ratings!H55</f>
        <v>SHM13 new</v>
      </c>
      <c r="O87" s="96">
        <f>Ratings!J55</f>
        <v>14.3</v>
      </c>
      <c r="P87" s="79">
        <f>14</f>
        <v>14</v>
      </c>
      <c r="Q87" s="79">
        <f t="shared" ref="Q87:Y87" si="48">$P87</f>
        <v>14</v>
      </c>
      <c r="R87" s="79">
        <f t="shared" si="48"/>
        <v>14</v>
      </c>
      <c r="S87" s="79">
        <f t="shared" si="48"/>
        <v>14</v>
      </c>
      <c r="T87" s="79">
        <f t="shared" si="48"/>
        <v>14</v>
      </c>
      <c r="U87" s="79">
        <f t="shared" si="48"/>
        <v>14</v>
      </c>
      <c r="V87" s="79">
        <f t="shared" si="48"/>
        <v>14</v>
      </c>
      <c r="W87" s="79">
        <f t="shared" si="48"/>
        <v>14</v>
      </c>
      <c r="X87" s="79">
        <f t="shared" si="48"/>
        <v>14</v>
      </c>
      <c r="Y87" s="79">
        <f t="shared" si="48"/>
        <v>14</v>
      </c>
    </row>
    <row r="88" spans="1:25" ht="14.1" customHeight="1" thickBot="1" x14ac:dyDescent="0.3">
      <c r="A88" s="4"/>
      <c r="B88" s="10"/>
      <c r="C88" s="79"/>
      <c r="D88" s="79"/>
      <c r="E88" s="79"/>
      <c r="F88" s="79"/>
      <c r="G88" s="79"/>
      <c r="H88" s="79"/>
      <c r="I88" s="79"/>
      <c r="J88" s="79"/>
      <c r="K88" s="79"/>
      <c r="L88" s="79"/>
      <c r="N88" s="4" t="str">
        <f>Ratings!H4</f>
        <v>SHM14</v>
      </c>
      <c r="O88" s="24">
        <f>Ratings!J4</f>
        <v>14.3</v>
      </c>
      <c r="P88" s="79">
        <f>-P87</f>
        <v>-14</v>
      </c>
      <c r="Q88" s="79">
        <f t="shared" ref="Q88:Y88" si="49">Q$4+$P88</f>
        <v>-2.6664807360902412</v>
      </c>
      <c r="R88" s="79">
        <f t="shared" si="49"/>
        <v>-1.2368203895199095</v>
      </c>
      <c r="S88" s="79">
        <f t="shared" si="49"/>
        <v>-8.4283911488345353E-2</v>
      </c>
      <c r="T88" s="79">
        <f t="shared" si="49"/>
        <v>0.64161153866977472</v>
      </c>
      <c r="U88" s="79">
        <f t="shared" si="49"/>
        <v>1.4520647658367913</v>
      </c>
      <c r="V88" s="79">
        <f t="shared" si="49"/>
        <v>1.9943422082575797</v>
      </c>
      <c r="W88" s="79">
        <f t="shared" si="49"/>
        <v>2.5337224268754852</v>
      </c>
      <c r="X88" s="79">
        <f t="shared" si="49"/>
        <v>3.065170639135907</v>
      </c>
      <c r="Y88" s="79">
        <f t="shared" si="49"/>
        <v>3.5908806908391853</v>
      </c>
    </row>
    <row r="89" spans="1:25" ht="14.1" customHeight="1" thickBot="1" x14ac:dyDescent="0.3">
      <c r="A89" s="4"/>
      <c r="B89" s="10"/>
      <c r="C89" s="79"/>
      <c r="D89" s="79"/>
      <c r="E89" s="79"/>
      <c r="F89" s="79"/>
      <c r="G89" s="79"/>
      <c r="H89" s="79"/>
      <c r="I89" s="79"/>
      <c r="J89" s="79"/>
      <c r="K89" s="79"/>
      <c r="L89" s="79"/>
      <c r="N89" s="95" t="str">
        <f>Ratings!H7</f>
        <v>SHM23</v>
      </c>
      <c r="O89" s="5">
        <f>Ratings!J7</f>
        <v>14.3</v>
      </c>
      <c r="P89" s="79">
        <v>0</v>
      </c>
      <c r="Q89" s="79">
        <f t="shared" ref="Q89:Y89" si="50">Q$7+$P89</f>
        <v>1.9723849951199597</v>
      </c>
      <c r="R89" s="79">
        <f t="shared" si="50"/>
        <v>2.0221262575682326</v>
      </c>
      <c r="S89" s="79">
        <f t="shared" si="50"/>
        <v>2.0827858498723297</v>
      </c>
      <c r="T89" s="79">
        <f t="shared" si="50"/>
        <v>2.1496547317540631</v>
      </c>
      <c r="U89" s="79">
        <f t="shared" si="50"/>
        <v>2.252281770479911</v>
      </c>
      <c r="V89" s="79">
        <f t="shared" si="50"/>
        <v>2.3313237377907869</v>
      </c>
      <c r="W89" s="79">
        <f t="shared" si="50"/>
        <v>2.4099434078582127</v>
      </c>
      <c r="X89" s="79">
        <f t="shared" si="50"/>
        <v>2.4874069144230244</v>
      </c>
      <c r="Y89" s="79">
        <f t="shared" si="50"/>
        <v>2.5640340308603795</v>
      </c>
    </row>
    <row r="90" spans="1:25" ht="14.1" customHeight="1" thickBot="1" x14ac:dyDescent="0.3">
      <c r="A90" s="4"/>
      <c r="B90" s="10"/>
      <c r="C90" s="79"/>
      <c r="D90" s="79"/>
      <c r="E90" s="79"/>
      <c r="F90" s="79"/>
      <c r="G90" s="79"/>
      <c r="H90" s="79"/>
      <c r="I90" s="79"/>
      <c r="J90" s="79"/>
      <c r="K90" s="79"/>
      <c r="L90" s="79"/>
      <c r="N90" s="4" t="str">
        <f>Ratings!H13</f>
        <v>SBY32</v>
      </c>
      <c r="O90" s="24">
        <f>Ratings!J13</f>
        <v>14.3</v>
      </c>
      <c r="P90" s="79">
        <v>-4</v>
      </c>
      <c r="Q90" s="79">
        <f t="shared" ref="Q90:Y90" si="51">Q$13+$P90</f>
        <v>9.1667487709748983</v>
      </c>
      <c r="R90" s="79">
        <f t="shared" si="51"/>
        <v>10.206384414571879</v>
      </c>
      <c r="S90" s="79">
        <f t="shared" si="51"/>
        <v>11.080779470151748</v>
      </c>
      <c r="T90" s="79">
        <f t="shared" si="51"/>
        <v>11.697048675441273</v>
      </c>
      <c r="U90" s="79">
        <f t="shared" si="51"/>
        <v>12.459660003012861</v>
      </c>
      <c r="V90" s="79">
        <f t="shared" si="51"/>
        <v>12.936881871860727</v>
      </c>
      <c r="W90" s="79">
        <f t="shared" si="51"/>
        <v>13.404856683403672</v>
      </c>
      <c r="X90" s="79">
        <f t="shared" si="51"/>
        <v>13.858426019353683</v>
      </c>
      <c r="Y90" s="79">
        <f t="shared" si="51"/>
        <v>14.300074648828247</v>
      </c>
    </row>
    <row r="91" spans="1:25" ht="14.1" customHeight="1" thickBot="1" x14ac:dyDescent="0.3">
      <c r="A91" s="4"/>
      <c r="B91" s="10"/>
      <c r="C91" s="79"/>
      <c r="D91" s="79"/>
      <c r="E91" s="79"/>
      <c r="F91" s="79"/>
      <c r="G91" s="79"/>
      <c r="H91" s="79"/>
      <c r="I91" s="79"/>
      <c r="J91" s="79"/>
      <c r="K91" s="79"/>
      <c r="L91" s="79"/>
      <c r="N91" s="4" t="str">
        <f>Ratings!H11</f>
        <v>SBY23</v>
      </c>
      <c r="O91" s="5">
        <f>Ratings!J11</f>
        <v>14.3</v>
      </c>
      <c r="P91" s="79">
        <v>-4</v>
      </c>
      <c r="Q91" s="79">
        <f t="shared" ref="Q91:Y91" si="52">Q$11+$P91</f>
        <v>6.6091655880042435</v>
      </c>
      <c r="R91" s="79">
        <f t="shared" si="52"/>
        <v>7.1381484961313362</v>
      </c>
      <c r="S91" s="79">
        <f t="shared" si="52"/>
        <v>7.5409256197508832</v>
      </c>
      <c r="T91" s="79">
        <f t="shared" si="52"/>
        <v>7.9324820498230828</v>
      </c>
      <c r="U91" s="79">
        <f t="shared" si="52"/>
        <v>8.430225774939597</v>
      </c>
      <c r="V91" s="79">
        <f t="shared" si="52"/>
        <v>8.7906205566927937</v>
      </c>
      <c r="W91" s="79">
        <f t="shared" si="52"/>
        <v>9.1440320222636995</v>
      </c>
      <c r="X91" s="79">
        <f t="shared" si="52"/>
        <v>9.4865645684655089</v>
      </c>
      <c r="Y91" s="79">
        <f t="shared" si="52"/>
        <v>9.8200946764116317</v>
      </c>
    </row>
    <row r="92" spans="1:25" ht="14.1" customHeight="1" thickBot="1" x14ac:dyDescent="0.3">
      <c r="A92" s="4"/>
      <c r="B92" s="10"/>
      <c r="C92" s="79"/>
      <c r="D92" s="79"/>
      <c r="E92" s="79"/>
      <c r="F92" s="79"/>
      <c r="G92" s="79"/>
      <c r="H92" s="79"/>
      <c r="I92" s="79"/>
      <c r="J92" s="79"/>
      <c r="K92" s="79"/>
      <c r="L92" s="79"/>
      <c r="N92" s="4" t="str">
        <f>Ratings!H10</f>
        <v>SBY13</v>
      </c>
      <c r="O92" s="96">
        <f>Ratings!J10</f>
        <v>14.1</v>
      </c>
      <c r="P92" s="79">
        <v>-3</v>
      </c>
      <c r="Q92" s="79">
        <f>Q$10+$P92</f>
        <v>4.528469208120443</v>
      </c>
      <c r="R92" s="79">
        <f t="shared" ref="R92:Y92" si="53">R$10+$P92</f>
        <v>4.8800894557485428</v>
      </c>
      <c r="S92" s="79">
        <f t="shared" si="53"/>
        <v>5.1778853732514527</v>
      </c>
      <c r="T92" s="79">
        <f t="shared" si="53"/>
        <v>5.4317976593230206</v>
      </c>
      <c r="U92" s="79">
        <f t="shared" si="53"/>
        <v>5.7893225488202056</v>
      </c>
      <c r="V92" s="79">
        <f t="shared" si="53"/>
        <v>6.0441550867879954</v>
      </c>
      <c r="W92" s="79">
        <f t="shared" si="53"/>
        <v>6.2940497724996938</v>
      </c>
      <c r="X92" s="79">
        <f t="shared" si="53"/>
        <v>6.5362520531779751</v>
      </c>
      <c r="Y92" s="79">
        <f t="shared" si="53"/>
        <v>6.7720887750170515</v>
      </c>
    </row>
    <row r="93" spans="1:25" ht="14.1" customHeight="1" thickBot="1" x14ac:dyDescent="0.3">
      <c r="A93" s="4"/>
      <c r="B93" s="10"/>
      <c r="C93" s="79"/>
      <c r="D93" s="79"/>
      <c r="E93" s="79"/>
      <c r="F93" s="79"/>
      <c r="G93" s="79"/>
      <c r="H93" s="79"/>
      <c r="I93" s="79"/>
      <c r="J93" s="79"/>
      <c r="K93" s="79"/>
      <c r="L93" s="79"/>
      <c r="N93" s="95"/>
      <c r="O93" s="5"/>
      <c r="P93" s="79"/>
      <c r="Q93" s="79"/>
      <c r="R93" s="79"/>
      <c r="S93" s="79"/>
      <c r="T93" s="79"/>
      <c r="U93" s="79"/>
      <c r="V93" s="79"/>
      <c r="W93" s="79"/>
      <c r="X93" s="79"/>
      <c r="Y93" s="79"/>
    </row>
    <row r="94" spans="1:25" ht="14.1" customHeight="1" thickBot="1" x14ac:dyDescent="0.3">
      <c r="A94" s="4"/>
      <c r="B94" s="10"/>
      <c r="C94" s="79"/>
      <c r="D94" s="79"/>
      <c r="E94" s="79"/>
      <c r="F94" s="79"/>
      <c r="G94" s="79"/>
      <c r="H94" s="79"/>
      <c r="I94" s="79"/>
      <c r="J94" s="79"/>
      <c r="K94" s="79"/>
      <c r="L94" s="79"/>
      <c r="N94" s="95"/>
      <c r="O94" s="5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ht="14.1" customHeight="1" thickBot="1" x14ac:dyDescent="0.3">
      <c r="A95" s="4"/>
      <c r="B95" s="10"/>
      <c r="C95" s="79"/>
      <c r="D95" s="79"/>
      <c r="E95" s="79"/>
      <c r="F95" s="79"/>
      <c r="G95" s="79"/>
      <c r="H95" s="79"/>
      <c r="I95" s="79"/>
      <c r="J95" s="79"/>
      <c r="K95" s="79"/>
      <c r="L95" s="79"/>
      <c r="N95" s="95"/>
      <c r="O95" s="5"/>
      <c r="P95" s="79"/>
      <c r="Q95" s="79"/>
      <c r="R95" s="79"/>
      <c r="S95" s="79"/>
      <c r="T95" s="79"/>
      <c r="U95" s="79"/>
      <c r="V95" s="79"/>
      <c r="W95" s="79"/>
      <c r="X95" s="79"/>
      <c r="Y95" s="79"/>
    </row>
    <row r="96" spans="1:25" ht="14.1" customHeight="1" thickBot="1" x14ac:dyDescent="0.3">
      <c r="A96" s="4"/>
      <c r="B96" s="10"/>
      <c r="C96" s="79"/>
      <c r="D96" s="79"/>
      <c r="E96" s="79"/>
      <c r="F96" s="79"/>
      <c r="G96" s="79"/>
      <c r="H96" s="79"/>
      <c r="I96" s="79"/>
      <c r="J96" s="79"/>
      <c r="K96" s="79"/>
      <c r="L96" s="79"/>
      <c r="N96" s="4"/>
      <c r="O96" s="96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5" ht="14.1" customHeight="1" thickBot="1" x14ac:dyDescent="0.3">
      <c r="A97" s="4"/>
      <c r="B97" s="10"/>
      <c r="C97" s="79"/>
      <c r="D97" s="79"/>
      <c r="E97" s="79"/>
      <c r="F97" s="79"/>
      <c r="G97" s="79"/>
      <c r="H97" s="79"/>
      <c r="I97" s="79"/>
      <c r="J97" s="79"/>
      <c r="K97" s="79"/>
      <c r="L97" s="79"/>
      <c r="N97" s="6"/>
      <c r="O97" s="96"/>
      <c r="P97" s="79"/>
      <c r="Q97" s="79"/>
      <c r="R97" s="79"/>
      <c r="S97" s="79"/>
      <c r="T97" s="79"/>
      <c r="U97" s="79"/>
      <c r="V97" s="79"/>
      <c r="W97" s="79"/>
      <c r="X97" s="79"/>
      <c r="Y97" s="79"/>
    </row>
    <row r="98" spans="1:25" ht="14.1" customHeight="1" thickBot="1" x14ac:dyDescent="0.3">
      <c r="A98" s="4"/>
      <c r="B98" s="10"/>
      <c r="C98" s="79"/>
      <c r="D98" s="79"/>
      <c r="E98" s="79"/>
      <c r="F98" s="79"/>
      <c r="G98" s="79"/>
      <c r="H98" s="79"/>
      <c r="I98" s="79"/>
      <c r="J98" s="79"/>
      <c r="K98" s="79"/>
      <c r="L98" s="79"/>
      <c r="N98" s="4"/>
      <c r="O98" s="96"/>
      <c r="P98" s="79"/>
      <c r="Q98" s="79"/>
      <c r="R98" s="79"/>
      <c r="S98" s="79"/>
      <c r="T98" s="79"/>
      <c r="U98" s="79"/>
      <c r="V98" s="79"/>
      <c r="W98" s="79"/>
      <c r="X98" s="79"/>
      <c r="Y98" s="79"/>
    </row>
    <row r="99" spans="1:25" ht="14.1" customHeight="1" thickBot="1" x14ac:dyDescent="0.3">
      <c r="A99" s="4"/>
      <c r="B99" s="10"/>
      <c r="C99" s="79"/>
      <c r="D99" s="79"/>
      <c r="E99" s="79"/>
      <c r="F99" s="79"/>
      <c r="G99" s="79"/>
      <c r="H99" s="79"/>
      <c r="I99" s="79"/>
      <c r="J99" s="79"/>
      <c r="K99" s="79"/>
      <c r="L99" s="79"/>
      <c r="N99" s="4"/>
      <c r="O99" s="96"/>
      <c r="P99" s="79"/>
      <c r="Q99" s="79"/>
      <c r="R99" s="79"/>
      <c r="S99" s="79"/>
      <c r="T99" s="79"/>
      <c r="U99" s="79"/>
      <c r="V99" s="79"/>
      <c r="W99" s="79"/>
      <c r="X99" s="79"/>
      <c r="Y99" s="79"/>
    </row>
    <row r="100" spans="1:25" ht="14.1" customHeight="1" thickBot="1" x14ac:dyDescent="0.3">
      <c r="A100" s="4"/>
      <c r="B100" s="10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N100" s="4"/>
      <c r="O100" s="96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  <row r="101" spans="1:25" ht="14.1" customHeight="1" thickBot="1" x14ac:dyDescent="0.3">
      <c r="A101" s="4"/>
      <c r="B101" s="10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N101" s="4"/>
      <c r="O101" s="96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  <row r="102" spans="1:25" ht="14.1" customHeight="1" thickBot="1" x14ac:dyDescent="0.3">
      <c r="A102" s="4"/>
      <c r="B102" s="10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N102" s="4"/>
      <c r="O102" s="96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  <row r="103" spans="1:25" ht="14.1" customHeight="1" thickBot="1" x14ac:dyDescent="0.3">
      <c r="A103" s="4"/>
      <c r="B103" s="10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N103" s="4"/>
      <c r="O103" s="96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  <row r="104" spans="1:25" ht="14.1" customHeight="1" thickBot="1" x14ac:dyDescent="0.3">
      <c r="A104" s="4"/>
      <c r="B104" s="10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N104" s="95"/>
      <c r="O104" s="5"/>
      <c r="P104" s="79"/>
      <c r="Q104" s="79"/>
      <c r="R104" s="79"/>
      <c r="S104" s="79"/>
      <c r="T104" s="79"/>
      <c r="U104" s="79"/>
      <c r="V104" s="79"/>
      <c r="W104" s="79"/>
      <c r="X104" s="79"/>
      <c r="Y104" s="79"/>
    </row>
    <row r="105" spans="1:25" ht="14.1" customHeight="1" thickBot="1" x14ac:dyDescent="0.3">
      <c r="A105" s="4"/>
      <c r="B105" s="10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N105" s="95"/>
      <c r="O105" s="10"/>
      <c r="P105" s="79"/>
      <c r="Q105" s="79"/>
      <c r="R105" s="79"/>
      <c r="S105" s="79"/>
      <c r="T105" s="79"/>
      <c r="U105" s="79"/>
      <c r="V105" s="79"/>
      <c r="W105" s="79"/>
      <c r="X105" s="79"/>
      <c r="Y105" s="79"/>
    </row>
    <row r="106" spans="1:25" ht="14.1" customHeight="1" thickBot="1" x14ac:dyDescent="0.3">
      <c r="A106" s="4"/>
      <c r="B106" s="10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N106" s="4"/>
      <c r="O106" s="96"/>
      <c r="P106" s="79"/>
      <c r="Q106" s="79"/>
      <c r="R106" s="79"/>
      <c r="S106" s="79"/>
      <c r="T106" s="79"/>
      <c r="U106" s="79"/>
      <c r="V106" s="79"/>
      <c r="W106" s="79"/>
      <c r="X106" s="79"/>
      <c r="Y106" s="79"/>
    </row>
    <row r="107" spans="1:25" ht="14.1" customHeight="1" thickBot="1" x14ac:dyDescent="0.3">
      <c r="A107" s="4"/>
      <c r="B107" s="10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N107" s="4"/>
      <c r="O107" s="96"/>
      <c r="P107" s="79"/>
      <c r="Q107" s="79"/>
      <c r="R107" s="79"/>
      <c r="S107" s="79"/>
      <c r="T107" s="79"/>
      <c r="U107" s="79"/>
      <c r="V107" s="79"/>
      <c r="W107" s="79"/>
      <c r="X107" s="79"/>
      <c r="Y107" s="79"/>
    </row>
    <row r="108" spans="1:25" ht="14.1" customHeight="1" thickBot="1" x14ac:dyDescent="0.3">
      <c r="A108" s="4"/>
      <c r="B108" s="10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N108" s="4"/>
      <c r="O108" s="96"/>
      <c r="P108" s="79"/>
      <c r="Q108" s="79"/>
      <c r="R108" s="79"/>
      <c r="S108" s="79"/>
      <c r="T108" s="79"/>
      <c r="U108" s="79"/>
      <c r="V108" s="79"/>
      <c r="W108" s="79"/>
      <c r="X108" s="79"/>
      <c r="Y108" s="79"/>
    </row>
    <row r="109" spans="1:25" ht="14.1" customHeight="1" thickBot="1" x14ac:dyDescent="0.3">
      <c r="A109" s="4"/>
      <c r="B109" s="10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N109" s="95"/>
      <c r="O109" s="5"/>
      <c r="P109" s="79"/>
      <c r="Q109" s="79"/>
      <c r="R109" s="79"/>
      <c r="S109" s="79"/>
      <c r="T109" s="79"/>
      <c r="U109" s="79"/>
      <c r="V109" s="79"/>
      <c r="W109" s="79"/>
      <c r="X109" s="79"/>
      <c r="Y109" s="79"/>
    </row>
    <row r="110" spans="1:25" ht="14.1" customHeight="1" thickBot="1" x14ac:dyDescent="0.3">
      <c r="A110" s="4"/>
      <c r="B110" s="10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N110" s="4"/>
      <c r="O110" s="96"/>
      <c r="P110" s="79"/>
      <c r="Q110" s="79"/>
      <c r="R110" s="79"/>
      <c r="S110" s="79"/>
      <c r="T110" s="79"/>
      <c r="U110" s="79"/>
      <c r="V110" s="79"/>
      <c r="W110" s="79"/>
      <c r="X110" s="79"/>
      <c r="Y110" s="79"/>
    </row>
    <row r="111" spans="1:25" ht="14.1" customHeight="1" thickBot="1" x14ac:dyDescent="0.3">
      <c r="A111" s="4"/>
      <c r="B111" s="10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N111" s="4"/>
      <c r="O111" s="96"/>
      <c r="P111" s="79"/>
      <c r="Q111" s="79"/>
      <c r="R111" s="79"/>
      <c r="S111" s="79"/>
      <c r="T111" s="79"/>
      <c r="U111" s="79"/>
      <c r="V111" s="79"/>
      <c r="W111" s="79"/>
      <c r="X111" s="79"/>
      <c r="Y111" s="79"/>
    </row>
    <row r="112" spans="1:25" ht="14.1" customHeight="1" thickBot="1" x14ac:dyDescent="0.3">
      <c r="A112" s="4"/>
      <c r="B112" s="10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N112" s="95"/>
      <c r="O112" s="5"/>
      <c r="P112" s="79"/>
      <c r="Q112" s="79"/>
      <c r="R112" s="79"/>
      <c r="S112" s="79"/>
      <c r="T112" s="79"/>
      <c r="U112" s="79"/>
      <c r="V112" s="79"/>
      <c r="W112" s="79"/>
      <c r="X112" s="79"/>
      <c r="Y112" s="79"/>
    </row>
    <row r="113" spans="1:25" ht="14.1" customHeight="1" thickBot="1" x14ac:dyDescent="0.3">
      <c r="A113" s="4"/>
      <c r="B113" s="10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N113" s="4"/>
      <c r="O113" s="96"/>
      <c r="P113" s="79"/>
      <c r="Q113" s="79"/>
      <c r="R113" s="79"/>
      <c r="S113" s="79"/>
      <c r="T113" s="79"/>
      <c r="U113" s="79"/>
      <c r="V113" s="79"/>
      <c r="W113" s="79"/>
      <c r="X113" s="79"/>
      <c r="Y113" s="79"/>
    </row>
    <row r="114" spans="1:25" ht="14.1" customHeight="1" thickBot="1" x14ac:dyDescent="0.3">
      <c r="A114" s="4"/>
      <c r="B114" s="10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N114" s="4"/>
      <c r="O114" s="96"/>
      <c r="P114" s="79"/>
      <c r="Q114" s="79"/>
      <c r="R114" s="79"/>
      <c r="S114" s="79"/>
      <c r="T114" s="79"/>
      <c r="U114" s="79"/>
      <c r="V114" s="79"/>
      <c r="W114" s="79"/>
      <c r="X114" s="79"/>
      <c r="Y114" s="79"/>
    </row>
    <row r="115" spans="1:25" ht="14.1" customHeight="1" thickBot="1" x14ac:dyDescent="0.3">
      <c r="A115" s="4"/>
      <c r="B115" s="10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N115" s="4"/>
      <c r="O115" s="96"/>
      <c r="P115" s="79"/>
      <c r="Q115" s="79"/>
      <c r="R115" s="79"/>
      <c r="S115" s="79"/>
      <c r="T115" s="79"/>
      <c r="U115" s="79"/>
      <c r="V115" s="79"/>
      <c r="W115" s="79"/>
      <c r="X115" s="79"/>
      <c r="Y115" s="79"/>
    </row>
    <row r="116" spans="1:25" ht="14.1" customHeight="1" thickBot="1" x14ac:dyDescent="0.3">
      <c r="A116" s="4"/>
      <c r="B116" s="10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N116" s="4"/>
      <c r="O116" s="96"/>
      <c r="P116" s="79"/>
      <c r="Q116" s="79"/>
      <c r="R116" s="79"/>
      <c r="S116" s="79"/>
      <c r="T116" s="79"/>
      <c r="U116" s="79"/>
      <c r="V116" s="79"/>
      <c r="W116" s="79"/>
      <c r="X116" s="79"/>
      <c r="Y116" s="79"/>
    </row>
    <row r="117" spans="1:25" ht="14.1" customHeight="1" thickBot="1" x14ac:dyDescent="0.3">
      <c r="A117" s="4"/>
      <c r="B117" s="10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N117" s="4"/>
      <c r="O117" s="96"/>
      <c r="P117" s="79"/>
      <c r="Q117" s="79"/>
      <c r="R117" s="79"/>
      <c r="S117" s="79"/>
      <c r="T117" s="79"/>
      <c r="U117" s="79"/>
      <c r="V117" s="79"/>
      <c r="W117" s="79"/>
      <c r="X117" s="79"/>
      <c r="Y117" s="79"/>
    </row>
    <row r="118" spans="1:25" ht="14.1" customHeight="1" thickBot="1" x14ac:dyDescent="0.3">
      <c r="A118" s="4"/>
      <c r="B118" s="10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N118" s="95"/>
      <c r="O118" s="5"/>
      <c r="P118" s="79"/>
      <c r="Q118" s="79"/>
      <c r="R118" s="79"/>
      <c r="S118" s="79"/>
      <c r="T118" s="79"/>
      <c r="U118" s="79"/>
      <c r="V118" s="79"/>
      <c r="W118" s="79"/>
      <c r="X118" s="79"/>
      <c r="Y118" s="79"/>
    </row>
    <row r="119" spans="1:25" ht="14.1" customHeight="1" thickBot="1" x14ac:dyDescent="0.3">
      <c r="A119" s="4"/>
      <c r="B119" s="10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N119" s="95"/>
      <c r="O119" s="5"/>
      <c r="P119" s="79"/>
      <c r="Q119" s="79"/>
      <c r="R119" s="79"/>
      <c r="S119" s="79"/>
      <c r="T119" s="79"/>
      <c r="U119" s="79"/>
      <c r="V119" s="79"/>
      <c r="W119" s="79"/>
      <c r="X119" s="79"/>
      <c r="Y119" s="79"/>
    </row>
    <row r="120" spans="1:25" ht="14.1" customHeight="1" thickBot="1" x14ac:dyDescent="0.3">
      <c r="A120" s="4"/>
      <c r="B120" s="10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N120" s="95"/>
      <c r="O120" s="5"/>
      <c r="P120" s="79"/>
      <c r="Q120" s="79"/>
      <c r="R120" s="79"/>
      <c r="S120" s="79"/>
      <c r="T120" s="79"/>
      <c r="U120" s="79"/>
      <c r="V120" s="79"/>
      <c r="W120" s="79"/>
      <c r="X120" s="79"/>
      <c r="Y120" s="79"/>
    </row>
    <row r="121" spans="1:25" ht="14.1" customHeight="1" thickBot="1" x14ac:dyDescent="0.3">
      <c r="A121" s="4"/>
      <c r="B121" s="10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N121" s="4"/>
      <c r="O121" s="96"/>
      <c r="P121" s="79"/>
      <c r="Q121" s="79"/>
      <c r="R121" s="79"/>
      <c r="S121" s="79"/>
      <c r="T121" s="79"/>
      <c r="U121" s="79"/>
      <c r="V121" s="79"/>
      <c r="W121" s="79"/>
      <c r="X121" s="79"/>
      <c r="Y121" s="79"/>
    </row>
    <row r="122" spans="1:25" ht="14.1" customHeight="1" thickBot="1" x14ac:dyDescent="0.3">
      <c r="A122" s="4"/>
      <c r="B122" s="10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N122" s="6"/>
      <c r="O122" s="96"/>
      <c r="P122" s="79"/>
      <c r="Q122" s="79"/>
      <c r="R122" s="79"/>
      <c r="S122" s="79"/>
      <c r="T122" s="79"/>
      <c r="U122" s="79"/>
      <c r="V122" s="79"/>
      <c r="W122" s="79"/>
      <c r="X122" s="79"/>
      <c r="Y122" s="79"/>
    </row>
    <row r="123" spans="1:25" ht="14.1" customHeight="1" thickBot="1" x14ac:dyDescent="0.3">
      <c r="A123" s="4"/>
      <c r="B123" s="10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N123" s="4"/>
      <c r="O123" s="96"/>
      <c r="P123" s="79"/>
      <c r="Q123" s="79"/>
      <c r="R123" s="79"/>
      <c r="S123" s="79"/>
      <c r="T123" s="79"/>
      <c r="U123" s="79"/>
      <c r="V123" s="79"/>
      <c r="W123" s="79"/>
      <c r="X123" s="79"/>
      <c r="Y123" s="79"/>
    </row>
    <row r="124" spans="1:25" ht="14.1" customHeight="1" thickBot="1" x14ac:dyDescent="0.3">
      <c r="A124" s="4"/>
      <c r="B124" s="10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N124" s="4"/>
      <c r="O124" s="96"/>
      <c r="P124" s="79"/>
      <c r="Q124" s="79"/>
      <c r="R124" s="79"/>
      <c r="S124" s="79"/>
      <c r="T124" s="79"/>
      <c r="U124" s="79"/>
      <c r="V124" s="79"/>
      <c r="W124" s="79"/>
      <c r="X124" s="79"/>
      <c r="Y124" s="79"/>
    </row>
    <row r="125" spans="1:25" ht="14.1" customHeight="1" thickBot="1" x14ac:dyDescent="0.3">
      <c r="A125" s="4"/>
      <c r="B125" s="10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N125" s="4"/>
      <c r="O125" s="96"/>
      <c r="P125" s="79"/>
      <c r="Q125" s="79"/>
      <c r="R125" s="79"/>
      <c r="S125" s="79"/>
      <c r="T125" s="79"/>
      <c r="U125" s="79"/>
      <c r="V125" s="79"/>
      <c r="W125" s="79"/>
      <c r="X125" s="79"/>
      <c r="Y125" s="79"/>
    </row>
    <row r="126" spans="1:25" ht="14.1" customHeight="1" thickBot="1" x14ac:dyDescent="0.3">
      <c r="A126" s="4"/>
      <c r="B126" s="10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N126" s="4"/>
      <c r="O126" s="96"/>
      <c r="P126" s="79"/>
      <c r="Q126" s="79"/>
      <c r="R126" s="79"/>
      <c r="S126" s="79"/>
      <c r="T126" s="79"/>
      <c r="U126" s="79"/>
      <c r="V126" s="79"/>
      <c r="W126" s="79"/>
      <c r="X126" s="79"/>
      <c r="Y126" s="79"/>
    </row>
    <row r="127" spans="1:25" ht="14.1" customHeight="1" thickBot="1" x14ac:dyDescent="0.3">
      <c r="A127" s="4"/>
      <c r="B127" s="10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N127" s="4"/>
      <c r="O127" s="96"/>
      <c r="P127" s="79"/>
      <c r="Q127" s="79"/>
      <c r="R127" s="79"/>
      <c r="S127" s="79"/>
      <c r="T127" s="79"/>
      <c r="U127" s="79"/>
      <c r="V127" s="79"/>
      <c r="W127" s="79"/>
      <c r="X127" s="79"/>
      <c r="Y127" s="79"/>
    </row>
    <row r="128" spans="1:25" ht="14.1" customHeight="1" thickBot="1" x14ac:dyDescent="0.3">
      <c r="A128" s="4"/>
      <c r="B128" s="10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N128" s="4"/>
      <c r="O128" s="96"/>
      <c r="P128" s="79"/>
      <c r="Q128" s="79"/>
      <c r="R128" s="79"/>
      <c r="S128" s="79"/>
      <c r="T128" s="79"/>
      <c r="U128" s="79"/>
      <c r="V128" s="79"/>
      <c r="W128" s="79"/>
      <c r="X128" s="79"/>
      <c r="Y128" s="79"/>
    </row>
    <row r="129" spans="1:25" ht="14.1" customHeight="1" thickBot="1" x14ac:dyDescent="0.3">
      <c r="A129" s="4"/>
      <c r="B129" s="10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N129" s="95"/>
      <c r="O129" s="5"/>
      <c r="P129" s="79"/>
      <c r="Q129" s="79"/>
      <c r="R129" s="79"/>
      <c r="S129" s="79"/>
      <c r="T129" s="79"/>
      <c r="U129" s="79"/>
      <c r="V129" s="79"/>
      <c r="W129" s="79"/>
      <c r="X129" s="79"/>
      <c r="Y129" s="79"/>
    </row>
    <row r="130" spans="1:25" ht="14.1" customHeight="1" thickBot="1" x14ac:dyDescent="0.3">
      <c r="A130" s="4"/>
      <c r="B130" s="10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N130" s="95"/>
      <c r="O130" s="10"/>
      <c r="P130" s="79"/>
      <c r="Q130" s="79"/>
      <c r="R130" s="79"/>
      <c r="S130" s="79"/>
      <c r="T130" s="79"/>
      <c r="U130" s="79"/>
      <c r="V130" s="79"/>
      <c r="W130" s="79"/>
      <c r="X130" s="79"/>
      <c r="Y130" s="79"/>
    </row>
    <row r="131" spans="1:25" ht="14.1" customHeight="1" thickBot="1" x14ac:dyDescent="0.3">
      <c r="A131" s="4"/>
      <c r="B131" s="10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N131" s="4"/>
      <c r="O131" s="96"/>
      <c r="P131" s="79"/>
      <c r="Q131" s="79"/>
      <c r="R131" s="79"/>
      <c r="S131" s="79"/>
      <c r="T131" s="79"/>
      <c r="U131" s="79"/>
      <c r="V131" s="79"/>
      <c r="W131" s="79"/>
      <c r="X131" s="79"/>
      <c r="Y131" s="79"/>
    </row>
    <row r="132" spans="1:25" ht="14.1" customHeight="1" thickBot="1" x14ac:dyDescent="0.3">
      <c r="A132" s="4"/>
      <c r="B132" s="10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N132" s="4"/>
      <c r="O132" s="96"/>
      <c r="P132" s="79"/>
      <c r="Q132" s="79"/>
      <c r="R132" s="79"/>
      <c r="S132" s="79"/>
      <c r="T132" s="79"/>
      <c r="U132" s="79"/>
      <c r="V132" s="79"/>
      <c r="W132" s="79"/>
      <c r="X132" s="79"/>
      <c r="Y132" s="79"/>
    </row>
    <row r="133" spans="1:25" ht="14.1" customHeight="1" thickBot="1" x14ac:dyDescent="0.3">
      <c r="A133" s="4"/>
      <c r="B133" s="10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N133" s="4"/>
      <c r="O133" s="96"/>
      <c r="P133" s="79"/>
      <c r="Q133" s="79"/>
      <c r="R133" s="79"/>
      <c r="S133" s="79"/>
      <c r="T133" s="79"/>
      <c r="U133" s="79"/>
      <c r="V133" s="79"/>
      <c r="W133" s="79"/>
      <c r="X133" s="79"/>
      <c r="Y133" s="79"/>
    </row>
    <row r="134" spans="1:25" ht="14.1" customHeight="1" thickBot="1" x14ac:dyDescent="0.3">
      <c r="A134" s="4"/>
      <c r="B134" s="10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N134" s="4"/>
      <c r="O134" s="96"/>
      <c r="P134" s="79"/>
      <c r="Q134" s="79"/>
      <c r="R134" s="79"/>
      <c r="S134" s="79"/>
      <c r="T134" s="79"/>
      <c r="U134" s="79"/>
      <c r="V134" s="79"/>
      <c r="W134" s="79"/>
      <c r="X134" s="79"/>
      <c r="Y134" s="79"/>
    </row>
    <row r="135" spans="1:25" ht="14.1" customHeight="1" thickBot="1" x14ac:dyDescent="0.3">
      <c r="A135" s="4"/>
      <c r="B135" s="10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N135" s="4"/>
      <c r="O135" s="96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ht="14.1" customHeight="1" thickBot="1" x14ac:dyDescent="0.3">
      <c r="A136" s="4"/>
      <c r="B136" s="10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N136" s="4"/>
      <c r="O136" s="96"/>
      <c r="P136" s="79"/>
      <c r="Q136" s="79"/>
      <c r="R136" s="79"/>
      <c r="S136" s="79"/>
      <c r="T136" s="79"/>
      <c r="U136" s="79"/>
      <c r="V136" s="79"/>
      <c r="W136" s="79"/>
      <c r="X136" s="79"/>
      <c r="Y136" s="79"/>
    </row>
    <row r="137" spans="1:25" ht="14.1" customHeight="1" thickBot="1" x14ac:dyDescent="0.3">
      <c r="A137" s="4"/>
      <c r="B137" s="10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N137" s="4"/>
      <c r="O137" s="96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1:25" ht="14.1" customHeight="1" thickBot="1" x14ac:dyDescent="0.3">
      <c r="A138" s="4"/>
      <c r="B138" s="10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N138" s="4"/>
      <c r="O138" s="96"/>
      <c r="P138" s="79"/>
      <c r="Q138" s="79"/>
      <c r="R138" s="79"/>
      <c r="S138" s="79"/>
      <c r="T138" s="79"/>
      <c r="U138" s="79"/>
      <c r="V138" s="79"/>
      <c r="W138" s="79"/>
      <c r="X138" s="79"/>
      <c r="Y138" s="79"/>
    </row>
    <row r="139" spans="1:25" ht="14.1" customHeight="1" thickBot="1" x14ac:dyDescent="0.3">
      <c r="A139" s="4"/>
      <c r="B139" s="10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N139" s="4"/>
      <c r="O139" s="96"/>
      <c r="P139" s="79"/>
      <c r="Q139" s="79"/>
      <c r="R139" s="79"/>
      <c r="S139" s="79"/>
      <c r="T139" s="79"/>
      <c r="U139" s="79"/>
      <c r="V139" s="79"/>
      <c r="W139" s="79"/>
      <c r="X139" s="79"/>
      <c r="Y139" s="79"/>
    </row>
    <row r="140" spans="1:25" ht="14.1" customHeight="1" thickBot="1" x14ac:dyDescent="0.3">
      <c r="A140" s="4"/>
      <c r="B140" s="10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N140" s="4"/>
      <c r="O140" s="96"/>
      <c r="P140" s="79"/>
      <c r="Q140" s="79"/>
      <c r="R140" s="79"/>
      <c r="S140" s="79"/>
      <c r="T140" s="79"/>
      <c r="U140" s="79"/>
      <c r="V140" s="79"/>
      <c r="W140" s="79"/>
      <c r="X140" s="79"/>
      <c r="Y140" s="79"/>
    </row>
    <row r="141" spans="1:25" ht="14.1" customHeight="1" thickBot="1" x14ac:dyDescent="0.3">
      <c r="A141" s="4"/>
      <c r="B141" s="10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N141" s="4"/>
      <c r="O141" s="96"/>
      <c r="P141" s="79"/>
      <c r="Q141" s="79"/>
      <c r="R141" s="79"/>
      <c r="S141" s="79"/>
      <c r="T141" s="79"/>
      <c r="U141" s="79"/>
      <c r="V141" s="79"/>
      <c r="W141" s="79"/>
      <c r="X141" s="79"/>
      <c r="Y141" s="79"/>
    </row>
    <row r="142" spans="1:25" ht="14.1" customHeight="1" thickBot="1" x14ac:dyDescent="0.3">
      <c r="A142" s="4"/>
      <c r="B142" s="10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N142" s="95"/>
      <c r="O142" s="5"/>
      <c r="P142" s="79"/>
      <c r="Q142" s="79"/>
      <c r="R142" s="79"/>
      <c r="S142" s="79"/>
      <c r="T142" s="79"/>
      <c r="U142" s="79"/>
      <c r="V142" s="79"/>
      <c r="W142" s="79"/>
      <c r="X142" s="79"/>
      <c r="Y142" s="79"/>
    </row>
    <row r="143" spans="1:25" ht="14.1" customHeight="1" thickBot="1" x14ac:dyDescent="0.3">
      <c r="A143" s="4"/>
      <c r="B143" s="10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N143" s="4"/>
      <c r="O143" s="96"/>
      <c r="P143" s="79"/>
      <c r="Q143" s="79"/>
      <c r="R143" s="79"/>
      <c r="S143" s="79"/>
      <c r="T143" s="79"/>
      <c r="U143" s="79"/>
      <c r="V143" s="79"/>
      <c r="W143" s="79"/>
      <c r="X143" s="79"/>
      <c r="Y143" s="79"/>
    </row>
    <row r="144" spans="1:25" ht="14.1" customHeight="1" thickBot="1" x14ac:dyDescent="0.3">
      <c r="A144" s="4"/>
      <c r="B144" s="10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N144" s="4"/>
      <c r="O144" s="96"/>
      <c r="P144" s="79"/>
      <c r="Q144" s="79"/>
      <c r="R144" s="79"/>
      <c r="S144" s="79"/>
      <c r="T144" s="79"/>
      <c r="U144" s="79"/>
      <c r="V144" s="79"/>
      <c r="W144" s="79"/>
      <c r="X144" s="79"/>
      <c r="Y144" s="79"/>
    </row>
    <row r="145" spans="1:25" ht="14.1" customHeight="1" thickBot="1" x14ac:dyDescent="0.3">
      <c r="A145" s="4"/>
      <c r="B145" s="10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N145" s="95"/>
      <c r="O145" s="5"/>
      <c r="P145" s="79"/>
      <c r="Q145" s="79"/>
      <c r="R145" s="79"/>
      <c r="S145" s="79"/>
      <c r="T145" s="79"/>
      <c r="U145" s="79"/>
      <c r="V145" s="79"/>
      <c r="W145" s="79"/>
      <c r="X145" s="79"/>
      <c r="Y145" s="79"/>
    </row>
    <row r="146" spans="1:25" ht="14.1" customHeight="1" thickBot="1" x14ac:dyDescent="0.3">
      <c r="A146" s="4"/>
      <c r="B146" s="10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N146" s="95"/>
      <c r="O146" s="5"/>
      <c r="P146" s="79"/>
      <c r="Q146" s="79"/>
      <c r="R146" s="79"/>
      <c r="S146" s="79"/>
      <c r="T146" s="79"/>
      <c r="U146" s="79"/>
      <c r="V146" s="79"/>
      <c r="W146" s="79"/>
      <c r="X146" s="79"/>
      <c r="Y146" s="79"/>
    </row>
    <row r="147" spans="1:25" ht="14.1" customHeight="1" thickBot="1" x14ac:dyDescent="0.3">
      <c r="A147" s="4"/>
      <c r="B147" s="10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N147" s="4"/>
      <c r="O147" s="96"/>
      <c r="P147" s="79"/>
      <c r="Q147" s="79"/>
      <c r="R147" s="79"/>
      <c r="S147" s="79"/>
      <c r="T147" s="79"/>
      <c r="U147" s="79"/>
      <c r="V147" s="79"/>
      <c r="W147" s="79"/>
      <c r="X147" s="79"/>
      <c r="Y147" s="79"/>
    </row>
    <row r="148" spans="1:25" ht="14.1" customHeight="1" thickBot="1" x14ac:dyDescent="0.3">
      <c r="A148" s="4"/>
      <c r="B148" s="10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N148" s="4"/>
      <c r="O148" s="10"/>
      <c r="P148" s="79"/>
      <c r="Q148" s="79"/>
      <c r="R148" s="79"/>
      <c r="S148" s="79"/>
      <c r="T148" s="79"/>
      <c r="U148" s="79"/>
      <c r="V148" s="79"/>
      <c r="W148" s="79"/>
      <c r="X148" s="79"/>
      <c r="Y148" s="79"/>
    </row>
    <row r="149" spans="1:25" ht="14.1" customHeight="1" thickBot="1" x14ac:dyDescent="0.3">
      <c r="A149" s="4"/>
      <c r="B149" s="10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N149" s="4"/>
      <c r="O149" s="10"/>
      <c r="P149" s="79"/>
      <c r="Q149" s="79"/>
      <c r="R149" s="79"/>
      <c r="S149" s="79"/>
      <c r="T149" s="79"/>
      <c r="U149" s="79"/>
      <c r="V149" s="79"/>
      <c r="W149" s="79"/>
      <c r="X149" s="79"/>
      <c r="Y149" s="79"/>
    </row>
    <row r="150" spans="1:25" ht="14.1" customHeight="1" thickBot="1" x14ac:dyDescent="0.3">
      <c r="A150" s="4"/>
      <c r="B150" s="10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N150" s="4"/>
      <c r="O150" s="10"/>
      <c r="P150" s="92"/>
      <c r="Q150" s="79"/>
      <c r="R150" s="79"/>
      <c r="S150" s="79"/>
      <c r="T150" s="79"/>
      <c r="U150" s="79"/>
      <c r="V150" s="79"/>
      <c r="W150" s="79"/>
      <c r="X150" s="79"/>
      <c r="Y150" s="79"/>
    </row>
    <row r="151" spans="1:25" ht="14.1" customHeight="1" thickBot="1" x14ac:dyDescent="0.3">
      <c r="A151" s="4"/>
      <c r="B151" s="10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N151" s="4"/>
      <c r="O151" s="10"/>
      <c r="P151" s="92"/>
      <c r="Q151" s="79"/>
      <c r="R151" s="79"/>
      <c r="S151" s="79"/>
      <c r="T151" s="79"/>
      <c r="U151" s="79"/>
      <c r="V151" s="79"/>
      <c r="W151" s="79"/>
      <c r="X151" s="79"/>
      <c r="Y151" s="79"/>
    </row>
    <row r="152" spans="1:25" ht="14.1" customHeight="1" thickBot="1" x14ac:dyDescent="0.3">
      <c r="A152" s="4"/>
      <c r="B152" s="10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N152" s="4"/>
      <c r="O152" s="10"/>
      <c r="P152" s="92"/>
      <c r="Q152" s="79"/>
      <c r="R152" s="79"/>
      <c r="S152" s="79"/>
      <c r="T152" s="79"/>
      <c r="U152" s="79"/>
      <c r="V152" s="79"/>
      <c r="W152" s="79"/>
      <c r="X152" s="79"/>
      <c r="Y152" s="79"/>
    </row>
    <row r="153" spans="1:25" ht="14.1" customHeight="1" thickBot="1" x14ac:dyDescent="0.3">
      <c r="A153" s="4"/>
      <c r="B153" s="10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N153" s="4"/>
      <c r="O153" s="10"/>
      <c r="P153" s="92"/>
      <c r="Q153" s="79"/>
      <c r="R153" s="79"/>
      <c r="S153" s="79"/>
      <c r="T153" s="79"/>
      <c r="U153" s="79"/>
      <c r="V153" s="79"/>
      <c r="W153" s="79"/>
      <c r="X153" s="79"/>
      <c r="Y153" s="79"/>
    </row>
  </sheetData>
  <conditionalFormatting sqref="C2:L43">
    <cfRule type="cellIs" dxfId="15" priority="128" operator="greaterThan">
      <formula>$B2</formula>
    </cfRule>
  </conditionalFormatting>
  <conditionalFormatting sqref="C46:L153">
    <cfRule type="cellIs" dxfId="14" priority="6" operator="greaterThan">
      <formula>$B46</formula>
    </cfRule>
  </conditionalFormatting>
  <conditionalFormatting sqref="M3:M4">
    <cfRule type="cellIs" dxfId="13" priority="135" operator="greaterThan">
      <formula>$B3</formula>
    </cfRule>
  </conditionalFormatting>
  <conditionalFormatting sqref="P2:Y43">
    <cfRule type="cellIs" dxfId="12" priority="118" stopIfTrue="1" operator="greaterThan">
      <formula>$O2</formula>
    </cfRule>
  </conditionalFormatting>
  <conditionalFormatting sqref="Q47:Y153">
    <cfRule type="cellIs" dxfId="11" priority="1" operator="greaterThan">
      <formula>$O47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6D73-0657-4A9B-95C3-F4CC624BD0B8}">
  <sheetPr codeName="Sheet7">
    <tabColor theme="5"/>
  </sheetPr>
  <dimension ref="A1:Y153"/>
  <sheetViews>
    <sheetView topLeftCell="A35" workbookViewId="0">
      <selection activeCell="H65" sqref="H65"/>
    </sheetView>
  </sheetViews>
  <sheetFormatPr defaultRowHeight="15" x14ac:dyDescent="0.25"/>
  <cols>
    <col min="1" max="1" width="33.28515625" customWidth="1"/>
    <col min="2" max="2" width="7.7109375" customWidth="1"/>
    <col min="14" max="14" width="28" bestFit="1" customWidth="1"/>
    <col min="15" max="15" width="8.7109375" style="9" customWidth="1"/>
  </cols>
  <sheetData>
    <row r="1" spans="1:25" ht="14.1" customHeight="1" thickBot="1" x14ac:dyDescent="0.3">
      <c r="A1" s="1" t="s">
        <v>83</v>
      </c>
      <c r="B1" s="2" t="s">
        <v>82</v>
      </c>
      <c r="C1" s="2">
        <f>Costs!B9</f>
        <v>2025</v>
      </c>
      <c r="D1" s="2">
        <f>C1+1</f>
        <v>2026</v>
      </c>
      <c r="E1" s="2">
        <f t="shared" ref="E1:L1" si="0">D1+1</f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9">
        <f>((L2+L4+L6+L8)-(C2+C4+C6+C8))/(C2+C4+C6+C8)/9</f>
        <v>3.9477408746660676E-2</v>
      </c>
      <c r="N1" s="1" t="str">
        <f>A1</f>
        <v>Option 1 - Do Nothing</v>
      </c>
      <c r="O1" s="2" t="str">
        <f>B1</f>
        <v>Rating</v>
      </c>
      <c r="P1" s="2">
        <f t="shared" ref="P1:Y1" si="1">C1</f>
        <v>2025</v>
      </c>
      <c r="Q1" s="2">
        <f t="shared" si="1"/>
        <v>2026</v>
      </c>
      <c r="R1" s="2">
        <f t="shared" si="1"/>
        <v>2027</v>
      </c>
      <c r="S1" s="2">
        <f t="shared" si="1"/>
        <v>2028</v>
      </c>
      <c r="T1" s="2">
        <f t="shared" si="1"/>
        <v>2029</v>
      </c>
      <c r="U1" s="2">
        <f t="shared" si="1"/>
        <v>2030</v>
      </c>
      <c r="V1" s="2">
        <f t="shared" si="1"/>
        <v>2031</v>
      </c>
      <c r="W1" s="2">
        <f t="shared" si="1"/>
        <v>2032</v>
      </c>
      <c r="X1" s="2">
        <f t="shared" si="1"/>
        <v>2033</v>
      </c>
      <c r="Y1" s="2">
        <f t="shared" si="1"/>
        <v>2034</v>
      </c>
    </row>
    <row r="2" spans="1:25" ht="14.1" customHeight="1" thickTop="1" thickBot="1" x14ac:dyDescent="0.3">
      <c r="A2" s="4" t="str">
        <f>Historical!A2</f>
        <v>SBY</v>
      </c>
      <c r="B2" s="10">
        <f>Ratings!D2</f>
        <v>38</v>
      </c>
      <c r="C2" s="79">
        <v>48.116623137827389</v>
      </c>
      <c r="D2" s="79">
        <v>51.170522783595715</v>
      </c>
      <c r="E2" s="79">
        <v>53.406785863138971</v>
      </c>
      <c r="F2" s="79">
        <v>55.372674508592638</v>
      </c>
      <c r="G2" s="79">
        <v>56.423496711699222</v>
      </c>
      <c r="H2" s="79">
        <v>57.679052913631708</v>
      </c>
      <c r="I2" s="79">
        <v>59.08123473839732</v>
      </c>
      <c r="J2" s="79">
        <v>60.633628912497805</v>
      </c>
      <c r="K2" s="79">
        <v>62.107554246615237</v>
      </c>
      <c r="L2" s="79">
        <v>63.567646948822706</v>
      </c>
      <c r="M2" s="90">
        <f>($L3-$C3)/$C3/9</f>
        <v>4.1599623363352906E-2</v>
      </c>
      <c r="N2" s="4" t="str">
        <f>Ratings!H2</f>
        <v>SHM11</v>
      </c>
      <c r="O2" s="10">
        <f>Ratings!I2</f>
        <v>14.3</v>
      </c>
      <c r="P2" s="79">
        <v>5.4995190009509454</v>
      </c>
      <c r="Q2" s="79">
        <v>7.7383575499682298</v>
      </c>
      <c r="R2" s="79">
        <v>9.9565589211886358</v>
      </c>
      <c r="S2" s="79">
        <v>11.553705433730277</v>
      </c>
      <c r="T2" s="79">
        <v>12.416466207967783</v>
      </c>
      <c r="U2" s="79">
        <v>13.075268476846324</v>
      </c>
      <c r="V2" s="79">
        <v>13.656993855144249</v>
      </c>
      <c r="W2" s="79">
        <v>14.097070037037605</v>
      </c>
      <c r="X2" s="79">
        <v>14.523542245328654</v>
      </c>
      <c r="Y2" s="79">
        <v>14.951264455909245</v>
      </c>
    </row>
    <row r="3" spans="1:25" ht="14.1" customHeight="1" thickBot="1" x14ac:dyDescent="0.3">
      <c r="A3" s="4" t="str">
        <f>Historical!A3</f>
        <v>SHM</v>
      </c>
      <c r="B3" s="10">
        <f>Ratings!D3</f>
        <v>38</v>
      </c>
      <c r="C3" s="79">
        <v>44.010515977421704</v>
      </c>
      <c r="D3" s="79">
        <v>46.582923478103076</v>
      </c>
      <c r="E3" s="79">
        <v>48.919029533436486</v>
      </c>
      <c r="F3" s="79">
        <v>50.906742247951392</v>
      </c>
      <c r="G3" s="79">
        <v>52.120133287190924</v>
      </c>
      <c r="H3" s="79">
        <v>53.595923632983549</v>
      </c>
      <c r="I3" s="79">
        <v>55.225013691699196</v>
      </c>
      <c r="J3" s="79">
        <v>57.013462952088517</v>
      </c>
      <c r="K3" s="79">
        <v>58.747670637931172</v>
      </c>
      <c r="L3" s="79">
        <v>60.487903975609818</v>
      </c>
      <c r="M3" s="91">
        <f>(L3-C3)</f>
        <v>16.477387998188114</v>
      </c>
      <c r="N3" s="4" t="str">
        <f>Ratings!H3</f>
        <v>SHM12</v>
      </c>
      <c r="O3" s="10">
        <f>Ratings!I3</f>
        <v>14.3</v>
      </c>
      <c r="P3" s="79">
        <v>8.4661805905955489</v>
      </c>
      <c r="Q3" s="79">
        <v>8.6021089200022391</v>
      </c>
      <c r="R3" s="79">
        <v>8.6482050378509427</v>
      </c>
      <c r="S3" s="79">
        <v>8.7855941634113019</v>
      </c>
      <c r="T3" s="79">
        <v>8.8962672121541253</v>
      </c>
      <c r="U3" s="79">
        <v>9.147172696375959</v>
      </c>
      <c r="V3" s="79">
        <v>9.423964617463982</v>
      </c>
      <c r="W3" s="79">
        <v>9.7276377691941835</v>
      </c>
      <c r="X3" s="79">
        <v>10.021923542761598</v>
      </c>
      <c r="Y3" s="79">
        <v>10.317071876382371</v>
      </c>
    </row>
    <row r="4" spans="1:25" ht="14.1" customHeight="1" thickBot="1" x14ac:dyDescent="0.3">
      <c r="A4" s="4" t="str">
        <f>Ratings!A42</f>
        <v>KTS-SBY-SHM-GSB-WND</v>
      </c>
      <c r="B4" s="10">
        <f>Ratings!B43</f>
        <v>180</v>
      </c>
      <c r="C4" s="79">
        <f>(C2+C3)/('Summer 10PoE'!C2+'Summer 10PoE'!C3)*'Summer 10PoE'!C4</f>
        <v>145.24990960063741</v>
      </c>
      <c r="D4" s="79">
        <f>(D2+D3)/('Summer 10PoE'!D2+'Summer 10PoE'!D3)*'Summer 10PoE'!D4</f>
        <v>149.82138703516151</v>
      </c>
      <c r="E4" s="79">
        <f>(E2+E3)/('Summer 10PoE'!E2+'Summer 10PoE'!E3)*'Summer 10PoE'!E4</f>
        <v>153.91294365475093</v>
      </c>
      <c r="F4" s="79">
        <f>(F2+F3)/('Summer 10PoE'!F2+'Summer 10PoE'!F3)*'Summer 10PoE'!F4</f>
        <v>158.69884392256029</v>
      </c>
      <c r="G4" s="79">
        <f>(G2+G3)/('Summer 10PoE'!G2+'Summer 10PoE'!G3)*'Summer 10PoE'!G4</f>
        <v>173.66980799822423</v>
      </c>
      <c r="H4" s="79">
        <f>(H2+H3)/('Summer 10PoE'!H2+'Summer 10PoE'!H3)*'Summer 10PoE'!H4</f>
        <v>178.03996247458443</v>
      </c>
      <c r="I4" s="79">
        <f>(I2+I3)/('Summer 10PoE'!I2+'Summer 10PoE'!I3)*'Summer 10PoE'!I4</f>
        <v>182.88999748815445</v>
      </c>
      <c r="J4" s="79">
        <f>(J2+J3)/('Summer 10PoE'!J2+'Summer 10PoE'!J3)*'Summer 10PoE'!J4</f>
        <v>188.23534698333813</v>
      </c>
      <c r="K4" s="79">
        <f>(K2+K3)/('Summer 10PoE'!K2+'Summer 10PoE'!K3)*'Summer 10PoE'!K4</f>
        <v>193.36835981527423</v>
      </c>
      <c r="L4" s="79">
        <f t="shared" ref="L4" si="2">K4+K4-J4</f>
        <v>198.50137264721033</v>
      </c>
      <c r="M4" s="91">
        <f>M3/9</f>
        <v>1.8308208886875681</v>
      </c>
      <c r="N4" s="4" t="str">
        <f>Ratings!H4</f>
        <v>SHM14</v>
      </c>
      <c r="O4" s="10">
        <f>Ratings!I4</f>
        <v>14.3</v>
      </c>
      <c r="P4" s="79">
        <v>13.641615676723042</v>
      </c>
      <c r="Q4" s="79">
        <v>15.983968699889555</v>
      </c>
      <c r="R4" s="79">
        <v>17.57488749777859</v>
      </c>
      <c r="S4" s="79">
        <v>18.840156689432316</v>
      </c>
      <c r="T4" s="79">
        <v>19.446443210185439</v>
      </c>
      <c r="U4" s="79">
        <v>20.13946517715156</v>
      </c>
      <c r="V4" s="79">
        <v>20.748882036448165</v>
      </c>
      <c r="W4" s="79">
        <v>21.417483698132042</v>
      </c>
      <c r="X4" s="79">
        <v>22.065417030716887</v>
      </c>
      <c r="Y4" s="79">
        <v>22.715249474506304</v>
      </c>
    </row>
    <row r="5" spans="1:25" ht="14.1" customHeight="1" thickBot="1" x14ac:dyDescent="0.3">
      <c r="A5" s="4"/>
      <c r="B5" s="10"/>
      <c r="C5" s="79"/>
      <c r="D5" s="79"/>
      <c r="E5" s="79"/>
      <c r="F5" s="79"/>
      <c r="G5" s="79"/>
      <c r="H5" s="79"/>
      <c r="I5" s="79"/>
      <c r="J5" s="79"/>
      <c r="K5" s="79"/>
      <c r="L5" s="79"/>
      <c r="M5" s="90"/>
      <c r="N5" s="4" t="str">
        <f>Ratings!H5</f>
        <v>SHM21</v>
      </c>
      <c r="O5" s="10">
        <f>Ratings!I5</f>
        <v>14.3</v>
      </c>
      <c r="P5" s="79">
        <v>9.9331352336115746</v>
      </c>
      <c r="Q5" s="79">
        <v>10.645875012713908</v>
      </c>
      <c r="R5" s="79">
        <v>11.121570420766986</v>
      </c>
      <c r="S5" s="79">
        <v>11.266040382284695</v>
      </c>
      <c r="T5" s="79">
        <v>11.407959871527648</v>
      </c>
      <c r="U5" s="79">
        <v>11.729703770096517</v>
      </c>
      <c r="V5" s="79">
        <v>12.084642651003923</v>
      </c>
      <c r="W5" s="79">
        <v>12.474052169219108</v>
      </c>
      <c r="X5" s="79">
        <v>12.851423960730934</v>
      </c>
      <c r="Y5" s="79">
        <v>13.229901839800704</v>
      </c>
    </row>
    <row r="6" spans="1:25" ht="14.1" customHeight="1" thickBot="1" x14ac:dyDescent="0.3">
      <c r="A6" s="4"/>
      <c r="B6" s="10"/>
      <c r="C6" s="79"/>
      <c r="D6" s="79"/>
      <c r="E6" s="79"/>
      <c r="F6" s="79"/>
      <c r="G6" s="79"/>
      <c r="H6" s="79"/>
      <c r="I6" s="79"/>
      <c r="J6" s="79"/>
      <c r="K6" s="79"/>
      <c r="L6" s="79"/>
      <c r="M6" s="93"/>
      <c r="N6" s="4" t="str">
        <f>Ratings!H6</f>
        <v>SHM22</v>
      </c>
      <c r="O6" s="10">
        <f>Ratings!I6</f>
        <v>14.3</v>
      </c>
      <c r="P6" s="79">
        <v>5.6660514801673605</v>
      </c>
      <c r="Q6" s="79">
        <v>5.6818365743256916</v>
      </c>
      <c r="R6" s="79">
        <v>5.7514202834495434</v>
      </c>
      <c r="S6" s="79">
        <v>5.8721975574862304</v>
      </c>
      <c r="T6" s="79">
        <v>5.9461702444120288</v>
      </c>
      <c r="U6" s="79">
        <v>6.1138727975009699</v>
      </c>
      <c r="V6" s="79">
        <v>6.2988775692572263</v>
      </c>
      <c r="W6" s="79">
        <v>6.5018494692444486</v>
      </c>
      <c r="X6" s="79">
        <v>6.6985469456590101</v>
      </c>
      <c r="Y6" s="79">
        <v>6.8958209480255253</v>
      </c>
    </row>
    <row r="7" spans="1:25" ht="14.1" customHeight="1" thickBot="1" x14ac:dyDescent="0.3">
      <c r="A7" s="4"/>
      <c r="B7" s="10"/>
      <c r="C7" s="79"/>
      <c r="D7" s="79"/>
      <c r="E7" s="79"/>
      <c r="F7" s="79"/>
      <c r="G7" s="79"/>
      <c r="H7" s="79"/>
      <c r="I7" s="79"/>
      <c r="J7" s="79"/>
      <c r="K7" s="79"/>
      <c r="L7" s="79"/>
      <c r="M7" s="90"/>
      <c r="N7" s="4" t="str">
        <f>Ratings!H7</f>
        <v>SHM23</v>
      </c>
      <c r="O7" s="10">
        <f>Ratings!I7</f>
        <v>14.3</v>
      </c>
      <c r="P7" s="79">
        <v>1.9712380196505725</v>
      </c>
      <c r="Q7" s="79">
        <v>1.9607327423039929</v>
      </c>
      <c r="R7" s="79">
        <v>1.9636706618353905</v>
      </c>
      <c r="S7" s="79">
        <v>1.9891788782307194</v>
      </c>
      <c r="T7" s="79">
        <v>2.0142367726489998</v>
      </c>
      <c r="U7" s="79">
        <v>2.07104521159612</v>
      </c>
      <c r="V7" s="79">
        <v>2.1337146944850738</v>
      </c>
      <c r="W7" s="79">
        <v>2.2024704562550812</v>
      </c>
      <c r="X7" s="79">
        <v>2.2691007870051632</v>
      </c>
      <c r="Y7" s="79">
        <v>2.3359264131681035</v>
      </c>
    </row>
    <row r="8" spans="1:25" ht="14.1" customHeight="1" thickBot="1" x14ac:dyDescent="0.3">
      <c r="A8" s="4"/>
      <c r="B8" s="10"/>
      <c r="C8" s="79"/>
      <c r="D8" s="79"/>
      <c r="E8" s="79"/>
      <c r="F8" s="79"/>
      <c r="G8" s="79"/>
      <c r="H8" s="79"/>
      <c r="I8" s="79"/>
      <c r="J8" s="79"/>
      <c r="K8" s="79"/>
      <c r="L8" s="79"/>
      <c r="M8" s="90"/>
      <c r="N8" s="4" t="str">
        <f>Ratings!H8</f>
        <v>SHM24</v>
      </c>
      <c r="O8" s="10">
        <f>Ratings!I8</f>
        <v>14.3</v>
      </c>
      <c r="P8" s="79">
        <v>5.8296235737939242</v>
      </c>
      <c r="Q8" s="79">
        <v>5.7985558834093203</v>
      </c>
      <c r="R8" s="79">
        <v>5.8072443141251506</v>
      </c>
      <c r="S8" s="79">
        <v>5.8826808155223826</v>
      </c>
      <c r="T8" s="79">
        <v>5.9567855611463241</v>
      </c>
      <c r="U8" s="79">
        <v>6.1247875028576875</v>
      </c>
      <c r="V8" s="79">
        <v>6.3101225517787114</v>
      </c>
      <c r="W8" s="79">
        <v>6.5134568044934822</v>
      </c>
      <c r="X8" s="79">
        <v>6.7105054323092235</v>
      </c>
      <c r="Y8" s="79">
        <v>6.9081316153117589</v>
      </c>
    </row>
    <row r="9" spans="1:25" ht="14.1" customHeight="1" thickBot="1" x14ac:dyDescent="0.3">
      <c r="A9" s="4"/>
      <c r="B9" s="10"/>
      <c r="C9" s="79"/>
      <c r="D9" s="79"/>
      <c r="E9" s="79"/>
      <c r="F9" s="79"/>
      <c r="G9" s="79"/>
      <c r="H9" s="79"/>
      <c r="I9" s="79"/>
      <c r="J9" s="79"/>
      <c r="K9" s="79"/>
      <c r="L9" s="79"/>
      <c r="M9" s="90"/>
      <c r="N9" s="4" t="str">
        <f>Ratings!H9</f>
        <v>SBY12</v>
      </c>
      <c r="O9" s="10">
        <f>Ratings!I9</f>
        <v>14.3</v>
      </c>
      <c r="P9" s="79">
        <v>6.7620971521154001</v>
      </c>
      <c r="Q9" s="79">
        <v>7.0359576235857855</v>
      </c>
      <c r="R9" s="79">
        <v>7.2429544777371637</v>
      </c>
      <c r="S9" s="79">
        <v>7.4331392421466154</v>
      </c>
      <c r="T9" s="79">
        <v>7.5128044689053564</v>
      </c>
      <c r="U9" s="79">
        <v>7.6791628882760339</v>
      </c>
      <c r="V9" s="79">
        <v>7.8649032163012116</v>
      </c>
      <c r="W9" s="79">
        <v>8.0704891981720124</v>
      </c>
      <c r="X9" s="79">
        <v>8.2656362658046483</v>
      </c>
      <c r="Y9" s="79">
        <v>8.458909829233523</v>
      </c>
    </row>
    <row r="10" spans="1:25" ht="14.1" customHeight="1" thickBot="1" x14ac:dyDescent="0.3">
      <c r="A10" s="4"/>
      <c r="B10" s="1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90"/>
      <c r="N10" s="4" t="str">
        <f>Ratings!H10</f>
        <v>SBY13</v>
      </c>
      <c r="O10" s="10">
        <f>Ratings!I10</f>
        <v>12.5</v>
      </c>
      <c r="P10" s="79">
        <v>6.6288561445076937</v>
      </c>
      <c r="Q10" s="79">
        <v>6.8656316251797334</v>
      </c>
      <c r="R10" s="79">
        <v>7.0201964878676799</v>
      </c>
      <c r="S10" s="79">
        <v>7.1652703602163461</v>
      </c>
      <c r="T10" s="79">
        <v>7.248117561888674</v>
      </c>
      <c r="U10" s="79">
        <v>7.4145683590998317</v>
      </c>
      <c r="V10" s="79">
        <v>7.5939087871153497</v>
      </c>
      <c r="W10" s="79">
        <v>7.7924110637868003</v>
      </c>
      <c r="X10" s="79">
        <v>7.9808341112063488</v>
      </c>
      <c r="Y10" s="79">
        <v>8.1674482081983619</v>
      </c>
    </row>
    <row r="11" spans="1:25" ht="14.1" customHeight="1" thickBot="1" x14ac:dyDescent="0.3">
      <c r="A11" s="4"/>
      <c r="B11" s="1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90"/>
      <c r="N11" s="4" t="str">
        <f>Ratings!H11</f>
        <v>SBY23</v>
      </c>
      <c r="O11" s="10">
        <f>Ratings!I11</f>
        <v>14.3</v>
      </c>
      <c r="P11" s="79">
        <v>9.8857749610676837</v>
      </c>
      <c r="Q11" s="79">
        <v>10.261037997421738</v>
      </c>
      <c r="R11" s="79">
        <v>10.523702396556647</v>
      </c>
      <c r="S11" s="79">
        <v>10.724296980302917</v>
      </c>
      <c r="T11" s="79">
        <v>10.87861759101691</v>
      </c>
      <c r="U11" s="79">
        <v>11.121082187514777</v>
      </c>
      <c r="V11" s="79">
        <v>11.390074196612225</v>
      </c>
      <c r="W11" s="79">
        <v>11.687806987835694</v>
      </c>
      <c r="X11" s="79">
        <v>11.97042198238262</v>
      </c>
      <c r="Y11" s="79">
        <v>12.250323739232694</v>
      </c>
    </row>
    <row r="12" spans="1:25" ht="14.1" customHeight="1" thickBot="1" x14ac:dyDescent="0.3">
      <c r="A12" s="4"/>
      <c r="B12" s="1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90"/>
      <c r="N12" s="4" t="str">
        <f>Ratings!H12</f>
        <v>SBY24</v>
      </c>
      <c r="O12" s="10">
        <f>Ratings!I12</f>
        <v>14.3</v>
      </c>
      <c r="P12" s="79">
        <v>8.0088754362829402</v>
      </c>
      <c r="Q12" s="79">
        <v>10.883948912261769</v>
      </c>
      <c r="R12" s="79">
        <v>13.317239917633701</v>
      </c>
      <c r="S12" s="79">
        <v>15.066729283219031</v>
      </c>
      <c r="T12" s="79">
        <v>15.837271859680204</v>
      </c>
      <c r="U12" s="79">
        <v>16.530322985795177</v>
      </c>
      <c r="V12" s="79">
        <v>16.930151412202346</v>
      </c>
      <c r="W12" s="79">
        <v>17.372699998697964</v>
      </c>
      <c r="X12" s="79">
        <v>17.792777565046151</v>
      </c>
      <c r="Y12" s="79">
        <v>18.208822187953235</v>
      </c>
    </row>
    <row r="13" spans="1:25" ht="14.1" customHeight="1" thickBot="1" x14ac:dyDescent="0.3">
      <c r="A13" s="4"/>
      <c r="B13" s="1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90"/>
      <c r="N13" s="4" t="str">
        <f>Ratings!H13</f>
        <v>SBY32</v>
      </c>
      <c r="O13" s="10">
        <f>Ratings!I13</f>
        <v>14.3</v>
      </c>
      <c r="P13" s="79">
        <v>12.698390368823489</v>
      </c>
      <c r="Q13" s="79">
        <v>14.395513841072683</v>
      </c>
      <c r="R13" s="79">
        <v>15.173497286191335</v>
      </c>
      <c r="S13" s="79">
        <v>15.841870391160231</v>
      </c>
      <c r="T13" s="79">
        <v>16.177718624987172</v>
      </c>
      <c r="U13" s="79">
        <v>16.647442373754917</v>
      </c>
      <c r="V13" s="79">
        <v>17.050103634138161</v>
      </c>
      <c r="W13" s="79">
        <v>17.495787732240984</v>
      </c>
      <c r="X13" s="79">
        <v>17.918841600232433</v>
      </c>
      <c r="Y13" s="79">
        <v>18.337833950878455</v>
      </c>
    </row>
    <row r="14" spans="1:25" ht="14.1" customHeight="1" thickBot="1" x14ac:dyDescent="0.3">
      <c r="A14" s="4"/>
      <c r="B14" s="10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4" t="str">
        <f>Ratings!H14</f>
        <v>SBY34</v>
      </c>
      <c r="O14" s="10">
        <f>Ratings!I14</f>
        <v>14.3</v>
      </c>
      <c r="P14" s="79">
        <v>3.171185818053408</v>
      </c>
      <c r="Q14" s="79">
        <v>3.1505141189390629</v>
      </c>
      <c r="R14" s="79">
        <v>3.1495858627043725</v>
      </c>
      <c r="S14" s="79">
        <v>3.1828967384236386</v>
      </c>
      <c r="T14" s="79">
        <v>3.2134092901208446</v>
      </c>
      <c r="U14" s="79">
        <v>3.2845648342998675</v>
      </c>
      <c r="V14" s="79">
        <v>3.3640104924554253</v>
      </c>
      <c r="W14" s="79">
        <v>3.45194461969067</v>
      </c>
      <c r="X14" s="79">
        <v>3.5354137692826773</v>
      </c>
      <c r="Y14" s="79">
        <v>3.6180815755363387</v>
      </c>
    </row>
    <row r="15" spans="1:25" ht="14.1" customHeight="1" thickBot="1" x14ac:dyDescent="0.3">
      <c r="A15" s="4"/>
      <c r="B15" s="10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4" t="str">
        <f>Ratings!H15</f>
        <v>SBY35</v>
      </c>
      <c r="O15" s="10">
        <f>Ratings!I15</f>
        <v>14.3</v>
      </c>
      <c r="P15" s="79">
        <v>6.1570036649813531</v>
      </c>
      <c r="Q15" s="79">
        <v>6.137004866812199</v>
      </c>
      <c r="R15" s="79">
        <v>6.1351966816034116</v>
      </c>
      <c r="S15" s="79">
        <v>6.2000841884322186</v>
      </c>
      <c r="T15" s="79">
        <v>6.2595207347212645</v>
      </c>
      <c r="U15" s="79">
        <v>6.3981272936642171</v>
      </c>
      <c r="V15" s="79">
        <v>6.5528824772124654</v>
      </c>
      <c r="W15" s="79">
        <v>6.7241726687267676</v>
      </c>
      <c r="X15" s="79">
        <v>6.886765362470137</v>
      </c>
      <c r="Y15" s="79">
        <v>7.0477970894056288</v>
      </c>
    </row>
    <row r="16" spans="1:25" ht="14.1" customHeight="1" thickBot="1" x14ac:dyDescent="0.3">
      <c r="A16" s="4"/>
      <c r="B16" s="1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94"/>
      <c r="N16" s="4" t="str">
        <f>Ratings!H16</f>
        <v>SA 02</v>
      </c>
      <c r="O16" s="10">
        <f>Ratings!I16</f>
        <v>5.3</v>
      </c>
      <c r="P16" s="79">
        <v>0.89100094442782451</v>
      </c>
      <c r="Q16" s="79">
        <v>0.88307348726760848</v>
      </c>
      <c r="R16" s="79">
        <v>0.87964657398099388</v>
      </c>
      <c r="S16" s="79">
        <v>0.8847033788987444</v>
      </c>
      <c r="T16" s="79">
        <v>0.88785736363933465</v>
      </c>
      <c r="U16" s="79">
        <v>0.89675639495315185</v>
      </c>
      <c r="V16" s="79">
        <v>0.9075560844674132</v>
      </c>
      <c r="W16" s="79">
        <v>0.92023646428302008</v>
      </c>
      <c r="X16" s="79">
        <v>0.93131233486223397</v>
      </c>
      <c r="Y16" s="79">
        <v>0.94178755664134772</v>
      </c>
    </row>
    <row r="17" spans="1:25" ht="14.1" customHeight="1" thickBot="1" x14ac:dyDescent="0.3">
      <c r="A17" s="4"/>
      <c r="B17" s="1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94"/>
      <c r="N17" s="4" t="str">
        <f>Ratings!H17</f>
        <v>SA 06</v>
      </c>
      <c r="O17" s="10">
        <f>Ratings!I17</f>
        <v>12</v>
      </c>
      <c r="P17" s="79">
        <v>0.36295143136296565</v>
      </c>
      <c r="Q17" s="79">
        <v>0.35972216214460723</v>
      </c>
      <c r="R17" s="79">
        <v>0.35832620056868292</v>
      </c>
      <c r="S17" s="79">
        <v>0.36038610251884251</v>
      </c>
      <c r="T17" s="79">
        <v>0.36167088597867292</v>
      </c>
      <c r="U17" s="79">
        <v>0.36529592832379404</v>
      </c>
      <c r="V17" s="79">
        <v>0.36969520847269888</v>
      </c>
      <c r="W17" s="79">
        <v>0.37486059245246112</v>
      </c>
      <c r="X17" s="79">
        <v>0.37937237563906395</v>
      </c>
      <c r="Y17" s="79">
        <v>0.38363948305612211</v>
      </c>
    </row>
    <row r="18" spans="1:25" ht="14.1" customHeight="1" thickBot="1" x14ac:dyDescent="0.3">
      <c r="A18" s="4"/>
      <c r="B18" s="1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94"/>
      <c r="N18" s="4" t="str">
        <f>Ratings!H18</f>
        <v>SA 10</v>
      </c>
      <c r="O18" s="10">
        <f>Ratings!I18</f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f t="shared" ref="X18:Y23" si="3">X18+X18-W18</f>
        <v>0</v>
      </c>
    </row>
    <row r="19" spans="1:25" ht="14.1" customHeight="1" thickBot="1" x14ac:dyDescent="0.3">
      <c r="A19" s="4"/>
      <c r="B19" s="1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94"/>
      <c r="N19" s="4" t="str">
        <f>Ratings!H19</f>
        <v>SA 12</v>
      </c>
      <c r="O19" s="10">
        <f>Ratings!I19</f>
        <v>8.8000000000000007</v>
      </c>
      <c r="P19" s="79">
        <v>3.4251953595100644</v>
      </c>
      <c r="Q19" s="79">
        <v>3.3947205439134058</v>
      </c>
      <c r="R19" s="79">
        <v>3.3815467672073747</v>
      </c>
      <c r="S19" s="79">
        <v>3.4009861907529357</v>
      </c>
      <c r="T19" s="79">
        <v>3.4131107726234653</v>
      </c>
      <c r="U19" s="79">
        <v>3.4473205239720408</v>
      </c>
      <c r="V19" s="79">
        <v>3.4888368059016321</v>
      </c>
      <c r="W19" s="79">
        <v>3.5375828576009729</v>
      </c>
      <c r="X19" s="79">
        <v>3.5801608377341148</v>
      </c>
      <c r="Y19" s="79">
        <v>3.6204297973261839</v>
      </c>
    </row>
    <row r="20" spans="1:25" ht="14.1" customHeight="1" thickBot="1" x14ac:dyDescent="0.3">
      <c r="A20" s="4"/>
      <c r="B20" s="1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94"/>
      <c r="N20" s="4" t="str">
        <f>Ratings!H20</f>
        <v>ACR51070 (SBY13)</v>
      </c>
      <c r="O20" s="10">
        <f>Ratings!I20</f>
        <v>2</v>
      </c>
      <c r="P20" s="79">
        <v>2.5352064295821237</v>
      </c>
      <c r="Q20" s="79">
        <v>2.5708887683315678</v>
      </c>
      <c r="R20" s="79">
        <v>2.5961670388603793</v>
      </c>
      <c r="S20" s="79">
        <v>2.6349563064749773</v>
      </c>
      <c r="T20" s="79">
        <v>2.7159521633431396</v>
      </c>
      <c r="U20" s="79">
        <v>2.8206881141403648</v>
      </c>
      <c r="V20" s="79">
        <v>2.9699775681168883</v>
      </c>
      <c r="W20" s="79">
        <v>3.1226462317524826</v>
      </c>
      <c r="X20" s="79">
        <f t="shared" si="3"/>
        <v>3.2753148953880769</v>
      </c>
      <c r="Y20" s="79">
        <f t="shared" si="3"/>
        <v>3.4279835590236711</v>
      </c>
    </row>
    <row r="21" spans="1:25" ht="14.1" customHeight="1" thickBot="1" x14ac:dyDescent="0.3">
      <c r="A21" s="4"/>
      <c r="B21" s="1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94"/>
      <c r="N21" s="4" t="str">
        <f>Ratings!H21</f>
        <v>ACR55612 (SBY23)</v>
      </c>
      <c r="O21" s="10">
        <f>Ratings!I21</f>
        <v>3</v>
      </c>
      <c r="P21" s="79">
        <f>'Summer 10PoE'!P21*P11/'Summer 10PoE'!P11</f>
        <v>2.17487049143489</v>
      </c>
      <c r="Q21" s="79">
        <f>'Summer 10PoE'!Q21*Q11/'Summer 10PoE'!Q11</f>
        <v>2.2574283594327822</v>
      </c>
      <c r="R21" s="79">
        <f>'Summer 10PoE'!R21*R11/'Summer 10PoE'!R11</f>
        <v>2.3152145272424618</v>
      </c>
      <c r="S21" s="79">
        <f>'Summer 10PoE'!S21*S11/'Summer 10PoE'!S11</f>
        <v>2.3593453356666414</v>
      </c>
      <c r="T21" s="79">
        <f>'Summer 10PoE'!T21*T11/'Summer 10PoE'!T11</f>
        <v>2.3932958700237204</v>
      </c>
      <c r="U21" s="79">
        <f>'Summer 10PoE'!U21*U11/'Summer 10PoE'!U11</f>
        <v>2.4466380812532509</v>
      </c>
      <c r="V21" s="79">
        <f>'Summer 10PoE'!V21*V11/'Summer 10PoE'!V11</f>
        <v>2.5058163232546899</v>
      </c>
      <c r="W21" s="79">
        <f>'Summer 10PoE'!W21*W11/'Summer 10PoE'!W11</f>
        <v>2.5713175373238526</v>
      </c>
      <c r="X21" s="79">
        <f>'Summer 10PoE'!X21*X11/'Summer 10PoE'!X11</f>
        <v>2.6334928361241765</v>
      </c>
      <c r="Y21" s="79">
        <f t="shared" si="3"/>
        <v>2.6956681349245004</v>
      </c>
    </row>
    <row r="22" spans="1:25" ht="14.1" customHeight="1" thickBot="1" x14ac:dyDescent="0.3">
      <c r="A22" s="4"/>
      <c r="B22" s="1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94"/>
      <c r="N22" s="4" t="str">
        <f>Ratings!H22</f>
        <v>sw51196 (SBY24)</v>
      </c>
      <c r="O22" s="10">
        <f>Ratings!I22</f>
        <v>1.5</v>
      </c>
      <c r="P22" s="79">
        <f>'Summer 10PoE'!P22*P$12/'Summer 10PoE'!P$12</f>
        <v>0.93927100710068945</v>
      </c>
      <c r="Q22" s="79">
        <f>'Summer 10PoE'!Q22*Q$12/'Summer 10PoE'!Q$12</f>
        <v>1.2764560689430859</v>
      </c>
      <c r="R22" s="79">
        <f>'Summer 10PoE'!R22*R$12/'Summer 10PoE'!R$12</f>
        <v>1.5618294289569725</v>
      </c>
      <c r="S22" s="79">
        <f>'Summer 10PoE'!S22*S$12/'Summer 10PoE'!S$12</f>
        <v>1.7670073782706575</v>
      </c>
      <c r="T22" s="79">
        <f>'Summer 10PoE'!T22*T$12/'Summer 10PoE'!T$12</f>
        <v>1.8573756587570562</v>
      </c>
      <c r="U22" s="79">
        <f>'Summer 10PoE'!U22*U$12/'Summer 10PoE'!U$12</f>
        <v>1.9386558377755976</v>
      </c>
      <c r="V22" s="79">
        <f>'Summer 10PoE'!V22*V$12/'Summer 10PoE'!V$12</f>
        <v>1.9855472211822596</v>
      </c>
      <c r="W22" s="79">
        <f>'Summer 10PoE'!W22*W$12/'Summer 10PoE'!W$12</f>
        <v>2.0374487721347925</v>
      </c>
      <c r="X22" s="79">
        <f>'Summer 10PoE'!X22*X$12/'Summer 10PoE'!X$12</f>
        <v>2.0867149496329147</v>
      </c>
      <c r="Y22" s="79">
        <f t="shared" si="3"/>
        <v>2.1359811271310369</v>
      </c>
    </row>
    <row r="23" spans="1:25" ht="14.1" customHeight="1" thickBot="1" x14ac:dyDescent="0.3">
      <c r="A23" s="4"/>
      <c r="B23" s="1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94"/>
      <c r="N23" s="4" t="str">
        <f>Ratings!H23</f>
        <v>sw56781 (SBY24)</v>
      </c>
      <c r="O23" s="10">
        <f>Ratings!I23</f>
        <v>0.6</v>
      </c>
      <c r="P23" s="79">
        <f>'Summer 10PoE'!P23*P$12/'Summer 10PoE'!P$12</f>
        <v>0.37570840284027579</v>
      </c>
      <c r="Q23" s="79">
        <f>'Summer 10PoE'!Q23*Q$12/'Summer 10PoE'!Q$12</f>
        <v>0.51058242757723449</v>
      </c>
      <c r="R23" s="79">
        <f>'Summer 10PoE'!R23*R$12/'Summer 10PoE'!R$12</f>
        <v>0.62473177158278903</v>
      </c>
      <c r="S23" s="79">
        <f>'Summer 10PoE'!S23*S$12/'Summer 10PoE'!S$12</f>
        <v>0.70680295130826321</v>
      </c>
      <c r="T23" s="79">
        <f>'Summer 10PoE'!T23*T$12/'Summer 10PoE'!T$12</f>
        <v>0.74295026350282267</v>
      </c>
      <c r="U23" s="79">
        <f>'Summer 10PoE'!U23*U$12/'Summer 10PoE'!U$12</f>
        <v>0.77546233511023921</v>
      </c>
      <c r="V23" s="79">
        <f>'Summer 10PoE'!V23*V$12/'Summer 10PoE'!V$12</f>
        <v>0.79421888847290412</v>
      </c>
      <c r="W23" s="79">
        <f>'Summer 10PoE'!W23*W$12/'Summer 10PoE'!W$12</f>
        <v>0.81497950885391723</v>
      </c>
      <c r="X23" s="79">
        <f>'Summer 10PoE'!X23*X$12/'Summer 10PoE'!X$12</f>
        <v>0.83468597985316628</v>
      </c>
      <c r="Y23" s="79">
        <f t="shared" si="3"/>
        <v>0.85439245085241533</v>
      </c>
    </row>
    <row r="24" spans="1:25" ht="14.1" customHeight="1" thickBot="1" x14ac:dyDescent="0.3">
      <c r="A24" s="4"/>
      <c r="B24" s="1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94"/>
      <c r="N24" s="4"/>
      <c r="O24" s="10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ht="14.1" customHeight="1" thickBot="1" x14ac:dyDescent="0.3">
      <c r="A25" s="4"/>
      <c r="B25" s="1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94"/>
      <c r="N25" s="4"/>
      <c r="O25" s="10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ht="14.1" customHeight="1" thickBot="1" x14ac:dyDescent="0.3">
      <c r="A26" s="4"/>
      <c r="B26" s="1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94"/>
      <c r="N26" s="4"/>
      <c r="O26" s="10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ht="14.1" customHeight="1" thickBot="1" x14ac:dyDescent="0.3">
      <c r="A27" s="4"/>
      <c r="B27" s="1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94"/>
      <c r="N27" s="4"/>
      <c r="O27" s="10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14.1" customHeight="1" thickBot="1" x14ac:dyDescent="0.3">
      <c r="A28" s="4"/>
      <c r="B28" s="10"/>
      <c r="C28" s="79"/>
      <c r="D28" s="79"/>
      <c r="E28" s="79"/>
      <c r="F28" s="79"/>
      <c r="G28" s="79"/>
      <c r="H28" s="79"/>
      <c r="I28" s="79"/>
      <c r="J28" s="79"/>
      <c r="K28" s="79"/>
      <c r="L28" s="79"/>
      <c r="N28" s="4"/>
      <c r="O28" s="10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14.1" customHeight="1" thickBot="1" x14ac:dyDescent="0.3">
      <c r="A29" s="4"/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N29" s="4"/>
      <c r="O29" s="10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spans="1:25" ht="14.1" customHeight="1" thickBot="1" x14ac:dyDescent="0.3">
      <c r="A30" s="4"/>
      <c r="B30" s="10"/>
      <c r="C30" s="79"/>
      <c r="D30" s="79"/>
      <c r="E30" s="79"/>
      <c r="F30" s="79"/>
      <c r="G30" s="79"/>
      <c r="H30" s="79"/>
      <c r="I30" s="79"/>
      <c r="J30" s="79"/>
      <c r="K30" s="79"/>
      <c r="L30" s="79"/>
      <c r="N30" s="4"/>
      <c r="O30" s="10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ht="14.1" customHeight="1" thickBot="1" x14ac:dyDescent="0.3">
      <c r="A31" s="4"/>
      <c r="B31" s="10"/>
      <c r="C31" s="79"/>
      <c r="D31" s="79"/>
      <c r="E31" s="79"/>
      <c r="F31" s="79"/>
      <c r="G31" s="79"/>
      <c r="H31" s="79"/>
      <c r="I31" s="79"/>
      <c r="J31" s="79"/>
      <c r="K31" s="79"/>
      <c r="L31" s="79"/>
      <c r="N31" s="4"/>
      <c r="O31" s="10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4.1" customHeight="1" thickBot="1" x14ac:dyDescent="0.3">
      <c r="A32" s="4"/>
      <c r="B32" s="10"/>
      <c r="C32" s="79"/>
      <c r="D32" s="79"/>
      <c r="E32" s="79"/>
      <c r="F32" s="79"/>
      <c r="G32" s="79"/>
      <c r="H32" s="79"/>
      <c r="I32" s="79"/>
      <c r="J32" s="79"/>
      <c r="K32" s="79"/>
      <c r="L32" s="79"/>
      <c r="N32" s="4"/>
      <c r="O32" s="10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spans="1:25" ht="14.1" customHeight="1" thickBot="1" x14ac:dyDescent="0.3">
      <c r="A33" s="4"/>
      <c r="B33" s="10"/>
      <c r="C33" s="79"/>
      <c r="D33" s="79"/>
      <c r="E33" s="79"/>
      <c r="F33" s="79"/>
      <c r="G33" s="79"/>
      <c r="H33" s="79"/>
      <c r="I33" s="79"/>
      <c r="J33" s="79"/>
      <c r="K33" s="79"/>
      <c r="L33" s="79"/>
      <c r="N33" s="4"/>
      <c r="O33" s="10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4.1" customHeight="1" thickBot="1" x14ac:dyDescent="0.3">
      <c r="A34" s="4"/>
      <c r="B34" s="10"/>
      <c r="C34" s="79"/>
      <c r="D34" s="79"/>
      <c r="E34" s="79"/>
      <c r="F34" s="79"/>
      <c r="G34" s="79"/>
      <c r="H34" s="79"/>
      <c r="I34" s="79"/>
      <c r="J34" s="79"/>
      <c r="K34" s="79"/>
      <c r="L34" s="79"/>
      <c r="N34" s="4"/>
      <c r="O34" s="10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4.1" customHeight="1" thickBot="1" x14ac:dyDescent="0.3">
      <c r="A35" s="4"/>
      <c r="B35" s="10"/>
      <c r="C35" s="79"/>
      <c r="D35" s="79"/>
      <c r="E35" s="79"/>
      <c r="F35" s="79"/>
      <c r="G35" s="79"/>
      <c r="H35" s="79"/>
      <c r="I35" s="79"/>
      <c r="J35" s="79"/>
      <c r="K35" s="79"/>
      <c r="L35" s="79"/>
      <c r="N35" s="4"/>
      <c r="O35" s="10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4.1" customHeight="1" thickBot="1" x14ac:dyDescent="0.3">
      <c r="A36" s="4"/>
      <c r="B36" s="10"/>
      <c r="C36" s="79"/>
      <c r="D36" s="79"/>
      <c r="E36" s="79"/>
      <c r="F36" s="79"/>
      <c r="G36" s="79"/>
      <c r="H36" s="79"/>
      <c r="I36" s="79"/>
      <c r="J36" s="79"/>
      <c r="K36" s="79"/>
      <c r="L36" s="79"/>
      <c r="N36" s="4"/>
      <c r="O36" s="10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1:25" ht="14.1" customHeight="1" thickBot="1" x14ac:dyDescent="0.3">
      <c r="A37" s="4"/>
      <c r="B37" s="10"/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4"/>
      <c r="O37" s="10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ht="14.1" customHeight="1" thickBot="1" x14ac:dyDescent="0.3">
      <c r="A38" s="4"/>
      <c r="B38" s="10"/>
      <c r="C38" s="79"/>
      <c r="D38" s="79"/>
      <c r="E38" s="79"/>
      <c r="F38" s="79"/>
      <c r="G38" s="79"/>
      <c r="H38" s="79"/>
      <c r="I38" s="79"/>
      <c r="J38" s="79"/>
      <c r="K38" s="79"/>
      <c r="L38" s="79"/>
      <c r="N38" s="4"/>
      <c r="O38" s="10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4.1" customHeight="1" thickBot="1" x14ac:dyDescent="0.3">
      <c r="A39" s="4"/>
      <c r="B39" s="10"/>
      <c r="C39" s="79"/>
      <c r="D39" s="79"/>
      <c r="E39" s="79"/>
      <c r="F39" s="79"/>
      <c r="G39" s="79"/>
      <c r="H39" s="79"/>
      <c r="I39" s="79"/>
      <c r="J39" s="79"/>
      <c r="K39" s="79"/>
      <c r="L39" s="79"/>
      <c r="N39" s="4"/>
      <c r="O39" s="10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4.1" customHeight="1" thickBot="1" x14ac:dyDescent="0.3">
      <c r="A40" s="4"/>
      <c r="B40" s="10"/>
      <c r="C40" s="79"/>
      <c r="D40" s="79"/>
      <c r="E40" s="79"/>
      <c r="F40" s="79"/>
      <c r="G40" s="79"/>
      <c r="H40" s="79"/>
      <c r="I40" s="79"/>
      <c r="J40" s="79"/>
      <c r="K40" s="79"/>
      <c r="L40" s="79"/>
      <c r="N40" s="4"/>
      <c r="O40" s="10"/>
      <c r="P40" s="79"/>
      <c r="Q40" s="79"/>
      <c r="R40" s="79"/>
      <c r="S40" s="79"/>
      <c r="T40" s="79"/>
      <c r="U40" s="79"/>
      <c r="V40" s="79"/>
      <c r="W40" s="79"/>
      <c r="X40" s="79"/>
      <c r="Y40" s="79"/>
    </row>
    <row r="41" spans="1:25" ht="14.1" customHeight="1" thickBot="1" x14ac:dyDescent="0.3">
      <c r="A41" s="4"/>
      <c r="B41" s="10"/>
      <c r="C41" s="79"/>
      <c r="D41" s="79"/>
      <c r="E41" s="79"/>
      <c r="F41" s="79"/>
      <c r="G41" s="79"/>
      <c r="H41" s="79"/>
      <c r="I41" s="79"/>
      <c r="J41" s="79"/>
      <c r="K41" s="79"/>
      <c r="L41" s="79"/>
      <c r="N41" s="4"/>
      <c r="O41" s="10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14.1" customHeight="1" thickBot="1" x14ac:dyDescent="0.3">
      <c r="A42" s="4"/>
      <c r="B42" s="10"/>
      <c r="C42" s="79"/>
      <c r="D42" s="79"/>
      <c r="E42" s="79"/>
      <c r="F42" s="79"/>
      <c r="G42" s="79"/>
      <c r="H42" s="79"/>
      <c r="I42" s="79"/>
      <c r="J42" s="79"/>
      <c r="K42" s="79"/>
      <c r="L42" s="79"/>
      <c r="N42" s="4"/>
      <c r="O42" s="10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ht="14.1" customHeight="1" thickBot="1" x14ac:dyDescent="0.3">
      <c r="A43" s="4"/>
      <c r="B43" s="10"/>
      <c r="C43" s="79"/>
      <c r="D43" s="79"/>
      <c r="E43" s="79"/>
      <c r="F43" s="79"/>
      <c r="G43" s="79"/>
      <c r="H43" s="79"/>
      <c r="I43" s="79"/>
      <c r="J43" s="79"/>
      <c r="K43" s="79"/>
      <c r="L43" s="79"/>
      <c r="N43" s="4"/>
      <c r="O43" s="10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1:25" ht="14.1" customHeight="1" thickBot="1" x14ac:dyDescent="0.3"/>
    <row r="45" spans="1:25" ht="14.1" customHeight="1" thickBot="1" x14ac:dyDescent="0.3">
      <c r="A45" s="1" t="s">
        <v>84</v>
      </c>
      <c r="B45" s="2" t="str">
        <f>B1</f>
        <v>Rating</v>
      </c>
      <c r="C45" s="2" t="s">
        <v>85</v>
      </c>
      <c r="D45" s="2">
        <f t="shared" ref="D45:L45" si="4">D1</f>
        <v>2026</v>
      </c>
      <c r="E45" s="2">
        <f t="shared" si="4"/>
        <v>2027</v>
      </c>
      <c r="F45" s="2">
        <f t="shared" si="4"/>
        <v>2028</v>
      </c>
      <c r="G45" s="2">
        <f t="shared" si="4"/>
        <v>2029</v>
      </c>
      <c r="H45" s="2">
        <f t="shared" si="4"/>
        <v>2030</v>
      </c>
      <c r="I45" s="2">
        <f t="shared" si="4"/>
        <v>2031</v>
      </c>
      <c r="J45" s="2">
        <f t="shared" si="4"/>
        <v>2032</v>
      </c>
      <c r="K45" s="2">
        <f t="shared" si="4"/>
        <v>2033</v>
      </c>
      <c r="L45" s="2">
        <f t="shared" si="4"/>
        <v>2034</v>
      </c>
      <c r="N45" s="1" t="s">
        <v>86</v>
      </c>
      <c r="O45" s="2" t="str">
        <f>O1</f>
        <v>Rating</v>
      </c>
      <c r="P45" s="2" t="s">
        <v>85</v>
      </c>
      <c r="Q45" s="2">
        <f t="shared" ref="Q45:T45" si="5">Q1</f>
        <v>2026</v>
      </c>
      <c r="R45" s="2">
        <f t="shared" si="5"/>
        <v>2027</v>
      </c>
      <c r="S45" s="2">
        <f t="shared" si="5"/>
        <v>2028</v>
      </c>
      <c r="T45" s="2">
        <f t="shared" si="5"/>
        <v>2029</v>
      </c>
      <c r="U45" s="2">
        <f>U1</f>
        <v>2030</v>
      </c>
      <c r="V45" s="2">
        <f>V1</f>
        <v>2031</v>
      </c>
      <c r="W45" s="2">
        <f t="shared" ref="W45:Y45" si="6">W1</f>
        <v>2032</v>
      </c>
      <c r="X45" s="2">
        <f t="shared" si="6"/>
        <v>2033</v>
      </c>
      <c r="Y45" s="2">
        <f t="shared" si="6"/>
        <v>2034</v>
      </c>
    </row>
    <row r="46" spans="1:25" ht="14.1" customHeight="1" thickTop="1" thickBot="1" x14ac:dyDescent="0.3">
      <c r="A46" s="6" t="s">
        <v>87</v>
      </c>
      <c r="B46" s="10"/>
      <c r="C46" s="79"/>
      <c r="D46" s="79"/>
      <c r="E46" s="79"/>
      <c r="F46" s="79"/>
      <c r="G46" s="79"/>
      <c r="H46" s="79"/>
      <c r="I46" s="79"/>
      <c r="J46" s="79"/>
      <c r="K46" s="79"/>
      <c r="L46" s="79"/>
      <c r="N46" s="6" t="s">
        <v>87</v>
      </c>
      <c r="O46" s="5"/>
      <c r="P46" s="92"/>
      <c r="Q46" s="92"/>
      <c r="R46" s="79"/>
      <c r="S46" s="79"/>
      <c r="T46" s="79"/>
      <c r="U46" s="79"/>
      <c r="V46" s="79"/>
      <c r="W46" s="79"/>
      <c r="X46" s="79"/>
      <c r="Y46" s="79"/>
    </row>
    <row r="47" spans="1:25" ht="14.1" customHeight="1" thickBot="1" x14ac:dyDescent="0.3">
      <c r="A47" s="4" t="str">
        <f>Ratings!A7</f>
        <v>SBY Replace No.1 &amp; 3 transformers</v>
      </c>
      <c r="B47" s="10">
        <f>Ratings!D7</f>
        <v>76</v>
      </c>
      <c r="C47" s="79">
        <v>7</v>
      </c>
      <c r="D47" s="79">
        <f>D2+$C47</f>
        <v>58.170522783595715</v>
      </c>
      <c r="E47" s="79">
        <f t="shared" ref="E47:L48" si="7">E2+$C47</f>
        <v>60.406785863138971</v>
      </c>
      <c r="F47" s="79">
        <f t="shared" si="7"/>
        <v>62.372674508592638</v>
      </c>
      <c r="G47" s="79">
        <f t="shared" si="7"/>
        <v>63.423496711699222</v>
      </c>
      <c r="H47" s="79">
        <f t="shared" si="7"/>
        <v>64.679052913631708</v>
      </c>
      <c r="I47" s="79">
        <f t="shared" si="7"/>
        <v>66.081234738397313</v>
      </c>
      <c r="J47" s="79">
        <f t="shared" si="7"/>
        <v>67.633628912497812</v>
      </c>
      <c r="K47" s="79">
        <f t="shared" si="7"/>
        <v>69.107554246615237</v>
      </c>
      <c r="L47" s="79">
        <f t="shared" si="7"/>
        <v>70.567646948822699</v>
      </c>
      <c r="N47" s="95" t="str">
        <f>Ratings!H56</f>
        <v>SBY14 new</v>
      </c>
      <c r="O47" s="5">
        <f>Ratings!I56</f>
        <v>14.3</v>
      </c>
      <c r="P47" s="79">
        <f>-P51</f>
        <v>7</v>
      </c>
      <c r="Q47" s="79">
        <f>$P47</f>
        <v>7</v>
      </c>
      <c r="R47" s="79">
        <f t="shared" ref="R47:Y48" si="8">$P47</f>
        <v>7</v>
      </c>
      <c r="S47" s="79">
        <f t="shared" si="8"/>
        <v>7</v>
      </c>
      <c r="T47" s="79">
        <f t="shared" si="8"/>
        <v>7</v>
      </c>
      <c r="U47" s="79">
        <f t="shared" si="8"/>
        <v>7</v>
      </c>
      <c r="V47" s="79">
        <f t="shared" si="8"/>
        <v>7</v>
      </c>
      <c r="W47" s="79">
        <f t="shared" si="8"/>
        <v>7</v>
      </c>
      <c r="X47" s="79">
        <f t="shared" si="8"/>
        <v>7</v>
      </c>
      <c r="Y47" s="79">
        <f t="shared" si="8"/>
        <v>7</v>
      </c>
    </row>
    <row r="48" spans="1:25" ht="14.1" customHeight="1" thickBot="1" x14ac:dyDescent="0.3">
      <c r="A48" s="4" t="str">
        <f>Ratings!A3</f>
        <v>SHM</v>
      </c>
      <c r="B48" s="10">
        <f>Ratings!D3</f>
        <v>38</v>
      </c>
      <c r="C48" s="79">
        <f>-(C49+C47)</f>
        <v>-27</v>
      </c>
      <c r="D48" s="79">
        <f>D3+$C48</f>
        <v>19.582923478103076</v>
      </c>
      <c r="E48" s="79">
        <f t="shared" si="7"/>
        <v>21.919029533436486</v>
      </c>
      <c r="F48" s="79">
        <f t="shared" si="7"/>
        <v>23.906742247951392</v>
      </c>
      <c r="G48" s="79">
        <f t="shared" si="7"/>
        <v>25.120133287190924</v>
      </c>
      <c r="H48" s="79">
        <f t="shared" si="7"/>
        <v>26.595923632983549</v>
      </c>
      <c r="I48" s="79">
        <f t="shared" si="7"/>
        <v>28.225013691699196</v>
      </c>
      <c r="J48" s="79">
        <f t="shared" si="7"/>
        <v>30.013462952088517</v>
      </c>
      <c r="K48" s="79">
        <f t="shared" si="7"/>
        <v>31.747670637931172</v>
      </c>
      <c r="L48" s="79">
        <f t="shared" si="7"/>
        <v>33.487903975609818</v>
      </c>
      <c r="N48" s="95" t="str">
        <f>Ratings!H46</f>
        <v>SBY22 new</v>
      </c>
      <c r="O48" s="5">
        <f>Ratings!I46</f>
        <v>14.3</v>
      </c>
      <c r="P48" s="79">
        <f>-(P60+P57+P58)</f>
        <v>12</v>
      </c>
      <c r="Q48" s="79">
        <f t="shared" ref="Q48" si="9">$P48</f>
        <v>12</v>
      </c>
      <c r="R48" s="79">
        <f t="shared" si="8"/>
        <v>12</v>
      </c>
      <c r="S48" s="79">
        <f t="shared" si="8"/>
        <v>12</v>
      </c>
      <c r="T48" s="79">
        <f t="shared" si="8"/>
        <v>12</v>
      </c>
      <c r="U48" s="79">
        <f t="shared" si="8"/>
        <v>12</v>
      </c>
      <c r="V48" s="79">
        <f t="shared" si="8"/>
        <v>12</v>
      </c>
      <c r="W48" s="79">
        <f t="shared" si="8"/>
        <v>12</v>
      </c>
      <c r="X48" s="79">
        <f t="shared" si="8"/>
        <v>12</v>
      </c>
      <c r="Y48" s="79">
        <f t="shared" si="8"/>
        <v>12</v>
      </c>
    </row>
    <row r="49" spans="1:25" ht="14.1" customHeight="1" thickBot="1" x14ac:dyDescent="0.3">
      <c r="A49" s="4" t="str">
        <f>Ratings!A9</f>
        <v>PLN New zone substation</v>
      </c>
      <c r="B49" s="10">
        <f>Ratings!B9</f>
        <v>33</v>
      </c>
      <c r="C49" s="79">
        <v>20</v>
      </c>
      <c r="D49" s="79">
        <f>$C49</f>
        <v>20</v>
      </c>
      <c r="E49" s="79">
        <f t="shared" ref="E49:L49" si="10">$C49</f>
        <v>20</v>
      </c>
      <c r="F49" s="79">
        <f t="shared" si="10"/>
        <v>20</v>
      </c>
      <c r="G49" s="79">
        <f t="shared" si="10"/>
        <v>20</v>
      </c>
      <c r="H49" s="79">
        <f t="shared" si="10"/>
        <v>20</v>
      </c>
      <c r="I49" s="79">
        <f t="shared" si="10"/>
        <v>20</v>
      </c>
      <c r="J49" s="79">
        <f t="shared" si="10"/>
        <v>20</v>
      </c>
      <c r="K49" s="79">
        <f t="shared" si="10"/>
        <v>20</v>
      </c>
      <c r="L49" s="79">
        <f t="shared" si="10"/>
        <v>20</v>
      </c>
      <c r="N49" s="95" t="str">
        <f>Ratings!H12</f>
        <v>SBY24</v>
      </c>
      <c r="O49" s="5">
        <f>Ratings!I12</f>
        <v>14.3</v>
      </c>
      <c r="P49" s="79">
        <f>-(P50+P59)</f>
        <v>-17</v>
      </c>
      <c r="Q49" s="79">
        <f>Q$12+$P49</f>
        <v>-6.1160510877382315</v>
      </c>
      <c r="R49" s="79">
        <f t="shared" ref="R49:Y49" si="11">R$12+$P49</f>
        <v>-3.6827600823662987</v>
      </c>
      <c r="S49" s="79">
        <f t="shared" si="11"/>
        <v>-1.9332707167809691</v>
      </c>
      <c r="T49" s="79">
        <f t="shared" si="11"/>
        <v>-1.1627281403197962</v>
      </c>
      <c r="U49" s="79">
        <f t="shared" si="11"/>
        <v>-0.469677014204823</v>
      </c>
      <c r="V49" s="79">
        <f t="shared" si="11"/>
        <v>-6.984858779765446E-2</v>
      </c>
      <c r="W49" s="79">
        <f t="shared" si="11"/>
        <v>0.37269999869796422</v>
      </c>
      <c r="X49" s="79">
        <f t="shared" si="11"/>
        <v>0.79277756504615127</v>
      </c>
      <c r="Y49" s="79">
        <f t="shared" si="11"/>
        <v>1.2088221879532348</v>
      </c>
    </row>
    <row r="50" spans="1:25" ht="14.1" customHeight="1" thickBot="1" x14ac:dyDescent="0.3">
      <c r="A50" s="4" t="str">
        <f>Ratings!A6</f>
        <v>SBY Replace No.1 transformer</v>
      </c>
      <c r="B50" s="10">
        <f>Ratings!D6</f>
        <v>49</v>
      </c>
      <c r="C50" s="79">
        <f>C47</f>
        <v>7</v>
      </c>
      <c r="D50" s="79">
        <f>D47</f>
        <v>58.170522783595715</v>
      </c>
      <c r="E50" s="79">
        <f t="shared" ref="E50:L50" si="12">E47</f>
        <v>60.406785863138971</v>
      </c>
      <c r="F50" s="79">
        <f t="shared" si="12"/>
        <v>62.372674508592638</v>
      </c>
      <c r="G50" s="79">
        <f t="shared" si="12"/>
        <v>63.423496711699222</v>
      </c>
      <c r="H50" s="79">
        <f t="shared" si="12"/>
        <v>64.679052913631708</v>
      </c>
      <c r="I50" s="79">
        <f t="shared" si="12"/>
        <v>66.081234738397313</v>
      </c>
      <c r="J50" s="79">
        <f t="shared" si="12"/>
        <v>67.633628912497812</v>
      </c>
      <c r="K50" s="79">
        <f t="shared" si="12"/>
        <v>69.107554246615237</v>
      </c>
      <c r="L50" s="79">
        <f t="shared" si="12"/>
        <v>70.567646948822699</v>
      </c>
      <c r="N50" s="95" t="str">
        <f>Ratings!H15</f>
        <v>SBY35</v>
      </c>
      <c r="O50" s="5">
        <f>Ratings!I15</f>
        <v>14.3</v>
      </c>
      <c r="P50" s="79">
        <v>6</v>
      </c>
      <c r="Q50" s="79">
        <f>Q$15+$P50</f>
        <v>12.137004866812198</v>
      </c>
      <c r="R50" s="79">
        <f t="shared" ref="R50:Y50" si="13">R$15+$P50</f>
        <v>12.135196681603411</v>
      </c>
      <c r="S50" s="79">
        <f t="shared" si="13"/>
        <v>12.200084188432218</v>
      </c>
      <c r="T50" s="79">
        <f t="shared" si="13"/>
        <v>12.259520734721264</v>
      </c>
      <c r="U50" s="79">
        <f t="shared" si="13"/>
        <v>12.398127293664217</v>
      </c>
      <c r="V50" s="79">
        <f t="shared" si="13"/>
        <v>12.552882477212465</v>
      </c>
      <c r="W50" s="79">
        <f t="shared" si="13"/>
        <v>12.724172668726768</v>
      </c>
      <c r="X50" s="79">
        <f t="shared" si="13"/>
        <v>12.886765362470136</v>
      </c>
      <c r="Y50" s="79">
        <f t="shared" si="13"/>
        <v>13.047797089405629</v>
      </c>
    </row>
    <row r="51" spans="1:25" ht="14.1" customHeight="1" thickBot="1" x14ac:dyDescent="0.3">
      <c r="A51" s="4"/>
      <c r="B51" s="10"/>
      <c r="C51" s="79"/>
      <c r="D51" s="79"/>
      <c r="E51" s="79"/>
      <c r="F51" s="79"/>
      <c r="G51" s="79"/>
      <c r="H51" s="79"/>
      <c r="I51" s="79"/>
      <c r="J51" s="79"/>
      <c r="K51" s="79"/>
      <c r="L51" s="79"/>
      <c r="N51" s="95" t="str">
        <f>Ratings!H2</f>
        <v>SHM11</v>
      </c>
      <c r="O51" s="5">
        <f>Ratings!I2</f>
        <v>14.3</v>
      </c>
      <c r="P51" s="79">
        <v>-7</v>
      </c>
      <c r="Q51" s="79">
        <f>Q$2+$P51</f>
        <v>0.73835754996822978</v>
      </c>
      <c r="R51" s="79">
        <f t="shared" ref="R51:Y51" si="14">R$2+$P51</f>
        <v>2.9565589211886358</v>
      </c>
      <c r="S51" s="79">
        <f t="shared" si="14"/>
        <v>4.5537054337302774</v>
      </c>
      <c r="T51" s="79">
        <f t="shared" si="14"/>
        <v>5.4164662079677832</v>
      </c>
      <c r="U51" s="79">
        <f t="shared" si="14"/>
        <v>6.0752684768463237</v>
      </c>
      <c r="V51" s="79">
        <f t="shared" si="14"/>
        <v>6.6569938551442487</v>
      </c>
      <c r="W51" s="79">
        <f t="shared" si="14"/>
        <v>7.0970700370376054</v>
      </c>
      <c r="X51" s="79">
        <f t="shared" si="14"/>
        <v>7.5235422453286542</v>
      </c>
      <c r="Y51" s="79">
        <f t="shared" si="14"/>
        <v>7.9512644559092447</v>
      </c>
    </row>
    <row r="52" spans="1:25" ht="14.1" customHeight="1" thickBot="1" x14ac:dyDescent="0.3">
      <c r="A52" s="4"/>
      <c r="B52" s="10"/>
      <c r="C52" s="79"/>
      <c r="D52" s="79"/>
      <c r="E52" s="79"/>
      <c r="F52" s="79"/>
      <c r="G52" s="79"/>
      <c r="H52" s="79"/>
      <c r="I52" s="79"/>
      <c r="J52" s="79"/>
      <c r="K52" s="79"/>
      <c r="L52" s="79"/>
      <c r="N52" s="95" t="str">
        <f>Ratings!H55</f>
        <v>SHM13 new</v>
      </c>
      <c r="O52" s="10">
        <f>Ratings!I55</f>
        <v>14.3</v>
      </c>
      <c r="P52" s="79">
        <f>-(P53+P54+P55)</f>
        <v>2</v>
      </c>
      <c r="Q52" s="79">
        <f t="shared" ref="Q52:Y52" si="15">$P52</f>
        <v>2</v>
      </c>
      <c r="R52" s="79">
        <f t="shared" si="15"/>
        <v>2</v>
      </c>
      <c r="S52" s="79">
        <f t="shared" si="15"/>
        <v>2</v>
      </c>
      <c r="T52" s="79">
        <f t="shared" si="15"/>
        <v>2</v>
      </c>
      <c r="U52" s="79">
        <f t="shared" si="15"/>
        <v>2</v>
      </c>
      <c r="V52" s="79">
        <f t="shared" si="15"/>
        <v>2</v>
      </c>
      <c r="W52" s="79">
        <f t="shared" si="15"/>
        <v>2</v>
      </c>
      <c r="X52" s="79">
        <f t="shared" si="15"/>
        <v>2</v>
      </c>
      <c r="Y52" s="79">
        <f t="shared" si="15"/>
        <v>2</v>
      </c>
    </row>
    <row r="53" spans="1:25" ht="14.1" customHeight="1" thickBot="1" x14ac:dyDescent="0.3">
      <c r="A53" s="4"/>
      <c r="B53" s="10"/>
      <c r="C53" s="79"/>
      <c r="D53" s="79"/>
      <c r="E53" s="79"/>
      <c r="F53" s="79"/>
      <c r="G53" s="79"/>
      <c r="H53" s="79"/>
      <c r="I53" s="79"/>
      <c r="J53" s="79"/>
      <c r="K53" s="79"/>
      <c r="L53" s="79"/>
      <c r="N53" s="95" t="str">
        <f>Ratings!H4</f>
        <v>SHM14</v>
      </c>
      <c r="O53" s="5">
        <f>Ratings!I4</f>
        <v>14.3</v>
      </c>
      <c r="P53" s="79">
        <v>-22</v>
      </c>
      <c r="Q53" s="79">
        <f>Q$4+$P53</f>
        <v>-6.0160313001104448</v>
      </c>
      <c r="R53" s="79">
        <f t="shared" ref="R53:Y53" si="16">R$4+$P53</f>
        <v>-4.4251125022214097</v>
      </c>
      <c r="S53" s="79">
        <f t="shared" si="16"/>
        <v>-3.159843310567684</v>
      </c>
      <c r="T53" s="79">
        <f t="shared" si="16"/>
        <v>-2.5535567898145608</v>
      </c>
      <c r="U53" s="79">
        <f t="shared" si="16"/>
        <v>-1.8605348228484395</v>
      </c>
      <c r="V53" s="79">
        <f t="shared" si="16"/>
        <v>-1.2511179635518346</v>
      </c>
      <c r="W53" s="79">
        <f t="shared" si="16"/>
        <v>-0.58251630186795822</v>
      </c>
      <c r="X53" s="79">
        <f t="shared" si="16"/>
        <v>6.541703071688687E-2</v>
      </c>
      <c r="Y53" s="79">
        <f t="shared" si="16"/>
        <v>0.71524947450630449</v>
      </c>
    </row>
    <row r="54" spans="1:25" ht="14.1" customHeight="1" thickBot="1" x14ac:dyDescent="0.3">
      <c r="A54" s="4"/>
      <c r="B54" s="10"/>
      <c r="C54" s="79"/>
      <c r="D54" s="79"/>
      <c r="E54" s="79"/>
      <c r="F54" s="79"/>
      <c r="G54" s="79"/>
      <c r="H54" s="79"/>
      <c r="I54" s="79"/>
      <c r="J54" s="79"/>
      <c r="K54" s="79"/>
      <c r="L54" s="79"/>
      <c r="N54" s="95" t="str">
        <f>Ratings!H51</f>
        <v>PLN11 new</v>
      </c>
      <c r="O54" s="10">
        <f>Ratings!I51</f>
        <v>14.3</v>
      </c>
      <c r="P54" s="79">
        <v>10</v>
      </c>
      <c r="Q54" s="79">
        <f>$P54</f>
        <v>10</v>
      </c>
      <c r="R54" s="79">
        <f t="shared" ref="R54:Y56" si="17">$P54</f>
        <v>10</v>
      </c>
      <c r="S54" s="79">
        <f t="shared" si="17"/>
        <v>10</v>
      </c>
      <c r="T54" s="79">
        <f t="shared" si="17"/>
        <v>10</v>
      </c>
      <c r="U54" s="79">
        <f t="shared" si="17"/>
        <v>10</v>
      </c>
      <c r="V54" s="79">
        <f t="shared" si="17"/>
        <v>10</v>
      </c>
      <c r="W54" s="79">
        <f t="shared" si="17"/>
        <v>10</v>
      </c>
      <c r="X54" s="79">
        <f t="shared" si="17"/>
        <v>10</v>
      </c>
      <c r="Y54" s="79">
        <f t="shared" si="17"/>
        <v>10</v>
      </c>
    </row>
    <row r="55" spans="1:25" ht="14.1" customHeight="1" thickBot="1" x14ac:dyDescent="0.3">
      <c r="A55" s="4"/>
      <c r="B55" s="10"/>
      <c r="C55" s="79"/>
      <c r="D55" s="79"/>
      <c r="E55" s="79"/>
      <c r="F55" s="79"/>
      <c r="G55" s="79"/>
      <c r="H55" s="79"/>
      <c r="I55" s="79"/>
      <c r="J55" s="79"/>
      <c r="K55" s="79"/>
      <c r="L55" s="79"/>
      <c r="N55" s="4" t="str">
        <f>Ratings!H52</f>
        <v>PLN12 new</v>
      </c>
      <c r="O55" s="96">
        <f>Ratings!I52</f>
        <v>14.3</v>
      </c>
      <c r="P55" s="79">
        <v>10</v>
      </c>
      <c r="Q55" s="79">
        <f t="shared" ref="Q55:Q56" si="18">$P55</f>
        <v>10</v>
      </c>
      <c r="R55" s="79">
        <f t="shared" si="17"/>
        <v>10</v>
      </c>
      <c r="S55" s="79">
        <f t="shared" si="17"/>
        <v>10</v>
      </c>
      <c r="T55" s="79">
        <f t="shared" si="17"/>
        <v>10</v>
      </c>
      <c r="U55" s="79">
        <f t="shared" si="17"/>
        <v>10</v>
      </c>
      <c r="V55" s="79">
        <f t="shared" si="17"/>
        <v>10</v>
      </c>
      <c r="W55" s="79">
        <f t="shared" si="17"/>
        <v>10</v>
      </c>
      <c r="X55" s="79">
        <f t="shared" si="17"/>
        <v>10</v>
      </c>
      <c r="Y55" s="79">
        <f t="shared" si="17"/>
        <v>10</v>
      </c>
    </row>
    <row r="56" spans="1:25" ht="14.1" customHeight="1" thickBot="1" x14ac:dyDescent="0.3">
      <c r="A56" s="6" t="s">
        <v>88</v>
      </c>
      <c r="B56" s="10"/>
      <c r="C56" s="79"/>
      <c r="D56" s="79"/>
      <c r="E56" s="79"/>
      <c r="F56" s="79"/>
      <c r="G56" s="79"/>
      <c r="H56" s="79"/>
      <c r="I56" s="79"/>
      <c r="J56" s="79"/>
      <c r="K56" s="79"/>
      <c r="L56" s="79"/>
      <c r="N56" s="4" t="str">
        <f>Ratings!H53</f>
        <v>PLN13 new</v>
      </c>
      <c r="O56" s="96">
        <f>Ratings!I53</f>
        <v>14.3</v>
      </c>
      <c r="P56" s="79">
        <v>0</v>
      </c>
      <c r="Q56" s="79">
        <f t="shared" si="18"/>
        <v>0</v>
      </c>
      <c r="R56" s="79">
        <f t="shared" si="17"/>
        <v>0</v>
      </c>
      <c r="S56" s="79">
        <f t="shared" si="17"/>
        <v>0</v>
      </c>
      <c r="T56" s="79">
        <f t="shared" si="17"/>
        <v>0</v>
      </c>
      <c r="U56" s="79">
        <f t="shared" si="17"/>
        <v>0</v>
      </c>
      <c r="V56" s="79">
        <f t="shared" si="17"/>
        <v>0</v>
      </c>
      <c r="W56" s="79">
        <f t="shared" si="17"/>
        <v>0</v>
      </c>
      <c r="X56" s="79">
        <f t="shared" si="17"/>
        <v>0</v>
      </c>
      <c r="Y56" s="79">
        <f t="shared" si="17"/>
        <v>0</v>
      </c>
    </row>
    <row r="57" spans="1:25" ht="14.1" customHeight="1" thickBot="1" x14ac:dyDescent="0.3">
      <c r="A57" s="4" t="str">
        <f>Ratings!A7</f>
        <v>SBY Replace No.1 &amp; 3 transformers</v>
      </c>
      <c r="B57" s="10">
        <f>Ratings!D7</f>
        <v>76</v>
      </c>
      <c r="C57" s="79">
        <f>C47</f>
        <v>7</v>
      </c>
      <c r="D57" s="79">
        <f>D2+$C57</f>
        <v>58.170522783595715</v>
      </c>
      <c r="E57" s="79">
        <f t="shared" ref="E57:L58" si="19">E2+$C57</f>
        <v>60.406785863138971</v>
      </c>
      <c r="F57" s="79">
        <f t="shared" si="19"/>
        <v>62.372674508592638</v>
      </c>
      <c r="G57" s="79">
        <f t="shared" si="19"/>
        <v>63.423496711699222</v>
      </c>
      <c r="H57" s="79">
        <f t="shared" si="19"/>
        <v>64.679052913631708</v>
      </c>
      <c r="I57" s="79">
        <f t="shared" si="19"/>
        <v>66.081234738397313</v>
      </c>
      <c r="J57" s="79">
        <f t="shared" si="19"/>
        <v>67.633628912497812</v>
      </c>
      <c r="K57" s="79">
        <f t="shared" si="19"/>
        <v>69.107554246615237</v>
      </c>
      <c r="L57" s="79">
        <f t="shared" si="19"/>
        <v>70.567646948822699</v>
      </c>
      <c r="N57" s="95" t="str">
        <f>Ratings!H13</f>
        <v>SBY32</v>
      </c>
      <c r="O57" s="5">
        <f>Ratings!I13</f>
        <v>14.3</v>
      </c>
      <c r="P57" s="79">
        <v>-5</v>
      </c>
      <c r="Q57" s="79">
        <f>Q$13+$P57</f>
        <v>9.3955138410726828</v>
      </c>
      <c r="R57" s="79">
        <f t="shared" ref="R57:Y57" si="20">R$13+$P57</f>
        <v>10.173497286191335</v>
      </c>
      <c r="S57" s="79">
        <f t="shared" si="20"/>
        <v>10.841870391160231</v>
      </c>
      <c r="T57" s="79">
        <f t="shared" si="20"/>
        <v>11.177718624987172</v>
      </c>
      <c r="U57" s="79">
        <f t="shared" si="20"/>
        <v>11.647442373754917</v>
      </c>
      <c r="V57" s="79">
        <f t="shared" si="20"/>
        <v>12.050103634138161</v>
      </c>
      <c r="W57" s="79">
        <f t="shared" si="20"/>
        <v>12.495787732240984</v>
      </c>
      <c r="X57" s="79">
        <f t="shared" si="20"/>
        <v>12.918841600232433</v>
      </c>
      <c r="Y57" s="79">
        <f t="shared" si="20"/>
        <v>13.337833950878455</v>
      </c>
    </row>
    <row r="58" spans="1:25" ht="14.1" customHeight="1" thickBot="1" x14ac:dyDescent="0.3">
      <c r="A58" s="4" t="str">
        <f>Ratings!A8</f>
        <v>SHM 3rd transformer</v>
      </c>
      <c r="B58" s="10">
        <f>Ratings!D8</f>
        <v>76</v>
      </c>
      <c r="C58" s="79">
        <f>-C57</f>
        <v>-7</v>
      </c>
      <c r="D58" s="79">
        <f>D3+$C58</f>
        <v>39.582923478103076</v>
      </c>
      <c r="E58" s="79">
        <f t="shared" si="19"/>
        <v>41.919029533436486</v>
      </c>
      <c r="F58" s="79">
        <f t="shared" si="19"/>
        <v>43.906742247951392</v>
      </c>
      <c r="G58" s="79">
        <f t="shared" si="19"/>
        <v>45.120133287190924</v>
      </c>
      <c r="H58" s="79">
        <f t="shared" si="19"/>
        <v>46.595923632983549</v>
      </c>
      <c r="I58" s="79">
        <f t="shared" si="19"/>
        <v>48.225013691699196</v>
      </c>
      <c r="J58" s="79">
        <f t="shared" si="19"/>
        <v>50.013462952088517</v>
      </c>
      <c r="K58" s="79">
        <f t="shared" si="19"/>
        <v>51.747670637931172</v>
      </c>
      <c r="L58" s="79">
        <f t="shared" si="19"/>
        <v>53.487903975609818</v>
      </c>
      <c r="N58" s="95" t="str">
        <f>Ratings!H11</f>
        <v>SBY23</v>
      </c>
      <c r="O58" s="5">
        <f>Ratings!I11</f>
        <v>14.3</v>
      </c>
      <c r="P58" s="79">
        <v>-4</v>
      </c>
      <c r="Q58" s="79">
        <f>Q$11+$P58</f>
        <v>6.2610379974217381</v>
      </c>
      <c r="R58" s="79">
        <f t="shared" ref="R58:Y58" si="21">R$11+$P58</f>
        <v>6.5237023965566472</v>
      </c>
      <c r="S58" s="79">
        <f t="shared" si="21"/>
        <v>6.7242969803029169</v>
      </c>
      <c r="T58" s="79">
        <f t="shared" si="21"/>
        <v>6.8786175910169103</v>
      </c>
      <c r="U58" s="79">
        <f t="shared" si="21"/>
        <v>7.1210821875147765</v>
      </c>
      <c r="V58" s="79">
        <f t="shared" si="21"/>
        <v>7.3900741966122254</v>
      </c>
      <c r="W58" s="79">
        <f t="shared" si="21"/>
        <v>7.6878069878356943</v>
      </c>
      <c r="X58" s="79">
        <f t="shared" si="21"/>
        <v>7.9704219823826197</v>
      </c>
      <c r="Y58" s="79">
        <f t="shared" si="21"/>
        <v>8.2503237392326945</v>
      </c>
    </row>
    <row r="59" spans="1:25" ht="14.1" customHeight="1" thickBot="1" x14ac:dyDescent="0.3">
      <c r="A59" s="4" t="str">
        <f>Ratings!A6</f>
        <v>SBY Replace No.1 transformer</v>
      </c>
      <c r="B59" s="10">
        <f>Ratings!D6</f>
        <v>49</v>
      </c>
      <c r="C59" s="79">
        <f>C57</f>
        <v>7</v>
      </c>
      <c r="D59" s="79">
        <f>D57</f>
        <v>58.170522783595715</v>
      </c>
      <c r="E59" s="79">
        <f t="shared" ref="E59:L59" si="22">E57</f>
        <v>60.406785863138971</v>
      </c>
      <c r="F59" s="79">
        <f t="shared" si="22"/>
        <v>62.372674508592638</v>
      </c>
      <c r="G59" s="79">
        <f t="shared" si="22"/>
        <v>63.423496711699222</v>
      </c>
      <c r="H59" s="79">
        <f t="shared" si="22"/>
        <v>64.679052913631708</v>
      </c>
      <c r="I59" s="79">
        <f t="shared" si="22"/>
        <v>66.081234738397313</v>
      </c>
      <c r="J59" s="79">
        <f t="shared" si="22"/>
        <v>67.633628912497812</v>
      </c>
      <c r="K59" s="79">
        <f t="shared" si="22"/>
        <v>69.107554246615237</v>
      </c>
      <c r="L59" s="79">
        <f t="shared" si="22"/>
        <v>70.567646948822699</v>
      </c>
      <c r="N59" s="95" t="str">
        <f>Ratings!H47</f>
        <v>SBY15 new</v>
      </c>
      <c r="O59" s="5">
        <f>Ratings!I47</f>
        <v>14.3</v>
      </c>
      <c r="P59" s="79">
        <v>11</v>
      </c>
      <c r="Q59" s="79">
        <f t="shared" ref="Q59:Y59" si="23">$P59</f>
        <v>11</v>
      </c>
      <c r="R59" s="79">
        <f t="shared" si="23"/>
        <v>11</v>
      </c>
      <c r="S59" s="79">
        <f t="shared" si="23"/>
        <v>11</v>
      </c>
      <c r="T59" s="79">
        <f t="shared" si="23"/>
        <v>11</v>
      </c>
      <c r="U59" s="79">
        <f t="shared" si="23"/>
        <v>11</v>
      </c>
      <c r="V59" s="79">
        <f t="shared" si="23"/>
        <v>11</v>
      </c>
      <c r="W59" s="79">
        <f t="shared" si="23"/>
        <v>11</v>
      </c>
      <c r="X59" s="79">
        <f t="shared" si="23"/>
        <v>11</v>
      </c>
      <c r="Y59" s="79">
        <f t="shared" si="23"/>
        <v>11</v>
      </c>
    </row>
    <row r="60" spans="1:25" ht="14.1" customHeight="1" thickBot="1" x14ac:dyDescent="0.3">
      <c r="A60" s="4" t="s">
        <v>89</v>
      </c>
      <c r="B60" s="10">
        <f>Ratings!B3</f>
        <v>66</v>
      </c>
      <c r="C60" s="79"/>
      <c r="D60" s="79">
        <f>Q67+P3+Q68+Q69+P5+Q70+P7+P8</f>
        <v>33.604340241835104</v>
      </c>
      <c r="E60" s="79">
        <f t="shared" ref="E60:L60" si="24">R67+Q3+R68+R69+Q5+R70+Q7+Q8</f>
        <v>38.290139260846232</v>
      </c>
      <c r="F60" s="79">
        <f t="shared" si="24"/>
        <v>41.806750115227295</v>
      </c>
      <c r="G60" s="79">
        <f t="shared" si="24"/>
        <v>43.732573902014352</v>
      </c>
      <c r="H60" s="79">
        <f t="shared" si="24"/>
        <v>45.603855868975948</v>
      </c>
      <c r="I60" s="79">
        <f t="shared" si="24"/>
        <v>47.777462641775926</v>
      </c>
      <c r="J60" s="79">
        <f t="shared" si="24"/>
        <v>49.968847719145785</v>
      </c>
      <c r="K60" s="79">
        <f t="shared" si="24"/>
        <v>52.2051234208664</v>
      </c>
      <c r="L60" s="79">
        <f t="shared" si="24"/>
        <v>54.415288601248001</v>
      </c>
      <c r="N60" s="95" t="str">
        <f>Ratings!H10</f>
        <v>SBY13</v>
      </c>
      <c r="O60" s="5">
        <f>Ratings!I10</f>
        <v>12.5</v>
      </c>
      <c r="P60" s="79">
        <v>-3</v>
      </c>
      <c r="Q60" s="79">
        <f>Q$10+$P60</f>
        <v>3.8656316251797334</v>
      </c>
      <c r="R60" s="79">
        <f t="shared" ref="R60:Y60" si="25">R$10+$P60</f>
        <v>4.0201964878676799</v>
      </c>
      <c r="S60" s="79">
        <f t="shared" si="25"/>
        <v>4.1652703602163461</v>
      </c>
      <c r="T60" s="79">
        <f t="shared" si="25"/>
        <v>4.248117561888674</v>
      </c>
      <c r="U60" s="79">
        <f t="shared" si="25"/>
        <v>4.4145683590998317</v>
      </c>
      <c r="V60" s="79">
        <f t="shared" si="25"/>
        <v>4.5939087871153497</v>
      </c>
      <c r="W60" s="79">
        <f t="shared" si="25"/>
        <v>4.7924110637868003</v>
      </c>
      <c r="X60" s="79">
        <f t="shared" si="25"/>
        <v>4.9808341112063488</v>
      </c>
      <c r="Y60" s="79">
        <f t="shared" si="25"/>
        <v>5.1674482081983619</v>
      </c>
    </row>
    <row r="61" spans="1:25" ht="14.1" customHeight="1" thickBot="1" x14ac:dyDescent="0.3">
      <c r="A61" s="4" t="s">
        <v>90</v>
      </c>
      <c r="B61" s="10">
        <f>B60/2</f>
        <v>33</v>
      </c>
      <c r="C61" s="79"/>
      <c r="D61" s="79">
        <f>Q71+Q72+Q73</f>
        <v>15</v>
      </c>
      <c r="E61" s="79">
        <f t="shared" ref="E61:L61" si="26">R71+R72+R73</f>
        <v>15</v>
      </c>
      <c r="F61" s="79">
        <f t="shared" si="26"/>
        <v>15</v>
      </c>
      <c r="G61" s="79">
        <f t="shared" si="26"/>
        <v>15</v>
      </c>
      <c r="H61" s="79">
        <f t="shared" si="26"/>
        <v>15</v>
      </c>
      <c r="I61" s="79">
        <f t="shared" si="26"/>
        <v>15</v>
      </c>
      <c r="J61" s="79">
        <f t="shared" si="26"/>
        <v>15</v>
      </c>
      <c r="K61" s="79">
        <f t="shared" si="26"/>
        <v>15</v>
      </c>
      <c r="L61" s="79">
        <f t="shared" si="26"/>
        <v>15</v>
      </c>
      <c r="N61" s="95"/>
      <c r="O61" s="5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 ht="14.1" customHeight="1" thickBot="1" x14ac:dyDescent="0.3">
      <c r="A62" s="4"/>
      <c r="B62" s="10"/>
      <c r="C62" s="79"/>
      <c r="D62" s="79"/>
      <c r="E62" s="79"/>
      <c r="F62" s="79"/>
      <c r="G62" s="79"/>
      <c r="H62" s="79"/>
      <c r="I62" s="79"/>
      <c r="J62" s="79"/>
      <c r="K62" s="79"/>
      <c r="L62" s="79"/>
      <c r="N62" s="97" t="str">
        <f>A56</f>
        <v>Option 3</v>
      </c>
      <c r="O62" s="5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 ht="14.1" customHeight="1" thickBot="1" x14ac:dyDescent="0.3">
      <c r="A63" s="4"/>
      <c r="B63" s="10"/>
      <c r="C63" s="79"/>
      <c r="D63" s="79"/>
      <c r="E63" s="79"/>
      <c r="F63" s="79"/>
      <c r="G63" s="79"/>
      <c r="H63" s="79"/>
      <c r="I63" s="79"/>
      <c r="J63" s="79"/>
      <c r="K63" s="79"/>
      <c r="L63" s="79"/>
      <c r="N63" s="95" t="str">
        <f>Ratings!H56</f>
        <v>SBY14 new</v>
      </c>
      <c r="O63" s="5">
        <f>Ratings!I56</f>
        <v>14.3</v>
      </c>
      <c r="P63" s="79">
        <f>-P67</f>
        <v>7</v>
      </c>
      <c r="Q63" s="79">
        <f t="shared" ref="Q63:Y64" si="27">$P63</f>
        <v>7</v>
      </c>
      <c r="R63" s="79">
        <f t="shared" si="27"/>
        <v>7</v>
      </c>
      <c r="S63" s="79">
        <f t="shared" si="27"/>
        <v>7</v>
      </c>
      <c r="T63" s="79">
        <f t="shared" si="27"/>
        <v>7</v>
      </c>
      <c r="U63" s="79">
        <f t="shared" si="27"/>
        <v>7</v>
      </c>
      <c r="V63" s="79">
        <f t="shared" si="27"/>
        <v>7</v>
      </c>
      <c r="W63" s="79">
        <f t="shared" si="27"/>
        <v>7</v>
      </c>
      <c r="X63" s="79">
        <f t="shared" si="27"/>
        <v>7</v>
      </c>
      <c r="Y63" s="79">
        <f t="shared" si="27"/>
        <v>7</v>
      </c>
    </row>
    <row r="64" spans="1:25" ht="14.1" customHeight="1" thickBot="1" x14ac:dyDescent="0.3">
      <c r="A64" s="4"/>
      <c r="B64" s="10"/>
      <c r="C64" s="79"/>
      <c r="D64" s="79"/>
      <c r="E64" s="79"/>
      <c r="F64" s="79"/>
      <c r="G64" s="79"/>
      <c r="H64" s="79"/>
      <c r="I64" s="79"/>
      <c r="J64" s="79"/>
      <c r="K64" s="79"/>
      <c r="L64" s="79"/>
      <c r="N64" s="95" t="str">
        <f>Ratings!H46</f>
        <v>SBY22 new</v>
      </c>
      <c r="O64" s="5">
        <f>Ratings!I46</f>
        <v>14.3</v>
      </c>
      <c r="P64" s="79">
        <f>-(P77+P74+P75)</f>
        <v>12</v>
      </c>
      <c r="Q64" s="79">
        <f t="shared" si="27"/>
        <v>12</v>
      </c>
      <c r="R64" s="79">
        <f t="shared" si="27"/>
        <v>12</v>
      </c>
      <c r="S64" s="79">
        <f t="shared" si="27"/>
        <v>12</v>
      </c>
      <c r="T64" s="79">
        <f t="shared" si="27"/>
        <v>12</v>
      </c>
      <c r="U64" s="79">
        <f t="shared" si="27"/>
        <v>12</v>
      </c>
      <c r="V64" s="79">
        <f t="shared" si="27"/>
        <v>12</v>
      </c>
      <c r="W64" s="79">
        <f t="shared" si="27"/>
        <v>12</v>
      </c>
      <c r="X64" s="79">
        <f t="shared" si="27"/>
        <v>12</v>
      </c>
      <c r="Y64" s="79">
        <f t="shared" si="27"/>
        <v>12</v>
      </c>
    </row>
    <row r="65" spans="1:25" ht="14.1" customHeight="1" thickBot="1" x14ac:dyDescent="0.3">
      <c r="A65" s="4"/>
      <c r="B65" s="10"/>
      <c r="C65" s="79"/>
      <c r="D65" s="92"/>
      <c r="E65" s="92"/>
      <c r="F65" s="92"/>
      <c r="G65" s="92"/>
      <c r="H65" s="92"/>
      <c r="I65" s="92"/>
      <c r="J65" s="92"/>
      <c r="K65" s="92"/>
      <c r="L65" s="92"/>
      <c r="N65" s="95" t="str">
        <f>Ratings!H12</f>
        <v>SBY24</v>
      </c>
      <c r="O65" s="5">
        <f>Ratings!I12</f>
        <v>14.3</v>
      </c>
      <c r="P65" s="79">
        <f>-(P66+P76)</f>
        <v>-17</v>
      </c>
      <c r="Q65" s="79">
        <f t="shared" ref="Q65:Y65" si="28">Q$12+$P65</f>
        <v>-6.1160510877382315</v>
      </c>
      <c r="R65" s="79">
        <f t="shared" si="28"/>
        <v>-3.6827600823662987</v>
      </c>
      <c r="S65" s="79">
        <f t="shared" si="28"/>
        <v>-1.9332707167809691</v>
      </c>
      <c r="T65" s="79">
        <f t="shared" si="28"/>
        <v>-1.1627281403197962</v>
      </c>
      <c r="U65" s="79">
        <f t="shared" si="28"/>
        <v>-0.469677014204823</v>
      </c>
      <c r="V65" s="79">
        <f t="shared" si="28"/>
        <v>-6.984858779765446E-2</v>
      </c>
      <c r="W65" s="79">
        <f t="shared" si="28"/>
        <v>0.37269999869796422</v>
      </c>
      <c r="X65" s="79">
        <f t="shared" si="28"/>
        <v>0.79277756504615127</v>
      </c>
      <c r="Y65" s="79">
        <f t="shared" si="28"/>
        <v>1.2088221879532348</v>
      </c>
    </row>
    <row r="66" spans="1:25" ht="14.1" customHeight="1" thickBot="1" x14ac:dyDescent="0.3">
      <c r="A66" s="6" t="s">
        <v>91</v>
      </c>
      <c r="B66" s="10"/>
      <c r="C66" s="79"/>
      <c r="D66" s="79"/>
      <c r="E66" s="79"/>
      <c r="F66" s="79"/>
      <c r="G66" s="79"/>
      <c r="H66" s="79"/>
      <c r="I66" s="79"/>
      <c r="J66" s="79"/>
      <c r="K66" s="79"/>
      <c r="L66" s="79"/>
      <c r="N66" s="95" t="str">
        <f>Ratings!H15</f>
        <v>SBY35</v>
      </c>
      <c r="O66" s="5">
        <f>Ratings!I15</f>
        <v>14.3</v>
      </c>
      <c r="P66" s="79">
        <v>6</v>
      </c>
      <c r="Q66" s="79">
        <f t="shared" ref="Q66:Y66" si="29">Q$15+$P66</f>
        <v>12.137004866812198</v>
      </c>
      <c r="R66" s="79">
        <f t="shared" si="29"/>
        <v>12.135196681603411</v>
      </c>
      <c r="S66" s="79">
        <f t="shared" si="29"/>
        <v>12.200084188432218</v>
      </c>
      <c r="T66" s="79">
        <f t="shared" si="29"/>
        <v>12.259520734721264</v>
      </c>
      <c r="U66" s="79">
        <f t="shared" si="29"/>
        <v>12.398127293664217</v>
      </c>
      <c r="V66" s="79">
        <f t="shared" si="29"/>
        <v>12.552882477212465</v>
      </c>
      <c r="W66" s="79">
        <f t="shared" si="29"/>
        <v>12.724172668726768</v>
      </c>
      <c r="X66" s="79">
        <f t="shared" si="29"/>
        <v>12.886765362470136</v>
      </c>
      <c r="Y66" s="79">
        <f t="shared" si="29"/>
        <v>13.047797089405629</v>
      </c>
    </row>
    <row r="67" spans="1:25" ht="14.1" customHeight="1" thickBot="1" x14ac:dyDescent="0.3">
      <c r="A67" s="4"/>
      <c r="B67" s="10"/>
      <c r="C67" s="79"/>
      <c r="D67" s="79"/>
      <c r="E67" s="79"/>
      <c r="F67" s="79"/>
      <c r="G67" s="79"/>
      <c r="H67" s="79"/>
      <c r="I67" s="79"/>
      <c r="J67" s="79"/>
      <c r="K67" s="79"/>
      <c r="L67" s="79"/>
      <c r="N67" s="4" t="str">
        <f>Ratings!H2</f>
        <v>SHM11</v>
      </c>
      <c r="O67" s="96">
        <f>Ratings!I2</f>
        <v>14.3</v>
      </c>
      <c r="P67" s="79">
        <v>-7</v>
      </c>
      <c r="Q67" s="79">
        <f t="shared" ref="Q67:Y67" si="30">Q$2+$P67</f>
        <v>0.73835754996822978</v>
      </c>
      <c r="R67" s="79">
        <f t="shared" si="30"/>
        <v>2.9565589211886358</v>
      </c>
      <c r="S67" s="79">
        <f t="shared" si="30"/>
        <v>4.5537054337302774</v>
      </c>
      <c r="T67" s="79">
        <f t="shared" si="30"/>
        <v>5.4164662079677832</v>
      </c>
      <c r="U67" s="79">
        <f t="shared" si="30"/>
        <v>6.0752684768463237</v>
      </c>
      <c r="V67" s="79">
        <f t="shared" si="30"/>
        <v>6.6569938551442487</v>
      </c>
      <c r="W67" s="79">
        <f t="shared" si="30"/>
        <v>7.0970700370376054</v>
      </c>
      <c r="X67" s="79">
        <f t="shared" si="30"/>
        <v>7.5235422453286542</v>
      </c>
      <c r="Y67" s="79">
        <f t="shared" si="30"/>
        <v>7.9512644559092447</v>
      </c>
    </row>
    <row r="68" spans="1:25" ht="14.1" customHeight="1" thickBot="1" x14ac:dyDescent="0.3">
      <c r="A68" s="4" t="str">
        <f>Ratings!A3</f>
        <v>SHM</v>
      </c>
      <c r="B68" s="10">
        <f>Ratings!D3</f>
        <v>38</v>
      </c>
      <c r="C68" s="79">
        <f>-C69</f>
        <v>-17</v>
      </c>
      <c r="D68" s="79">
        <f>D3+$C68</f>
        <v>29.582923478103076</v>
      </c>
      <c r="E68" s="79">
        <f t="shared" ref="E68:L68" si="31">E3+$C68</f>
        <v>31.919029533436486</v>
      </c>
      <c r="F68" s="79">
        <f t="shared" si="31"/>
        <v>33.906742247951392</v>
      </c>
      <c r="G68" s="79">
        <f t="shared" si="31"/>
        <v>35.120133287190924</v>
      </c>
      <c r="H68" s="79">
        <f t="shared" si="31"/>
        <v>36.595923632983549</v>
      </c>
      <c r="I68" s="79">
        <f t="shared" si="31"/>
        <v>38.225013691699196</v>
      </c>
      <c r="J68" s="79">
        <f t="shared" si="31"/>
        <v>40.013462952088517</v>
      </c>
      <c r="K68" s="79">
        <f t="shared" si="31"/>
        <v>41.747670637931172</v>
      </c>
      <c r="L68" s="79">
        <f t="shared" si="31"/>
        <v>43.487903975609818</v>
      </c>
      <c r="N68" s="4" t="str">
        <f>Ratings!H55</f>
        <v>SHM13 new</v>
      </c>
      <c r="O68" s="96">
        <f>Ratings!I55</f>
        <v>14.3</v>
      </c>
      <c r="P68" s="79">
        <f>-P70</f>
        <v>4</v>
      </c>
      <c r="Q68" s="79">
        <f t="shared" ref="Q68:Y68" si="32">$P68</f>
        <v>4</v>
      </c>
      <c r="R68" s="79">
        <f t="shared" si="32"/>
        <v>4</v>
      </c>
      <c r="S68" s="79">
        <f t="shared" si="32"/>
        <v>4</v>
      </c>
      <c r="T68" s="79">
        <f t="shared" si="32"/>
        <v>4</v>
      </c>
      <c r="U68" s="79">
        <f t="shared" si="32"/>
        <v>4</v>
      </c>
      <c r="V68" s="79">
        <f t="shared" si="32"/>
        <v>4</v>
      </c>
      <c r="W68" s="79">
        <f t="shared" si="32"/>
        <v>4</v>
      </c>
      <c r="X68" s="79">
        <f t="shared" si="32"/>
        <v>4</v>
      </c>
      <c r="Y68" s="79">
        <f t="shared" si="32"/>
        <v>4</v>
      </c>
    </row>
    <row r="69" spans="1:25" ht="14.1" customHeight="1" thickBot="1" x14ac:dyDescent="0.3">
      <c r="A69" s="4" t="str">
        <f>Ratings!A7</f>
        <v>SBY Replace No.1 &amp; 3 transformers</v>
      </c>
      <c r="B69" s="10">
        <f>Ratings!D7</f>
        <v>76</v>
      </c>
      <c r="C69" s="79">
        <v>17</v>
      </c>
      <c r="D69" s="79">
        <f>D2+$C69</f>
        <v>68.170522783595715</v>
      </c>
      <c r="E69" s="79">
        <f t="shared" ref="E69:L69" si="33">E2+$C69</f>
        <v>70.406785863138964</v>
      </c>
      <c r="F69" s="79">
        <f t="shared" si="33"/>
        <v>72.372674508592638</v>
      </c>
      <c r="G69" s="79">
        <f t="shared" si="33"/>
        <v>73.423496711699215</v>
      </c>
      <c r="H69" s="79">
        <f t="shared" si="33"/>
        <v>74.679052913631708</v>
      </c>
      <c r="I69" s="79">
        <f t="shared" si="33"/>
        <v>76.081234738397313</v>
      </c>
      <c r="J69" s="79">
        <f t="shared" si="33"/>
        <v>77.633628912497812</v>
      </c>
      <c r="K69" s="79">
        <f t="shared" si="33"/>
        <v>79.107554246615237</v>
      </c>
      <c r="L69" s="79">
        <f t="shared" si="33"/>
        <v>80.567646948822699</v>
      </c>
      <c r="N69" s="4" t="str">
        <f>Ratings!H4</f>
        <v>SHM14</v>
      </c>
      <c r="O69" s="96">
        <f>Ratings!I4</f>
        <v>14.3</v>
      </c>
      <c r="P69" s="79">
        <f>-(P71+P72)</f>
        <v>-15</v>
      </c>
      <c r="Q69" s="79">
        <f t="shared" ref="Q69:Y69" si="34">Q$4+$P69</f>
        <v>0.98396869988955515</v>
      </c>
      <c r="R69" s="79">
        <f t="shared" si="34"/>
        <v>2.5748874977785903</v>
      </c>
      <c r="S69" s="79">
        <f t="shared" si="34"/>
        <v>3.840156689432316</v>
      </c>
      <c r="T69" s="79">
        <f t="shared" si="34"/>
        <v>4.4464432101854392</v>
      </c>
      <c r="U69" s="79">
        <f t="shared" si="34"/>
        <v>5.1394651771515605</v>
      </c>
      <c r="V69" s="79">
        <f t="shared" si="34"/>
        <v>5.7488820364481654</v>
      </c>
      <c r="W69" s="79">
        <f t="shared" si="34"/>
        <v>6.4174836981320418</v>
      </c>
      <c r="X69" s="79">
        <f t="shared" si="34"/>
        <v>7.0654170307168869</v>
      </c>
      <c r="Y69" s="79">
        <f t="shared" si="34"/>
        <v>7.7152494745063045</v>
      </c>
    </row>
    <row r="70" spans="1:25" ht="14.1" customHeight="1" thickBot="1" x14ac:dyDescent="0.3">
      <c r="A70" s="4" t="s">
        <v>92</v>
      </c>
      <c r="B70" s="10">
        <f>B60/2</f>
        <v>33</v>
      </c>
      <c r="C70" s="79"/>
      <c r="D70" s="79">
        <f>Q86+P3+Q87+Q88</f>
        <v>15.188506840453334</v>
      </c>
      <c r="E70" s="79">
        <f t="shared" ref="E70:L70" si="35">R86+Q3+R87+R88</f>
        <v>19.133555338969465</v>
      </c>
      <c r="F70" s="79">
        <f t="shared" si="35"/>
        <v>22.042067161013538</v>
      </c>
      <c r="G70" s="79">
        <f t="shared" si="35"/>
        <v>23.648503581564523</v>
      </c>
      <c r="H70" s="79">
        <f t="shared" si="35"/>
        <v>25.111000866152008</v>
      </c>
      <c r="I70" s="79">
        <f t="shared" si="35"/>
        <v>26.553048587968373</v>
      </c>
      <c r="J70" s="79">
        <f t="shared" si="35"/>
        <v>27.938518352633629</v>
      </c>
      <c r="K70" s="79">
        <f t="shared" si="35"/>
        <v>29.316597045239725</v>
      </c>
      <c r="L70" s="79">
        <f t="shared" si="35"/>
        <v>30.688437473177149</v>
      </c>
      <c r="N70" s="95" t="str">
        <f>Ratings!H6</f>
        <v>SHM22</v>
      </c>
      <c r="O70" s="5">
        <f>Ratings!I6</f>
        <v>14.3</v>
      </c>
      <c r="P70" s="79">
        <v>-4</v>
      </c>
      <c r="Q70" s="79">
        <f>Q$6+$P70</f>
        <v>1.6818365743256916</v>
      </c>
      <c r="R70" s="79">
        <f t="shared" ref="R70:Y70" si="36">R$6+$P70</f>
        <v>1.7514202834495434</v>
      </c>
      <c r="S70" s="79">
        <f t="shared" si="36"/>
        <v>1.8721975574862304</v>
      </c>
      <c r="T70" s="79">
        <f t="shared" si="36"/>
        <v>1.9461702444120288</v>
      </c>
      <c r="U70" s="79">
        <f t="shared" si="36"/>
        <v>2.1138727975009699</v>
      </c>
      <c r="V70" s="79">
        <f t="shared" si="36"/>
        <v>2.2988775692572263</v>
      </c>
      <c r="W70" s="79">
        <f t="shared" si="36"/>
        <v>2.5018494692444486</v>
      </c>
      <c r="X70" s="79">
        <f t="shared" si="36"/>
        <v>2.6985469456590101</v>
      </c>
      <c r="Y70" s="79">
        <f t="shared" si="36"/>
        <v>2.8958209480255253</v>
      </c>
    </row>
    <row r="71" spans="1:25" ht="14.1" customHeight="1" thickBot="1" x14ac:dyDescent="0.3">
      <c r="A71" s="4" t="s">
        <v>93</v>
      </c>
      <c r="B71" s="10">
        <f>B70</f>
        <v>33</v>
      </c>
      <c r="C71" s="79"/>
      <c r="D71" s="79">
        <f>P5+P6+Q89+P8</f>
        <v>23.389543029876851</v>
      </c>
      <c r="E71" s="79">
        <f t="shared" ref="E71:L71" si="37">Q5+Q6+R89+Q8</f>
        <v>24.089938132284313</v>
      </c>
      <c r="F71" s="79">
        <f t="shared" si="37"/>
        <v>24.669413896572401</v>
      </c>
      <c r="G71" s="79">
        <f t="shared" si="37"/>
        <v>25.035155527942308</v>
      </c>
      <c r="H71" s="79">
        <f t="shared" si="37"/>
        <v>25.381960888682123</v>
      </c>
      <c r="I71" s="79">
        <f t="shared" si="37"/>
        <v>26.102078764940252</v>
      </c>
      <c r="J71" s="79">
        <f t="shared" si="37"/>
        <v>26.896113228294944</v>
      </c>
      <c r="K71" s="79">
        <f t="shared" si="37"/>
        <v>27.758459229962202</v>
      </c>
      <c r="L71" s="79">
        <f t="shared" si="37"/>
        <v>28.59640275186727</v>
      </c>
      <c r="N71" s="95" t="str">
        <f>Ratings!H48</f>
        <v>SHM31 new</v>
      </c>
      <c r="O71" s="5">
        <f>Ratings!I48</f>
        <v>14.3</v>
      </c>
      <c r="P71" s="79">
        <v>10</v>
      </c>
      <c r="Q71" s="79">
        <f t="shared" ref="Q71:Y73" si="38">$P71</f>
        <v>10</v>
      </c>
      <c r="R71" s="79">
        <f t="shared" si="38"/>
        <v>10</v>
      </c>
      <c r="S71" s="79">
        <f t="shared" si="38"/>
        <v>10</v>
      </c>
      <c r="T71" s="79">
        <f t="shared" si="38"/>
        <v>10</v>
      </c>
      <c r="U71" s="79">
        <f t="shared" si="38"/>
        <v>10</v>
      </c>
      <c r="V71" s="79">
        <f t="shared" si="38"/>
        <v>10</v>
      </c>
      <c r="W71" s="79">
        <f t="shared" si="38"/>
        <v>10</v>
      </c>
      <c r="X71" s="79">
        <f t="shared" si="38"/>
        <v>10</v>
      </c>
      <c r="Y71" s="79">
        <f t="shared" si="38"/>
        <v>10</v>
      </c>
    </row>
    <row r="72" spans="1:25" ht="14.1" customHeight="1" thickBot="1" x14ac:dyDescent="0.3">
      <c r="A72" s="4"/>
      <c r="B72" s="10"/>
      <c r="C72" s="79"/>
      <c r="D72" s="79"/>
      <c r="E72" s="79"/>
      <c r="F72" s="79"/>
      <c r="G72" s="79"/>
      <c r="H72" s="79"/>
      <c r="I72" s="79"/>
      <c r="J72" s="79"/>
      <c r="K72" s="79"/>
      <c r="L72" s="79"/>
      <c r="N72" s="95" t="str">
        <f>Ratings!H49</f>
        <v>SHM32 new</v>
      </c>
      <c r="O72" s="5">
        <f>Ratings!I49</f>
        <v>14.3</v>
      </c>
      <c r="P72" s="79">
        <v>5</v>
      </c>
      <c r="Q72" s="79">
        <f t="shared" si="38"/>
        <v>5</v>
      </c>
      <c r="R72" s="79">
        <f t="shared" si="38"/>
        <v>5</v>
      </c>
      <c r="S72" s="79">
        <f t="shared" si="38"/>
        <v>5</v>
      </c>
      <c r="T72" s="79">
        <f t="shared" si="38"/>
        <v>5</v>
      </c>
      <c r="U72" s="79">
        <f t="shared" si="38"/>
        <v>5</v>
      </c>
      <c r="V72" s="79">
        <f t="shared" si="38"/>
        <v>5</v>
      </c>
      <c r="W72" s="79">
        <f t="shared" si="38"/>
        <v>5</v>
      </c>
      <c r="X72" s="79">
        <f t="shared" si="38"/>
        <v>5</v>
      </c>
      <c r="Y72" s="79">
        <f t="shared" si="38"/>
        <v>5</v>
      </c>
    </row>
    <row r="73" spans="1:25" ht="14.1" customHeight="1" thickBot="1" x14ac:dyDescent="0.3">
      <c r="A73" s="4"/>
      <c r="B73" s="10"/>
      <c r="C73" s="79"/>
      <c r="D73" s="79"/>
      <c r="E73" s="79"/>
      <c r="F73" s="79"/>
      <c r="G73" s="79"/>
      <c r="H73" s="79"/>
      <c r="I73" s="79"/>
      <c r="J73" s="79"/>
      <c r="K73" s="79"/>
      <c r="L73" s="79"/>
      <c r="N73" s="4" t="str">
        <f>Ratings!H50</f>
        <v>SHM33 new</v>
      </c>
      <c r="O73" s="96">
        <f>Ratings!I50</f>
        <v>14.3</v>
      </c>
      <c r="P73" s="79">
        <v>0</v>
      </c>
      <c r="Q73" s="79">
        <f t="shared" si="38"/>
        <v>0</v>
      </c>
      <c r="R73" s="79">
        <f t="shared" si="38"/>
        <v>0</v>
      </c>
      <c r="S73" s="79">
        <f t="shared" si="38"/>
        <v>0</v>
      </c>
      <c r="T73" s="79">
        <f t="shared" si="38"/>
        <v>0</v>
      </c>
      <c r="U73" s="79">
        <f t="shared" si="38"/>
        <v>0</v>
      </c>
      <c r="V73" s="79">
        <f t="shared" si="38"/>
        <v>0</v>
      </c>
      <c r="W73" s="79">
        <f t="shared" si="38"/>
        <v>0</v>
      </c>
      <c r="X73" s="79">
        <f t="shared" si="38"/>
        <v>0</v>
      </c>
      <c r="Y73" s="79">
        <f t="shared" si="38"/>
        <v>0</v>
      </c>
    </row>
    <row r="74" spans="1:25" ht="14.1" customHeight="1" thickBot="1" x14ac:dyDescent="0.3">
      <c r="A74" s="4"/>
      <c r="B74" s="10"/>
      <c r="C74" s="79"/>
      <c r="D74" s="79"/>
      <c r="E74" s="79"/>
      <c r="F74" s="79"/>
      <c r="G74" s="79"/>
      <c r="H74" s="79"/>
      <c r="I74" s="79"/>
      <c r="J74" s="79"/>
      <c r="K74" s="79"/>
      <c r="L74" s="79"/>
      <c r="N74" s="98" t="str">
        <f>Ratings!H13</f>
        <v>SBY32</v>
      </c>
      <c r="O74" s="5">
        <f>Ratings!I13</f>
        <v>14.3</v>
      </c>
      <c r="P74" s="79">
        <v>-5</v>
      </c>
      <c r="Q74" s="79">
        <f t="shared" ref="Q74:Y74" si="39">Q$13+$P74</f>
        <v>9.3955138410726828</v>
      </c>
      <c r="R74" s="79">
        <f t="shared" si="39"/>
        <v>10.173497286191335</v>
      </c>
      <c r="S74" s="79">
        <f t="shared" si="39"/>
        <v>10.841870391160231</v>
      </c>
      <c r="T74" s="79">
        <f t="shared" si="39"/>
        <v>11.177718624987172</v>
      </c>
      <c r="U74" s="79">
        <f t="shared" si="39"/>
        <v>11.647442373754917</v>
      </c>
      <c r="V74" s="79">
        <f t="shared" si="39"/>
        <v>12.050103634138161</v>
      </c>
      <c r="W74" s="79">
        <f t="shared" si="39"/>
        <v>12.495787732240984</v>
      </c>
      <c r="X74" s="79">
        <f t="shared" si="39"/>
        <v>12.918841600232433</v>
      </c>
      <c r="Y74" s="79">
        <f t="shared" si="39"/>
        <v>13.337833950878455</v>
      </c>
    </row>
    <row r="75" spans="1:25" ht="14.1" customHeight="1" thickBot="1" x14ac:dyDescent="0.3">
      <c r="A75" s="4"/>
      <c r="B75" s="10"/>
      <c r="C75" s="79"/>
      <c r="D75" s="79"/>
      <c r="E75" s="79"/>
      <c r="F75" s="79"/>
      <c r="G75" s="79"/>
      <c r="H75" s="79"/>
      <c r="I75" s="79"/>
      <c r="J75" s="79"/>
      <c r="K75" s="79"/>
      <c r="L75" s="79"/>
      <c r="N75" s="95" t="str">
        <f>Ratings!H11</f>
        <v>SBY23</v>
      </c>
      <c r="O75" s="5">
        <f>Ratings!I11</f>
        <v>14.3</v>
      </c>
      <c r="P75" s="79">
        <v>-4</v>
      </c>
      <c r="Q75" s="79">
        <f t="shared" ref="Q75:Y75" si="40">Q$11+$P75</f>
        <v>6.2610379974217381</v>
      </c>
      <c r="R75" s="79">
        <f t="shared" si="40"/>
        <v>6.5237023965566472</v>
      </c>
      <c r="S75" s="79">
        <f t="shared" si="40"/>
        <v>6.7242969803029169</v>
      </c>
      <c r="T75" s="79">
        <f t="shared" si="40"/>
        <v>6.8786175910169103</v>
      </c>
      <c r="U75" s="79">
        <f t="shared" si="40"/>
        <v>7.1210821875147765</v>
      </c>
      <c r="V75" s="79">
        <f t="shared" si="40"/>
        <v>7.3900741966122254</v>
      </c>
      <c r="W75" s="79">
        <f t="shared" si="40"/>
        <v>7.6878069878356943</v>
      </c>
      <c r="X75" s="79">
        <f t="shared" si="40"/>
        <v>7.9704219823826197</v>
      </c>
      <c r="Y75" s="79">
        <f t="shared" si="40"/>
        <v>8.2503237392326945</v>
      </c>
    </row>
    <row r="76" spans="1:25" ht="14.1" customHeight="1" thickBot="1" x14ac:dyDescent="0.3">
      <c r="A76" s="6"/>
      <c r="B76" s="10"/>
      <c r="C76" s="79"/>
      <c r="D76" s="79"/>
      <c r="E76" s="79"/>
      <c r="F76" s="79"/>
      <c r="G76" s="79"/>
      <c r="H76" s="79"/>
      <c r="I76" s="79"/>
      <c r="J76" s="79"/>
      <c r="K76" s="79"/>
      <c r="L76" s="79"/>
      <c r="N76" s="95" t="str">
        <f>Ratings!H47</f>
        <v>SBY15 new</v>
      </c>
      <c r="O76" s="5">
        <f>Ratings!I47</f>
        <v>14.3</v>
      </c>
      <c r="P76" s="79">
        <v>11</v>
      </c>
      <c r="Q76" s="79">
        <f t="shared" ref="Q76:Y76" si="41">$P76</f>
        <v>11</v>
      </c>
      <c r="R76" s="79">
        <f t="shared" si="41"/>
        <v>11</v>
      </c>
      <c r="S76" s="79">
        <f t="shared" si="41"/>
        <v>11</v>
      </c>
      <c r="T76" s="79">
        <f t="shared" si="41"/>
        <v>11</v>
      </c>
      <c r="U76" s="79">
        <f t="shared" si="41"/>
        <v>11</v>
      </c>
      <c r="V76" s="79">
        <f t="shared" si="41"/>
        <v>11</v>
      </c>
      <c r="W76" s="79">
        <f t="shared" si="41"/>
        <v>11</v>
      </c>
      <c r="X76" s="79">
        <f t="shared" si="41"/>
        <v>11</v>
      </c>
      <c r="Y76" s="79">
        <f t="shared" si="41"/>
        <v>11</v>
      </c>
    </row>
    <row r="77" spans="1:25" ht="14.1" customHeight="1" thickBot="1" x14ac:dyDescent="0.3">
      <c r="A77" s="4"/>
      <c r="B77" s="10"/>
      <c r="C77" s="79"/>
      <c r="D77" s="79"/>
      <c r="E77" s="79"/>
      <c r="F77" s="79"/>
      <c r="G77" s="79"/>
      <c r="H77" s="79"/>
      <c r="I77" s="79"/>
      <c r="J77" s="79"/>
      <c r="K77" s="79"/>
      <c r="L77" s="79"/>
      <c r="N77" s="95" t="str">
        <f>Ratings!H10</f>
        <v>SBY13</v>
      </c>
      <c r="O77" s="5">
        <f>Ratings!I10</f>
        <v>12.5</v>
      </c>
      <c r="P77" s="79">
        <v>-3</v>
      </c>
      <c r="Q77" s="79">
        <f>Q$10+$P77</f>
        <v>3.8656316251797334</v>
      </c>
      <c r="R77" s="79">
        <f t="shared" ref="R77:Y77" si="42">R$10+$P77</f>
        <v>4.0201964878676799</v>
      </c>
      <c r="S77" s="79">
        <f t="shared" si="42"/>
        <v>4.1652703602163461</v>
      </c>
      <c r="T77" s="79">
        <f t="shared" si="42"/>
        <v>4.248117561888674</v>
      </c>
      <c r="U77" s="79">
        <f t="shared" si="42"/>
        <v>4.4145683590998317</v>
      </c>
      <c r="V77" s="79">
        <f t="shared" si="42"/>
        <v>4.5939087871153497</v>
      </c>
      <c r="W77" s="79">
        <f t="shared" si="42"/>
        <v>4.7924110637868003</v>
      </c>
      <c r="X77" s="79">
        <f t="shared" si="42"/>
        <v>4.9808341112063488</v>
      </c>
      <c r="Y77" s="79">
        <f t="shared" si="42"/>
        <v>5.1674482081983619</v>
      </c>
    </row>
    <row r="78" spans="1:25" ht="14.1" customHeight="1" thickBot="1" x14ac:dyDescent="0.3">
      <c r="A78" s="4"/>
      <c r="B78" s="10"/>
      <c r="C78" s="79"/>
      <c r="D78" s="79"/>
      <c r="E78" s="79"/>
      <c r="F78" s="79"/>
      <c r="G78" s="79"/>
      <c r="H78" s="79"/>
      <c r="I78" s="79"/>
      <c r="J78" s="79"/>
      <c r="K78" s="79"/>
      <c r="L78" s="79"/>
      <c r="N78" s="95"/>
      <c r="O78" s="5"/>
      <c r="P78" s="79"/>
      <c r="Q78" s="79"/>
      <c r="R78" s="79"/>
      <c r="S78" s="79"/>
      <c r="T78" s="79"/>
      <c r="U78" s="79"/>
      <c r="V78" s="79"/>
      <c r="W78" s="79"/>
      <c r="X78" s="79"/>
      <c r="Y78" s="79"/>
    </row>
    <row r="79" spans="1:25" ht="14.1" customHeight="1" thickBot="1" x14ac:dyDescent="0.3">
      <c r="A79" s="4"/>
      <c r="B79" s="10"/>
      <c r="C79" s="79"/>
      <c r="D79" s="79"/>
      <c r="E79" s="79"/>
      <c r="F79" s="79"/>
      <c r="G79" s="79"/>
      <c r="H79" s="79"/>
      <c r="I79" s="79"/>
      <c r="J79" s="79"/>
      <c r="K79" s="79"/>
      <c r="L79" s="79"/>
      <c r="N79" s="6" t="str">
        <f>A66</f>
        <v>Option 4</v>
      </c>
      <c r="O79" s="24"/>
      <c r="P79" s="79"/>
      <c r="Q79" s="79"/>
      <c r="R79" s="79"/>
      <c r="S79" s="79"/>
      <c r="T79" s="79"/>
      <c r="U79" s="79"/>
      <c r="V79" s="79"/>
      <c r="W79" s="79"/>
      <c r="X79" s="79"/>
      <c r="Y79" s="79"/>
    </row>
    <row r="80" spans="1:25" ht="14.1" customHeight="1" thickBot="1" x14ac:dyDescent="0.3">
      <c r="A80" s="4"/>
      <c r="B80" s="10"/>
      <c r="C80" s="79"/>
      <c r="D80" s="79"/>
      <c r="E80" s="79"/>
      <c r="F80" s="79"/>
      <c r="G80" s="79"/>
      <c r="H80" s="79"/>
      <c r="I80" s="79"/>
      <c r="J80" s="79"/>
      <c r="K80" s="79"/>
      <c r="L80" s="79"/>
      <c r="N80" s="4" t="str">
        <f>Ratings!H56</f>
        <v>SBY14 new</v>
      </c>
      <c r="O80" s="24">
        <f>Ratings!I56</f>
        <v>14.3</v>
      </c>
      <c r="P80" s="79">
        <f>-P86-P84</f>
        <v>7</v>
      </c>
      <c r="Q80" s="79">
        <f t="shared" ref="Q80:Y82" si="43">$P80</f>
        <v>7</v>
      </c>
      <c r="R80" s="79">
        <f t="shared" si="43"/>
        <v>7</v>
      </c>
      <c r="S80" s="79">
        <f t="shared" si="43"/>
        <v>7</v>
      </c>
      <c r="T80" s="79">
        <f t="shared" si="43"/>
        <v>7</v>
      </c>
      <c r="U80" s="79">
        <f t="shared" si="43"/>
        <v>7</v>
      </c>
      <c r="V80" s="79">
        <f t="shared" si="43"/>
        <v>7</v>
      </c>
      <c r="W80" s="79">
        <f t="shared" si="43"/>
        <v>7</v>
      </c>
      <c r="X80" s="79">
        <f t="shared" si="43"/>
        <v>7</v>
      </c>
      <c r="Y80" s="79">
        <f t="shared" si="43"/>
        <v>7</v>
      </c>
    </row>
    <row r="81" spans="1:25" ht="14.1" customHeight="1" thickBot="1" x14ac:dyDescent="0.3">
      <c r="A81" s="4"/>
      <c r="B81" s="10"/>
      <c r="C81" s="79"/>
      <c r="D81" s="79"/>
      <c r="E81" s="79"/>
      <c r="F81" s="79"/>
      <c r="G81" s="79"/>
      <c r="H81" s="79"/>
      <c r="I81" s="79"/>
      <c r="J81" s="79"/>
      <c r="K81" s="79"/>
      <c r="L81" s="79"/>
      <c r="N81" s="4" t="str">
        <f>Ratings!H47</f>
        <v>SBY15 new</v>
      </c>
      <c r="O81" s="24">
        <f>Ratings!I47</f>
        <v>14.3</v>
      </c>
      <c r="P81" s="79">
        <v>11</v>
      </c>
      <c r="Q81" s="79">
        <f t="shared" si="43"/>
        <v>11</v>
      </c>
      <c r="R81" s="79">
        <f t="shared" si="43"/>
        <v>11</v>
      </c>
      <c r="S81" s="79">
        <f t="shared" si="43"/>
        <v>11</v>
      </c>
      <c r="T81" s="79">
        <f t="shared" si="43"/>
        <v>11</v>
      </c>
      <c r="U81" s="79">
        <f t="shared" si="43"/>
        <v>11</v>
      </c>
      <c r="V81" s="79">
        <f t="shared" si="43"/>
        <v>11</v>
      </c>
      <c r="W81" s="79">
        <f t="shared" si="43"/>
        <v>11</v>
      </c>
      <c r="X81" s="79">
        <f t="shared" si="43"/>
        <v>11</v>
      </c>
      <c r="Y81" s="79">
        <f t="shared" si="43"/>
        <v>11</v>
      </c>
    </row>
    <row r="82" spans="1:25" ht="14.1" customHeight="1" thickBot="1" x14ac:dyDescent="0.3">
      <c r="A82" s="4"/>
      <c r="B82" s="10"/>
      <c r="C82" s="79"/>
      <c r="D82" s="79"/>
      <c r="E82" s="79"/>
      <c r="F82" s="79"/>
      <c r="G82" s="79"/>
      <c r="H82" s="79"/>
      <c r="I82" s="79"/>
      <c r="J82" s="79"/>
      <c r="K82" s="79"/>
      <c r="L82" s="79"/>
      <c r="N82" s="4" t="str">
        <f>Ratings!H46</f>
        <v>SBY22 new</v>
      </c>
      <c r="O82" s="24">
        <f>Ratings!I46</f>
        <v>14.3</v>
      </c>
      <c r="P82" s="79">
        <f>-(P90+P91+P92)</f>
        <v>12</v>
      </c>
      <c r="Q82" s="79">
        <f t="shared" si="43"/>
        <v>12</v>
      </c>
      <c r="R82" s="79">
        <f t="shared" si="43"/>
        <v>12</v>
      </c>
      <c r="S82" s="79">
        <f t="shared" si="43"/>
        <v>12</v>
      </c>
      <c r="T82" s="79">
        <f t="shared" si="43"/>
        <v>12</v>
      </c>
      <c r="U82" s="79">
        <f t="shared" si="43"/>
        <v>12</v>
      </c>
      <c r="V82" s="79">
        <f t="shared" si="43"/>
        <v>12</v>
      </c>
      <c r="W82" s="79">
        <f t="shared" si="43"/>
        <v>12</v>
      </c>
      <c r="X82" s="79">
        <f t="shared" si="43"/>
        <v>12</v>
      </c>
      <c r="Y82" s="79">
        <f t="shared" si="43"/>
        <v>12</v>
      </c>
    </row>
    <row r="83" spans="1:25" ht="14.1" customHeight="1" thickBot="1" x14ac:dyDescent="0.3">
      <c r="A83" s="4"/>
      <c r="B83" s="10"/>
      <c r="C83" s="79"/>
      <c r="D83" s="79"/>
      <c r="E83" s="79"/>
      <c r="F83" s="79"/>
      <c r="G83" s="79"/>
      <c r="H83" s="79"/>
      <c r="I83" s="79"/>
      <c r="J83" s="79"/>
      <c r="K83" s="79"/>
      <c r="L83" s="79"/>
      <c r="N83" s="4" t="str">
        <f>Ratings!H12</f>
        <v>SBY24</v>
      </c>
      <c r="O83" s="24">
        <f>Ratings!I12</f>
        <v>14.3</v>
      </c>
      <c r="P83" s="79">
        <f>-(P81+P85)</f>
        <v>-17</v>
      </c>
      <c r="Q83" s="79">
        <f t="shared" ref="Q83:Y83" si="44">Q$12+$P83</f>
        <v>-6.1160510877382315</v>
      </c>
      <c r="R83" s="79">
        <f t="shared" si="44"/>
        <v>-3.6827600823662987</v>
      </c>
      <c r="S83" s="79">
        <f t="shared" si="44"/>
        <v>-1.9332707167809691</v>
      </c>
      <c r="T83" s="79">
        <f t="shared" si="44"/>
        <v>-1.1627281403197962</v>
      </c>
      <c r="U83" s="79">
        <f t="shared" si="44"/>
        <v>-0.469677014204823</v>
      </c>
      <c r="V83" s="79">
        <f t="shared" si="44"/>
        <v>-6.984858779765446E-2</v>
      </c>
      <c r="W83" s="79">
        <f t="shared" si="44"/>
        <v>0.37269999869796422</v>
      </c>
      <c r="X83" s="79">
        <f t="shared" si="44"/>
        <v>0.79277756504615127</v>
      </c>
      <c r="Y83" s="79">
        <f t="shared" si="44"/>
        <v>1.2088221879532348</v>
      </c>
    </row>
    <row r="84" spans="1:25" ht="14.1" customHeight="1" thickBot="1" x14ac:dyDescent="0.3">
      <c r="A84" s="4"/>
      <c r="B84" s="10"/>
      <c r="C84" s="79"/>
      <c r="D84" s="79"/>
      <c r="E84" s="79"/>
      <c r="F84" s="79"/>
      <c r="G84" s="79"/>
      <c r="H84" s="79"/>
      <c r="I84" s="79"/>
      <c r="J84" s="79"/>
      <c r="K84" s="79"/>
      <c r="L84" s="79"/>
      <c r="N84" s="4" t="str">
        <f>Ratings!H45</f>
        <v>SBY31 new</v>
      </c>
      <c r="O84" s="96">
        <f>Ratings!I45</f>
        <v>14.3</v>
      </c>
      <c r="P84" s="79">
        <v>10</v>
      </c>
      <c r="Q84" s="79">
        <f t="shared" ref="Q84:Y84" si="45">$P84</f>
        <v>10</v>
      </c>
      <c r="R84" s="79">
        <f t="shared" si="45"/>
        <v>10</v>
      </c>
      <c r="S84" s="79">
        <f t="shared" si="45"/>
        <v>10</v>
      </c>
      <c r="T84" s="79">
        <f t="shared" si="45"/>
        <v>10</v>
      </c>
      <c r="U84" s="79">
        <f t="shared" si="45"/>
        <v>10</v>
      </c>
      <c r="V84" s="79">
        <f t="shared" si="45"/>
        <v>10</v>
      </c>
      <c r="W84" s="79">
        <f t="shared" si="45"/>
        <v>10</v>
      </c>
      <c r="X84" s="79">
        <f t="shared" si="45"/>
        <v>10</v>
      </c>
      <c r="Y84" s="79">
        <f t="shared" si="45"/>
        <v>10</v>
      </c>
    </row>
    <row r="85" spans="1:25" ht="14.1" customHeight="1" thickBot="1" x14ac:dyDescent="0.3">
      <c r="A85" s="4"/>
      <c r="B85" s="10"/>
      <c r="C85" s="79"/>
      <c r="D85" s="79"/>
      <c r="E85" s="79"/>
      <c r="F85" s="79"/>
      <c r="G85" s="79"/>
      <c r="H85" s="79"/>
      <c r="I85" s="79"/>
      <c r="J85" s="79"/>
      <c r="K85" s="79"/>
      <c r="L85" s="79"/>
      <c r="N85" s="95" t="str">
        <f>Ratings!H15</f>
        <v>SBY35</v>
      </c>
      <c r="O85" s="10">
        <f>Ratings!I15</f>
        <v>14.3</v>
      </c>
      <c r="P85" s="79">
        <v>6</v>
      </c>
      <c r="Q85" s="79">
        <f t="shared" ref="Q85:Y85" si="46">Q$15+$P85</f>
        <v>12.137004866812198</v>
      </c>
      <c r="R85" s="79">
        <f t="shared" si="46"/>
        <v>12.135196681603411</v>
      </c>
      <c r="S85" s="79">
        <f t="shared" si="46"/>
        <v>12.200084188432218</v>
      </c>
      <c r="T85" s="79">
        <f t="shared" si="46"/>
        <v>12.259520734721264</v>
      </c>
      <c r="U85" s="79">
        <f t="shared" si="46"/>
        <v>12.398127293664217</v>
      </c>
      <c r="V85" s="79">
        <f t="shared" si="46"/>
        <v>12.552882477212465</v>
      </c>
      <c r="W85" s="79">
        <f t="shared" si="46"/>
        <v>12.724172668726768</v>
      </c>
      <c r="X85" s="79">
        <f t="shared" si="46"/>
        <v>12.886765362470136</v>
      </c>
      <c r="Y85" s="79">
        <f t="shared" si="46"/>
        <v>13.047797089405629</v>
      </c>
    </row>
    <row r="86" spans="1:25" ht="14.1" customHeight="1" thickBot="1" x14ac:dyDescent="0.3">
      <c r="A86" s="4"/>
      <c r="B86" s="10"/>
      <c r="C86" s="79"/>
      <c r="D86" s="79"/>
      <c r="E86" s="79"/>
      <c r="F86" s="79"/>
      <c r="G86" s="79"/>
      <c r="H86" s="79"/>
      <c r="I86" s="79"/>
      <c r="J86" s="79"/>
      <c r="K86" s="79"/>
      <c r="L86" s="79"/>
      <c r="N86" s="4" t="str">
        <f>Ratings!H2</f>
        <v>SHM11</v>
      </c>
      <c r="O86" s="96">
        <f>Ratings!I2</f>
        <v>14.3</v>
      </c>
      <c r="P86" s="79">
        <v>-17</v>
      </c>
      <c r="Q86" s="79">
        <f t="shared" ref="Q86:Y86" si="47">Q$2+$P86</f>
        <v>-9.2616424500317702</v>
      </c>
      <c r="R86" s="79">
        <f t="shared" si="47"/>
        <v>-7.0434410788113642</v>
      </c>
      <c r="S86" s="79">
        <f t="shared" si="47"/>
        <v>-5.4462945662697226</v>
      </c>
      <c r="T86" s="79">
        <f t="shared" si="47"/>
        <v>-4.5835337920322168</v>
      </c>
      <c r="U86" s="79">
        <f t="shared" si="47"/>
        <v>-3.9247315231536763</v>
      </c>
      <c r="V86" s="79">
        <f t="shared" si="47"/>
        <v>-3.3430061448557513</v>
      </c>
      <c r="W86" s="79">
        <f t="shared" si="47"/>
        <v>-2.9029299629623946</v>
      </c>
      <c r="X86" s="79">
        <f t="shared" si="47"/>
        <v>-2.4764577546713458</v>
      </c>
      <c r="Y86" s="79">
        <f t="shared" si="47"/>
        <v>-2.0487355440907553</v>
      </c>
    </row>
    <row r="87" spans="1:25" ht="14.1" customHeight="1" thickBot="1" x14ac:dyDescent="0.3">
      <c r="A87" s="4"/>
      <c r="B87" s="10"/>
      <c r="C87" s="79"/>
      <c r="D87" s="79"/>
      <c r="E87" s="79"/>
      <c r="F87" s="79"/>
      <c r="G87" s="79"/>
      <c r="H87" s="79"/>
      <c r="I87" s="79"/>
      <c r="J87" s="79"/>
      <c r="K87" s="79"/>
      <c r="L87" s="79"/>
      <c r="N87" s="4" t="str">
        <f>Ratings!H55</f>
        <v>SHM13 new</v>
      </c>
      <c r="O87" s="96">
        <f>Ratings!I55</f>
        <v>14.3</v>
      </c>
      <c r="P87" s="79">
        <f>14</f>
        <v>14</v>
      </c>
      <c r="Q87" s="79">
        <f t="shared" ref="Q87:Y87" si="48">$P87</f>
        <v>14</v>
      </c>
      <c r="R87" s="79">
        <f t="shared" si="48"/>
        <v>14</v>
      </c>
      <c r="S87" s="79">
        <f t="shared" si="48"/>
        <v>14</v>
      </c>
      <c r="T87" s="79">
        <f t="shared" si="48"/>
        <v>14</v>
      </c>
      <c r="U87" s="79">
        <f t="shared" si="48"/>
        <v>14</v>
      </c>
      <c r="V87" s="79">
        <f t="shared" si="48"/>
        <v>14</v>
      </c>
      <c r="W87" s="79">
        <f t="shared" si="48"/>
        <v>14</v>
      </c>
      <c r="X87" s="79">
        <f t="shared" si="48"/>
        <v>14</v>
      </c>
      <c r="Y87" s="79">
        <f t="shared" si="48"/>
        <v>14</v>
      </c>
    </row>
    <row r="88" spans="1:25" ht="14.1" customHeight="1" thickBot="1" x14ac:dyDescent="0.3">
      <c r="A88" s="4"/>
      <c r="B88" s="10"/>
      <c r="C88" s="79"/>
      <c r="D88" s="79"/>
      <c r="E88" s="79"/>
      <c r="F88" s="79"/>
      <c r="G88" s="79"/>
      <c r="H88" s="79"/>
      <c r="I88" s="79"/>
      <c r="J88" s="79"/>
      <c r="K88" s="79"/>
      <c r="L88" s="79"/>
      <c r="N88" s="4" t="str">
        <f>Ratings!H4</f>
        <v>SHM14</v>
      </c>
      <c r="O88" s="24">
        <f>Ratings!I4</f>
        <v>14.3</v>
      </c>
      <c r="P88" s="79">
        <f>-P87</f>
        <v>-14</v>
      </c>
      <c r="Q88" s="79">
        <f t="shared" ref="Q88:Y88" si="49">Q$4+$P88</f>
        <v>1.9839686998895552</v>
      </c>
      <c r="R88" s="79">
        <f t="shared" si="49"/>
        <v>3.5748874977785903</v>
      </c>
      <c r="S88" s="79">
        <f t="shared" si="49"/>
        <v>4.840156689432316</v>
      </c>
      <c r="T88" s="79">
        <f t="shared" si="49"/>
        <v>5.4464432101854392</v>
      </c>
      <c r="U88" s="79">
        <f t="shared" si="49"/>
        <v>6.1394651771515605</v>
      </c>
      <c r="V88" s="79">
        <f t="shared" si="49"/>
        <v>6.7488820364481654</v>
      </c>
      <c r="W88" s="79">
        <f t="shared" si="49"/>
        <v>7.4174836981320418</v>
      </c>
      <c r="X88" s="79">
        <f t="shared" si="49"/>
        <v>8.0654170307168869</v>
      </c>
      <c r="Y88" s="79">
        <f t="shared" si="49"/>
        <v>8.7152494745063045</v>
      </c>
    </row>
    <row r="89" spans="1:25" ht="14.1" customHeight="1" thickBot="1" x14ac:dyDescent="0.3">
      <c r="A89" s="4"/>
      <c r="B89" s="10"/>
      <c r="C89" s="79"/>
      <c r="D89" s="79"/>
      <c r="E89" s="79"/>
      <c r="F89" s="79"/>
      <c r="G89" s="79"/>
      <c r="H89" s="79"/>
      <c r="I89" s="79"/>
      <c r="J89" s="79"/>
      <c r="K89" s="79"/>
      <c r="L89" s="79"/>
      <c r="N89" s="95" t="str">
        <f>Ratings!H7</f>
        <v>SHM23</v>
      </c>
      <c r="O89" s="5">
        <f>Ratings!I7</f>
        <v>14.3</v>
      </c>
      <c r="P89" s="79">
        <v>0</v>
      </c>
      <c r="Q89" s="79">
        <f t="shared" ref="Q89:Y89" si="50">Q$7+$P89</f>
        <v>1.9607327423039929</v>
      </c>
      <c r="R89" s="79">
        <f t="shared" si="50"/>
        <v>1.9636706618353905</v>
      </c>
      <c r="S89" s="79">
        <f t="shared" si="50"/>
        <v>1.9891788782307194</v>
      </c>
      <c r="T89" s="79">
        <f t="shared" si="50"/>
        <v>2.0142367726489998</v>
      </c>
      <c r="U89" s="79">
        <f t="shared" si="50"/>
        <v>2.07104521159612</v>
      </c>
      <c r="V89" s="79">
        <f t="shared" si="50"/>
        <v>2.1337146944850738</v>
      </c>
      <c r="W89" s="79">
        <f t="shared" si="50"/>
        <v>2.2024704562550812</v>
      </c>
      <c r="X89" s="79">
        <f t="shared" si="50"/>
        <v>2.2691007870051632</v>
      </c>
      <c r="Y89" s="79">
        <f t="shared" si="50"/>
        <v>2.3359264131681035</v>
      </c>
    </row>
    <row r="90" spans="1:25" ht="14.1" customHeight="1" thickBot="1" x14ac:dyDescent="0.3">
      <c r="A90" s="4"/>
      <c r="B90" s="10"/>
      <c r="C90" s="79"/>
      <c r="D90" s="79"/>
      <c r="E90" s="79"/>
      <c r="F90" s="79"/>
      <c r="G90" s="79"/>
      <c r="H90" s="79"/>
      <c r="I90" s="79"/>
      <c r="J90" s="79"/>
      <c r="K90" s="79"/>
      <c r="L90" s="79"/>
      <c r="N90" s="4" t="str">
        <f>Ratings!H13</f>
        <v>SBY32</v>
      </c>
      <c r="O90" s="24">
        <f>Ratings!I13</f>
        <v>14.3</v>
      </c>
      <c r="P90" s="79">
        <v>-5</v>
      </c>
      <c r="Q90" s="79">
        <f t="shared" ref="Q90:Y90" si="51">Q$13+$P90</f>
        <v>9.3955138410726828</v>
      </c>
      <c r="R90" s="79">
        <f t="shared" si="51"/>
        <v>10.173497286191335</v>
      </c>
      <c r="S90" s="79">
        <f t="shared" si="51"/>
        <v>10.841870391160231</v>
      </c>
      <c r="T90" s="79">
        <f t="shared" si="51"/>
        <v>11.177718624987172</v>
      </c>
      <c r="U90" s="79">
        <f t="shared" si="51"/>
        <v>11.647442373754917</v>
      </c>
      <c r="V90" s="79">
        <f t="shared" si="51"/>
        <v>12.050103634138161</v>
      </c>
      <c r="W90" s="79">
        <f t="shared" si="51"/>
        <v>12.495787732240984</v>
      </c>
      <c r="X90" s="79">
        <f t="shared" si="51"/>
        <v>12.918841600232433</v>
      </c>
      <c r="Y90" s="79">
        <f t="shared" si="51"/>
        <v>13.337833950878455</v>
      </c>
    </row>
    <row r="91" spans="1:25" ht="14.1" customHeight="1" thickBot="1" x14ac:dyDescent="0.3">
      <c r="A91" s="4"/>
      <c r="B91" s="10"/>
      <c r="C91" s="79"/>
      <c r="D91" s="79"/>
      <c r="E91" s="79"/>
      <c r="F91" s="79"/>
      <c r="G91" s="79"/>
      <c r="H91" s="79"/>
      <c r="I91" s="79"/>
      <c r="J91" s="79"/>
      <c r="K91" s="79"/>
      <c r="L91" s="79"/>
      <c r="N91" s="4" t="str">
        <f>Ratings!H11</f>
        <v>SBY23</v>
      </c>
      <c r="O91" s="5">
        <f>Ratings!I11</f>
        <v>14.3</v>
      </c>
      <c r="P91" s="79">
        <v>-4</v>
      </c>
      <c r="Q91" s="79">
        <f t="shared" ref="Q91:Y91" si="52">Q$11+$P91</f>
        <v>6.2610379974217381</v>
      </c>
      <c r="R91" s="79">
        <f t="shared" si="52"/>
        <v>6.5237023965566472</v>
      </c>
      <c r="S91" s="79">
        <f t="shared" si="52"/>
        <v>6.7242969803029169</v>
      </c>
      <c r="T91" s="79">
        <f t="shared" si="52"/>
        <v>6.8786175910169103</v>
      </c>
      <c r="U91" s="79">
        <f t="shared" si="52"/>
        <v>7.1210821875147765</v>
      </c>
      <c r="V91" s="79">
        <f t="shared" si="52"/>
        <v>7.3900741966122254</v>
      </c>
      <c r="W91" s="79">
        <f t="shared" si="52"/>
        <v>7.6878069878356943</v>
      </c>
      <c r="X91" s="79">
        <f t="shared" si="52"/>
        <v>7.9704219823826197</v>
      </c>
      <c r="Y91" s="79">
        <f t="shared" si="52"/>
        <v>8.2503237392326945</v>
      </c>
    </row>
    <row r="92" spans="1:25" ht="14.1" customHeight="1" thickBot="1" x14ac:dyDescent="0.3">
      <c r="A92" s="4"/>
      <c r="B92" s="10"/>
      <c r="C92" s="79"/>
      <c r="D92" s="79"/>
      <c r="E92" s="79"/>
      <c r="F92" s="79"/>
      <c r="G92" s="79"/>
      <c r="H92" s="79"/>
      <c r="I92" s="79"/>
      <c r="J92" s="79"/>
      <c r="K92" s="79"/>
      <c r="L92" s="79"/>
      <c r="N92" s="4" t="str">
        <f>Ratings!H10</f>
        <v>SBY13</v>
      </c>
      <c r="O92" s="96">
        <f>Ratings!I10</f>
        <v>12.5</v>
      </c>
      <c r="P92" s="79">
        <v>-3</v>
      </c>
      <c r="Q92" s="79">
        <f>Q$10+$P92</f>
        <v>3.8656316251797334</v>
      </c>
      <c r="R92" s="79">
        <f t="shared" ref="R92:Y92" si="53">R$10+$P92</f>
        <v>4.0201964878676799</v>
      </c>
      <c r="S92" s="79">
        <f t="shared" si="53"/>
        <v>4.1652703602163461</v>
      </c>
      <c r="T92" s="79">
        <f t="shared" si="53"/>
        <v>4.248117561888674</v>
      </c>
      <c r="U92" s="79">
        <f t="shared" si="53"/>
        <v>4.4145683590998317</v>
      </c>
      <c r="V92" s="79">
        <f t="shared" si="53"/>
        <v>4.5939087871153497</v>
      </c>
      <c r="W92" s="79">
        <f t="shared" si="53"/>
        <v>4.7924110637868003</v>
      </c>
      <c r="X92" s="79">
        <f t="shared" si="53"/>
        <v>4.9808341112063488</v>
      </c>
      <c r="Y92" s="79">
        <f t="shared" si="53"/>
        <v>5.1674482081983619</v>
      </c>
    </row>
    <row r="93" spans="1:25" ht="14.1" customHeight="1" thickBot="1" x14ac:dyDescent="0.3">
      <c r="A93" s="4"/>
      <c r="B93" s="10"/>
      <c r="C93" s="79"/>
      <c r="D93" s="79"/>
      <c r="E93" s="79"/>
      <c r="F93" s="79"/>
      <c r="G93" s="79"/>
      <c r="H93" s="79"/>
      <c r="I93" s="79"/>
      <c r="J93" s="79"/>
      <c r="K93" s="79"/>
      <c r="L93" s="79"/>
      <c r="N93" s="95"/>
      <c r="O93" s="5"/>
      <c r="P93" s="79"/>
      <c r="Q93" s="79"/>
      <c r="R93" s="79"/>
      <c r="S93" s="79"/>
      <c r="T93" s="79"/>
      <c r="U93" s="79"/>
      <c r="V93" s="79"/>
      <c r="W93" s="79"/>
      <c r="X93" s="79"/>
      <c r="Y93" s="79"/>
    </row>
    <row r="94" spans="1:25" ht="14.1" customHeight="1" thickBot="1" x14ac:dyDescent="0.3">
      <c r="A94" s="4"/>
      <c r="B94" s="10"/>
      <c r="C94" s="79"/>
      <c r="D94" s="79"/>
      <c r="E94" s="79"/>
      <c r="F94" s="79"/>
      <c r="G94" s="79"/>
      <c r="H94" s="79"/>
      <c r="I94" s="79"/>
      <c r="J94" s="79"/>
      <c r="K94" s="79"/>
      <c r="L94" s="79"/>
      <c r="N94" s="95"/>
      <c r="O94" s="5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ht="14.1" customHeight="1" thickBot="1" x14ac:dyDescent="0.3">
      <c r="A95" s="4"/>
      <c r="B95" s="10"/>
      <c r="C95" s="79"/>
      <c r="D95" s="79"/>
      <c r="E95" s="79"/>
      <c r="F95" s="79"/>
      <c r="G95" s="79"/>
      <c r="H95" s="79"/>
      <c r="I95" s="79"/>
      <c r="J95" s="79"/>
      <c r="K95" s="79"/>
      <c r="L95" s="79"/>
      <c r="N95" s="95"/>
      <c r="O95" s="5"/>
      <c r="P95" s="79"/>
      <c r="Q95" s="79"/>
      <c r="R95" s="79"/>
      <c r="S95" s="79"/>
      <c r="T95" s="79"/>
      <c r="U95" s="79"/>
      <c r="V95" s="79"/>
      <c r="W95" s="79"/>
      <c r="X95" s="79"/>
      <c r="Y95" s="79"/>
    </row>
    <row r="96" spans="1:25" ht="14.1" customHeight="1" thickBot="1" x14ac:dyDescent="0.3">
      <c r="A96" s="4"/>
      <c r="B96" s="10"/>
      <c r="C96" s="79"/>
      <c r="D96" s="79"/>
      <c r="E96" s="79"/>
      <c r="F96" s="79"/>
      <c r="G96" s="79"/>
      <c r="H96" s="79"/>
      <c r="I96" s="79"/>
      <c r="J96" s="79"/>
      <c r="K96" s="79"/>
      <c r="L96" s="79"/>
      <c r="N96" s="4"/>
      <c r="O96" s="96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5" ht="14.1" customHeight="1" thickBot="1" x14ac:dyDescent="0.3">
      <c r="A97" s="4"/>
      <c r="B97" s="10"/>
      <c r="C97" s="79"/>
      <c r="D97" s="79"/>
      <c r="E97" s="79"/>
      <c r="F97" s="79"/>
      <c r="G97" s="79"/>
      <c r="H97" s="79"/>
      <c r="I97" s="79"/>
      <c r="J97" s="79"/>
      <c r="K97" s="79"/>
      <c r="L97" s="79"/>
      <c r="N97" s="6"/>
      <c r="O97" s="96"/>
      <c r="P97" s="79"/>
      <c r="Q97" s="79"/>
      <c r="R97" s="79"/>
      <c r="S97" s="79"/>
      <c r="T97" s="79"/>
      <c r="U97" s="79"/>
      <c r="V97" s="79"/>
      <c r="W97" s="79"/>
      <c r="X97" s="79"/>
      <c r="Y97" s="79"/>
    </row>
    <row r="98" spans="1:25" ht="14.1" customHeight="1" thickBot="1" x14ac:dyDescent="0.3">
      <c r="A98" s="4"/>
      <c r="B98" s="10"/>
      <c r="C98" s="79"/>
      <c r="D98" s="79"/>
      <c r="E98" s="79"/>
      <c r="F98" s="79"/>
      <c r="G98" s="79"/>
      <c r="H98" s="79"/>
      <c r="I98" s="79"/>
      <c r="J98" s="79"/>
      <c r="K98" s="79"/>
      <c r="L98" s="79"/>
      <c r="N98" s="4"/>
      <c r="O98" s="96"/>
      <c r="P98" s="79"/>
      <c r="Q98" s="79"/>
      <c r="R98" s="79"/>
      <c r="S98" s="79"/>
      <c r="T98" s="79"/>
      <c r="U98" s="79"/>
      <c r="V98" s="79"/>
      <c r="W98" s="79"/>
      <c r="X98" s="79"/>
      <c r="Y98" s="79"/>
    </row>
    <row r="99" spans="1:25" ht="14.1" customHeight="1" thickBot="1" x14ac:dyDescent="0.3">
      <c r="A99" s="4"/>
      <c r="B99" s="10"/>
      <c r="C99" s="79"/>
      <c r="D99" s="79"/>
      <c r="E99" s="79"/>
      <c r="F99" s="79"/>
      <c r="G99" s="79"/>
      <c r="H99" s="79"/>
      <c r="I99" s="79"/>
      <c r="J99" s="79"/>
      <c r="K99" s="79"/>
      <c r="L99" s="79"/>
      <c r="N99" s="4"/>
      <c r="O99" s="96"/>
      <c r="P99" s="79"/>
      <c r="Q99" s="79"/>
      <c r="R99" s="79"/>
      <c r="S99" s="79"/>
      <c r="T99" s="79"/>
      <c r="U99" s="79"/>
      <c r="V99" s="79"/>
      <c r="W99" s="79"/>
      <c r="X99" s="79"/>
      <c r="Y99" s="79"/>
    </row>
    <row r="100" spans="1:25" ht="14.1" customHeight="1" thickBot="1" x14ac:dyDescent="0.3">
      <c r="A100" s="4"/>
      <c r="B100" s="10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N100" s="4"/>
      <c r="O100" s="96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  <row r="101" spans="1:25" ht="14.1" customHeight="1" thickBot="1" x14ac:dyDescent="0.3">
      <c r="A101" s="4"/>
      <c r="B101" s="10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N101" s="4"/>
      <c r="O101" s="96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  <row r="102" spans="1:25" ht="14.1" customHeight="1" thickBot="1" x14ac:dyDescent="0.3">
      <c r="A102" s="4"/>
      <c r="B102" s="10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N102" s="4"/>
      <c r="O102" s="96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  <row r="103" spans="1:25" ht="14.1" customHeight="1" thickBot="1" x14ac:dyDescent="0.3">
      <c r="A103" s="4"/>
      <c r="B103" s="10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N103" s="4"/>
      <c r="O103" s="96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  <row r="104" spans="1:25" ht="14.1" customHeight="1" thickBot="1" x14ac:dyDescent="0.3">
      <c r="A104" s="4"/>
      <c r="B104" s="10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N104" s="95"/>
      <c r="O104" s="5"/>
      <c r="P104" s="79"/>
      <c r="Q104" s="79"/>
      <c r="R104" s="79"/>
      <c r="S104" s="79"/>
      <c r="T104" s="79"/>
      <c r="U104" s="79"/>
      <c r="V104" s="79"/>
      <c r="W104" s="79"/>
      <c r="X104" s="79"/>
      <c r="Y104" s="79"/>
    </row>
    <row r="105" spans="1:25" ht="14.1" customHeight="1" thickBot="1" x14ac:dyDescent="0.3">
      <c r="A105" s="4"/>
      <c r="B105" s="10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N105" s="95"/>
      <c r="O105" s="10"/>
      <c r="P105" s="79"/>
      <c r="Q105" s="79"/>
      <c r="R105" s="79"/>
      <c r="S105" s="79"/>
      <c r="T105" s="79"/>
      <c r="U105" s="79"/>
      <c r="V105" s="79"/>
      <c r="W105" s="79"/>
      <c r="X105" s="79"/>
      <c r="Y105" s="79"/>
    </row>
    <row r="106" spans="1:25" ht="14.1" customHeight="1" thickBot="1" x14ac:dyDescent="0.3">
      <c r="A106" s="4"/>
      <c r="B106" s="10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N106" s="4"/>
      <c r="O106" s="96"/>
      <c r="P106" s="79"/>
      <c r="Q106" s="79"/>
      <c r="R106" s="79"/>
      <c r="S106" s="79"/>
      <c r="T106" s="79"/>
      <c r="U106" s="79"/>
      <c r="V106" s="79"/>
      <c r="W106" s="79"/>
      <c r="X106" s="79"/>
      <c r="Y106" s="79"/>
    </row>
    <row r="107" spans="1:25" ht="14.1" customHeight="1" thickBot="1" x14ac:dyDescent="0.3">
      <c r="A107" s="4"/>
      <c r="B107" s="10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N107" s="4"/>
      <c r="O107" s="96"/>
      <c r="P107" s="79"/>
      <c r="Q107" s="79"/>
      <c r="R107" s="79"/>
      <c r="S107" s="79"/>
      <c r="T107" s="79"/>
      <c r="U107" s="79"/>
      <c r="V107" s="79"/>
      <c r="W107" s="79"/>
      <c r="X107" s="79"/>
      <c r="Y107" s="79"/>
    </row>
    <row r="108" spans="1:25" ht="14.1" customHeight="1" thickBot="1" x14ac:dyDescent="0.3">
      <c r="A108" s="4"/>
      <c r="B108" s="10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N108" s="4"/>
      <c r="O108" s="96"/>
      <c r="P108" s="79"/>
      <c r="Q108" s="79"/>
      <c r="R108" s="79"/>
      <c r="S108" s="79"/>
      <c r="T108" s="79"/>
      <c r="U108" s="79"/>
      <c r="V108" s="79"/>
      <c r="W108" s="79"/>
      <c r="X108" s="79"/>
      <c r="Y108" s="79"/>
    </row>
    <row r="109" spans="1:25" ht="14.1" customHeight="1" thickBot="1" x14ac:dyDescent="0.3">
      <c r="A109" s="4"/>
      <c r="B109" s="10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N109" s="95"/>
      <c r="O109" s="5"/>
      <c r="P109" s="79"/>
      <c r="Q109" s="79"/>
      <c r="R109" s="79"/>
      <c r="S109" s="79"/>
      <c r="T109" s="79"/>
      <c r="U109" s="79"/>
      <c r="V109" s="79"/>
      <c r="W109" s="79"/>
      <c r="X109" s="79"/>
      <c r="Y109" s="79"/>
    </row>
    <row r="110" spans="1:25" ht="14.1" customHeight="1" thickBot="1" x14ac:dyDescent="0.3">
      <c r="A110" s="4"/>
      <c r="B110" s="10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N110" s="4"/>
      <c r="O110" s="96"/>
      <c r="P110" s="79"/>
      <c r="Q110" s="79"/>
      <c r="R110" s="79"/>
      <c r="S110" s="79"/>
      <c r="T110" s="79"/>
      <c r="U110" s="79"/>
      <c r="V110" s="79"/>
      <c r="W110" s="79"/>
      <c r="X110" s="79"/>
      <c r="Y110" s="79"/>
    </row>
    <row r="111" spans="1:25" ht="14.1" customHeight="1" thickBot="1" x14ac:dyDescent="0.3">
      <c r="A111" s="4"/>
      <c r="B111" s="10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N111" s="4"/>
      <c r="O111" s="96"/>
      <c r="P111" s="79"/>
      <c r="Q111" s="79"/>
      <c r="R111" s="79"/>
      <c r="S111" s="79"/>
      <c r="T111" s="79"/>
      <c r="U111" s="79"/>
      <c r="V111" s="79"/>
      <c r="W111" s="79"/>
      <c r="X111" s="79"/>
      <c r="Y111" s="79"/>
    </row>
    <row r="112" spans="1:25" ht="14.1" customHeight="1" thickBot="1" x14ac:dyDescent="0.3">
      <c r="A112" s="4"/>
      <c r="B112" s="10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N112" s="95"/>
      <c r="O112" s="5"/>
      <c r="P112" s="79"/>
      <c r="Q112" s="79"/>
      <c r="R112" s="79"/>
      <c r="S112" s="79"/>
      <c r="T112" s="79"/>
      <c r="U112" s="79"/>
      <c r="V112" s="79"/>
      <c r="W112" s="79"/>
      <c r="X112" s="79"/>
      <c r="Y112" s="79"/>
    </row>
    <row r="113" spans="1:25" ht="14.1" customHeight="1" thickBot="1" x14ac:dyDescent="0.3">
      <c r="A113" s="4"/>
      <c r="B113" s="10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N113" s="4"/>
      <c r="O113" s="96"/>
      <c r="P113" s="79"/>
      <c r="Q113" s="79"/>
      <c r="R113" s="79"/>
      <c r="S113" s="79"/>
      <c r="T113" s="79"/>
      <c r="U113" s="79"/>
      <c r="V113" s="79"/>
      <c r="W113" s="79"/>
      <c r="X113" s="79"/>
      <c r="Y113" s="79"/>
    </row>
    <row r="114" spans="1:25" ht="14.1" customHeight="1" thickBot="1" x14ac:dyDescent="0.3">
      <c r="A114" s="4"/>
      <c r="B114" s="10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N114" s="4"/>
      <c r="O114" s="96"/>
      <c r="P114" s="79"/>
      <c r="Q114" s="79"/>
      <c r="R114" s="79"/>
      <c r="S114" s="79"/>
      <c r="T114" s="79"/>
      <c r="U114" s="79"/>
      <c r="V114" s="79"/>
      <c r="W114" s="79"/>
      <c r="X114" s="79"/>
      <c r="Y114" s="79"/>
    </row>
    <row r="115" spans="1:25" ht="14.1" customHeight="1" thickBot="1" x14ac:dyDescent="0.3">
      <c r="A115" s="4"/>
      <c r="B115" s="10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N115" s="4"/>
      <c r="O115" s="96"/>
      <c r="P115" s="79"/>
      <c r="Q115" s="79"/>
      <c r="R115" s="79"/>
      <c r="S115" s="79"/>
      <c r="T115" s="79"/>
      <c r="U115" s="79"/>
      <c r="V115" s="79"/>
      <c r="W115" s="79"/>
      <c r="X115" s="79"/>
      <c r="Y115" s="79"/>
    </row>
    <row r="116" spans="1:25" ht="14.1" customHeight="1" thickBot="1" x14ac:dyDescent="0.3">
      <c r="A116" s="4"/>
      <c r="B116" s="10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N116" s="4"/>
      <c r="O116" s="96"/>
      <c r="P116" s="79"/>
      <c r="Q116" s="79"/>
      <c r="R116" s="79"/>
      <c r="S116" s="79"/>
      <c r="T116" s="79"/>
      <c r="U116" s="79"/>
      <c r="V116" s="79"/>
      <c r="W116" s="79"/>
      <c r="X116" s="79"/>
      <c r="Y116" s="79"/>
    </row>
    <row r="117" spans="1:25" ht="14.1" customHeight="1" thickBot="1" x14ac:dyDescent="0.3">
      <c r="A117" s="4"/>
      <c r="B117" s="10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N117" s="4"/>
      <c r="O117" s="96"/>
      <c r="P117" s="79"/>
      <c r="Q117" s="79"/>
      <c r="R117" s="79"/>
      <c r="S117" s="79"/>
      <c r="T117" s="79"/>
      <c r="U117" s="79"/>
      <c r="V117" s="79"/>
      <c r="W117" s="79"/>
      <c r="X117" s="79"/>
      <c r="Y117" s="79"/>
    </row>
    <row r="118" spans="1:25" ht="14.1" customHeight="1" thickBot="1" x14ac:dyDescent="0.3">
      <c r="A118" s="4"/>
      <c r="B118" s="10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N118" s="95"/>
      <c r="O118" s="5"/>
      <c r="P118" s="79"/>
      <c r="Q118" s="79"/>
      <c r="R118" s="79"/>
      <c r="S118" s="79"/>
      <c r="T118" s="79"/>
      <c r="U118" s="79"/>
      <c r="V118" s="79"/>
      <c r="W118" s="79"/>
      <c r="X118" s="79"/>
      <c r="Y118" s="79"/>
    </row>
    <row r="119" spans="1:25" ht="14.1" customHeight="1" thickBot="1" x14ac:dyDescent="0.3">
      <c r="A119" s="4"/>
      <c r="B119" s="10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N119" s="95"/>
      <c r="O119" s="5"/>
      <c r="P119" s="79"/>
      <c r="Q119" s="79"/>
      <c r="R119" s="79"/>
      <c r="S119" s="79"/>
      <c r="T119" s="79"/>
      <c r="U119" s="79"/>
      <c r="V119" s="79"/>
      <c r="W119" s="79"/>
      <c r="X119" s="79"/>
      <c r="Y119" s="79"/>
    </row>
    <row r="120" spans="1:25" ht="14.1" customHeight="1" thickBot="1" x14ac:dyDescent="0.3">
      <c r="A120" s="4"/>
      <c r="B120" s="10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N120" s="95"/>
      <c r="O120" s="5"/>
      <c r="P120" s="79"/>
      <c r="Q120" s="79"/>
      <c r="R120" s="79"/>
      <c r="S120" s="79"/>
      <c r="T120" s="79"/>
      <c r="U120" s="79"/>
      <c r="V120" s="79"/>
      <c r="W120" s="79"/>
      <c r="X120" s="79"/>
      <c r="Y120" s="79"/>
    </row>
    <row r="121" spans="1:25" ht="14.1" customHeight="1" thickBot="1" x14ac:dyDescent="0.3">
      <c r="A121" s="4"/>
      <c r="B121" s="10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N121" s="4"/>
      <c r="O121" s="96"/>
      <c r="P121" s="79"/>
      <c r="Q121" s="79"/>
      <c r="R121" s="79"/>
      <c r="S121" s="79"/>
      <c r="T121" s="79"/>
      <c r="U121" s="79"/>
      <c r="V121" s="79"/>
      <c r="W121" s="79"/>
      <c r="X121" s="79"/>
      <c r="Y121" s="79"/>
    </row>
    <row r="122" spans="1:25" ht="14.1" customHeight="1" thickBot="1" x14ac:dyDescent="0.3">
      <c r="A122" s="4"/>
      <c r="B122" s="10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N122" s="6"/>
      <c r="O122" s="96"/>
      <c r="P122" s="79"/>
      <c r="Q122" s="79"/>
      <c r="R122" s="79"/>
      <c r="S122" s="79"/>
      <c r="T122" s="79"/>
      <c r="U122" s="79"/>
      <c r="V122" s="79"/>
      <c r="W122" s="79"/>
      <c r="X122" s="79"/>
      <c r="Y122" s="79"/>
    </row>
    <row r="123" spans="1:25" ht="14.1" customHeight="1" thickBot="1" x14ac:dyDescent="0.3">
      <c r="A123" s="4"/>
      <c r="B123" s="10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N123" s="4"/>
      <c r="O123" s="96"/>
      <c r="P123" s="79"/>
      <c r="Q123" s="79"/>
      <c r="R123" s="79"/>
      <c r="S123" s="79"/>
      <c r="T123" s="79"/>
      <c r="U123" s="79"/>
      <c r="V123" s="79"/>
      <c r="W123" s="79"/>
      <c r="X123" s="79"/>
      <c r="Y123" s="79"/>
    </row>
    <row r="124" spans="1:25" ht="14.1" customHeight="1" thickBot="1" x14ac:dyDescent="0.3">
      <c r="A124" s="4"/>
      <c r="B124" s="10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N124" s="4"/>
      <c r="O124" s="96"/>
      <c r="P124" s="79"/>
      <c r="Q124" s="79"/>
      <c r="R124" s="79"/>
      <c r="S124" s="79"/>
      <c r="T124" s="79"/>
      <c r="U124" s="79"/>
      <c r="V124" s="79"/>
      <c r="W124" s="79"/>
      <c r="X124" s="79"/>
      <c r="Y124" s="79"/>
    </row>
    <row r="125" spans="1:25" ht="14.1" customHeight="1" thickBot="1" x14ac:dyDescent="0.3">
      <c r="A125" s="4"/>
      <c r="B125" s="10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N125" s="4"/>
      <c r="O125" s="96"/>
      <c r="P125" s="79"/>
      <c r="Q125" s="79"/>
      <c r="R125" s="79"/>
      <c r="S125" s="79"/>
      <c r="T125" s="79"/>
      <c r="U125" s="79"/>
      <c r="V125" s="79"/>
      <c r="W125" s="79"/>
      <c r="X125" s="79"/>
      <c r="Y125" s="79"/>
    </row>
    <row r="126" spans="1:25" ht="14.1" customHeight="1" thickBot="1" x14ac:dyDescent="0.3">
      <c r="A126" s="4"/>
      <c r="B126" s="10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N126" s="4"/>
      <c r="O126" s="96"/>
      <c r="P126" s="79"/>
      <c r="Q126" s="79"/>
      <c r="R126" s="79"/>
      <c r="S126" s="79"/>
      <c r="T126" s="79"/>
      <c r="U126" s="79"/>
      <c r="V126" s="79"/>
      <c r="W126" s="79"/>
      <c r="X126" s="79"/>
      <c r="Y126" s="79"/>
    </row>
    <row r="127" spans="1:25" ht="14.1" customHeight="1" thickBot="1" x14ac:dyDescent="0.3">
      <c r="A127" s="4"/>
      <c r="B127" s="10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N127" s="4"/>
      <c r="O127" s="96"/>
      <c r="P127" s="79"/>
      <c r="Q127" s="79"/>
      <c r="R127" s="79"/>
      <c r="S127" s="79"/>
      <c r="T127" s="79"/>
      <c r="U127" s="79"/>
      <c r="V127" s="79"/>
      <c r="W127" s="79"/>
      <c r="X127" s="79"/>
      <c r="Y127" s="79"/>
    </row>
    <row r="128" spans="1:25" ht="14.1" customHeight="1" thickBot="1" x14ac:dyDescent="0.3">
      <c r="A128" s="4"/>
      <c r="B128" s="10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N128" s="4"/>
      <c r="O128" s="96"/>
      <c r="P128" s="79"/>
      <c r="Q128" s="79"/>
      <c r="R128" s="79"/>
      <c r="S128" s="79"/>
      <c r="T128" s="79"/>
      <c r="U128" s="79"/>
      <c r="V128" s="79"/>
      <c r="W128" s="79"/>
      <c r="X128" s="79"/>
      <c r="Y128" s="79"/>
    </row>
    <row r="129" spans="1:25" ht="14.1" customHeight="1" thickBot="1" x14ac:dyDescent="0.3">
      <c r="A129" s="4"/>
      <c r="B129" s="10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N129" s="95"/>
      <c r="O129" s="5"/>
      <c r="P129" s="79"/>
      <c r="Q129" s="79"/>
      <c r="R129" s="79"/>
      <c r="S129" s="79"/>
      <c r="T129" s="79"/>
      <c r="U129" s="79"/>
      <c r="V129" s="79"/>
      <c r="W129" s="79"/>
      <c r="X129" s="79"/>
      <c r="Y129" s="79"/>
    </row>
    <row r="130" spans="1:25" ht="14.1" customHeight="1" thickBot="1" x14ac:dyDescent="0.3">
      <c r="A130" s="4"/>
      <c r="B130" s="10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N130" s="95"/>
      <c r="O130" s="10"/>
      <c r="P130" s="79"/>
      <c r="Q130" s="79"/>
      <c r="R130" s="79"/>
      <c r="S130" s="79"/>
      <c r="T130" s="79"/>
      <c r="U130" s="79"/>
      <c r="V130" s="79"/>
      <c r="W130" s="79"/>
      <c r="X130" s="79"/>
      <c r="Y130" s="79"/>
    </row>
    <row r="131" spans="1:25" ht="14.1" customHeight="1" thickBot="1" x14ac:dyDescent="0.3">
      <c r="A131" s="4"/>
      <c r="B131" s="10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N131" s="4"/>
      <c r="O131" s="96"/>
      <c r="P131" s="79"/>
      <c r="Q131" s="79"/>
      <c r="R131" s="79"/>
      <c r="S131" s="79"/>
      <c r="T131" s="79"/>
      <c r="U131" s="79"/>
      <c r="V131" s="79"/>
      <c r="W131" s="79"/>
      <c r="X131" s="79"/>
      <c r="Y131" s="79"/>
    </row>
    <row r="132" spans="1:25" ht="14.1" customHeight="1" thickBot="1" x14ac:dyDescent="0.3">
      <c r="A132" s="4"/>
      <c r="B132" s="10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N132" s="4"/>
      <c r="O132" s="96"/>
      <c r="P132" s="79"/>
      <c r="Q132" s="79"/>
      <c r="R132" s="79"/>
      <c r="S132" s="79"/>
      <c r="T132" s="79"/>
      <c r="U132" s="79"/>
      <c r="V132" s="79"/>
      <c r="W132" s="79"/>
      <c r="X132" s="79"/>
      <c r="Y132" s="79"/>
    </row>
    <row r="133" spans="1:25" ht="14.1" customHeight="1" thickBot="1" x14ac:dyDescent="0.3">
      <c r="A133" s="4"/>
      <c r="B133" s="10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N133" s="4"/>
      <c r="O133" s="96"/>
      <c r="P133" s="79"/>
      <c r="Q133" s="79"/>
      <c r="R133" s="79"/>
      <c r="S133" s="79"/>
      <c r="T133" s="79"/>
      <c r="U133" s="79"/>
      <c r="V133" s="79"/>
      <c r="W133" s="79"/>
      <c r="X133" s="79"/>
      <c r="Y133" s="79"/>
    </row>
    <row r="134" spans="1:25" ht="14.1" customHeight="1" thickBot="1" x14ac:dyDescent="0.3">
      <c r="A134" s="4"/>
      <c r="B134" s="10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N134" s="4"/>
      <c r="O134" s="96"/>
      <c r="P134" s="79"/>
      <c r="Q134" s="79"/>
      <c r="R134" s="79"/>
      <c r="S134" s="79"/>
      <c r="T134" s="79"/>
      <c r="U134" s="79"/>
      <c r="V134" s="79"/>
      <c r="W134" s="79"/>
      <c r="X134" s="79"/>
      <c r="Y134" s="79"/>
    </row>
    <row r="135" spans="1:25" ht="14.1" customHeight="1" thickBot="1" x14ac:dyDescent="0.3">
      <c r="A135" s="4"/>
      <c r="B135" s="10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N135" s="4"/>
      <c r="O135" s="96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ht="14.1" customHeight="1" thickBot="1" x14ac:dyDescent="0.3">
      <c r="A136" s="4"/>
      <c r="B136" s="10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N136" s="4"/>
      <c r="O136" s="96"/>
      <c r="P136" s="79"/>
      <c r="Q136" s="79"/>
      <c r="R136" s="79"/>
      <c r="S136" s="79"/>
      <c r="T136" s="79"/>
      <c r="U136" s="79"/>
      <c r="V136" s="79"/>
      <c r="W136" s="79"/>
      <c r="X136" s="79"/>
      <c r="Y136" s="79"/>
    </row>
    <row r="137" spans="1:25" ht="14.1" customHeight="1" thickBot="1" x14ac:dyDescent="0.3">
      <c r="A137" s="4"/>
      <c r="B137" s="10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N137" s="4"/>
      <c r="O137" s="96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1:25" ht="14.1" customHeight="1" thickBot="1" x14ac:dyDescent="0.3">
      <c r="A138" s="4"/>
      <c r="B138" s="10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N138" s="4"/>
      <c r="O138" s="96"/>
      <c r="P138" s="79"/>
      <c r="Q138" s="79"/>
      <c r="R138" s="79"/>
      <c r="S138" s="79"/>
      <c r="T138" s="79"/>
      <c r="U138" s="79"/>
      <c r="V138" s="79"/>
      <c r="W138" s="79"/>
      <c r="X138" s="79"/>
      <c r="Y138" s="79"/>
    </row>
    <row r="139" spans="1:25" ht="14.1" customHeight="1" thickBot="1" x14ac:dyDescent="0.3">
      <c r="A139" s="4"/>
      <c r="B139" s="10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N139" s="4"/>
      <c r="O139" s="96"/>
      <c r="P139" s="79"/>
      <c r="Q139" s="79"/>
      <c r="R139" s="79"/>
      <c r="S139" s="79"/>
      <c r="T139" s="79"/>
      <c r="U139" s="79"/>
      <c r="V139" s="79"/>
      <c r="W139" s="79"/>
      <c r="X139" s="79"/>
      <c r="Y139" s="79"/>
    </row>
    <row r="140" spans="1:25" ht="14.1" customHeight="1" thickBot="1" x14ac:dyDescent="0.3">
      <c r="A140" s="4"/>
      <c r="B140" s="10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N140" s="4"/>
      <c r="O140" s="96"/>
      <c r="P140" s="79"/>
      <c r="Q140" s="79"/>
      <c r="R140" s="79"/>
      <c r="S140" s="79"/>
      <c r="T140" s="79"/>
      <c r="U140" s="79"/>
      <c r="V140" s="79"/>
      <c r="W140" s="79"/>
      <c r="X140" s="79"/>
      <c r="Y140" s="79"/>
    </row>
    <row r="141" spans="1:25" ht="14.1" customHeight="1" thickBot="1" x14ac:dyDescent="0.3">
      <c r="A141" s="4"/>
      <c r="B141" s="10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N141" s="4"/>
      <c r="O141" s="96"/>
      <c r="P141" s="79"/>
      <c r="Q141" s="79"/>
      <c r="R141" s="79"/>
      <c r="S141" s="79"/>
      <c r="T141" s="79"/>
      <c r="U141" s="79"/>
      <c r="V141" s="79"/>
      <c r="W141" s="79"/>
      <c r="X141" s="79"/>
      <c r="Y141" s="79"/>
    </row>
    <row r="142" spans="1:25" ht="14.1" customHeight="1" thickBot="1" x14ac:dyDescent="0.3">
      <c r="A142" s="4"/>
      <c r="B142" s="10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N142" s="95"/>
      <c r="O142" s="5"/>
      <c r="P142" s="79"/>
      <c r="Q142" s="79"/>
      <c r="R142" s="79"/>
      <c r="S142" s="79"/>
      <c r="T142" s="79"/>
      <c r="U142" s="79"/>
      <c r="V142" s="79"/>
      <c r="W142" s="79"/>
      <c r="X142" s="79"/>
      <c r="Y142" s="79"/>
    </row>
    <row r="143" spans="1:25" ht="14.1" customHeight="1" thickBot="1" x14ac:dyDescent="0.3">
      <c r="A143" s="4"/>
      <c r="B143" s="10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N143" s="4"/>
      <c r="O143" s="96"/>
      <c r="P143" s="79"/>
      <c r="Q143" s="79"/>
      <c r="R143" s="79"/>
      <c r="S143" s="79"/>
      <c r="T143" s="79"/>
      <c r="U143" s="79"/>
      <c r="V143" s="79"/>
      <c r="W143" s="79"/>
      <c r="X143" s="79"/>
      <c r="Y143" s="79"/>
    </row>
    <row r="144" spans="1:25" ht="14.1" customHeight="1" thickBot="1" x14ac:dyDescent="0.3">
      <c r="A144" s="4"/>
      <c r="B144" s="10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N144" s="4"/>
      <c r="O144" s="96"/>
      <c r="P144" s="79"/>
      <c r="Q144" s="79"/>
      <c r="R144" s="79"/>
      <c r="S144" s="79"/>
      <c r="T144" s="79"/>
      <c r="U144" s="79"/>
      <c r="V144" s="79"/>
      <c r="W144" s="79"/>
      <c r="X144" s="79"/>
      <c r="Y144" s="79"/>
    </row>
    <row r="145" spans="1:25" ht="14.1" customHeight="1" thickBot="1" x14ac:dyDescent="0.3">
      <c r="A145" s="4"/>
      <c r="B145" s="10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N145" s="95"/>
      <c r="O145" s="5"/>
      <c r="P145" s="79"/>
      <c r="Q145" s="79"/>
      <c r="R145" s="79"/>
      <c r="S145" s="79"/>
      <c r="T145" s="79"/>
      <c r="U145" s="79"/>
      <c r="V145" s="79"/>
      <c r="W145" s="79"/>
      <c r="X145" s="79"/>
      <c r="Y145" s="79"/>
    </row>
    <row r="146" spans="1:25" ht="14.1" customHeight="1" thickBot="1" x14ac:dyDescent="0.3">
      <c r="A146" s="4"/>
      <c r="B146" s="10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N146" s="95"/>
      <c r="O146" s="5"/>
      <c r="P146" s="79"/>
      <c r="Q146" s="79"/>
      <c r="R146" s="79"/>
      <c r="S146" s="79"/>
      <c r="T146" s="79"/>
      <c r="U146" s="79"/>
      <c r="V146" s="79"/>
      <c r="W146" s="79"/>
      <c r="X146" s="79"/>
      <c r="Y146" s="79"/>
    </row>
    <row r="147" spans="1:25" ht="14.1" customHeight="1" thickBot="1" x14ac:dyDescent="0.3">
      <c r="A147" s="4"/>
      <c r="B147" s="10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N147" s="4"/>
      <c r="O147" s="96"/>
      <c r="P147" s="79"/>
      <c r="Q147" s="79"/>
      <c r="R147" s="79"/>
      <c r="S147" s="79"/>
      <c r="T147" s="79"/>
      <c r="U147" s="79"/>
      <c r="V147" s="79"/>
      <c r="W147" s="79"/>
      <c r="X147" s="79"/>
      <c r="Y147" s="79"/>
    </row>
    <row r="148" spans="1:25" ht="14.1" customHeight="1" thickBot="1" x14ac:dyDescent="0.3">
      <c r="A148" s="4"/>
      <c r="B148" s="10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N148" s="4"/>
      <c r="O148" s="10"/>
      <c r="P148" s="79"/>
      <c r="Q148" s="79"/>
      <c r="R148" s="79"/>
      <c r="S148" s="79"/>
      <c r="T148" s="79"/>
      <c r="U148" s="79"/>
      <c r="V148" s="79"/>
      <c r="W148" s="79"/>
      <c r="X148" s="79"/>
      <c r="Y148" s="79"/>
    </row>
    <row r="149" spans="1:25" ht="14.1" customHeight="1" thickBot="1" x14ac:dyDescent="0.3">
      <c r="A149" s="4"/>
      <c r="B149" s="10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N149" s="4"/>
      <c r="O149" s="10"/>
      <c r="P149" s="79"/>
      <c r="Q149" s="79"/>
      <c r="R149" s="79"/>
      <c r="S149" s="79"/>
      <c r="T149" s="79"/>
      <c r="U149" s="79"/>
      <c r="V149" s="79"/>
      <c r="W149" s="79"/>
      <c r="X149" s="79"/>
      <c r="Y149" s="79"/>
    </row>
    <row r="150" spans="1:25" ht="14.1" customHeight="1" thickBot="1" x14ac:dyDescent="0.3">
      <c r="A150" s="4"/>
      <c r="B150" s="10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N150" s="4"/>
      <c r="O150" s="10"/>
      <c r="P150" s="92"/>
      <c r="Q150" s="79"/>
      <c r="R150" s="79"/>
      <c r="S150" s="79"/>
      <c r="T150" s="79"/>
      <c r="U150" s="79"/>
      <c r="V150" s="79"/>
      <c r="W150" s="79"/>
      <c r="X150" s="79"/>
      <c r="Y150" s="79"/>
    </row>
    <row r="151" spans="1:25" ht="14.1" customHeight="1" thickBot="1" x14ac:dyDescent="0.3">
      <c r="A151" s="4"/>
      <c r="B151" s="10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N151" s="4"/>
      <c r="O151" s="10"/>
      <c r="P151" s="92"/>
      <c r="Q151" s="79"/>
      <c r="R151" s="79"/>
      <c r="S151" s="79"/>
      <c r="T151" s="79"/>
      <c r="U151" s="79"/>
      <c r="V151" s="79"/>
      <c r="W151" s="79"/>
      <c r="X151" s="79"/>
      <c r="Y151" s="79"/>
    </row>
    <row r="152" spans="1:25" ht="14.1" customHeight="1" thickBot="1" x14ac:dyDescent="0.3">
      <c r="A152" s="4"/>
      <c r="B152" s="10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N152" s="4"/>
      <c r="O152" s="10"/>
      <c r="P152" s="92"/>
      <c r="Q152" s="79"/>
      <c r="R152" s="79"/>
      <c r="S152" s="79"/>
      <c r="T152" s="79"/>
      <c r="U152" s="79"/>
      <c r="V152" s="79"/>
      <c r="W152" s="79"/>
      <c r="X152" s="79"/>
      <c r="Y152" s="79"/>
    </row>
    <row r="153" spans="1:25" ht="14.1" customHeight="1" thickBot="1" x14ac:dyDescent="0.3">
      <c r="A153" s="4"/>
      <c r="B153" s="10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N153" s="4"/>
      <c r="O153" s="10"/>
      <c r="P153" s="92"/>
      <c r="Q153" s="79"/>
      <c r="R153" s="79"/>
      <c r="S153" s="79"/>
      <c r="T153" s="79"/>
      <c r="U153" s="79"/>
      <c r="V153" s="79"/>
      <c r="W153" s="79"/>
      <c r="X153" s="79"/>
      <c r="Y153" s="79"/>
    </row>
  </sheetData>
  <conditionalFormatting sqref="C2:L43">
    <cfRule type="cellIs" dxfId="10" priority="169" operator="greaterThan">
      <formula>$B2</formula>
    </cfRule>
  </conditionalFormatting>
  <conditionalFormatting sqref="C46:L153">
    <cfRule type="cellIs" dxfId="9" priority="6" operator="greaterThan">
      <formula>$B46</formula>
    </cfRule>
  </conditionalFormatting>
  <conditionalFormatting sqref="M3:M4">
    <cfRule type="cellIs" dxfId="8" priority="176" operator="greaterThan">
      <formula>$B3</formula>
    </cfRule>
  </conditionalFormatting>
  <conditionalFormatting sqref="P2:Y43">
    <cfRule type="cellIs" dxfId="7" priority="7" stopIfTrue="1" operator="greaterThan">
      <formula>$O2</formula>
    </cfRule>
  </conditionalFormatting>
  <conditionalFormatting sqref="Q47:Y153">
    <cfRule type="cellIs" dxfId="6" priority="1" operator="greaterThan">
      <formula>$O47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55C1-D9D8-4564-96C3-52277E525C81}">
  <sheetPr codeName="Sheet3">
    <tabColor theme="5"/>
  </sheetPr>
  <dimension ref="A1:Y153"/>
  <sheetViews>
    <sheetView tabSelected="1" topLeftCell="A32" workbookViewId="0">
      <selection activeCell="G48" sqref="G48"/>
    </sheetView>
  </sheetViews>
  <sheetFormatPr defaultRowHeight="15" x14ac:dyDescent="0.25"/>
  <cols>
    <col min="1" max="1" width="33.28515625" customWidth="1"/>
    <col min="2" max="2" width="7.7109375" customWidth="1"/>
    <col min="14" max="14" width="28" bestFit="1" customWidth="1"/>
    <col min="15" max="15" width="8.7109375" style="9" customWidth="1"/>
  </cols>
  <sheetData>
    <row r="1" spans="1:25" ht="14.1" customHeight="1" thickBot="1" x14ac:dyDescent="0.3">
      <c r="A1" s="1" t="s">
        <v>83</v>
      </c>
      <c r="B1" s="2" t="s">
        <v>82</v>
      </c>
      <c r="C1" s="2">
        <f>Costs!B9</f>
        <v>2025</v>
      </c>
      <c r="D1" s="2">
        <f>C1+1</f>
        <v>2026</v>
      </c>
      <c r="E1" s="2">
        <f t="shared" ref="E1:L1" si="0">D1+1</f>
        <v>2027</v>
      </c>
      <c r="F1" s="2">
        <f t="shared" si="0"/>
        <v>2028</v>
      </c>
      <c r="G1" s="2">
        <f t="shared" si="0"/>
        <v>2029</v>
      </c>
      <c r="H1" s="2">
        <f t="shared" si="0"/>
        <v>2030</v>
      </c>
      <c r="I1" s="2">
        <f t="shared" si="0"/>
        <v>2031</v>
      </c>
      <c r="J1" s="2">
        <f t="shared" si="0"/>
        <v>2032</v>
      </c>
      <c r="K1" s="2">
        <f t="shared" si="0"/>
        <v>2033</v>
      </c>
      <c r="L1" s="2">
        <f t="shared" si="0"/>
        <v>2034</v>
      </c>
      <c r="M1" s="29">
        <f>((L2+L4+L6+L8)-(C2+C4+C6+C8))/(C2+C4+C6+C8)/9</f>
        <v>5.823734075988575E-2</v>
      </c>
      <c r="N1" s="1" t="str">
        <f>A1</f>
        <v>Option 1 - Do Nothing</v>
      </c>
      <c r="O1" s="2" t="str">
        <f>B1</f>
        <v>Rating</v>
      </c>
      <c r="P1" s="2">
        <f t="shared" ref="P1:Y1" si="1">C1</f>
        <v>2025</v>
      </c>
      <c r="Q1" s="2">
        <f t="shared" si="1"/>
        <v>2026</v>
      </c>
      <c r="R1" s="2">
        <f t="shared" si="1"/>
        <v>2027</v>
      </c>
      <c r="S1" s="2">
        <f t="shared" si="1"/>
        <v>2028</v>
      </c>
      <c r="T1" s="2">
        <f t="shared" si="1"/>
        <v>2029</v>
      </c>
      <c r="U1" s="2">
        <f t="shared" si="1"/>
        <v>2030</v>
      </c>
      <c r="V1" s="2">
        <f t="shared" si="1"/>
        <v>2031</v>
      </c>
      <c r="W1" s="2">
        <f t="shared" si="1"/>
        <v>2032</v>
      </c>
      <c r="X1" s="2">
        <f t="shared" si="1"/>
        <v>2033</v>
      </c>
      <c r="Y1" s="2">
        <f t="shared" si="1"/>
        <v>2034</v>
      </c>
    </row>
    <row r="2" spans="1:25" ht="14.1" customHeight="1" thickTop="1" thickBot="1" x14ac:dyDescent="0.3">
      <c r="A2" s="4" t="str">
        <f>Historical!A2</f>
        <v>SBY</v>
      </c>
      <c r="B2" s="10">
        <f>Ratings!E2</f>
        <v>38</v>
      </c>
      <c r="C2" s="79">
        <v>42.39525107475361</v>
      </c>
      <c r="D2" s="79">
        <v>46.556856195760545</v>
      </c>
      <c r="E2" s="79">
        <v>49.804829173981766</v>
      </c>
      <c r="F2" s="79">
        <v>52.315068448168837</v>
      </c>
      <c r="G2" s="79">
        <v>54.136743939309326</v>
      </c>
      <c r="H2" s="79">
        <v>55.9759245449616</v>
      </c>
      <c r="I2" s="79">
        <v>57.476136786830089</v>
      </c>
      <c r="J2" s="79">
        <v>58.978956236270804</v>
      </c>
      <c r="K2" s="79">
        <v>60.458895446074607</v>
      </c>
      <c r="L2" s="79">
        <v>61.925655016388603</v>
      </c>
      <c r="M2" s="90">
        <f>($L3-$C3)/$C3/9</f>
        <v>6.6835904702188614E-2</v>
      </c>
      <c r="N2" s="4" t="str">
        <f>Ratings!H2</f>
        <v>SHM11</v>
      </c>
      <c r="O2" s="10">
        <f>Ratings!J2</f>
        <v>14.3</v>
      </c>
      <c r="P2" s="79">
        <v>5.5765593644737654</v>
      </c>
      <c r="Q2" s="79">
        <v>8.2986934948457343</v>
      </c>
      <c r="R2" s="79">
        <v>11.098895429141225</v>
      </c>
      <c r="S2" s="79">
        <v>13.190679672547027</v>
      </c>
      <c r="T2" s="79">
        <v>14.493269027809891</v>
      </c>
      <c r="U2" s="79">
        <v>15.565251981494226</v>
      </c>
      <c r="V2" s="79">
        <v>16.345640663147947</v>
      </c>
      <c r="W2" s="79">
        <v>16.90514371350104</v>
      </c>
      <c r="X2" s="79">
        <v>17.454523397317182</v>
      </c>
      <c r="Y2" s="79">
        <v>17.998258926403828</v>
      </c>
    </row>
    <row r="3" spans="1:25" ht="14.1" customHeight="1" thickBot="1" x14ac:dyDescent="0.3">
      <c r="A3" s="4" t="str">
        <f>Historical!A3</f>
        <v>SHM</v>
      </c>
      <c r="B3" s="10">
        <f>Ratings!E3</f>
        <v>39.6</v>
      </c>
      <c r="C3" s="79">
        <v>34.097515644565085</v>
      </c>
      <c r="D3" s="79">
        <v>37.894988652370337</v>
      </c>
      <c r="E3" s="79">
        <v>40.998716213283537</v>
      </c>
      <c r="F3" s="79">
        <v>43.674441108321858</v>
      </c>
      <c r="G3" s="79">
        <v>45.709391928752204</v>
      </c>
      <c r="H3" s="79">
        <v>47.890538337940214</v>
      </c>
      <c r="I3" s="79">
        <v>49.583547417252746</v>
      </c>
      <c r="J3" s="79">
        <v>51.284266170366735</v>
      </c>
      <c r="K3" s="79">
        <v>52.954545819330576</v>
      </c>
      <c r="L3" s="79">
        <v>54.607960400378921</v>
      </c>
      <c r="M3" s="91">
        <f>(L3-C3)</f>
        <v>20.510444755813836</v>
      </c>
      <c r="N3" s="4" t="str">
        <f>Ratings!H3</f>
        <v>SHM12</v>
      </c>
      <c r="O3" s="10">
        <f>Ratings!J3</f>
        <v>14.3</v>
      </c>
      <c r="P3" s="79">
        <v>5.659930188455764</v>
      </c>
      <c r="Q3" s="79">
        <v>5.9223718881681178</v>
      </c>
      <c r="R3" s="79">
        <v>6.1035259315812276</v>
      </c>
      <c r="S3" s="79">
        <v>6.3114615458000864</v>
      </c>
      <c r="T3" s="79">
        <v>6.5182968803038568</v>
      </c>
      <c r="U3" s="79">
        <v>6.828808133594654</v>
      </c>
      <c r="V3" s="79">
        <v>7.0697588884404823</v>
      </c>
      <c r="W3" s="79">
        <v>7.3117531757773717</v>
      </c>
      <c r="X3" s="79">
        <v>7.5493689403001056</v>
      </c>
      <c r="Y3" s="79">
        <v>7.7845435149123974</v>
      </c>
    </row>
    <row r="4" spans="1:25" ht="14.1" customHeight="1" thickBot="1" x14ac:dyDescent="0.3">
      <c r="A4" s="4" t="str">
        <f>Ratings!A42</f>
        <v>KTS-SBY-SHM-GSB-WND</v>
      </c>
      <c r="B4" s="10">
        <f>Ratings!C43</f>
        <v>216</v>
      </c>
      <c r="C4" s="79">
        <f>(C2+C3)/('Summer 10PoE'!C2+'Summer 10PoE'!C3)*'Summer 10PoE'!C4</f>
        <v>120.60037419792883</v>
      </c>
      <c r="D4" s="79">
        <f>(D2+D3)/('Summer 10PoE'!D2+'Summer 10PoE'!D3)*'Summer 10PoE'!D4</f>
        <v>129.43474646359078</v>
      </c>
      <c r="E4" s="79">
        <f>(E2+E3)/('Summer 10PoE'!E2+'Summer 10PoE'!E3)*'Summer 10PoE'!E4</f>
        <v>136.58176981709656</v>
      </c>
      <c r="F4" s="79">
        <f>(F2+F3)/('Summer 10PoE'!F2+'Summer 10PoE'!F3)*'Summer 10PoE'!F4</f>
        <v>143.33372030262527</v>
      </c>
      <c r="G4" s="79">
        <f>(G2+G3)/('Summer 10PoE'!G2+'Summer 10PoE'!G3)*'Summer 10PoE'!G4</f>
        <v>159.75381738889848</v>
      </c>
      <c r="H4" s="79">
        <f>(H2+H3)/('Summer 10PoE'!H2+'Summer 10PoE'!H3)*'Summer 10PoE'!H4</f>
        <v>166.18634061264291</v>
      </c>
      <c r="I4" s="79">
        <f>(I2+I3)/('Summer 10PoE'!I2+'Summer 10PoE'!I3)*'Summer 10PoE'!I4</f>
        <v>171.29549472653255</v>
      </c>
      <c r="J4" s="79">
        <f>(J2+J3)/('Summer 10PoE'!J2+'Summer 10PoE'!J3)*'Summer 10PoE'!J4</f>
        <v>176.42115585062007</v>
      </c>
      <c r="K4" s="79">
        <f>(K2+K3)/('Summer 10PoE'!K2+'Summer 10PoE'!K3)*'Summer 10PoE'!K4</f>
        <v>181.46150602464829</v>
      </c>
      <c r="L4" s="79">
        <f t="shared" ref="L4" si="2">K4+K4-J4</f>
        <v>186.50185619867651</v>
      </c>
      <c r="M4" s="91">
        <f>M3/9</f>
        <v>2.2789383062015371</v>
      </c>
      <c r="N4" s="4" t="str">
        <f>Ratings!H4</f>
        <v>SHM14</v>
      </c>
      <c r="O4" s="10">
        <f>Ratings!J4</f>
        <v>14.3</v>
      </c>
      <c r="P4" s="79">
        <v>8.9726429521247706</v>
      </c>
      <c r="Q4" s="79">
        <v>10.838312409210769</v>
      </c>
      <c r="R4" s="79">
        <v>12.222396997769209</v>
      </c>
      <c r="S4" s="79">
        <v>13.340681509611331</v>
      </c>
      <c r="T4" s="79">
        <v>14.045637012288891</v>
      </c>
      <c r="U4" s="79">
        <v>14.821625756310556</v>
      </c>
      <c r="V4" s="79">
        <v>15.344598703296182</v>
      </c>
      <c r="W4" s="79">
        <v>15.86983659135856</v>
      </c>
      <c r="X4" s="79">
        <v>16.385571089481246</v>
      </c>
      <c r="Y4" s="79">
        <v>16.896007092969914</v>
      </c>
    </row>
    <row r="5" spans="1:25" ht="14.1" customHeight="1" thickBot="1" x14ac:dyDescent="0.3">
      <c r="A5" s="4"/>
      <c r="B5" s="10"/>
      <c r="C5" s="79"/>
      <c r="D5" s="79"/>
      <c r="E5" s="79"/>
      <c r="F5" s="79"/>
      <c r="G5" s="79"/>
      <c r="H5" s="79"/>
      <c r="I5" s="79"/>
      <c r="J5" s="79"/>
      <c r="K5" s="79"/>
      <c r="L5" s="79"/>
      <c r="M5" s="90"/>
      <c r="N5" s="4" t="str">
        <f>Ratings!H5</f>
        <v>SHM21</v>
      </c>
      <c r="O5" s="10">
        <f>Ratings!J5</f>
        <v>14.3</v>
      </c>
      <c r="P5" s="79">
        <v>7.2963129131853925</v>
      </c>
      <c r="Q5" s="79">
        <v>8.0524636773701275</v>
      </c>
      <c r="R5" s="79">
        <v>8.6228774788785927</v>
      </c>
      <c r="S5" s="79">
        <v>8.8912642271797768</v>
      </c>
      <c r="T5" s="79">
        <v>9.1826432678734378</v>
      </c>
      <c r="U5" s="79">
        <v>9.6200756404684018</v>
      </c>
      <c r="V5" s="79">
        <v>9.9595147405130326</v>
      </c>
      <c r="W5" s="79">
        <v>10.300423915759794</v>
      </c>
      <c r="X5" s="79">
        <v>10.635164852004717</v>
      </c>
      <c r="Y5" s="79">
        <v>10.966466764758023</v>
      </c>
    </row>
    <row r="6" spans="1:25" ht="14.1" customHeight="1" thickBot="1" x14ac:dyDescent="0.3">
      <c r="A6" s="4"/>
      <c r="B6" s="10"/>
      <c r="C6" s="79"/>
      <c r="D6" s="79"/>
      <c r="E6" s="79"/>
      <c r="F6" s="79"/>
      <c r="G6" s="79"/>
      <c r="H6" s="79"/>
      <c r="I6" s="79"/>
      <c r="J6" s="79"/>
      <c r="K6" s="79"/>
      <c r="L6" s="79"/>
      <c r="M6" s="93"/>
      <c r="N6" s="4" t="str">
        <f>Ratings!H6</f>
        <v>SHM22</v>
      </c>
      <c r="O6" s="10">
        <f>Ratings!J6</f>
        <v>14.3</v>
      </c>
      <c r="P6" s="79">
        <v>4.3211875369540627</v>
      </c>
      <c r="Q6" s="79">
        <v>4.4626030072288678</v>
      </c>
      <c r="R6" s="79">
        <v>4.63055740978462</v>
      </c>
      <c r="S6" s="79">
        <v>4.8123684529904383</v>
      </c>
      <c r="T6" s="79">
        <v>4.9700764310089438</v>
      </c>
      <c r="U6" s="79">
        <v>5.2068353098821776</v>
      </c>
      <c r="V6" s="79">
        <v>5.390555642000165</v>
      </c>
      <c r="W6" s="79">
        <v>5.575071647640554</v>
      </c>
      <c r="X6" s="79">
        <v>5.7562491135610019</v>
      </c>
      <c r="Y6" s="79">
        <v>5.9355652189665333</v>
      </c>
    </row>
    <row r="7" spans="1:25" ht="14.1" customHeight="1" thickBot="1" x14ac:dyDescent="0.3">
      <c r="A7" s="4"/>
      <c r="B7" s="10"/>
      <c r="C7" s="79"/>
      <c r="D7" s="79"/>
      <c r="E7" s="79"/>
      <c r="F7" s="79"/>
      <c r="G7" s="79"/>
      <c r="H7" s="79"/>
      <c r="I7" s="79"/>
      <c r="J7" s="79"/>
      <c r="K7" s="79"/>
      <c r="L7" s="79"/>
      <c r="M7" s="90"/>
      <c r="N7" s="4" t="str">
        <f>Ratings!H7</f>
        <v>SHM23</v>
      </c>
      <c r="O7" s="10">
        <f>Ratings!J7</f>
        <v>14.3</v>
      </c>
      <c r="P7" s="79">
        <v>1.8413058688234123</v>
      </c>
      <c r="Q7" s="79">
        <v>1.8862035940083783</v>
      </c>
      <c r="R7" s="79">
        <v>1.9364477076948847</v>
      </c>
      <c r="S7" s="79">
        <v>1.996719572254777</v>
      </c>
      <c r="T7" s="79">
        <v>2.0621548375480225</v>
      </c>
      <c r="U7" s="79">
        <v>2.1603894369909469</v>
      </c>
      <c r="V7" s="79">
        <v>2.2366175950267633</v>
      </c>
      <c r="W7" s="79">
        <v>2.3131758892337446</v>
      </c>
      <c r="X7" s="79">
        <v>2.3883489762051049</v>
      </c>
      <c r="Y7" s="79">
        <v>2.4627497584355749</v>
      </c>
    </row>
    <row r="8" spans="1:25" ht="14.1" customHeight="1" thickBot="1" x14ac:dyDescent="0.3">
      <c r="A8" s="4"/>
      <c r="B8" s="10"/>
      <c r="C8" s="79"/>
      <c r="D8" s="79"/>
      <c r="E8" s="79"/>
      <c r="F8" s="79"/>
      <c r="G8" s="79"/>
      <c r="H8" s="79"/>
      <c r="I8" s="79"/>
      <c r="J8" s="79"/>
      <c r="K8" s="79"/>
      <c r="L8" s="79"/>
      <c r="M8" s="90"/>
      <c r="N8" s="4" t="str">
        <f>Ratings!H8</f>
        <v>SHM24</v>
      </c>
      <c r="O8" s="10">
        <f>Ratings!J8</f>
        <v>14.3</v>
      </c>
      <c r="P8" s="79">
        <v>5.6944750546005762</v>
      </c>
      <c r="Q8" s="79">
        <v>5.7151364886607769</v>
      </c>
      <c r="R8" s="79">
        <v>5.7461252618298451</v>
      </c>
      <c r="S8" s="79">
        <v>5.7875785054849755</v>
      </c>
      <c r="T8" s="79">
        <v>5.8397138190916014</v>
      </c>
      <c r="U8" s="79">
        <v>5.9448507583986894</v>
      </c>
      <c r="V8" s="79">
        <v>6.0518790819500081</v>
      </c>
      <c r="W8" s="79">
        <v>6.1608338543745269</v>
      </c>
      <c r="X8" s="79">
        <v>6.2717498885012795</v>
      </c>
      <c r="Y8" s="79">
        <v>6.3846628715900255</v>
      </c>
    </row>
    <row r="9" spans="1:25" ht="14.1" customHeight="1" thickBot="1" x14ac:dyDescent="0.3">
      <c r="A9" s="4"/>
      <c r="B9" s="10"/>
      <c r="C9" s="79"/>
      <c r="D9" s="79"/>
      <c r="E9" s="79"/>
      <c r="F9" s="79"/>
      <c r="G9" s="79"/>
      <c r="H9" s="79"/>
      <c r="I9" s="79"/>
      <c r="J9" s="79"/>
      <c r="K9" s="79"/>
      <c r="L9" s="79"/>
      <c r="M9" s="90"/>
      <c r="N9" s="4" t="str">
        <f>Ratings!H9</f>
        <v>SBY12</v>
      </c>
      <c r="O9" s="10">
        <f>Ratings!J9</f>
        <v>14.3</v>
      </c>
      <c r="P9" s="79">
        <v>5.9633645503240045</v>
      </c>
      <c r="Q9" s="79">
        <v>6.3699764479592647</v>
      </c>
      <c r="R9" s="79">
        <v>6.6960756585625667</v>
      </c>
      <c r="S9" s="79">
        <v>6.9481312964485813</v>
      </c>
      <c r="T9" s="79">
        <v>7.1140531391289947</v>
      </c>
      <c r="U9" s="79">
        <v>7.317198811952915</v>
      </c>
      <c r="V9" s="79">
        <v>7.5241946049378114</v>
      </c>
      <c r="W9" s="79">
        <v>7.7351049063001378</v>
      </c>
      <c r="X9" s="79">
        <v>7.9499940189339604</v>
      </c>
      <c r="Y9" s="79">
        <v>8.1689275480127606</v>
      </c>
    </row>
    <row r="10" spans="1:25" ht="14.1" customHeight="1" thickBot="1" x14ac:dyDescent="0.3">
      <c r="A10" s="4"/>
      <c r="B10" s="1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90"/>
      <c r="N10" s="4" t="str">
        <f>Ratings!H10</f>
        <v>SBY13</v>
      </c>
      <c r="O10" s="10">
        <f>Ratings!J10</f>
        <v>14.1</v>
      </c>
      <c r="P10" s="79">
        <v>6.749919839995866</v>
      </c>
      <c r="Q10" s="79">
        <v>7.1995202320399612</v>
      </c>
      <c r="R10" s="79">
        <v>7.5462059334343996</v>
      </c>
      <c r="S10" s="79">
        <v>7.8399532940115586</v>
      </c>
      <c r="T10" s="79">
        <v>8.0885884023855148</v>
      </c>
      <c r="U10" s="79">
        <v>8.4307211653768892</v>
      </c>
      <c r="V10" s="79">
        <v>8.6767513543312642</v>
      </c>
      <c r="W10" s="79">
        <v>8.9208617003132265</v>
      </c>
      <c r="X10" s="79">
        <v>9.1564824781893481</v>
      </c>
      <c r="Y10" s="79">
        <v>9.3860724859445988</v>
      </c>
    </row>
    <row r="11" spans="1:25" ht="14.1" customHeight="1" thickBot="1" x14ac:dyDescent="0.3">
      <c r="A11" s="4"/>
      <c r="B11" s="1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90"/>
      <c r="N11" s="4" t="str">
        <f>Ratings!H11</f>
        <v>SBY23</v>
      </c>
      <c r="O11" s="10">
        <f>Ratings!J11</f>
        <v>14.3</v>
      </c>
      <c r="P11" s="79">
        <v>9.4915072568945114</v>
      </c>
      <c r="Q11" s="79">
        <v>10.145608646909498</v>
      </c>
      <c r="R11" s="79">
        <v>10.666219303851241</v>
      </c>
      <c r="S11" s="79">
        <v>11.064023729710726</v>
      </c>
      <c r="T11" s="79">
        <v>11.446780368733558</v>
      </c>
      <c r="U11" s="79">
        <v>11.923076772880906</v>
      </c>
      <c r="V11" s="79">
        <v>12.271022906290749</v>
      </c>
      <c r="W11" s="79">
        <v>12.616253917861908</v>
      </c>
      <c r="X11" s="79">
        <v>12.949478628867677</v>
      </c>
      <c r="Y11" s="79">
        <v>13.274174373757704</v>
      </c>
    </row>
    <row r="12" spans="1:25" ht="14.1" customHeight="1" thickBot="1" x14ac:dyDescent="0.3">
      <c r="A12" s="4"/>
      <c r="B12" s="1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90"/>
      <c r="N12" s="4" t="str">
        <f>Ratings!H12</f>
        <v>SBY24</v>
      </c>
      <c r="O12" s="10">
        <f>Ratings!J12</f>
        <v>14.3</v>
      </c>
      <c r="P12" s="79">
        <v>6.4577044953436094</v>
      </c>
      <c r="Q12" s="79">
        <v>9.0351675146383155</v>
      </c>
      <c r="R12" s="79">
        <v>11.330815023291915</v>
      </c>
      <c r="S12" s="79">
        <v>13.047844345354106</v>
      </c>
      <c r="T12" s="79">
        <v>13.988033660851425</v>
      </c>
      <c r="U12" s="79">
        <v>14.875919362411937</v>
      </c>
      <c r="V12" s="79">
        <v>15.310037058847529</v>
      </c>
      <c r="W12" s="79">
        <v>15.740767212428143</v>
      </c>
      <c r="X12" s="79">
        <v>16.156517611835081</v>
      </c>
      <c r="Y12" s="79">
        <v>16.561626780408798</v>
      </c>
    </row>
    <row r="13" spans="1:25" ht="14.1" customHeight="1" thickBot="1" x14ac:dyDescent="0.3">
      <c r="A13" s="4"/>
      <c r="B13" s="1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90"/>
      <c r="N13" s="4" t="str">
        <f>Ratings!H13</f>
        <v>SBY32</v>
      </c>
      <c r="O13" s="10">
        <f>Ratings!J13</f>
        <v>14.3</v>
      </c>
      <c r="P13" s="79">
        <v>10.786186186931019</v>
      </c>
      <c r="Q13" s="79">
        <v>12.591440775844974</v>
      </c>
      <c r="R13" s="79">
        <v>13.604452457539869</v>
      </c>
      <c r="S13" s="79">
        <v>14.457601358659042</v>
      </c>
      <c r="T13" s="79">
        <v>15.05811346498194</v>
      </c>
      <c r="U13" s="79">
        <v>15.788111449037068</v>
      </c>
      <c r="V13" s="79">
        <v>16.248849263376304</v>
      </c>
      <c r="W13" s="79">
        <v>16.705991810570712</v>
      </c>
      <c r="X13" s="79">
        <v>17.147236044349228</v>
      </c>
      <c r="Y13" s="79">
        <v>17.577186526510992</v>
      </c>
    </row>
    <row r="14" spans="1:25" ht="14.1" customHeight="1" thickBot="1" x14ac:dyDescent="0.3">
      <c r="A14" s="4"/>
      <c r="B14" s="10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4" t="str">
        <f>Ratings!H14</f>
        <v>SBY34</v>
      </c>
      <c r="O14" s="10">
        <f>Ratings!J14</f>
        <v>14.3</v>
      </c>
      <c r="P14" s="79">
        <v>3.473669103817477</v>
      </c>
      <c r="Q14" s="79">
        <v>3.4821042006706007</v>
      </c>
      <c r="R14" s="79">
        <v>3.4947170374795773</v>
      </c>
      <c r="S14" s="79">
        <v>3.5115409110140927</v>
      </c>
      <c r="T14" s="79">
        <v>3.5326386531182785</v>
      </c>
      <c r="U14" s="79">
        <v>3.5750436015158469</v>
      </c>
      <c r="V14" s="79">
        <v>3.6179566849500695</v>
      </c>
      <c r="W14" s="79">
        <v>3.6613846151336973</v>
      </c>
      <c r="X14" s="79">
        <v>3.7053336518821798</v>
      </c>
      <c r="Y14" s="79">
        <v>3.7498102742304886</v>
      </c>
    </row>
    <row r="15" spans="1:25" ht="14.1" customHeight="1" thickBot="1" x14ac:dyDescent="0.3">
      <c r="A15" s="4"/>
      <c r="B15" s="10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4" t="str">
        <f>Ratings!H15</f>
        <v>SBY35</v>
      </c>
      <c r="O15" s="10">
        <f>Ratings!J15</f>
        <v>14.3</v>
      </c>
      <c r="P15" s="79">
        <v>5.4962409111947235</v>
      </c>
      <c r="Q15" s="79">
        <v>5.6251740013858562</v>
      </c>
      <c r="R15" s="79">
        <v>5.7426493304221857</v>
      </c>
      <c r="S15" s="79">
        <v>5.8678622840730226</v>
      </c>
      <c r="T15" s="79">
        <v>6.0012706094949673</v>
      </c>
      <c r="U15" s="79">
        <v>6.1726401694239978</v>
      </c>
      <c r="V15" s="79">
        <v>6.3472576124533076</v>
      </c>
      <c r="W15" s="79">
        <v>6.5251772551733849</v>
      </c>
      <c r="X15" s="79">
        <v>6.7064533421984667</v>
      </c>
      <c r="Y15" s="79">
        <v>6.8911412167192436</v>
      </c>
    </row>
    <row r="16" spans="1:25" ht="14.1" customHeight="1" thickBot="1" x14ac:dyDescent="0.3">
      <c r="A16" s="4"/>
      <c r="B16" s="10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94"/>
      <c r="N16" s="4" t="str">
        <f>Ratings!H16</f>
        <v>SA 02</v>
      </c>
      <c r="O16" s="10">
        <f>Ratings!J16</f>
        <v>7.4</v>
      </c>
      <c r="P16" s="79">
        <v>0.34548135618849068</v>
      </c>
      <c r="Q16" s="79">
        <v>0.35153732889178463</v>
      </c>
      <c r="R16" s="79">
        <v>0.35759145493521283</v>
      </c>
      <c r="S16" s="79">
        <v>0.36364290723952369</v>
      </c>
      <c r="T16" s="79">
        <v>0.36969232823316883</v>
      </c>
      <c r="U16" s="79">
        <v>0.37574021203391234</v>
      </c>
      <c r="V16" s="79">
        <v>0.38178804751187184</v>
      </c>
      <c r="W16" s="79">
        <v>0.38783589732851992</v>
      </c>
      <c r="X16" s="79">
        <v>0.39388376934446961</v>
      </c>
      <c r="Y16" s="79">
        <v>0.39993168703050019</v>
      </c>
    </row>
    <row r="17" spans="1:25" ht="14.1" customHeight="1" thickBot="1" x14ac:dyDescent="0.3">
      <c r="A17" s="4"/>
      <c r="B17" s="1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94"/>
      <c r="N17" s="4" t="str">
        <f>Ratings!H17</f>
        <v>SA 06</v>
      </c>
      <c r="O17" s="10">
        <f>Ratings!J17</f>
        <v>12.8</v>
      </c>
      <c r="P17" s="79">
        <v>0.37761915676416419</v>
      </c>
      <c r="Q17" s="79">
        <v>0.38423847576543896</v>
      </c>
      <c r="R17" s="79">
        <v>0.39085577632453505</v>
      </c>
      <c r="S17" s="79">
        <v>0.39747015442459577</v>
      </c>
      <c r="T17" s="79">
        <v>0.40408231225485902</v>
      </c>
      <c r="U17" s="79">
        <v>0.41069278989753211</v>
      </c>
      <c r="V17" s="79">
        <v>0.4173032147222786</v>
      </c>
      <c r="W17" s="79">
        <v>0.42391365521954505</v>
      </c>
      <c r="X17" s="79">
        <v>0.43052411998116435</v>
      </c>
      <c r="Y17" s="79">
        <v>0.43713463466124447</v>
      </c>
    </row>
    <row r="18" spans="1:25" ht="14.1" customHeight="1" thickBot="1" x14ac:dyDescent="0.3">
      <c r="A18" s="4"/>
      <c r="B18" s="1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94"/>
      <c r="N18" s="4" t="str">
        <f>Ratings!H18</f>
        <v>SA 10</v>
      </c>
      <c r="O18" s="10">
        <f>Ratings!J18</f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f t="shared" ref="X18:Y23" si="3">X18+X18-W18</f>
        <v>0</v>
      </c>
    </row>
    <row r="19" spans="1:25" ht="14.1" customHeight="1" thickBot="1" x14ac:dyDescent="0.3">
      <c r="A19" s="4"/>
      <c r="B19" s="1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94"/>
      <c r="N19" s="4" t="str">
        <f>Ratings!H19</f>
        <v>SA 12</v>
      </c>
      <c r="O19" s="10">
        <f>Ratings!J19</f>
        <v>12.8</v>
      </c>
      <c r="P19" s="79">
        <v>2.7651112057154887</v>
      </c>
      <c r="Q19" s="79">
        <v>2.8223741137064136</v>
      </c>
      <c r="R19" s="79">
        <v>2.8819928893912858</v>
      </c>
      <c r="S19" s="79">
        <v>2.9504515621368474</v>
      </c>
      <c r="T19" s="79">
        <v>3.0199622848329692</v>
      </c>
      <c r="U19" s="79">
        <v>3.1078819567568798</v>
      </c>
      <c r="V19" s="79">
        <v>3.1606501664141629</v>
      </c>
      <c r="W19" s="79">
        <v>3.2110389295841597</v>
      </c>
      <c r="X19" s="79">
        <v>3.2567687371028242</v>
      </c>
      <c r="Y19" s="79">
        <v>3.2988429709782707</v>
      </c>
    </row>
    <row r="20" spans="1:25" ht="14.1" customHeight="1" thickBot="1" x14ac:dyDescent="0.3">
      <c r="A20" s="4"/>
      <c r="B20" s="1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94"/>
      <c r="N20" s="4" t="str">
        <f>Ratings!H20</f>
        <v>ACR51070 (SBY13)</v>
      </c>
      <c r="O20" s="10">
        <f>Ratings!J20</f>
        <v>2</v>
      </c>
      <c r="P20" s="79">
        <v>2.3833031798823732</v>
      </c>
      <c r="Q20" s="79">
        <v>2.4111074231074419</v>
      </c>
      <c r="R20" s="79">
        <v>2.4408345633448243</v>
      </c>
      <c r="S20" s="79">
        <v>2.4878799304935195</v>
      </c>
      <c r="T20" s="79">
        <v>2.5703862233983172</v>
      </c>
      <c r="U20" s="79">
        <v>2.6915778873454133</v>
      </c>
      <c r="V20" s="79">
        <v>2.839146755573406</v>
      </c>
      <c r="W20" s="79">
        <v>2.9901158733516802</v>
      </c>
      <c r="X20" s="79">
        <f t="shared" si="3"/>
        <v>3.1410849911299543</v>
      </c>
      <c r="Y20" s="79">
        <f t="shared" si="3"/>
        <v>3.2920541089082285</v>
      </c>
    </row>
    <row r="21" spans="1:25" ht="14.1" customHeight="1" thickBot="1" x14ac:dyDescent="0.3">
      <c r="A21" s="4"/>
      <c r="B21" s="1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94"/>
      <c r="N21" s="4" t="str">
        <f>Ratings!H21</f>
        <v>ACR55612 (SBY23)</v>
      </c>
      <c r="O21" s="10">
        <f>Ratings!J21</f>
        <v>3</v>
      </c>
      <c r="P21" s="79">
        <f>'Summer 10PoE'!P21*P11/'Summer 10PoE'!P11</f>
        <v>2.0881315965167921</v>
      </c>
      <c r="Q21" s="79">
        <f>'Summer 10PoE'!Q21*Q11/'Summer 10PoE'!Q11</f>
        <v>2.2320339023200892</v>
      </c>
      <c r="R21" s="79">
        <f>'Summer 10PoE'!R21*R11/'Summer 10PoE'!R11</f>
        <v>2.3465682468472724</v>
      </c>
      <c r="S21" s="79">
        <f>'Summer 10PoE'!S21*S11/'Summer 10PoE'!S11</f>
        <v>2.4340852205363595</v>
      </c>
      <c r="T21" s="79">
        <f>'Summer 10PoE'!T21*T11/'Summer 10PoE'!T11</f>
        <v>2.5182916811213825</v>
      </c>
      <c r="U21" s="79">
        <f>'Summer 10PoE'!U21*U11/'Summer 10PoE'!U11</f>
        <v>2.6230768900337993</v>
      </c>
      <c r="V21" s="79">
        <f>'Summer 10PoE'!V21*V11/'Summer 10PoE'!V11</f>
        <v>2.6996250393839647</v>
      </c>
      <c r="W21" s="79">
        <f>'Summer 10PoE'!W21*W11/'Summer 10PoE'!W11</f>
        <v>2.7755758619296196</v>
      </c>
      <c r="X21" s="79">
        <f>'Summer 10PoE'!X21*X11/'Summer 10PoE'!X11</f>
        <v>2.8488852983508894</v>
      </c>
      <c r="Y21" s="79">
        <f t="shared" si="3"/>
        <v>2.9221947347721593</v>
      </c>
    </row>
    <row r="22" spans="1:25" ht="14.1" customHeight="1" thickBot="1" x14ac:dyDescent="0.3">
      <c r="A22" s="4"/>
      <c r="B22" s="1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94"/>
      <c r="N22" s="4" t="str">
        <f>Ratings!H22</f>
        <v>sw51196 (SBY24)</v>
      </c>
      <c r="O22" s="10">
        <f>Ratings!J22</f>
        <v>1.5</v>
      </c>
      <c r="P22" s="79">
        <f>'Summer 10PoE'!P22*P$12/'Summer 10PoE'!P$12</f>
        <v>0.75735159738171209</v>
      </c>
      <c r="Q22" s="79">
        <f>'Summer 10PoE'!Q22*Q$12/'Summer 10PoE'!Q$12</f>
        <v>1.0596332729001068</v>
      </c>
      <c r="R22" s="79">
        <f>'Summer 10PoE'!R22*R$12/'Summer 10PoE'!R$12</f>
        <v>1.3288639738338204</v>
      </c>
      <c r="S22" s="79">
        <f>'Summer 10PoE'!S22*S$12/'Summer 10PoE'!S$12</f>
        <v>1.5302350493843815</v>
      </c>
      <c r="T22" s="79">
        <f>'Summer 10PoE'!T22*T$12/'Summer 10PoE'!T$12</f>
        <v>1.6404992896336135</v>
      </c>
      <c r="U22" s="79">
        <f>'Summer 10PoE'!U22*U$12/'Summer 10PoE'!U$12</f>
        <v>1.7446294267208873</v>
      </c>
      <c r="V22" s="79">
        <f>'Summer 10PoE'!V22*V$12/'Summer 10PoE'!V$12</f>
        <v>1.7955422133131249</v>
      </c>
      <c r="W22" s="79">
        <f>'Summer 10PoE'!W22*W$12/'Summer 10PoE'!W$12</f>
        <v>1.8460577130684896</v>
      </c>
      <c r="X22" s="79">
        <f>'Summer 10PoE'!X22*X$12/'Summer 10PoE'!X$12</f>
        <v>1.8948164057788743</v>
      </c>
      <c r="Y22" s="79">
        <f t="shared" si="3"/>
        <v>1.943575098489259</v>
      </c>
    </row>
    <row r="23" spans="1:25" ht="14.1" customHeight="1" thickBot="1" x14ac:dyDescent="0.3">
      <c r="A23" s="4"/>
      <c r="B23" s="1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94"/>
      <c r="N23" s="4" t="str">
        <f>Ratings!H23</f>
        <v>sw56781 (SBY24)</v>
      </c>
      <c r="O23" s="10">
        <f>Ratings!J23</f>
        <v>0.6</v>
      </c>
      <c r="P23" s="79">
        <f>'Summer 10PoE'!P23*P$12/'Summer 10PoE'!P$12</f>
        <v>0.30294063895268486</v>
      </c>
      <c r="Q23" s="79">
        <f>'Summer 10PoE'!Q23*Q$12/'Summer 10PoE'!Q$12</f>
        <v>0.42385330916004282</v>
      </c>
      <c r="R23" s="79">
        <f>'Summer 10PoE'!R23*R$12/'Summer 10PoE'!R$12</f>
        <v>0.53154558953352815</v>
      </c>
      <c r="S23" s="79">
        <f>'Summer 10PoE'!S23*S$12/'Summer 10PoE'!S$12</f>
        <v>0.61209401975375266</v>
      </c>
      <c r="T23" s="79">
        <f>'Summer 10PoE'!T23*T$12/'Summer 10PoE'!T$12</f>
        <v>0.6561997158534455</v>
      </c>
      <c r="U23" s="79">
        <f>'Summer 10PoE'!U23*U$12/'Summer 10PoE'!U$12</f>
        <v>0.69785177068835513</v>
      </c>
      <c r="V23" s="79">
        <f>'Summer 10PoE'!V23*V$12/'Summer 10PoE'!V$12</f>
        <v>0.71821688532525019</v>
      </c>
      <c r="W23" s="79">
        <f>'Summer 10PoE'!W23*W$12/'Summer 10PoE'!W$12</f>
        <v>0.73842308522739619</v>
      </c>
      <c r="X23" s="79">
        <f>'Summer 10PoE'!X23*X$12/'Summer 10PoE'!X$12</f>
        <v>0.75792656231155009</v>
      </c>
      <c r="Y23" s="79">
        <f t="shared" si="3"/>
        <v>0.77743003939570399</v>
      </c>
    </row>
    <row r="24" spans="1:25" ht="14.1" customHeight="1" thickBot="1" x14ac:dyDescent="0.3">
      <c r="A24" s="4"/>
      <c r="B24" s="1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94"/>
      <c r="N24" s="4"/>
      <c r="O24" s="10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ht="14.1" customHeight="1" thickBot="1" x14ac:dyDescent="0.3">
      <c r="A25" s="4"/>
      <c r="B25" s="1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94"/>
      <c r="N25" s="4"/>
      <c r="O25" s="10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ht="14.1" customHeight="1" thickBot="1" x14ac:dyDescent="0.3">
      <c r="A26" s="4"/>
      <c r="B26" s="1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94"/>
      <c r="N26" s="4"/>
      <c r="O26" s="10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ht="14.1" customHeight="1" thickBot="1" x14ac:dyDescent="0.3">
      <c r="A27" s="4"/>
      <c r="B27" s="1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94"/>
      <c r="N27" s="4"/>
      <c r="O27" s="10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14.1" customHeight="1" thickBot="1" x14ac:dyDescent="0.3">
      <c r="A28" s="4"/>
      <c r="B28" s="10"/>
      <c r="C28" s="79"/>
      <c r="D28" s="79"/>
      <c r="E28" s="79"/>
      <c r="F28" s="79"/>
      <c r="G28" s="79"/>
      <c r="H28" s="79"/>
      <c r="I28" s="79"/>
      <c r="J28" s="79"/>
      <c r="K28" s="79"/>
      <c r="L28" s="79"/>
      <c r="N28" s="4"/>
      <c r="O28" s="10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14.1" customHeight="1" thickBot="1" x14ac:dyDescent="0.3">
      <c r="A29" s="4"/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N29" s="4"/>
      <c r="O29" s="10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spans="1:25" ht="14.1" customHeight="1" thickBot="1" x14ac:dyDescent="0.3">
      <c r="A30" s="4"/>
      <c r="B30" s="10"/>
      <c r="C30" s="79"/>
      <c r="D30" s="79"/>
      <c r="E30" s="79"/>
      <c r="F30" s="79"/>
      <c r="G30" s="79"/>
      <c r="H30" s="79"/>
      <c r="I30" s="79"/>
      <c r="J30" s="79"/>
      <c r="K30" s="79"/>
      <c r="L30" s="79"/>
      <c r="N30" s="4"/>
      <c r="O30" s="10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ht="14.1" customHeight="1" thickBot="1" x14ac:dyDescent="0.3">
      <c r="A31" s="4"/>
      <c r="B31" s="10"/>
      <c r="C31" s="79"/>
      <c r="D31" s="79"/>
      <c r="E31" s="79"/>
      <c r="F31" s="79"/>
      <c r="G31" s="79"/>
      <c r="H31" s="79"/>
      <c r="I31" s="79"/>
      <c r="J31" s="79"/>
      <c r="K31" s="79"/>
      <c r="L31" s="79"/>
      <c r="N31" s="4"/>
      <c r="O31" s="10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ht="14.1" customHeight="1" thickBot="1" x14ac:dyDescent="0.3">
      <c r="A32" s="4"/>
      <c r="B32" s="10"/>
      <c r="C32" s="79"/>
      <c r="D32" s="79"/>
      <c r="E32" s="79"/>
      <c r="F32" s="79"/>
      <c r="G32" s="79"/>
      <c r="H32" s="79"/>
      <c r="I32" s="79"/>
      <c r="J32" s="79"/>
      <c r="K32" s="79"/>
      <c r="L32" s="79"/>
      <c r="N32" s="4"/>
      <c r="O32" s="10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spans="1:25" ht="14.1" customHeight="1" thickBot="1" x14ac:dyDescent="0.3">
      <c r="A33" s="4"/>
      <c r="B33" s="10"/>
      <c r="C33" s="79"/>
      <c r="D33" s="79"/>
      <c r="E33" s="79"/>
      <c r="F33" s="79"/>
      <c r="G33" s="79"/>
      <c r="H33" s="79"/>
      <c r="I33" s="79"/>
      <c r="J33" s="79"/>
      <c r="K33" s="79"/>
      <c r="L33" s="79"/>
      <c r="N33" s="4"/>
      <c r="O33" s="10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ht="14.1" customHeight="1" thickBot="1" x14ac:dyDescent="0.3">
      <c r="A34" s="4"/>
      <c r="B34" s="10"/>
      <c r="C34" s="79"/>
      <c r="D34" s="79"/>
      <c r="E34" s="79"/>
      <c r="F34" s="79"/>
      <c r="G34" s="79"/>
      <c r="H34" s="79"/>
      <c r="I34" s="79"/>
      <c r="J34" s="79"/>
      <c r="K34" s="79"/>
      <c r="L34" s="79"/>
      <c r="N34" s="4"/>
      <c r="O34" s="10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14.1" customHeight="1" thickBot="1" x14ac:dyDescent="0.3">
      <c r="A35" s="4"/>
      <c r="B35" s="10"/>
      <c r="C35" s="79"/>
      <c r="D35" s="79"/>
      <c r="E35" s="79"/>
      <c r="F35" s="79"/>
      <c r="G35" s="79"/>
      <c r="H35" s="79"/>
      <c r="I35" s="79"/>
      <c r="J35" s="79"/>
      <c r="K35" s="79"/>
      <c r="L35" s="79"/>
      <c r="N35" s="4"/>
      <c r="O35" s="10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ht="14.1" customHeight="1" thickBot="1" x14ac:dyDescent="0.3">
      <c r="A36" s="4"/>
      <c r="B36" s="10"/>
      <c r="C36" s="79"/>
      <c r="D36" s="79"/>
      <c r="E36" s="79"/>
      <c r="F36" s="79"/>
      <c r="G36" s="79"/>
      <c r="H36" s="79"/>
      <c r="I36" s="79"/>
      <c r="J36" s="79"/>
      <c r="K36" s="79"/>
      <c r="L36" s="79"/>
      <c r="N36" s="4"/>
      <c r="O36" s="10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spans="1:25" ht="14.1" customHeight="1" thickBot="1" x14ac:dyDescent="0.3">
      <c r="A37" s="4"/>
      <c r="B37" s="10"/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4"/>
      <c r="O37" s="10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ht="14.1" customHeight="1" thickBot="1" x14ac:dyDescent="0.3">
      <c r="A38" s="4"/>
      <c r="B38" s="10"/>
      <c r="C38" s="79"/>
      <c r="D38" s="79"/>
      <c r="E38" s="79"/>
      <c r="F38" s="79"/>
      <c r="G38" s="79"/>
      <c r="H38" s="79"/>
      <c r="I38" s="79"/>
      <c r="J38" s="79"/>
      <c r="K38" s="79"/>
      <c r="L38" s="79"/>
      <c r="N38" s="4"/>
      <c r="O38" s="10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4.1" customHeight="1" thickBot="1" x14ac:dyDescent="0.3">
      <c r="A39" s="4"/>
      <c r="B39" s="10"/>
      <c r="C39" s="79"/>
      <c r="D39" s="79"/>
      <c r="E39" s="79"/>
      <c r="F39" s="79"/>
      <c r="G39" s="79"/>
      <c r="H39" s="79"/>
      <c r="I39" s="79"/>
      <c r="J39" s="79"/>
      <c r="K39" s="79"/>
      <c r="L39" s="79"/>
      <c r="N39" s="4"/>
      <c r="O39" s="10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4.1" customHeight="1" thickBot="1" x14ac:dyDescent="0.3">
      <c r="A40" s="4"/>
      <c r="B40" s="10"/>
      <c r="C40" s="79"/>
      <c r="D40" s="79"/>
      <c r="E40" s="79"/>
      <c r="F40" s="79"/>
      <c r="G40" s="79"/>
      <c r="H40" s="79"/>
      <c r="I40" s="79"/>
      <c r="J40" s="79"/>
      <c r="K40" s="79"/>
      <c r="L40" s="79"/>
      <c r="N40" s="4"/>
      <c r="O40" s="10"/>
      <c r="P40" s="79"/>
      <c r="Q40" s="79"/>
      <c r="R40" s="79"/>
      <c r="S40" s="79"/>
      <c r="T40" s="79"/>
      <c r="U40" s="79"/>
      <c r="V40" s="79"/>
      <c r="W40" s="79"/>
      <c r="X40" s="79"/>
      <c r="Y40" s="79"/>
    </row>
    <row r="41" spans="1:25" ht="14.1" customHeight="1" thickBot="1" x14ac:dyDescent="0.3">
      <c r="A41" s="4"/>
      <c r="B41" s="10"/>
      <c r="C41" s="79"/>
      <c r="D41" s="79"/>
      <c r="E41" s="79"/>
      <c r="F41" s="79"/>
      <c r="G41" s="79"/>
      <c r="H41" s="79"/>
      <c r="I41" s="79"/>
      <c r="J41" s="79"/>
      <c r="K41" s="79"/>
      <c r="L41" s="79"/>
      <c r="N41" s="4"/>
      <c r="O41" s="10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14.1" customHeight="1" thickBot="1" x14ac:dyDescent="0.3">
      <c r="A42" s="4"/>
      <c r="B42" s="10"/>
      <c r="C42" s="79"/>
      <c r="D42" s="79"/>
      <c r="E42" s="79"/>
      <c r="F42" s="79"/>
      <c r="G42" s="79"/>
      <c r="H42" s="79"/>
      <c r="I42" s="79"/>
      <c r="J42" s="79"/>
      <c r="K42" s="79"/>
      <c r="L42" s="79"/>
      <c r="N42" s="4"/>
      <c r="O42" s="10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ht="14.1" customHeight="1" thickBot="1" x14ac:dyDescent="0.3">
      <c r="A43" s="4"/>
      <c r="B43" s="10"/>
      <c r="C43" s="79"/>
      <c r="D43" s="79"/>
      <c r="E43" s="79"/>
      <c r="F43" s="79"/>
      <c r="G43" s="79"/>
      <c r="H43" s="79"/>
      <c r="I43" s="79"/>
      <c r="J43" s="79"/>
      <c r="K43" s="79"/>
      <c r="L43" s="79"/>
      <c r="N43" s="4"/>
      <c r="O43" s="10"/>
      <c r="P43" s="79"/>
      <c r="Q43" s="79"/>
      <c r="R43" s="79"/>
      <c r="S43" s="79"/>
      <c r="T43" s="79"/>
      <c r="U43" s="79"/>
      <c r="V43" s="79"/>
      <c r="W43" s="79"/>
      <c r="X43" s="79"/>
      <c r="Y43" s="79"/>
    </row>
    <row r="44" spans="1:25" ht="14.1" customHeight="1" thickBot="1" x14ac:dyDescent="0.3"/>
    <row r="45" spans="1:25" ht="14.1" customHeight="1" thickBot="1" x14ac:dyDescent="0.3">
      <c r="A45" s="1" t="s">
        <v>84</v>
      </c>
      <c r="B45" s="2" t="str">
        <f>B1</f>
        <v>Rating</v>
      </c>
      <c r="C45" s="2" t="s">
        <v>85</v>
      </c>
      <c r="D45" s="2">
        <f t="shared" ref="D45:L45" si="4">D1</f>
        <v>2026</v>
      </c>
      <c r="E45" s="2">
        <f t="shared" si="4"/>
        <v>2027</v>
      </c>
      <c r="F45" s="2">
        <f t="shared" si="4"/>
        <v>2028</v>
      </c>
      <c r="G45" s="2">
        <f t="shared" si="4"/>
        <v>2029</v>
      </c>
      <c r="H45" s="2">
        <f t="shared" si="4"/>
        <v>2030</v>
      </c>
      <c r="I45" s="2">
        <f t="shared" si="4"/>
        <v>2031</v>
      </c>
      <c r="J45" s="2">
        <f t="shared" si="4"/>
        <v>2032</v>
      </c>
      <c r="K45" s="2">
        <f t="shared" si="4"/>
        <v>2033</v>
      </c>
      <c r="L45" s="2">
        <f t="shared" si="4"/>
        <v>2034</v>
      </c>
      <c r="N45" s="1" t="s">
        <v>86</v>
      </c>
      <c r="O45" s="2" t="str">
        <f>O1</f>
        <v>Rating</v>
      </c>
      <c r="P45" s="2" t="s">
        <v>85</v>
      </c>
      <c r="Q45" s="2">
        <f t="shared" ref="Q45:T45" si="5">Q1</f>
        <v>2026</v>
      </c>
      <c r="R45" s="2">
        <f t="shared" si="5"/>
        <v>2027</v>
      </c>
      <c r="S45" s="2">
        <f t="shared" si="5"/>
        <v>2028</v>
      </c>
      <c r="T45" s="2">
        <f t="shared" si="5"/>
        <v>2029</v>
      </c>
      <c r="U45" s="2">
        <f>U1</f>
        <v>2030</v>
      </c>
      <c r="V45" s="2">
        <f>V1</f>
        <v>2031</v>
      </c>
      <c r="W45" s="2">
        <f t="shared" ref="W45:Y45" si="6">W1</f>
        <v>2032</v>
      </c>
      <c r="X45" s="2">
        <f t="shared" si="6"/>
        <v>2033</v>
      </c>
      <c r="Y45" s="2">
        <f t="shared" si="6"/>
        <v>2034</v>
      </c>
    </row>
    <row r="46" spans="1:25" ht="14.1" customHeight="1" thickTop="1" thickBot="1" x14ac:dyDescent="0.3">
      <c r="A46" s="6" t="s">
        <v>87</v>
      </c>
      <c r="B46" s="10"/>
      <c r="C46" s="79"/>
      <c r="D46" s="79"/>
      <c r="E46" s="79"/>
      <c r="F46" s="79"/>
      <c r="G46" s="79"/>
      <c r="H46" s="79"/>
      <c r="I46" s="79"/>
      <c r="J46" s="79"/>
      <c r="K46" s="79"/>
      <c r="L46" s="79"/>
      <c r="N46" s="6" t="s">
        <v>87</v>
      </c>
      <c r="O46" s="5"/>
      <c r="P46" s="92"/>
      <c r="Q46" s="92"/>
      <c r="R46" s="79"/>
      <c r="S46" s="79"/>
      <c r="T46" s="79"/>
      <c r="U46" s="79"/>
      <c r="V46" s="79"/>
      <c r="W46" s="79"/>
      <c r="X46" s="79"/>
      <c r="Y46" s="79"/>
    </row>
    <row r="47" spans="1:25" ht="14.1" customHeight="1" thickBot="1" x14ac:dyDescent="0.3">
      <c r="A47" s="4" t="str">
        <f>Ratings!A7</f>
        <v>SBY Replace No.1 &amp; 3 transformers</v>
      </c>
      <c r="B47" s="10">
        <f>Ratings!E7</f>
        <v>79.2</v>
      </c>
      <c r="C47" s="79">
        <v>7</v>
      </c>
      <c r="D47" s="79">
        <f>D2+$C47</f>
        <v>53.556856195760545</v>
      </c>
      <c r="E47" s="79">
        <f t="shared" ref="E47:L48" si="7">E2+$C47</f>
        <v>56.804829173981766</v>
      </c>
      <c r="F47" s="79">
        <f t="shared" si="7"/>
        <v>59.315068448168837</v>
      </c>
      <c r="G47" s="79">
        <f t="shared" si="7"/>
        <v>61.136743939309326</v>
      </c>
      <c r="H47" s="79">
        <f t="shared" si="7"/>
        <v>62.9759245449616</v>
      </c>
      <c r="I47" s="79">
        <f t="shared" si="7"/>
        <v>64.476136786830097</v>
      </c>
      <c r="J47" s="79">
        <f t="shared" si="7"/>
        <v>65.978956236270804</v>
      </c>
      <c r="K47" s="79">
        <f t="shared" si="7"/>
        <v>67.458895446074607</v>
      </c>
      <c r="L47" s="79">
        <f t="shared" si="7"/>
        <v>68.925655016388603</v>
      </c>
      <c r="N47" s="95" t="str">
        <f>Ratings!H56</f>
        <v>SBY14 new</v>
      </c>
      <c r="O47" s="5">
        <f>Ratings!J56</f>
        <v>14.3</v>
      </c>
      <c r="P47" s="79">
        <f>-P51</f>
        <v>7</v>
      </c>
      <c r="Q47" s="79">
        <f>$P47</f>
        <v>7</v>
      </c>
      <c r="R47" s="79">
        <f t="shared" ref="R47:Y48" si="8">$P47</f>
        <v>7</v>
      </c>
      <c r="S47" s="79">
        <f t="shared" si="8"/>
        <v>7</v>
      </c>
      <c r="T47" s="79">
        <f t="shared" si="8"/>
        <v>7</v>
      </c>
      <c r="U47" s="79">
        <f t="shared" si="8"/>
        <v>7</v>
      </c>
      <c r="V47" s="79">
        <f t="shared" si="8"/>
        <v>7</v>
      </c>
      <c r="W47" s="79">
        <f t="shared" si="8"/>
        <v>7</v>
      </c>
      <c r="X47" s="79">
        <f t="shared" si="8"/>
        <v>7</v>
      </c>
      <c r="Y47" s="79">
        <f t="shared" si="8"/>
        <v>7</v>
      </c>
    </row>
    <row r="48" spans="1:25" ht="14.1" customHeight="1" thickBot="1" x14ac:dyDescent="0.3">
      <c r="A48" s="4" t="str">
        <f>Ratings!A3</f>
        <v>SHM</v>
      </c>
      <c r="B48" s="10">
        <f>Ratings!E3</f>
        <v>39.6</v>
      </c>
      <c r="C48" s="79">
        <f>-(C49+C47)</f>
        <v>-27</v>
      </c>
      <c r="D48" s="79">
        <f>D3+$C48</f>
        <v>10.894988652370337</v>
      </c>
      <c r="E48" s="79">
        <f t="shared" si="7"/>
        <v>13.998716213283537</v>
      </c>
      <c r="F48" s="79">
        <f t="shared" si="7"/>
        <v>16.674441108321858</v>
      </c>
      <c r="G48" s="79">
        <f t="shared" si="7"/>
        <v>18.709391928752204</v>
      </c>
      <c r="H48" s="79">
        <f t="shared" si="7"/>
        <v>20.890538337940214</v>
      </c>
      <c r="I48" s="79">
        <f t="shared" si="7"/>
        <v>22.583547417252746</v>
      </c>
      <c r="J48" s="79">
        <f t="shared" si="7"/>
        <v>24.284266170366735</v>
      </c>
      <c r="K48" s="79">
        <f t="shared" si="7"/>
        <v>25.954545819330576</v>
      </c>
      <c r="L48" s="79">
        <f t="shared" si="7"/>
        <v>27.607960400378921</v>
      </c>
      <c r="N48" s="95" t="str">
        <f>Ratings!H46</f>
        <v>SBY22 new</v>
      </c>
      <c r="O48" s="5">
        <f>Ratings!J46</f>
        <v>14.3</v>
      </c>
      <c r="P48" s="79">
        <f>-(P60+P57+P58)</f>
        <v>11</v>
      </c>
      <c r="Q48" s="79">
        <f t="shared" ref="Q48" si="9">$P48</f>
        <v>11</v>
      </c>
      <c r="R48" s="79">
        <f t="shared" si="8"/>
        <v>11</v>
      </c>
      <c r="S48" s="79">
        <f t="shared" si="8"/>
        <v>11</v>
      </c>
      <c r="T48" s="79">
        <f t="shared" si="8"/>
        <v>11</v>
      </c>
      <c r="U48" s="79">
        <f t="shared" si="8"/>
        <v>11</v>
      </c>
      <c r="V48" s="79">
        <f t="shared" si="8"/>
        <v>11</v>
      </c>
      <c r="W48" s="79">
        <f t="shared" si="8"/>
        <v>11</v>
      </c>
      <c r="X48" s="79">
        <f t="shared" si="8"/>
        <v>11</v>
      </c>
      <c r="Y48" s="79">
        <f t="shared" si="8"/>
        <v>11</v>
      </c>
    </row>
    <row r="49" spans="1:25" ht="14.1" customHeight="1" thickBot="1" x14ac:dyDescent="0.3">
      <c r="A49" s="4" t="str">
        <f>Ratings!A9</f>
        <v>PLN New zone substation</v>
      </c>
      <c r="B49" s="10">
        <f>Ratings!C9</f>
        <v>33</v>
      </c>
      <c r="C49" s="79">
        <v>20</v>
      </c>
      <c r="D49" s="79">
        <f>$C49</f>
        <v>20</v>
      </c>
      <c r="E49" s="79">
        <f t="shared" ref="E49:L49" si="10">$C49</f>
        <v>20</v>
      </c>
      <c r="F49" s="79">
        <f t="shared" si="10"/>
        <v>20</v>
      </c>
      <c r="G49" s="79">
        <f t="shared" si="10"/>
        <v>20</v>
      </c>
      <c r="H49" s="79">
        <f t="shared" si="10"/>
        <v>20</v>
      </c>
      <c r="I49" s="79">
        <f t="shared" si="10"/>
        <v>20</v>
      </c>
      <c r="J49" s="79">
        <f t="shared" si="10"/>
        <v>20</v>
      </c>
      <c r="K49" s="79">
        <f t="shared" si="10"/>
        <v>20</v>
      </c>
      <c r="L49" s="79">
        <f t="shared" si="10"/>
        <v>20</v>
      </c>
      <c r="N49" s="95" t="str">
        <f>Ratings!H12</f>
        <v>SBY24</v>
      </c>
      <c r="O49" s="5">
        <f>Ratings!J12</f>
        <v>14.3</v>
      </c>
      <c r="P49" s="79">
        <f>-(P50+P59)</f>
        <v>-17</v>
      </c>
      <c r="Q49" s="79">
        <f>Q$12+$P49</f>
        <v>-7.9648324853616845</v>
      </c>
      <c r="R49" s="79">
        <f t="shared" ref="R49:Y49" si="11">R$12+$P49</f>
        <v>-5.6691849767080846</v>
      </c>
      <c r="S49" s="79">
        <f t="shared" si="11"/>
        <v>-3.9521556546458942</v>
      </c>
      <c r="T49" s="79">
        <f t="shared" si="11"/>
        <v>-3.0119663391485751</v>
      </c>
      <c r="U49" s="79">
        <f t="shared" si="11"/>
        <v>-2.1240806375880634</v>
      </c>
      <c r="V49" s="79">
        <f t="shared" si="11"/>
        <v>-1.689962941152471</v>
      </c>
      <c r="W49" s="79">
        <f t="shared" si="11"/>
        <v>-1.2592327875718574</v>
      </c>
      <c r="X49" s="79">
        <f t="shared" si="11"/>
        <v>-0.84348238816491872</v>
      </c>
      <c r="Y49" s="79">
        <f t="shared" si="11"/>
        <v>-0.43837321959120246</v>
      </c>
    </row>
    <row r="50" spans="1:25" ht="14.1" customHeight="1" thickBot="1" x14ac:dyDescent="0.3">
      <c r="A50" s="4" t="str">
        <f>Ratings!A6</f>
        <v>SBY Replace No.1 transformer</v>
      </c>
      <c r="B50" s="10">
        <f>Ratings!E6</f>
        <v>49</v>
      </c>
      <c r="C50" s="79">
        <f>C47</f>
        <v>7</v>
      </c>
      <c r="D50" s="79">
        <f>D47</f>
        <v>53.556856195760545</v>
      </c>
      <c r="E50" s="79">
        <f t="shared" ref="E50:L50" si="12">E47</f>
        <v>56.804829173981766</v>
      </c>
      <c r="F50" s="79">
        <f t="shared" si="12"/>
        <v>59.315068448168837</v>
      </c>
      <c r="G50" s="79">
        <f t="shared" si="12"/>
        <v>61.136743939309326</v>
      </c>
      <c r="H50" s="79">
        <f t="shared" si="12"/>
        <v>62.9759245449616</v>
      </c>
      <c r="I50" s="79">
        <f t="shared" si="12"/>
        <v>64.476136786830097</v>
      </c>
      <c r="J50" s="79">
        <f t="shared" si="12"/>
        <v>65.978956236270804</v>
      </c>
      <c r="K50" s="79">
        <f t="shared" si="12"/>
        <v>67.458895446074607</v>
      </c>
      <c r="L50" s="79">
        <f t="shared" si="12"/>
        <v>68.925655016388603</v>
      </c>
      <c r="N50" s="95" t="str">
        <f>Ratings!H15</f>
        <v>SBY35</v>
      </c>
      <c r="O50" s="5">
        <f>Ratings!J15</f>
        <v>14.3</v>
      </c>
      <c r="P50" s="79">
        <v>6</v>
      </c>
      <c r="Q50" s="79">
        <f>Q$15+$P50</f>
        <v>11.625174001385856</v>
      </c>
      <c r="R50" s="79">
        <f t="shared" ref="R50:Y50" si="13">R$15+$P50</f>
        <v>11.742649330422186</v>
      </c>
      <c r="S50" s="79">
        <f t="shared" si="13"/>
        <v>11.867862284073023</v>
      </c>
      <c r="T50" s="79">
        <f t="shared" si="13"/>
        <v>12.001270609494966</v>
      </c>
      <c r="U50" s="79">
        <f t="shared" si="13"/>
        <v>12.172640169423998</v>
      </c>
      <c r="V50" s="79">
        <f t="shared" si="13"/>
        <v>12.347257612453308</v>
      </c>
      <c r="W50" s="79">
        <f t="shared" si="13"/>
        <v>12.525177255173386</v>
      </c>
      <c r="X50" s="79">
        <f t="shared" si="13"/>
        <v>12.706453342198467</v>
      </c>
      <c r="Y50" s="79">
        <f t="shared" si="13"/>
        <v>12.891141216719245</v>
      </c>
    </row>
    <row r="51" spans="1:25" ht="14.1" customHeight="1" thickBot="1" x14ac:dyDescent="0.3">
      <c r="A51" s="4"/>
      <c r="B51" s="10"/>
      <c r="C51" s="79"/>
      <c r="D51" s="79"/>
      <c r="E51" s="79"/>
      <c r="F51" s="79"/>
      <c r="G51" s="79"/>
      <c r="H51" s="79"/>
      <c r="I51" s="79"/>
      <c r="J51" s="79"/>
      <c r="K51" s="79"/>
      <c r="L51" s="79"/>
      <c r="N51" s="95" t="str">
        <f>Ratings!H2</f>
        <v>SHM11</v>
      </c>
      <c r="O51" s="5">
        <f>Ratings!J2</f>
        <v>14.3</v>
      </c>
      <c r="P51" s="79">
        <v>-7</v>
      </c>
      <c r="Q51" s="79">
        <f>Q$2+$P51</f>
        <v>1.2986934948457343</v>
      </c>
      <c r="R51" s="79">
        <f t="shared" ref="R51:Y51" si="14">R$2+$P51</f>
        <v>4.0988954291412245</v>
      </c>
      <c r="S51" s="79">
        <f t="shared" si="14"/>
        <v>6.1906796725470272</v>
      </c>
      <c r="T51" s="79">
        <f t="shared" si="14"/>
        <v>7.493269027809891</v>
      </c>
      <c r="U51" s="79">
        <f t="shared" si="14"/>
        <v>8.5652519814942263</v>
      </c>
      <c r="V51" s="79">
        <f t="shared" si="14"/>
        <v>9.3456406631479467</v>
      </c>
      <c r="W51" s="79">
        <f t="shared" si="14"/>
        <v>9.9051437135010403</v>
      </c>
      <c r="X51" s="79">
        <f t="shared" si="14"/>
        <v>10.454523397317182</v>
      </c>
      <c r="Y51" s="79">
        <f t="shared" si="14"/>
        <v>10.998258926403828</v>
      </c>
    </row>
    <row r="52" spans="1:25" ht="14.1" customHeight="1" thickBot="1" x14ac:dyDescent="0.3">
      <c r="A52" s="4"/>
      <c r="B52" s="10"/>
      <c r="C52" s="79"/>
      <c r="D52" s="79"/>
      <c r="E52" s="79"/>
      <c r="F52" s="79"/>
      <c r="G52" s="79"/>
      <c r="H52" s="79"/>
      <c r="I52" s="79"/>
      <c r="J52" s="79"/>
      <c r="K52" s="79"/>
      <c r="L52" s="79"/>
      <c r="N52" s="95" t="str">
        <f>Ratings!H55</f>
        <v>SHM13 new</v>
      </c>
      <c r="O52" s="10">
        <f>Ratings!J55</f>
        <v>14.3</v>
      </c>
      <c r="P52" s="79">
        <f>-(P53+P54+P55)</f>
        <v>2</v>
      </c>
      <c r="Q52" s="79">
        <f t="shared" ref="Q52:Y52" si="15">$P52</f>
        <v>2</v>
      </c>
      <c r="R52" s="79">
        <f t="shared" si="15"/>
        <v>2</v>
      </c>
      <c r="S52" s="79">
        <f t="shared" si="15"/>
        <v>2</v>
      </c>
      <c r="T52" s="79">
        <f t="shared" si="15"/>
        <v>2</v>
      </c>
      <c r="U52" s="79">
        <f t="shared" si="15"/>
        <v>2</v>
      </c>
      <c r="V52" s="79">
        <f t="shared" si="15"/>
        <v>2</v>
      </c>
      <c r="W52" s="79">
        <f t="shared" si="15"/>
        <v>2</v>
      </c>
      <c r="X52" s="79">
        <f t="shared" si="15"/>
        <v>2</v>
      </c>
      <c r="Y52" s="79">
        <f t="shared" si="15"/>
        <v>2</v>
      </c>
    </row>
    <row r="53" spans="1:25" ht="14.1" customHeight="1" thickBot="1" x14ac:dyDescent="0.3">
      <c r="A53" s="4"/>
      <c r="B53" s="10"/>
      <c r="C53" s="79"/>
      <c r="D53" s="79"/>
      <c r="E53" s="79"/>
      <c r="F53" s="79"/>
      <c r="G53" s="79"/>
      <c r="H53" s="79"/>
      <c r="I53" s="79"/>
      <c r="J53" s="79"/>
      <c r="K53" s="79"/>
      <c r="L53" s="79"/>
      <c r="N53" s="95" t="str">
        <f>Ratings!H4</f>
        <v>SHM14</v>
      </c>
      <c r="O53" s="5">
        <f>Ratings!J4</f>
        <v>14.3</v>
      </c>
      <c r="P53" s="79">
        <v>-22</v>
      </c>
      <c r="Q53" s="79">
        <f>Q$4+$P53</f>
        <v>-11.161687590789231</v>
      </c>
      <c r="R53" s="79">
        <f t="shared" ref="R53:Y53" si="16">R$4+$P53</f>
        <v>-9.7776030022307907</v>
      </c>
      <c r="S53" s="79">
        <f t="shared" si="16"/>
        <v>-8.6593184903886691</v>
      </c>
      <c r="T53" s="79">
        <f t="shared" si="16"/>
        <v>-7.9543629877111091</v>
      </c>
      <c r="U53" s="79">
        <f t="shared" si="16"/>
        <v>-7.1783742436894435</v>
      </c>
      <c r="V53" s="79">
        <f t="shared" si="16"/>
        <v>-6.6554012967038183</v>
      </c>
      <c r="W53" s="79">
        <f t="shared" si="16"/>
        <v>-6.1301634086414403</v>
      </c>
      <c r="X53" s="79">
        <f t="shared" si="16"/>
        <v>-5.6144289105187539</v>
      </c>
      <c r="Y53" s="79">
        <f t="shared" si="16"/>
        <v>-5.1039929070300865</v>
      </c>
    </row>
    <row r="54" spans="1:25" ht="14.1" customHeight="1" thickBot="1" x14ac:dyDescent="0.3">
      <c r="A54" s="4"/>
      <c r="B54" s="10"/>
      <c r="C54" s="79"/>
      <c r="D54" s="79"/>
      <c r="E54" s="79"/>
      <c r="F54" s="79"/>
      <c r="G54" s="79"/>
      <c r="H54" s="79"/>
      <c r="I54" s="79"/>
      <c r="J54" s="79"/>
      <c r="K54" s="79"/>
      <c r="L54" s="79"/>
      <c r="N54" s="95" t="str">
        <f>Ratings!H51</f>
        <v>PLN11 new</v>
      </c>
      <c r="O54" s="10">
        <f>Ratings!J51</f>
        <v>14.3</v>
      </c>
      <c r="P54" s="79">
        <v>10</v>
      </c>
      <c r="Q54" s="79">
        <f>$P54</f>
        <v>10</v>
      </c>
      <c r="R54" s="79">
        <f t="shared" ref="R54:Y56" si="17">$P54</f>
        <v>10</v>
      </c>
      <c r="S54" s="79">
        <f t="shared" si="17"/>
        <v>10</v>
      </c>
      <c r="T54" s="79">
        <f t="shared" si="17"/>
        <v>10</v>
      </c>
      <c r="U54" s="79">
        <f t="shared" si="17"/>
        <v>10</v>
      </c>
      <c r="V54" s="79">
        <f t="shared" si="17"/>
        <v>10</v>
      </c>
      <c r="W54" s="79">
        <f t="shared" si="17"/>
        <v>10</v>
      </c>
      <c r="X54" s="79">
        <f t="shared" si="17"/>
        <v>10</v>
      </c>
      <c r="Y54" s="79">
        <f t="shared" si="17"/>
        <v>10</v>
      </c>
    </row>
    <row r="55" spans="1:25" ht="14.1" customHeight="1" thickBot="1" x14ac:dyDescent="0.3">
      <c r="A55" s="4"/>
      <c r="B55" s="10"/>
      <c r="C55" s="79"/>
      <c r="D55" s="79"/>
      <c r="E55" s="79"/>
      <c r="F55" s="79"/>
      <c r="G55" s="79"/>
      <c r="H55" s="79"/>
      <c r="I55" s="79"/>
      <c r="J55" s="79"/>
      <c r="K55" s="79"/>
      <c r="L55" s="79"/>
      <c r="N55" s="4" t="str">
        <f>Ratings!H52</f>
        <v>PLN12 new</v>
      </c>
      <c r="O55" s="96">
        <f>Ratings!J52</f>
        <v>14.3</v>
      </c>
      <c r="P55" s="79">
        <v>10</v>
      </c>
      <c r="Q55" s="79">
        <f t="shared" ref="Q55:Q56" si="18">$P55</f>
        <v>10</v>
      </c>
      <c r="R55" s="79">
        <f t="shared" si="17"/>
        <v>10</v>
      </c>
      <c r="S55" s="79">
        <f t="shared" si="17"/>
        <v>10</v>
      </c>
      <c r="T55" s="79">
        <f t="shared" si="17"/>
        <v>10</v>
      </c>
      <c r="U55" s="79">
        <f t="shared" si="17"/>
        <v>10</v>
      </c>
      <c r="V55" s="79">
        <f t="shared" si="17"/>
        <v>10</v>
      </c>
      <c r="W55" s="79">
        <f t="shared" si="17"/>
        <v>10</v>
      </c>
      <c r="X55" s="79">
        <f t="shared" si="17"/>
        <v>10</v>
      </c>
      <c r="Y55" s="79">
        <f t="shared" si="17"/>
        <v>10</v>
      </c>
    </row>
    <row r="56" spans="1:25" ht="14.1" customHeight="1" thickBot="1" x14ac:dyDescent="0.3">
      <c r="A56" s="6" t="s">
        <v>88</v>
      </c>
      <c r="B56" s="10"/>
      <c r="C56" s="79"/>
      <c r="D56" s="79"/>
      <c r="E56" s="79"/>
      <c r="F56" s="79"/>
      <c r="G56" s="79"/>
      <c r="H56" s="79"/>
      <c r="I56" s="79"/>
      <c r="J56" s="79"/>
      <c r="K56" s="79"/>
      <c r="L56" s="79"/>
      <c r="N56" s="4" t="str">
        <f>Ratings!H53</f>
        <v>PLN13 new</v>
      </c>
      <c r="O56" s="96">
        <f>Ratings!J53</f>
        <v>14.3</v>
      </c>
      <c r="P56" s="79">
        <v>0</v>
      </c>
      <c r="Q56" s="79">
        <f t="shared" si="18"/>
        <v>0</v>
      </c>
      <c r="R56" s="79">
        <f t="shared" si="17"/>
        <v>0</v>
      </c>
      <c r="S56" s="79">
        <f t="shared" si="17"/>
        <v>0</v>
      </c>
      <c r="T56" s="79">
        <f t="shared" si="17"/>
        <v>0</v>
      </c>
      <c r="U56" s="79">
        <f t="shared" si="17"/>
        <v>0</v>
      </c>
      <c r="V56" s="79">
        <f t="shared" si="17"/>
        <v>0</v>
      </c>
      <c r="W56" s="79">
        <f t="shared" si="17"/>
        <v>0</v>
      </c>
      <c r="X56" s="79">
        <f t="shared" si="17"/>
        <v>0</v>
      </c>
      <c r="Y56" s="79">
        <f t="shared" si="17"/>
        <v>0</v>
      </c>
    </row>
    <row r="57" spans="1:25" ht="14.1" customHeight="1" thickBot="1" x14ac:dyDescent="0.3">
      <c r="A57" s="4" t="str">
        <f>Ratings!A7</f>
        <v>SBY Replace No.1 &amp; 3 transformers</v>
      </c>
      <c r="B57" s="10">
        <f>Ratings!E7</f>
        <v>79.2</v>
      </c>
      <c r="C57" s="79">
        <f>C47</f>
        <v>7</v>
      </c>
      <c r="D57" s="79">
        <f>D2+$C57</f>
        <v>53.556856195760545</v>
      </c>
      <c r="E57" s="79">
        <f t="shared" ref="E57:L58" si="19">E2+$C57</f>
        <v>56.804829173981766</v>
      </c>
      <c r="F57" s="79">
        <f t="shared" si="19"/>
        <v>59.315068448168837</v>
      </c>
      <c r="G57" s="79">
        <f t="shared" si="19"/>
        <v>61.136743939309326</v>
      </c>
      <c r="H57" s="79">
        <f t="shared" si="19"/>
        <v>62.9759245449616</v>
      </c>
      <c r="I57" s="79">
        <f t="shared" si="19"/>
        <v>64.476136786830097</v>
      </c>
      <c r="J57" s="79">
        <f t="shared" si="19"/>
        <v>65.978956236270804</v>
      </c>
      <c r="K57" s="79">
        <f t="shared" si="19"/>
        <v>67.458895446074607</v>
      </c>
      <c r="L57" s="79">
        <f t="shared" si="19"/>
        <v>68.925655016388603</v>
      </c>
      <c r="N57" s="95" t="str">
        <f>Ratings!H13</f>
        <v>SBY32</v>
      </c>
      <c r="O57" s="5">
        <f>Ratings!J13</f>
        <v>14.3</v>
      </c>
      <c r="P57" s="79">
        <v>-4</v>
      </c>
      <c r="Q57" s="79">
        <f>Q$13+$P57</f>
        <v>8.5914407758449745</v>
      </c>
      <c r="R57" s="79">
        <f t="shared" ref="R57:Y57" si="20">R$13+$P57</f>
        <v>9.6044524575398693</v>
      </c>
      <c r="S57" s="79">
        <f t="shared" si="20"/>
        <v>10.457601358659042</v>
      </c>
      <c r="T57" s="79">
        <f t="shared" si="20"/>
        <v>11.05811346498194</v>
      </c>
      <c r="U57" s="79">
        <f t="shared" si="20"/>
        <v>11.788111449037068</v>
      </c>
      <c r="V57" s="79">
        <f t="shared" si="20"/>
        <v>12.248849263376304</v>
      </c>
      <c r="W57" s="79">
        <f t="shared" si="20"/>
        <v>12.705991810570712</v>
      </c>
      <c r="X57" s="79">
        <f t="shared" si="20"/>
        <v>13.147236044349228</v>
      </c>
      <c r="Y57" s="79">
        <f t="shared" si="20"/>
        <v>13.577186526510992</v>
      </c>
    </row>
    <row r="58" spans="1:25" ht="14.1" customHeight="1" thickBot="1" x14ac:dyDescent="0.3">
      <c r="A58" s="4" t="str">
        <f>Ratings!A8</f>
        <v>SHM 3rd transformer</v>
      </c>
      <c r="B58" s="10">
        <f>Ratings!E8</f>
        <v>79.2</v>
      </c>
      <c r="C58" s="79">
        <f>-C57</f>
        <v>-7</v>
      </c>
      <c r="D58" s="79">
        <f>D3+$C58</f>
        <v>30.894988652370337</v>
      </c>
      <c r="E58" s="79">
        <f t="shared" si="19"/>
        <v>33.998716213283537</v>
      </c>
      <c r="F58" s="79">
        <f t="shared" si="19"/>
        <v>36.674441108321858</v>
      </c>
      <c r="G58" s="79">
        <f t="shared" si="19"/>
        <v>38.709391928752204</v>
      </c>
      <c r="H58" s="79">
        <f t="shared" si="19"/>
        <v>40.890538337940214</v>
      </c>
      <c r="I58" s="79">
        <f t="shared" si="19"/>
        <v>42.583547417252746</v>
      </c>
      <c r="J58" s="79">
        <f t="shared" si="19"/>
        <v>44.284266170366735</v>
      </c>
      <c r="K58" s="79">
        <f t="shared" si="19"/>
        <v>45.954545819330576</v>
      </c>
      <c r="L58" s="79">
        <f t="shared" si="19"/>
        <v>47.607960400378921</v>
      </c>
      <c r="N58" s="95" t="str">
        <f>Ratings!H11</f>
        <v>SBY23</v>
      </c>
      <c r="O58" s="5">
        <f>Ratings!J11</f>
        <v>14.3</v>
      </c>
      <c r="P58" s="79">
        <v>-4</v>
      </c>
      <c r="Q58" s="79">
        <f>Q$11+$P58</f>
        <v>6.1456086469094977</v>
      </c>
      <c r="R58" s="79">
        <f t="shared" ref="R58:Y58" si="21">R$11+$P58</f>
        <v>6.666219303851241</v>
      </c>
      <c r="S58" s="79">
        <f t="shared" si="21"/>
        <v>7.0640237297107262</v>
      </c>
      <c r="T58" s="79">
        <f t="shared" si="21"/>
        <v>7.4467803687335579</v>
      </c>
      <c r="U58" s="79">
        <f t="shared" si="21"/>
        <v>7.9230767728809059</v>
      </c>
      <c r="V58" s="79">
        <f t="shared" si="21"/>
        <v>8.2710229062907494</v>
      </c>
      <c r="W58" s="79">
        <f t="shared" si="21"/>
        <v>8.6162539178619078</v>
      </c>
      <c r="X58" s="79">
        <f t="shared" si="21"/>
        <v>8.9494786288676771</v>
      </c>
      <c r="Y58" s="79">
        <f t="shared" si="21"/>
        <v>9.2741743737577043</v>
      </c>
    </row>
    <row r="59" spans="1:25" ht="14.1" customHeight="1" thickBot="1" x14ac:dyDescent="0.3">
      <c r="A59" s="4" t="str">
        <f>Ratings!A6</f>
        <v>SBY Replace No.1 transformer</v>
      </c>
      <c r="B59" s="10">
        <f>Ratings!E6</f>
        <v>49</v>
      </c>
      <c r="C59" s="79">
        <f>C57</f>
        <v>7</v>
      </c>
      <c r="D59" s="79">
        <f>D57</f>
        <v>53.556856195760545</v>
      </c>
      <c r="E59" s="79">
        <f t="shared" ref="E59:L59" si="22">E57</f>
        <v>56.804829173981766</v>
      </c>
      <c r="F59" s="79">
        <f t="shared" si="22"/>
        <v>59.315068448168837</v>
      </c>
      <c r="G59" s="79">
        <f t="shared" si="22"/>
        <v>61.136743939309326</v>
      </c>
      <c r="H59" s="79">
        <f t="shared" si="22"/>
        <v>62.9759245449616</v>
      </c>
      <c r="I59" s="79">
        <f t="shared" si="22"/>
        <v>64.476136786830097</v>
      </c>
      <c r="J59" s="79">
        <f t="shared" si="22"/>
        <v>65.978956236270804</v>
      </c>
      <c r="K59" s="79">
        <f t="shared" si="22"/>
        <v>67.458895446074607</v>
      </c>
      <c r="L59" s="79">
        <f t="shared" si="22"/>
        <v>68.925655016388603</v>
      </c>
      <c r="N59" s="95" t="str">
        <f>Ratings!H47</f>
        <v>SBY15 new</v>
      </c>
      <c r="O59" s="5">
        <f>Ratings!J47</f>
        <v>14.3</v>
      </c>
      <c r="P59" s="79">
        <v>11</v>
      </c>
      <c r="Q59" s="79">
        <f t="shared" ref="Q59:Y59" si="23">$P59</f>
        <v>11</v>
      </c>
      <c r="R59" s="79">
        <f t="shared" si="23"/>
        <v>11</v>
      </c>
      <c r="S59" s="79">
        <f t="shared" si="23"/>
        <v>11</v>
      </c>
      <c r="T59" s="79">
        <f t="shared" si="23"/>
        <v>11</v>
      </c>
      <c r="U59" s="79">
        <f t="shared" si="23"/>
        <v>11</v>
      </c>
      <c r="V59" s="79">
        <f t="shared" si="23"/>
        <v>11</v>
      </c>
      <c r="W59" s="79">
        <f t="shared" si="23"/>
        <v>11</v>
      </c>
      <c r="X59" s="79">
        <f t="shared" si="23"/>
        <v>11</v>
      </c>
      <c r="Y59" s="79">
        <f t="shared" si="23"/>
        <v>11</v>
      </c>
    </row>
    <row r="60" spans="1:25" ht="14.1" customHeight="1" thickBot="1" x14ac:dyDescent="0.3">
      <c r="A60" s="4" t="s">
        <v>89</v>
      </c>
      <c r="B60" s="10">
        <f>Ratings!C3</f>
        <v>66</v>
      </c>
      <c r="C60" s="79"/>
      <c r="D60" s="79">
        <f>Q67+P3+Q68+Q69+P5+Q70+P7+P8</f>
        <v>22.091632936350518</v>
      </c>
      <c r="E60" s="79">
        <f t="shared" ref="E60:L60" si="24">R67+Q3+R68+R69+Q5+R70+Q7+Q8</f>
        <v>27.52802548490245</v>
      </c>
      <c r="F60" s="79">
        <f t="shared" si="24"/>
        <v>31.752706015133349</v>
      </c>
      <c r="G60" s="79">
        <f t="shared" si="24"/>
        <v>34.496006321827338</v>
      </c>
      <c r="H60" s="79">
        <f t="shared" si="24"/>
        <v>37.196521852503878</v>
      </c>
      <c r="I60" s="79">
        <f t="shared" si="24"/>
        <v>39.634918977896987</v>
      </c>
      <c r="J60" s="79">
        <f t="shared" si="24"/>
        <v>41.667822258430441</v>
      </c>
      <c r="K60" s="79">
        <f t="shared" si="24"/>
        <v>43.682530435504873</v>
      </c>
      <c r="L60" s="79">
        <f t="shared" si="24"/>
        <v>45.674463895351479</v>
      </c>
      <c r="N60" s="95" t="str">
        <f>Ratings!H10</f>
        <v>SBY13</v>
      </c>
      <c r="O60" s="5">
        <f>Ratings!J10</f>
        <v>14.1</v>
      </c>
      <c r="P60" s="79">
        <v>-3</v>
      </c>
      <c r="Q60" s="79">
        <f>Q$10+$P60</f>
        <v>4.1995202320399612</v>
      </c>
      <c r="R60" s="79">
        <f t="shared" ref="R60:Y60" si="25">R$10+$P60</f>
        <v>4.5462059334343996</v>
      </c>
      <c r="S60" s="79">
        <f t="shared" si="25"/>
        <v>4.8399532940115586</v>
      </c>
      <c r="T60" s="79">
        <f t="shared" si="25"/>
        <v>5.0885884023855148</v>
      </c>
      <c r="U60" s="79">
        <f t="shared" si="25"/>
        <v>5.4307211653768892</v>
      </c>
      <c r="V60" s="79">
        <f t="shared" si="25"/>
        <v>5.6767513543312642</v>
      </c>
      <c r="W60" s="79">
        <f t="shared" si="25"/>
        <v>5.9208617003132265</v>
      </c>
      <c r="X60" s="79">
        <f t="shared" si="25"/>
        <v>6.1564824781893481</v>
      </c>
      <c r="Y60" s="79">
        <f t="shared" si="25"/>
        <v>6.3860724859445988</v>
      </c>
    </row>
    <row r="61" spans="1:25" ht="14.1" customHeight="1" thickBot="1" x14ac:dyDescent="0.3">
      <c r="A61" s="4" t="s">
        <v>90</v>
      </c>
      <c r="B61" s="10">
        <f>B60/2</f>
        <v>33</v>
      </c>
      <c r="C61" s="79"/>
      <c r="D61" s="79">
        <f>Q71+Q72+Q73</f>
        <v>15</v>
      </c>
      <c r="E61" s="79">
        <f t="shared" ref="E61:L61" si="26">R71+R72+R73</f>
        <v>15</v>
      </c>
      <c r="F61" s="79">
        <f t="shared" si="26"/>
        <v>15</v>
      </c>
      <c r="G61" s="79">
        <f t="shared" si="26"/>
        <v>15</v>
      </c>
      <c r="H61" s="79">
        <f t="shared" si="26"/>
        <v>15</v>
      </c>
      <c r="I61" s="79">
        <f t="shared" si="26"/>
        <v>15</v>
      </c>
      <c r="J61" s="79">
        <f t="shared" si="26"/>
        <v>15</v>
      </c>
      <c r="K61" s="79">
        <f t="shared" si="26"/>
        <v>15</v>
      </c>
      <c r="L61" s="79">
        <f t="shared" si="26"/>
        <v>15</v>
      </c>
      <c r="N61" s="95"/>
      <c r="O61" s="5"/>
      <c r="P61" s="79"/>
      <c r="Q61" s="79"/>
      <c r="R61" s="79"/>
      <c r="S61" s="79"/>
      <c r="T61" s="79"/>
      <c r="U61" s="79"/>
      <c r="V61" s="79"/>
      <c r="W61" s="79"/>
      <c r="X61" s="79"/>
      <c r="Y61" s="79"/>
    </row>
    <row r="62" spans="1:25" ht="14.1" customHeight="1" thickBot="1" x14ac:dyDescent="0.3">
      <c r="A62" s="4"/>
      <c r="B62" s="10"/>
      <c r="C62" s="79"/>
      <c r="D62" s="79"/>
      <c r="E62" s="79"/>
      <c r="F62" s="79"/>
      <c r="G62" s="79"/>
      <c r="H62" s="79"/>
      <c r="I62" s="79"/>
      <c r="J62" s="79"/>
      <c r="K62" s="79"/>
      <c r="L62" s="79"/>
      <c r="N62" s="97" t="str">
        <f>A56</f>
        <v>Option 3</v>
      </c>
      <c r="O62" s="5"/>
      <c r="P62" s="79"/>
      <c r="Q62" s="79"/>
      <c r="R62" s="79"/>
      <c r="S62" s="79"/>
      <c r="T62" s="79"/>
      <c r="U62" s="79"/>
      <c r="V62" s="79"/>
      <c r="W62" s="79"/>
      <c r="X62" s="79"/>
      <c r="Y62" s="79"/>
    </row>
    <row r="63" spans="1:25" ht="14.1" customHeight="1" thickBot="1" x14ac:dyDescent="0.3">
      <c r="A63" s="4"/>
      <c r="B63" s="10"/>
      <c r="C63" s="79"/>
      <c r="D63" s="79"/>
      <c r="E63" s="79"/>
      <c r="F63" s="79"/>
      <c r="G63" s="79"/>
      <c r="H63" s="79"/>
      <c r="I63" s="79"/>
      <c r="J63" s="79"/>
      <c r="K63" s="79"/>
      <c r="L63" s="79"/>
      <c r="N63" s="95" t="str">
        <f>Ratings!H56</f>
        <v>SBY14 new</v>
      </c>
      <c r="O63" s="5">
        <f>Ratings!J56</f>
        <v>14.3</v>
      </c>
      <c r="P63" s="79">
        <f>-P67</f>
        <v>7</v>
      </c>
      <c r="Q63" s="79">
        <f t="shared" ref="Q63:Y64" si="27">$P63</f>
        <v>7</v>
      </c>
      <c r="R63" s="79">
        <f t="shared" si="27"/>
        <v>7</v>
      </c>
      <c r="S63" s="79">
        <f t="shared" si="27"/>
        <v>7</v>
      </c>
      <c r="T63" s="79">
        <f t="shared" si="27"/>
        <v>7</v>
      </c>
      <c r="U63" s="79">
        <f t="shared" si="27"/>
        <v>7</v>
      </c>
      <c r="V63" s="79">
        <f t="shared" si="27"/>
        <v>7</v>
      </c>
      <c r="W63" s="79">
        <f t="shared" si="27"/>
        <v>7</v>
      </c>
      <c r="X63" s="79">
        <f t="shared" si="27"/>
        <v>7</v>
      </c>
      <c r="Y63" s="79">
        <f t="shared" si="27"/>
        <v>7</v>
      </c>
    </row>
    <row r="64" spans="1:25" ht="14.1" customHeight="1" thickBot="1" x14ac:dyDescent="0.3">
      <c r="A64" s="4"/>
      <c r="B64" s="10"/>
      <c r="C64" s="79"/>
      <c r="D64" s="79"/>
      <c r="E64" s="79"/>
      <c r="F64" s="79"/>
      <c r="G64" s="79"/>
      <c r="H64" s="79"/>
      <c r="I64" s="79"/>
      <c r="J64" s="79"/>
      <c r="K64" s="79"/>
      <c r="L64" s="79"/>
      <c r="N64" s="95" t="str">
        <f>Ratings!H46</f>
        <v>SBY22 new</v>
      </c>
      <c r="O64" s="5">
        <f>Ratings!J46</f>
        <v>14.3</v>
      </c>
      <c r="P64" s="79">
        <f>-(P77+P74+P75)</f>
        <v>11</v>
      </c>
      <c r="Q64" s="79">
        <f t="shared" si="27"/>
        <v>11</v>
      </c>
      <c r="R64" s="79">
        <f t="shared" si="27"/>
        <v>11</v>
      </c>
      <c r="S64" s="79">
        <f t="shared" si="27"/>
        <v>11</v>
      </c>
      <c r="T64" s="79">
        <f t="shared" si="27"/>
        <v>11</v>
      </c>
      <c r="U64" s="79">
        <f t="shared" si="27"/>
        <v>11</v>
      </c>
      <c r="V64" s="79">
        <f t="shared" si="27"/>
        <v>11</v>
      </c>
      <c r="W64" s="79">
        <f t="shared" si="27"/>
        <v>11</v>
      </c>
      <c r="X64" s="79">
        <f t="shared" si="27"/>
        <v>11</v>
      </c>
      <c r="Y64" s="79">
        <f t="shared" si="27"/>
        <v>11</v>
      </c>
    </row>
    <row r="65" spans="1:25" ht="14.1" customHeight="1" thickBot="1" x14ac:dyDescent="0.3">
      <c r="A65" s="4"/>
      <c r="B65" s="10"/>
      <c r="C65" s="79"/>
      <c r="D65" s="92"/>
      <c r="E65" s="92"/>
      <c r="F65" s="92"/>
      <c r="G65" s="92"/>
      <c r="H65" s="92"/>
      <c r="I65" s="92"/>
      <c r="J65" s="92"/>
      <c r="K65" s="92"/>
      <c r="L65" s="92"/>
      <c r="N65" s="95" t="str">
        <f>Ratings!H12</f>
        <v>SBY24</v>
      </c>
      <c r="O65" s="5">
        <f>Ratings!J12</f>
        <v>14.3</v>
      </c>
      <c r="P65" s="79">
        <f>-(P66+P76)</f>
        <v>-17</v>
      </c>
      <c r="Q65" s="79">
        <f t="shared" ref="Q65:Y65" si="28">Q$12+$P65</f>
        <v>-7.9648324853616845</v>
      </c>
      <c r="R65" s="79">
        <f t="shared" si="28"/>
        <v>-5.6691849767080846</v>
      </c>
      <c r="S65" s="79">
        <f t="shared" si="28"/>
        <v>-3.9521556546458942</v>
      </c>
      <c r="T65" s="79">
        <f t="shared" si="28"/>
        <v>-3.0119663391485751</v>
      </c>
      <c r="U65" s="79">
        <f t="shared" si="28"/>
        <v>-2.1240806375880634</v>
      </c>
      <c r="V65" s="79">
        <f t="shared" si="28"/>
        <v>-1.689962941152471</v>
      </c>
      <c r="W65" s="79">
        <f t="shared" si="28"/>
        <v>-1.2592327875718574</v>
      </c>
      <c r="X65" s="79">
        <f t="shared" si="28"/>
        <v>-0.84348238816491872</v>
      </c>
      <c r="Y65" s="79">
        <f t="shared" si="28"/>
        <v>-0.43837321959120246</v>
      </c>
    </row>
    <row r="66" spans="1:25" ht="14.1" customHeight="1" thickBot="1" x14ac:dyDescent="0.3">
      <c r="A66" s="6" t="s">
        <v>91</v>
      </c>
      <c r="B66" s="10"/>
      <c r="C66" s="79"/>
      <c r="D66" s="79"/>
      <c r="E66" s="79"/>
      <c r="F66" s="79"/>
      <c r="G66" s="79"/>
      <c r="H66" s="79"/>
      <c r="I66" s="79"/>
      <c r="J66" s="79"/>
      <c r="K66" s="79"/>
      <c r="L66" s="79"/>
      <c r="N66" s="95" t="str">
        <f>Ratings!H15</f>
        <v>SBY35</v>
      </c>
      <c r="O66" s="5">
        <f>Ratings!J15</f>
        <v>14.3</v>
      </c>
      <c r="P66" s="79">
        <v>6</v>
      </c>
      <c r="Q66" s="79">
        <f t="shared" ref="Q66:Y66" si="29">Q$15+$P66</f>
        <v>11.625174001385856</v>
      </c>
      <c r="R66" s="79">
        <f t="shared" si="29"/>
        <v>11.742649330422186</v>
      </c>
      <c r="S66" s="79">
        <f t="shared" si="29"/>
        <v>11.867862284073023</v>
      </c>
      <c r="T66" s="79">
        <f t="shared" si="29"/>
        <v>12.001270609494966</v>
      </c>
      <c r="U66" s="79">
        <f t="shared" si="29"/>
        <v>12.172640169423998</v>
      </c>
      <c r="V66" s="79">
        <f t="shared" si="29"/>
        <v>12.347257612453308</v>
      </c>
      <c r="W66" s="79">
        <f t="shared" si="29"/>
        <v>12.525177255173386</v>
      </c>
      <c r="X66" s="79">
        <f t="shared" si="29"/>
        <v>12.706453342198467</v>
      </c>
      <c r="Y66" s="79">
        <f t="shared" si="29"/>
        <v>12.891141216719245</v>
      </c>
    </row>
    <row r="67" spans="1:25" ht="14.1" customHeight="1" thickBot="1" x14ac:dyDescent="0.3">
      <c r="A67" s="4"/>
      <c r="B67" s="10"/>
      <c r="C67" s="79"/>
      <c r="D67" s="79"/>
      <c r="E67" s="79"/>
      <c r="F67" s="79"/>
      <c r="G67" s="79"/>
      <c r="H67" s="79"/>
      <c r="I67" s="79"/>
      <c r="J67" s="79"/>
      <c r="K67" s="79"/>
      <c r="L67" s="79"/>
      <c r="N67" s="4" t="str">
        <f>Ratings!H2</f>
        <v>SHM11</v>
      </c>
      <c r="O67" s="96">
        <f>Ratings!J2</f>
        <v>14.3</v>
      </c>
      <c r="P67" s="79">
        <v>-7</v>
      </c>
      <c r="Q67" s="79">
        <f t="shared" ref="Q67:Y67" si="30">Q$2+$P67</f>
        <v>1.2986934948457343</v>
      </c>
      <c r="R67" s="79">
        <f t="shared" si="30"/>
        <v>4.0988954291412245</v>
      </c>
      <c r="S67" s="79">
        <f t="shared" si="30"/>
        <v>6.1906796725470272</v>
      </c>
      <c r="T67" s="79">
        <f t="shared" si="30"/>
        <v>7.493269027809891</v>
      </c>
      <c r="U67" s="79">
        <f t="shared" si="30"/>
        <v>8.5652519814942263</v>
      </c>
      <c r="V67" s="79">
        <f t="shared" si="30"/>
        <v>9.3456406631479467</v>
      </c>
      <c r="W67" s="79">
        <f t="shared" si="30"/>
        <v>9.9051437135010403</v>
      </c>
      <c r="X67" s="79">
        <f t="shared" si="30"/>
        <v>10.454523397317182</v>
      </c>
      <c r="Y67" s="79">
        <f t="shared" si="30"/>
        <v>10.998258926403828</v>
      </c>
    </row>
    <row r="68" spans="1:25" ht="14.1" customHeight="1" thickBot="1" x14ac:dyDescent="0.3">
      <c r="A68" s="4" t="str">
        <f>Ratings!A3</f>
        <v>SHM</v>
      </c>
      <c r="B68" s="10">
        <f>Ratings!E3</f>
        <v>39.6</v>
      </c>
      <c r="C68" s="79">
        <f>-C69</f>
        <v>-17</v>
      </c>
      <c r="D68" s="79">
        <f>D3+$C68</f>
        <v>20.894988652370337</v>
      </c>
      <c r="E68" s="79">
        <f t="shared" ref="E68:L68" si="31">E3+$C68</f>
        <v>23.998716213283537</v>
      </c>
      <c r="F68" s="79">
        <f t="shared" si="31"/>
        <v>26.674441108321858</v>
      </c>
      <c r="G68" s="79">
        <f t="shared" si="31"/>
        <v>28.709391928752204</v>
      </c>
      <c r="H68" s="79">
        <f t="shared" si="31"/>
        <v>30.890538337940214</v>
      </c>
      <c r="I68" s="79">
        <f t="shared" si="31"/>
        <v>32.583547417252746</v>
      </c>
      <c r="J68" s="79">
        <f t="shared" si="31"/>
        <v>34.284266170366735</v>
      </c>
      <c r="K68" s="79">
        <f t="shared" si="31"/>
        <v>35.954545819330576</v>
      </c>
      <c r="L68" s="79">
        <f t="shared" si="31"/>
        <v>37.607960400378921</v>
      </c>
      <c r="N68" s="4" t="str">
        <f>Ratings!H55</f>
        <v>SHM13 new</v>
      </c>
      <c r="O68" s="96">
        <f>Ratings!J55</f>
        <v>14.3</v>
      </c>
      <c r="P68" s="79">
        <f>-P70</f>
        <v>4</v>
      </c>
      <c r="Q68" s="79">
        <f t="shared" ref="Q68:Y68" si="32">$P68</f>
        <v>4</v>
      </c>
      <c r="R68" s="79">
        <f t="shared" si="32"/>
        <v>4</v>
      </c>
      <c r="S68" s="79">
        <f t="shared" si="32"/>
        <v>4</v>
      </c>
      <c r="T68" s="79">
        <f t="shared" si="32"/>
        <v>4</v>
      </c>
      <c r="U68" s="79">
        <f t="shared" si="32"/>
        <v>4</v>
      </c>
      <c r="V68" s="79">
        <f t="shared" si="32"/>
        <v>4</v>
      </c>
      <c r="W68" s="79">
        <f t="shared" si="32"/>
        <v>4</v>
      </c>
      <c r="X68" s="79">
        <f t="shared" si="32"/>
        <v>4</v>
      </c>
      <c r="Y68" s="79">
        <f t="shared" si="32"/>
        <v>4</v>
      </c>
    </row>
    <row r="69" spans="1:25" ht="14.1" customHeight="1" thickBot="1" x14ac:dyDescent="0.3">
      <c r="A69" s="4" t="str">
        <f>Ratings!A7</f>
        <v>SBY Replace No.1 &amp; 3 transformers</v>
      </c>
      <c r="B69" s="10">
        <f>Ratings!E7</f>
        <v>79.2</v>
      </c>
      <c r="C69" s="79">
        <v>17</v>
      </c>
      <c r="D69" s="79">
        <f>D2+$C69</f>
        <v>63.556856195760545</v>
      </c>
      <c r="E69" s="79">
        <f t="shared" ref="E69:L69" si="33">E2+$C69</f>
        <v>66.804829173981773</v>
      </c>
      <c r="F69" s="79">
        <f t="shared" si="33"/>
        <v>69.31506844816883</v>
      </c>
      <c r="G69" s="79">
        <f t="shared" si="33"/>
        <v>71.136743939309326</v>
      </c>
      <c r="H69" s="79">
        <f t="shared" si="33"/>
        <v>72.9759245449616</v>
      </c>
      <c r="I69" s="79">
        <f t="shared" si="33"/>
        <v>74.476136786830097</v>
      </c>
      <c r="J69" s="79">
        <f t="shared" si="33"/>
        <v>75.978956236270804</v>
      </c>
      <c r="K69" s="79">
        <f t="shared" si="33"/>
        <v>77.458895446074607</v>
      </c>
      <c r="L69" s="79">
        <f t="shared" si="33"/>
        <v>78.925655016388603</v>
      </c>
      <c r="N69" s="4" t="str">
        <f>Ratings!H4</f>
        <v>SHM14</v>
      </c>
      <c r="O69" s="96">
        <f>Ratings!J4</f>
        <v>14.3</v>
      </c>
      <c r="P69" s="79">
        <f>-(P71+P72)</f>
        <v>-15</v>
      </c>
      <c r="Q69" s="79">
        <f t="shared" ref="Q69:Y69" si="34">Q$4+$P69</f>
        <v>-4.1616875907892315</v>
      </c>
      <c r="R69" s="79">
        <f t="shared" si="34"/>
        <v>-2.7776030022307907</v>
      </c>
      <c r="S69" s="79">
        <f t="shared" si="34"/>
        <v>-1.6593184903886691</v>
      </c>
      <c r="T69" s="79">
        <f t="shared" si="34"/>
        <v>-0.95436298771110906</v>
      </c>
      <c r="U69" s="79">
        <f t="shared" si="34"/>
        <v>-0.17837424368944355</v>
      </c>
      <c r="V69" s="79">
        <f t="shared" si="34"/>
        <v>0.3445987032961817</v>
      </c>
      <c r="W69" s="79">
        <f t="shared" si="34"/>
        <v>0.86983659135855973</v>
      </c>
      <c r="X69" s="79">
        <f t="shared" si="34"/>
        <v>1.3855710894812461</v>
      </c>
      <c r="Y69" s="79">
        <f t="shared" si="34"/>
        <v>1.8960070929699135</v>
      </c>
    </row>
    <row r="70" spans="1:25" ht="14.1" customHeight="1" thickBot="1" x14ac:dyDescent="0.3">
      <c r="A70" s="4" t="s">
        <v>92</v>
      </c>
      <c r="B70" s="10">
        <f>B60/2</f>
        <v>33</v>
      </c>
      <c r="C70" s="79"/>
      <c r="D70" s="79">
        <f>Q86+P3+Q87+Q88</f>
        <v>7.7969360925122668</v>
      </c>
      <c r="E70" s="79">
        <f t="shared" ref="E70:L70" si="35">R86+Q3+R87+R88</f>
        <v>12.243664315078551</v>
      </c>
      <c r="F70" s="79">
        <f t="shared" si="35"/>
        <v>15.634887113739586</v>
      </c>
      <c r="G70" s="79">
        <f t="shared" si="35"/>
        <v>17.850367585898866</v>
      </c>
      <c r="H70" s="79">
        <f t="shared" si="35"/>
        <v>19.905174618108639</v>
      </c>
      <c r="I70" s="79">
        <f t="shared" si="35"/>
        <v>21.519047500038784</v>
      </c>
      <c r="J70" s="79">
        <f t="shared" si="35"/>
        <v>22.844739193300082</v>
      </c>
      <c r="K70" s="79">
        <f t="shared" si="35"/>
        <v>24.151847662575801</v>
      </c>
      <c r="L70" s="79">
        <f t="shared" si="35"/>
        <v>25.443634959673847</v>
      </c>
      <c r="N70" s="95" t="str">
        <f>Ratings!H6</f>
        <v>SHM22</v>
      </c>
      <c r="O70" s="5">
        <f>Ratings!J6</f>
        <v>14.3</v>
      </c>
      <c r="P70" s="79">
        <v>-4</v>
      </c>
      <c r="Q70" s="79">
        <f>Q$6+$P70</f>
        <v>0.46260300722886782</v>
      </c>
      <c r="R70" s="79">
        <f t="shared" ref="R70:Y70" si="36">R$6+$P70</f>
        <v>0.63055740978462005</v>
      </c>
      <c r="S70" s="79">
        <f t="shared" si="36"/>
        <v>0.81236845299043825</v>
      </c>
      <c r="T70" s="79">
        <f t="shared" si="36"/>
        <v>0.97007643100894381</v>
      </c>
      <c r="U70" s="79">
        <f t="shared" si="36"/>
        <v>1.2068353098821776</v>
      </c>
      <c r="V70" s="79">
        <f t="shared" si="36"/>
        <v>1.390555642000165</v>
      </c>
      <c r="W70" s="79">
        <f t="shared" si="36"/>
        <v>1.575071647640554</v>
      </c>
      <c r="X70" s="79">
        <f t="shared" si="36"/>
        <v>1.7562491135610019</v>
      </c>
      <c r="Y70" s="79">
        <f t="shared" si="36"/>
        <v>1.9355652189665333</v>
      </c>
    </row>
    <row r="71" spans="1:25" ht="14.1" customHeight="1" thickBot="1" x14ac:dyDescent="0.3">
      <c r="A71" s="4" t="s">
        <v>93</v>
      </c>
      <c r="B71" s="10">
        <f>B70</f>
        <v>33</v>
      </c>
      <c r="C71" s="79"/>
      <c r="D71" s="79">
        <f>P5+P6+Q89+P8</f>
        <v>19.198179098748412</v>
      </c>
      <c r="E71" s="79">
        <f t="shared" ref="E71:L71" si="37">Q5+Q6+R89+Q8</f>
        <v>20.166650880954656</v>
      </c>
      <c r="F71" s="79">
        <f t="shared" si="37"/>
        <v>20.996279722747836</v>
      </c>
      <c r="G71" s="79">
        <f t="shared" si="37"/>
        <v>21.553366023203214</v>
      </c>
      <c r="H71" s="79">
        <f t="shared" si="37"/>
        <v>22.152822954964932</v>
      </c>
      <c r="I71" s="79">
        <f t="shared" si="37"/>
        <v>23.008379303776035</v>
      </c>
      <c r="J71" s="79">
        <f t="shared" si="37"/>
        <v>23.715125353696951</v>
      </c>
      <c r="K71" s="79">
        <f t="shared" si="37"/>
        <v>24.424678393979978</v>
      </c>
      <c r="L71" s="79">
        <f t="shared" si="37"/>
        <v>25.125913612502572</v>
      </c>
      <c r="N71" s="95" t="str">
        <f>Ratings!H48</f>
        <v>SHM31 new</v>
      </c>
      <c r="O71" s="5">
        <f>Ratings!J48</f>
        <v>14.3</v>
      </c>
      <c r="P71" s="79">
        <v>10</v>
      </c>
      <c r="Q71" s="79">
        <f t="shared" ref="Q71:Y73" si="38">$P71</f>
        <v>10</v>
      </c>
      <c r="R71" s="79">
        <f t="shared" si="38"/>
        <v>10</v>
      </c>
      <c r="S71" s="79">
        <f t="shared" si="38"/>
        <v>10</v>
      </c>
      <c r="T71" s="79">
        <f t="shared" si="38"/>
        <v>10</v>
      </c>
      <c r="U71" s="79">
        <f t="shared" si="38"/>
        <v>10</v>
      </c>
      <c r="V71" s="79">
        <f t="shared" si="38"/>
        <v>10</v>
      </c>
      <c r="W71" s="79">
        <f t="shared" si="38"/>
        <v>10</v>
      </c>
      <c r="X71" s="79">
        <f t="shared" si="38"/>
        <v>10</v>
      </c>
      <c r="Y71" s="79">
        <f t="shared" si="38"/>
        <v>10</v>
      </c>
    </row>
    <row r="72" spans="1:25" ht="14.1" customHeight="1" thickBot="1" x14ac:dyDescent="0.3">
      <c r="A72" s="4"/>
      <c r="B72" s="10"/>
      <c r="C72" s="79"/>
      <c r="D72" s="79"/>
      <c r="E72" s="79"/>
      <c r="F72" s="79"/>
      <c r="G72" s="79"/>
      <c r="H72" s="79"/>
      <c r="I72" s="79"/>
      <c r="J72" s="79"/>
      <c r="K72" s="79"/>
      <c r="L72" s="79"/>
      <c r="N72" s="95" t="str">
        <f>Ratings!H49</f>
        <v>SHM32 new</v>
      </c>
      <c r="O72" s="5">
        <f>Ratings!J49</f>
        <v>14.3</v>
      </c>
      <c r="P72" s="79">
        <v>5</v>
      </c>
      <c r="Q72" s="79">
        <f t="shared" si="38"/>
        <v>5</v>
      </c>
      <c r="R72" s="79">
        <f t="shared" si="38"/>
        <v>5</v>
      </c>
      <c r="S72" s="79">
        <f t="shared" si="38"/>
        <v>5</v>
      </c>
      <c r="T72" s="79">
        <f t="shared" si="38"/>
        <v>5</v>
      </c>
      <c r="U72" s="79">
        <f t="shared" si="38"/>
        <v>5</v>
      </c>
      <c r="V72" s="79">
        <f t="shared" si="38"/>
        <v>5</v>
      </c>
      <c r="W72" s="79">
        <f t="shared" si="38"/>
        <v>5</v>
      </c>
      <c r="X72" s="79">
        <f t="shared" si="38"/>
        <v>5</v>
      </c>
      <c r="Y72" s="79">
        <f t="shared" si="38"/>
        <v>5</v>
      </c>
    </row>
    <row r="73" spans="1:25" ht="14.1" customHeight="1" thickBot="1" x14ac:dyDescent="0.3">
      <c r="A73" s="4"/>
      <c r="B73" s="10"/>
      <c r="C73" s="79"/>
      <c r="D73" s="79"/>
      <c r="E73" s="79"/>
      <c r="F73" s="79"/>
      <c r="G73" s="79"/>
      <c r="H73" s="79"/>
      <c r="I73" s="79"/>
      <c r="J73" s="79"/>
      <c r="K73" s="79"/>
      <c r="L73" s="79"/>
      <c r="N73" s="4" t="str">
        <f>Ratings!H50</f>
        <v>SHM33 new</v>
      </c>
      <c r="O73" s="96">
        <f>Ratings!J50</f>
        <v>14.3</v>
      </c>
      <c r="P73" s="79">
        <v>0</v>
      </c>
      <c r="Q73" s="79">
        <f t="shared" si="38"/>
        <v>0</v>
      </c>
      <c r="R73" s="79">
        <f t="shared" si="38"/>
        <v>0</v>
      </c>
      <c r="S73" s="79">
        <f t="shared" si="38"/>
        <v>0</v>
      </c>
      <c r="T73" s="79">
        <f t="shared" si="38"/>
        <v>0</v>
      </c>
      <c r="U73" s="79">
        <f t="shared" si="38"/>
        <v>0</v>
      </c>
      <c r="V73" s="79">
        <f t="shared" si="38"/>
        <v>0</v>
      </c>
      <c r="W73" s="79">
        <f t="shared" si="38"/>
        <v>0</v>
      </c>
      <c r="X73" s="79">
        <f t="shared" si="38"/>
        <v>0</v>
      </c>
      <c r="Y73" s="79">
        <f t="shared" si="38"/>
        <v>0</v>
      </c>
    </row>
    <row r="74" spans="1:25" ht="14.1" customHeight="1" thickBot="1" x14ac:dyDescent="0.3">
      <c r="A74" s="4"/>
      <c r="B74" s="10"/>
      <c r="C74" s="79"/>
      <c r="D74" s="79"/>
      <c r="E74" s="79"/>
      <c r="F74" s="79"/>
      <c r="G74" s="79"/>
      <c r="H74" s="79"/>
      <c r="I74" s="79"/>
      <c r="J74" s="79"/>
      <c r="K74" s="79"/>
      <c r="L74" s="79"/>
      <c r="N74" s="98" t="str">
        <f>Ratings!H13</f>
        <v>SBY32</v>
      </c>
      <c r="O74" s="5">
        <f>Ratings!J13</f>
        <v>14.3</v>
      </c>
      <c r="P74" s="79">
        <v>-4</v>
      </c>
      <c r="Q74" s="79">
        <f t="shared" ref="Q74:Y74" si="39">Q$13+$P74</f>
        <v>8.5914407758449745</v>
      </c>
      <c r="R74" s="79">
        <f t="shared" si="39"/>
        <v>9.6044524575398693</v>
      </c>
      <c r="S74" s="79">
        <f t="shared" si="39"/>
        <v>10.457601358659042</v>
      </c>
      <c r="T74" s="79">
        <f t="shared" si="39"/>
        <v>11.05811346498194</v>
      </c>
      <c r="U74" s="79">
        <f t="shared" si="39"/>
        <v>11.788111449037068</v>
      </c>
      <c r="V74" s="79">
        <f t="shared" si="39"/>
        <v>12.248849263376304</v>
      </c>
      <c r="W74" s="79">
        <f t="shared" si="39"/>
        <v>12.705991810570712</v>
      </c>
      <c r="X74" s="79">
        <f t="shared" si="39"/>
        <v>13.147236044349228</v>
      </c>
      <c r="Y74" s="79">
        <f t="shared" si="39"/>
        <v>13.577186526510992</v>
      </c>
    </row>
    <row r="75" spans="1:25" ht="14.1" customHeight="1" thickBot="1" x14ac:dyDescent="0.3">
      <c r="A75" s="4"/>
      <c r="B75" s="10"/>
      <c r="C75" s="79"/>
      <c r="D75" s="79"/>
      <c r="E75" s="79"/>
      <c r="F75" s="79"/>
      <c r="G75" s="79"/>
      <c r="H75" s="79"/>
      <c r="I75" s="79"/>
      <c r="J75" s="79"/>
      <c r="K75" s="79"/>
      <c r="L75" s="79"/>
      <c r="N75" s="95" t="str">
        <f>Ratings!H11</f>
        <v>SBY23</v>
      </c>
      <c r="O75" s="5">
        <f>Ratings!J11</f>
        <v>14.3</v>
      </c>
      <c r="P75" s="79">
        <v>-4</v>
      </c>
      <c r="Q75" s="79">
        <f t="shared" ref="Q75:Y75" si="40">Q$11+$P75</f>
        <v>6.1456086469094977</v>
      </c>
      <c r="R75" s="79">
        <f t="shared" si="40"/>
        <v>6.666219303851241</v>
      </c>
      <c r="S75" s="79">
        <f t="shared" si="40"/>
        <v>7.0640237297107262</v>
      </c>
      <c r="T75" s="79">
        <f t="shared" si="40"/>
        <v>7.4467803687335579</v>
      </c>
      <c r="U75" s="79">
        <f t="shared" si="40"/>
        <v>7.9230767728809059</v>
      </c>
      <c r="V75" s="79">
        <f t="shared" si="40"/>
        <v>8.2710229062907494</v>
      </c>
      <c r="W75" s="79">
        <f t="shared" si="40"/>
        <v>8.6162539178619078</v>
      </c>
      <c r="X75" s="79">
        <f t="shared" si="40"/>
        <v>8.9494786288676771</v>
      </c>
      <c r="Y75" s="79">
        <f t="shared" si="40"/>
        <v>9.2741743737577043</v>
      </c>
    </row>
    <row r="76" spans="1:25" ht="14.1" customHeight="1" thickBot="1" x14ac:dyDescent="0.3">
      <c r="A76" s="6"/>
      <c r="B76" s="10"/>
      <c r="C76" s="79"/>
      <c r="D76" s="79"/>
      <c r="E76" s="79"/>
      <c r="F76" s="79"/>
      <c r="G76" s="79"/>
      <c r="H76" s="79"/>
      <c r="I76" s="79"/>
      <c r="J76" s="79"/>
      <c r="K76" s="79"/>
      <c r="L76" s="79"/>
      <c r="N76" s="95" t="str">
        <f>Ratings!H47</f>
        <v>SBY15 new</v>
      </c>
      <c r="O76" s="5">
        <f>Ratings!J47</f>
        <v>14.3</v>
      </c>
      <c r="P76" s="79">
        <v>11</v>
      </c>
      <c r="Q76" s="79">
        <f t="shared" ref="Q76:Y76" si="41">$P76</f>
        <v>11</v>
      </c>
      <c r="R76" s="79">
        <f t="shared" si="41"/>
        <v>11</v>
      </c>
      <c r="S76" s="79">
        <f t="shared" si="41"/>
        <v>11</v>
      </c>
      <c r="T76" s="79">
        <f t="shared" si="41"/>
        <v>11</v>
      </c>
      <c r="U76" s="79">
        <f t="shared" si="41"/>
        <v>11</v>
      </c>
      <c r="V76" s="79">
        <f t="shared" si="41"/>
        <v>11</v>
      </c>
      <c r="W76" s="79">
        <f t="shared" si="41"/>
        <v>11</v>
      </c>
      <c r="X76" s="79">
        <f t="shared" si="41"/>
        <v>11</v>
      </c>
      <c r="Y76" s="79">
        <f t="shared" si="41"/>
        <v>11</v>
      </c>
    </row>
    <row r="77" spans="1:25" ht="14.1" customHeight="1" thickBot="1" x14ac:dyDescent="0.3">
      <c r="A77" s="4"/>
      <c r="B77" s="10"/>
      <c r="C77" s="79"/>
      <c r="D77" s="79"/>
      <c r="E77" s="79"/>
      <c r="F77" s="79"/>
      <c r="G77" s="79"/>
      <c r="H77" s="79"/>
      <c r="I77" s="79"/>
      <c r="J77" s="79"/>
      <c r="K77" s="79"/>
      <c r="L77" s="79"/>
      <c r="N77" s="95" t="str">
        <f>Ratings!H10</f>
        <v>SBY13</v>
      </c>
      <c r="O77" s="5">
        <f>Ratings!J10</f>
        <v>14.1</v>
      </c>
      <c r="P77" s="79">
        <v>-3</v>
      </c>
      <c r="Q77" s="79">
        <f>Q$10+$P77</f>
        <v>4.1995202320399612</v>
      </c>
      <c r="R77" s="79">
        <f t="shared" ref="R77:Y77" si="42">R$10+$P77</f>
        <v>4.5462059334343996</v>
      </c>
      <c r="S77" s="79">
        <f t="shared" si="42"/>
        <v>4.8399532940115586</v>
      </c>
      <c r="T77" s="79">
        <f t="shared" si="42"/>
        <v>5.0885884023855148</v>
      </c>
      <c r="U77" s="79">
        <f t="shared" si="42"/>
        <v>5.4307211653768892</v>
      </c>
      <c r="V77" s="79">
        <f t="shared" si="42"/>
        <v>5.6767513543312642</v>
      </c>
      <c r="W77" s="79">
        <f t="shared" si="42"/>
        <v>5.9208617003132265</v>
      </c>
      <c r="X77" s="79">
        <f t="shared" si="42"/>
        <v>6.1564824781893481</v>
      </c>
      <c r="Y77" s="79">
        <f t="shared" si="42"/>
        <v>6.3860724859445988</v>
      </c>
    </row>
    <row r="78" spans="1:25" ht="14.1" customHeight="1" thickBot="1" x14ac:dyDescent="0.3">
      <c r="A78" s="4"/>
      <c r="B78" s="10"/>
      <c r="C78" s="79"/>
      <c r="D78" s="79"/>
      <c r="E78" s="79"/>
      <c r="F78" s="79"/>
      <c r="G78" s="79"/>
      <c r="H78" s="79"/>
      <c r="I78" s="79"/>
      <c r="J78" s="79"/>
      <c r="K78" s="79"/>
      <c r="L78" s="79"/>
      <c r="N78" s="95"/>
      <c r="O78" s="5"/>
      <c r="P78" s="79"/>
      <c r="Q78" s="79"/>
      <c r="R78" s="79"/>
      <c r="S78" s="79"/>
      <c r="T78" s="79"/>
      <c r="U78" s="79"/>
      <c r="V78" s="79"/>
      <c r="W78" s="79"/>
      <c r="X78" s="79"/>
      <c r="Y78" s="79"/>
    </row>
    <row r="79" spans="1:25" ht="14.1" customHeight="1" thickBot="1" x14ac:dyDescent="0.3">
      <c r="A79" s="4"/>
      <c r="B79" s="10"/>
      <c r="C79" s="79"/>
      <c r="D79" s="79"/>
      <c r="E79" s="79"/>
      <c r="F79" s="79"/>
      <c r="G79" s="79"/>
      <c r="H79" s="79"/>
      <c r="I79" s="79"/>
      <c r="J79" s="79"/>
      <c r="K79" s="79"/>
      <c r="L79" s="79"/>
      <c r="N79" s="6" t="str">
        <f>A66</f>
        <v>Option 4</v>
      </c>
      <c r="O79" s="24"/>
      <c r="P79" s="79"/>
      <c r="Q79" s="79"/>
      <c r="R79" s="79"/>
      <c r="S79" s="79"/>
      <c r="T79" s="79"/>
      <c r="U79" s="79"/>
      <c r="V79" s="79"/>
      <c r="W79" s="79"/>
      <c r="X79" s="79"/>
      <c r="Y79" s="79"/>
    </row>
    <row r="80" spans="1:25" ht="14.1" customHeight="1" thickBot="1" x14ac:dyDescent="0.3">
      <c r="A80" s="4"/>
      <c r="B80" s="10"/>
      <c r="C80" s="79"/>
      <c r="D80" s="79"/>
      <c r="E80" s="79"/>
      <c r="F80" s="79"/>
      <c r="G80" s="79"/>
      <c r="H80" s="79"/>
      <c r="I80" s="79"/>
      <c r="J80" s="79"/>
      <c r="K80" s="79"/>
      <c r="L80" s="79"/>
      <c r="N80" s="4" t="str">
        <f>Ratings!H56</f>
        <v>SBY14 new</v>
      </c>
      <c r="O80" s="24">
        <f>Ratings!J56</f>
        <v>14.3</v>
      </c>
      <c r="P80" s="79">
        <f>-P86-P84</f>
        <v>7</v>
      </c>
      <c r="Q80" s="79">
        <f t="shared" ref="Q80:Y82" si="43">$P80</f>
        <v>7</v>
      </c>
      <c r="R80" s="79">
        <f t="shared" si="43"/>
        <v>7</v>
      </c>
      <c r="S80" s="79">
        <f t="shared" si="43"/>
        <v>7</v>
      </c>
      <c r="T80" s="79">
        <f t="shared" si="43"/>
        <v>7</v>
      </c>
      <c r="U80" s="79">
        <f t="shared" si="43"/>
        <v>7</v>
      </c>
      <c r="V80" s="79">
        <f t="shared" si="43"/>
        <v>7</v>
      </c>
      <c r="W80" s="79">
        <f t="shared" si="43"/>
        <v>7</v>
      </c>
      <c r="X80" s="79">
        <f t="shared" si="43"/>
        <v>7</v>
      </c>
      <c r="Y80" s="79">
        <f t="shared" si="43"/>
        <v>7</v>
      </c>
    </row>
    <row r="81" spans="1:25" ht="14.1" customHeight="1" thickBot="1" x14ac:dyDescent="0.3">
      <c r="A81" s="4"/>
      <c r="B81" s="10"/>
      <c r="C81" s="79"/>
      <c r="D81" s="79"/>
      <c r="E81" s="79"/>
      <c r="F81" s="79"/>
      <c r="G81" s="79"/>
      <c r="H81" s="79"/>
      <c r="I81" s="79"/>
      <c r="J81" s="79"/>
      <c r="K81" s="79"/>
      <c r="L81" s="79"/>
      <c r="N81" s="4" t="str">
        <f>Ratings!H47</f>
        <v>SBY15 new</v>
      </c>
      <c r="O81" s="24">
        <f>Ratings!J47</f>
        <v>14.3</v>
      </c>
      <c r="P81" s="79">
        <v>11</v>
      </c>
      <c r="Q81" s="79">
        <f t="shared" si="43"/>
        <v>11</v>
      </c>
      <c r="R81" s="79">
        <f t="shared" si="43"/>
        <v>11</v>
      </c>
      <c r="S81" s="79">
        <f t="shared" si="43"/>
        <v>11</v>
      </c>
      <c r="T81" s="79">
        <f t="shared" si="43"/>
        <v>11</v>
      </c>
      <c r="U81" s="79">
        <f t="shared" si="43"/>
        <v>11</v>
      </c>
      <c r="V81" s="79">
        <f t="shared" si="43"/>
        <v>11</v>
      </c>
      <c r="W81" s="79">
        <f t="shared" si="43"/>
        <v>11</v>
      </c>
      <c r="X81" s="79">
        <f t="shared" si="43"/>
        <v>11</v>
      </c>
      <c r="Y81" s="79">
        <f t="shared" si="43"/>
        <v>11</v>
      </c>
    </row>
    <row r="82" spans="1:25" ht="14.1" customHeight="1" thickBot="1" x14ac:dyDescent="0.3">
      <c r="A82" s="4"/>
      <c r="B82" s="10"/>
      <c r="C82" s="79"/>
      <c r="D82" s="79"/>
      <c r="E82" s="79"/>
      <c r="F82" s="79"/>
      <c r="G82" s="79"/>
      <c r="H82" s="79"/>
      <c r="I82" s="79"/>
      <c r="J82" s="79"/>
      <c r="K82" s="79"/>
      <c r="L82" s="79"/>
      <c r="N82" s="4" t="str">
        <f>Ratings!H46</f>
        <v>SBY22 new</v>
      </c>
      <c r="O82" s="24">
        <f>Ratings!J46</f>
        <v>14.3</v>
      </c>
      <c r="P82" s="79">
        <f>-(P90+P91+P92)</f>
        <v>11</v>
      </c>
      <c r="Q82" s="79">
        <f t="shared" si="43"/>
        <v>11</v>
      </c>
      <c r="R82" s="79">
        <f t="shared" si="43"/>
        <v>11</v>
      </c>
      <c r="S82" s="79">
        <f t="shared" si="43"/>
        <v>11</v>
      </c>
      <c r="T82" s="79">
        <f t="shared" si="43"/>
        <v>11</v>
      </c>
      <c r="U82" s="79">
        <f t="shared" si="43"/>
        <v>11</v>
      </c>
      <c r="V82" s="79">
        <f t="shared" si="43"/>
        <v>11</v>
      </c>
      <c r="W82" s="79">
        <f t="shared" si="43"/>
        <v>11</v>
      </c>
      <c r="X82" s="79">
        <f t="shared" si="43"/>
        <v>11</v>
      </c>
      <c r="Y82" s="79">
        <f t="shared" si="43"/>
        <v>11</v>
      </c>
    </row>
    <row r="83" spans="1:25" ht="14.1" customHeight="1" thickBot="1" x14ac:dyDescent="0.3">
      <c r="A83" s="4"/>
      <c r="B83" s="10"/>
      <c r="C83" s="79"/>
      <c r="D83" s="79"/>
      <c r="E83" s="79"/>
      <c r="F83" s="79"/>
      <c r="G83" s="79"/>
      <c r="H83" s="79"/>
      <c r="I83" s="79"/>
      <c r="J83" s="79"/>
      <c r="K83" s="79"/>
      <c r="L83" s="79"/>
      <c r="N83" s="4" t="str">
        <f>Ratings!H12</f>
        <v>SBY24</v>
      </c>
      <c r="O83" s="24">
        <f>Ratings!J12</f>
        <v>14.3</v>
      </c>
      <c r="P83" s="79">
        <f>-(P81+P85)</f>
        <v>-17</v>
      </c>
      <c r="Q83" s="79">
        <f t="shared" ref="Q83:Y83" si="44">Q$12+$P83</f>
        <v>-7.9648324853616845</v>
      </c>
      <c r="R83" s="79">
        <f t="shared" si="44"/>
        <v>-5.6691849767080846</v>
      </c>
      <c r="S83" s="79">
        <f t="shared" si="44"/>
        <v>-3.9521556546458942</v>
      </c>
      <c r="T83" s="79">
        <f t="shared" si="44"/>
        <v>-3.0119663391485751</v>
      </c>
      <c r="U83" s="79">
        <f t="shared" si="44"/>
        <v>-2.1240806375880634</v>
      </c>
      <c r="V83" s="79">
        <f t="shared" si="44"/>
        <v>-1.689962941152471</v>
      </c>
      <c r="W83" s="79">
        <f t="shared" si="44"/>
        <v>-1.2592327875718574</v>
      </c>
      <c r="X83" s="79">
        <f t="shared" si="44"/>
        <v>-0.84348238816491872</v>
      </c>
      <c r="Y83" s="79">
        <f t="shared" si="44"/>
        <v>-0.43837321959120246</v>
      </c>
    </row>
    <row r="84" spans="1:25" ht="14.1" customHeight="1" thickBot="1" x14ac:dyDescent="0.3">
      <c r="A84" s="4"/>
      <c r="B84" s="10"/>
      <c r="C84" s="79"/>
      <c r="D84" s="79"/>
      <c r="E84" s="79"/>
      <c r="F84" s="79"/>
      <c r="G84" s="79"/>
      <c r="H84" s="79"/>
      <c r="I84" s="79"/>
      <c r="J84" s="79"/>
      <c r="K84" s="79"/>
      <c r="L84" s="79"/>
      <c r="N84" s="4" t="str">
        <f>Ratings!H45</f>
        <v>SBY31 new</v>
      </c>
      <c r="O84" s="96">
        <f>Ratings!J45</f>
        <v>14.3</v>
      </c>
      <c r="P84" s="79">
        <v>10</v>
      </c>
      <c r="Q84" s="79">
        <f t="shared" ref="Q84:Y84" si="45">$P84</f>
        <v>10</v>
      </c>
      <c r="R84" s="79">
        <f t="shared" si="45"/>
        <v>10</v>
      </c>
      <c r="S84" s="79">
        <f t="shared" si="45"/>
        <v>10</v>
      </c>
      <c r="T84" s="79">
        <f t="shared" si="45"/>
        <v>10</v>
      </c>
      <c r="U84" s="79">
        <f t="shared" si="45"/>
        <v>10</v>
      </c>
      <c r="V84" s="79">
        <f t="shared" si="45"/>
        <v>10</v>
      </c>
      <c r="W84" s="79">
        <f t="shared" si="45"/>
        <v>10</v>
      </c>
      <c r="X84" s="79">
        <f t="shared" si="45"/>
        <v>10</v>
      </c>
      <c r="Y84" s="79">
        <f t="shared" si="45"/>
        <v>10</v>
      </c>
    </row>
    <row r="85" spans="1:25" ht="14.1" customHeight="1" thickBot="1" x14ac:dyDescent="0.3">
      <c r="A85" s="4"/>
      <c r="B85" s="10"/>
      <c r="C85" s="79"/>
      <c r="D85" s="79"/>
      <c r="E85" s="79"/>
      <c r="F85" s="79"/>
      <c r="G85" s="79"/>
      <c r="H85" s="79"/>
      <c r="I85" s="79"/>
      <c r="J85" s="79"/>
      <c r="K85" s="79"/>
      <c r="L85" s="79"/>
      <c r="N85" s="95" t="str">
        <f>Ratings!H15</f>
        <v>SBY35</v>
      </c>
      <c r="O85" s="10">
        <f>Ratings!J15</f>
        <v>14.3</v>
      </c>
      <c r="P85" s="79">
        <v>6</v>
      </c>
      <c r="Q85" s="79">
        <f t="shared" ref="Q85:Y85" si="46">Q$15+$P85</f>
        <v>11.625174001385856</v>
      </c>
      <c r="R85" s="79">
        <f t="shared" si="46"/>
        <v>11.742649330422186</v>
      </c>
      <c r="S85" s="79">
        <f t="shared" si="46"/>
        <v>11.867862284073023</v>
      </c>
      <c r="T85" s="79">
        <f t="shared" si="46"/>
        <v>12.001270609494966</v>
      </c>
      <c r="U85" s="79">
        <f t="shared" si="46"/>
        <v>12.172640169423998</v>
      </c>
      <c r="V85" s="79">
        <f t="shared" si="46"/>
        <v>12.347257612453308</v>
      </c>
      <c r="W85" s="79">
        <f t="shared" si="46"/>
        <v>12.525177255173386</v>
      </c>
      <c r="X85" s="79">
        <f t="shared" si="46"/>
        <v>12.706453342198467</v>
      </c>
      <c r="Y85" s="79">
        <f t="shared" si="46"/>
        <v>12.891141216719245</v>
      </c>
    </row>
    <row r="86" spans="1:25" ht="14.1" customHeight="1" thickBot="1" x14ac:dyDescent="0.3">
      <c r="A86" s="4"/>
      <c r="B86" s="10"/>
      <c r="C86" s="79"/>
      <c r="D86" s="79"/>
      <c r="E86" s="79"/>
      <c r="F86" s="79"/>
      <c r="G86" s="79"/>
      <c r="H86" s="79"/>
      <c r="I86" s="79"/>
      <c r="J86" s="79"/>
      <c r="K86" s="79"/>
      <c r="L86" s="79"/>
      <c r="N86" s="4" t="str">
        <f>Ratings!H2</f>
        <v>SHM11</v>
      </c>
      <c r="O86" s="96">
        <f>Ratings!J2</f>
        <v>14.3</v>
      </c>
      <c r="P86" s="79">
        <v>-17</v>
      </c>
      <c r="Q86" s="79">
        <f t="shared" ref="Q86:Y86" si="47">Q$2+$P86</f>
        <v>-8.7013065051542657</v>
      </c>
      <c r="R86" s="79">
        <f t="shared" si="47"/>
        <v>-5.9011045708587755</v>
      </c>
      <c r="S86" s="79">
        <f t="shared" si="47"/>
        <v>-3.8093203274529728</v>
      </c>
      <c r="T86" s="79">
        <f t="shared" si="47"/>
        <v>-2.506730972190109</v>
      </c>
      <c r="U86" s="79">
        <f t="shared" si="47"/>
        <v>-1.4347480185057737</v>
      </c>
      <c r="V86" s="79">
        <f t="shared" si="47"/>
        <v>-0.65435933685205327</v>
      </c>
      <c r="W86" s="79">
        <f t="shared" si="47"/>
        <v>-9.4856286498959719E-2</v>
      </c>
      <c r="X86" s="79">
        <f t="shared" si="47"/>
        <v>0.45452339731718183</v>
      </c>
      <c r="Y86" s="79">
        <f t="shared" si="47"/>
        <v>0.99825892640382818</v>
      </c>
    </row>
    <row r="87" spans="1:25" ht="14.1" customHeight="1" thickBot="1" x14ac:dyDescent="0.3">
      <c r="A87" s="4"/>
      <c r="B87" s="10"/>
      <c r="C87" s="79"/>
      <c r="D87" s="79"/>
      <c r="E87" s="79"/>
      <c r="F87" s="79"/>
      <c r="G87" s="79"/>
      <c r="H87" s="79"/>
      <c r="I87" s="79"/>
      <c r="J87" s="79"/>
      <c r="K87" s="79"/>
      <c r="L87" s="79"/>
      <c r="N87" s="4" t="str">
        <f>Ratings!H55</f>
        <v>SHM13 new</v>
      </c>
      <c r="O87" s="96">
        <f>Ratings!J55</f>
        <v>14.3</v>
      </c>
      <c r="P87" s="79">
        <f>14</f>
        <v>14</v>
      </c>
      <c r="Q87" s="79">
        <f t="shared" ref="Q87:Y87" si="48">$P87</f>
        <v>14</v>
      </c>
      <c r="R87" s="79">
        <f t="shared" si="48"/>
        <v>14</v>
      </c>
      <c r="S87" s="79">
        <f t="shared" si="48"/>
        <v>14</v>
      </c>
      <c r="T87" s="79">
        <f t="shared" si="48"/>
        <v>14</v>
      </c>
      <c r="U87" s="79">
        <f t="shared" si="48"/>
        <v>14</v>
      </c>
      <c r="V87" s="79">
        <f t="shared" si="48"/>
        <v>14</v>
      </c>
      <c r="W87" s="79">
        <f t="shared" si="48"/>
        <v>14</v>
      </c>
      <c r="X87" s="79">
        <f t="shared" si="48"/>
        <v>14</v>
      </c>
      <c r="Y87" s="79">
        <f t="shared" si="48"/>
        <v>14</v>
      </c>
    </row>
    <row r="88" spans="1:25" ht="14.1" customHeight="1" thickBot="1" x14ac:dyDescent="0.3">
      <c r="A88" s="4"/>
      <c r="B88" s="10"/>
      <c r="C88" s="79"/>
      <c r="D88" s="79"/>
      <c r="E88" s="79"/>
      <c r="F88" s="79"/>
      <c r="G88" s="79"/>
      <c r="H88" s="79"/>
      <c r="I88" s="79"/>
      <c r="J88" s="79"/>
      <c r="K88" s="79"/>
      <c r="L88" s="79"/>
      <c r="N88" s="4" t="str">
        <f>Ratings!H4</f>
        <v>SHM14</v>
      </c>
      <c r="O88" s="24">
        <f>Ratings!J4</f>
        <v>14.3</v>
      </c>
      <c r="P88" s="79">
        <f>-P87</f>
        <v>-14</v>
      </c>
      <c r="Q88" s="79">
        <f t="shared" ref="Q88:Y88" si="49">Q$4+$P88</f>
        <v>-3.1616875907892315</v>
      </c>
      <c r="R88" s="79">
        <f t="shared" si="49"/>
        <v>-1.7776030022307907</v>
      </c>
      <c r="S88" s="79">
        <f t="shared" si="49"/>
        <v>-0.65931849038866908</v>
      </c>
      <c r="T88" s="79">
        <f t="shared" si="49"/>
        <v>4.5637012288890944E-2</v>
      </c>
      <c r="U88" s="79">
        <f t="shared" si="49"/>
        <v>0.82162575631055645</v>
      </c>
      <c r="V88" s="79">
        <f t="shared" si="49"/>
        <v>1.3445987032961817</v>
      </c>
      <c r="W88" s="79">
        <f t="shared" si="49"/>
        <v>1.8698365913585597</v>
      </c>
      <c r="X88" s="79">
        <f t="shared" si="49"/>
        <v>2.3855710894812461</v>
      </c>
      <c r="Y88" s="79">
        <f t="shared" si="49"/>
        <v>2.8960070929699135</v>
      </c>
    </row>
    <row r="89" spans="1:25" ht="14.1" customHeight="1" thickBot="1" x14ac:dyDescent="0.3">
      <c r="A89" s="4"/>
      <c r="B89" s="10"/>
      <c r="C89" s="79"/>
      <c r="D89" s="79"/>
      <c r="E89" s="79"/>
      <c r="F89" s="79"/>
      <c r="G89" s="79"/>
      <c r="H89" s="79"/>
      <c r="I89" s="79"/>
      <c r="J89" s="79"/>
      <c r="K89" s="79"/>
      <c r="L89" s="79"/>
      <c r="N89" s="95" t="str">
        <f>Ratings!H7</f>
        <v>SHM23</v>
      </c>
      <c r="O89" s="5">
        <f>Ratings!J7</f>
        <v>14.3</v>
      </c>
      <c r="P89" s="79">
        <v>0</v>
      </c>
      <c r="Q89" s="79">
        <f t="shared" ref="Q89:Y89" si="50">Q$7+$P89</f>
        <v>1.8862035940083783</v>
      </c>
      <c r="R89" s="79">
        <f t="shared" si="50"/>
        <v>1.9364477076948847</v>
      </c>
      <c r="S89" s="79">
        <f t="shared" si="50"/>
        <v>1.996719572254777</v>
      </c>
      <c r="T89" s="79">
        <f t="shared" si="50"/>
        <v>2.0621548375480225</v>
      </c>
      <c r="U89" s="79">
        <f t="shared" si="50"/>
        <v>2.1603894369909469</v>
      </c>
      <c r="V89" s="79">
        <f t="shared" si="50"/>
        <v>2.2366175950267633</v>
      </c>
      <c r="W89" s="79">
        <f t="shared" si="50"/>
        <v>2.3131758892337446</v>
      </c>
      <c r="X89" s="79">
        <f t="shared" si="50"/>
        <v>2.3883489762051049</v>
      </c>
      <c r="Y89" s="79">
        <f t="shared" si="50"/>
        <v>2.4627497584355749</v>
      </c>
    </row>
    <row r="90" spans="1:25" ht="14.1" customHeight="1" thickBot="1" x14ac:dyDescent="0.3">
      <c r="A90" s="4"/>
      <c r="B90" s="10"/>
      <c r="C90" s="79"/>
      <c r="D90" s="79"/>
      <c r="E90" s="79"/>
      <c r="F90" s="79"/>
      <c r="G90" s="79"/>
      <c r="H90" s="79"/>
      <c r="I90" s="79"/>
      <c r="J90" s="79"/>
      <c r="K90" s="79"/>
      <c r="L90" s="79"/>
      <c r="N90" s="4" t="str">
        <f>Ratings!H13</f>
        <v>SBY32</v>
      </c>
      <c r="O90" s="24">
        <f>Ratings!J13</f>
        <v>14.3</v>
      </c>
      <c r="P90" s="79">
        <v>-4</v>
      </c>
      <c r="Q90" s="79">
        <f t="shared" ref="Q90:Y90" si="51">Q$13+$P90</f>
        <v>8.5914407758449745</v>
      </c>
      <c r="R90" s="79">
        <f t="shared" si="51"/>
        <v>9.6044524575398693</v>
      </c>
      <c r="S90" s="79">
        <f t="shared" si="51"/>
        <v>10.457601358659042</v>
      </c>
      <c r="T90" s="79">
        <f t="shared" si="51"/>
        <v>11.05811346498194</v>
      </c>
      <c r="U90" s="79">
        <f t="shared" si="51"/>
        <v>11.788111449037068</v>
      </c>
      <c r="V90" s="79">
        <f t="shared" si="51"/>
        <v>12.248849263376304</v>
      </c>
      <c r="W90" s="79">
        <f t="shared" si="51"/>
        <v>12.705991810570712</v>
      </c>
      <c r="X90" s="79">
        <f t="shared" si="51"/>
        <v>13.147236044349228</v>
      </c>
      <c r="Y90" s="79">
        <f t="shared" si="51"/>
        <v>13.577186526510992</v>
      </c>
    </row>
    <row r="91" spans="1:25" ht="14.1" customHeight="1" thickBot="1" x14ac:dyDescent="0.3">
      <c r="A91" s="4"/>
      <c r="B91" s="10"/>
      <c r="C91" s="79"/>
      <c r="D91" s="79"/>
      <c r="E91" s="79"/>
      <c r="F91" s="79"/>
      <c r="G91" s="79"/>
      <c r="H91" s="79"/>
      <c r="I91" s="79"/>
      <c r="J91" s="79"/>
      <c r="K91" s="79"/>
      <c r="L91" s="79"/>
      <c r="N91" s="4" t="str">
        <f>Ratings!H11</f>
        <v>SBY23</v>
      </c>
      <c r="O91" s="5">
        <f>Ratings!J11</f>
        <v>14.3</v>
      </c>
      <c r="P91" s="79">
        <v>-4</v>
      </c>
      <c r="Q91" s="79">
        <f t="shared" ref="Q91:Y91" si="52">Q$11+$P91</f>
        <v>6.1456086469094977</v>
      </c>
      <c r="R91" s="79">
        <f t="shared" si="52"/>
        <v>6.666219303851241</v>
      </c>
      <c r="S91" s="79">
        <f t="shared" si="52"/>
        <v>7.0640237297107262</v>
      </c>
      <c r="T91" s="79">
        <f t="shared" si="52"/>
        <v>7.4467803687335579</v>
      </c>
      <c r="U91" s="79">
        <f t="shared" si="52"/>
        <v>7.9230767728809059</v>
      </c>
      <c r="V91" s="79">
        <f t="shared" si="52"/>
        <v>8.2710229062907494</v>
      </c>
      <c r="W91" s="79">
        <f t="shared" si="52"/>
        <v>8.6162539178619078</v>
      </c>
      <c r="X91" s="79">
        <f t="shared" si="52"/>
        <v>8.9494786288676771</v>
      </c>
      <c r="Y91" s="79">
        <f t="shared" si="52"/>
        <v>9.2741743737577043</v>
      </c>
    </row>
    <row r="92" spans="1:25" ht="14.1" customHeight="1" thickBot="1" x14ac:dyDescent="0.3">
      <c r="A92" s="4"/>
      <c r="B92" s="10"/>
      <c r="C92" s="79"/>
      <c r="D92" s="79"/>
      <c r="E92" s="79"/>
      <c r="F92" s="79"/>
      <c r="G92" s="79"/>
      <c r="H92" s="79"/>
      <c r="I92" s="79"/>
      <c r="J92" s="79"/>
      <c r="K92" s="79"/>
      <c r="L92" s="79"/>
      <c r="N92" s="4" t="str">
        <f>Ratings!H10</f>
        <v>SBY13</v>
      </c>
      <c r="O92" s="96">
        <f>Ratings!J10</f>
        <v>14.1</v>
      </c>
      <c r="P92" s="79">
        <v>-3</v>
      </c>
      <c r="Q92" s="79">
        <f>Q$10+$P92</f>
        <v>4.1995202320399612</v>
      </c>
      <c r="R92" s="79">
        <f t="shared" ref="R92:Y92" si="53">R$10+$P92</f>
        <v>4.5462059334343996</v>
      </c>
      <c r="S92" s="79">
        <f t="shared" si="53"/>
        <v>4.8399532940115586</v>
      </c>
      <c r="T92" s="79">
        <f t="shared" si="53"/>
        <v>5.0885884023855148</v>
      </c>
      <c r="U92" s="79">
        <f t="shared" si="53"/>
        <v>5.4307211653768892</v>
      </c>
      <c r="V92" s="79">
        <f t="shared" si="53"/>
        <v>5.6767513543312642</v>
      </c>
      <c r="W92" s="79">
        <f t="shared" si="53"/>
        <v>5.9208617003132265</v>
      </c>
      <c r="X92" s="79">
        <f t="shared" si="53"/>
        <v>6.1564824781893481</v>
      </c>
      <c r="Y92" s="79">
        <f t="shared" si="53"/>
        <v>6.3860724859445988</v>
      </c>
    </row>
    <row r="93" spans="1:25" ht="14.1" customHeight="1" thickBot="1" x14ac:dyDescent="0.3">
      <c r="A93" s="4"/>
      <c r="B93" s="10"/>
      <c r="C93" s="79"/>
      <c r="D93" s="79"/>
      <c r="E93" s="79"/>
      <c r="F93" s="79"/>
      <c r="G93" s="79"/>
      <c r="H93" s="79"/>
      <c r="I93" s="79"/>
      <c r="J93" s="79"/>
      <c r="K93" s="79"/>
      <c r="L93" s="79"/>
      <c r="N93" s="95"/>
      <c r="O93" s="5"/>
      <c r="P93" s="79"/>
      <c r="Q93" s="79"/>
      <c r="R93" s="79"/>
      <c r="S93" s="79"/>
      <c r="T93" s="79"/>
      <c r="U93" s="79"/>
      <c r="V93" s="79"/>
      <c r="W93" s="79"/>
      <c r="X93" s="79"/>
      <c r="Y93" s="79"/>
    </row>
    <row r="94" spans="1:25" ht="14.1" customHeight="1" thickBot="1" x14ac:dyDescent="0.3">
      <c r="A94" s="4"/>
      <c r="B94" s="10"/>
      <c r="C94" s="79"/>
      <c r="D94" s="79"/>
      <c r="E94" s="79"/>
      <c r="F94" s="79"/>
      <c r="G94" s="79"/>
      <c r="H94" s="79"/>
      <c r="I94" s="79"/>
      <c r="J94" s="79"/>
      <c r="K94" s="79"/>
      <c r="L94" s="79"/>
      <c r="N94" s="95"/>
      <c r="O94" s="5"/>
      <c r="P94" s="79"/>
      <c r="Q94" s="79"/>
      <c r="R94" s="79"/>
      <c r="S94" s="79"/>
      <c r="T94" s="79"/>
      <c r="U94" s="79"/>
      <c r="V94" s="79"/>
      <c r="W94" s="79"/>
      <c r="X94" s="79"/>
      <c r="Y94" s="79"/>
    </row>
    <row r="95" spans="1:25" ht="14.1" customHeight="1" thickBot="1" x14ac:dyDescent="0.3">
      <c r="A95" s="4"/>
      <c r="B95" s="10"/>
      <c r="C95" s="79"/>
      <c r="D95" s="79"/>
      <c r="E95" s="79"/>
      <c r="F95" s="79"/>
      <c r="G95" s="79"/>
      <c r="H95" s="79"/>
      <c r="I95" s="79"/>
      <c r="J95" s="79"/>
      <c r="K95" s="79"/>
      <c r="L95" s="79"/>
      <c r="N95" s="95"/>
      <c r="O95" s="5"/>
      <c r="P95" s="79"/>
      <c r="Q95" s="79"/>
      <c r="R95" s="79"/>
      <c r="S95" s="79"/>
      <c r="T95" s="79"/>
      <c r="U95" s="79"/>
      <c r="V95" s="79"/>
      <c r="W95" s="79"/>
      <c r="X95" s="79"/>
      <c r="Y95" s="79"/>
    </row>
    <row r="96" spans="1:25" ht="14.1" customHeight="1" thickBot="1" x14ac:dyDescent="0.3">
      <c r="A96" s="4"/>
      <c r="B96" s="10"/>
      <c r="C96" s="79"/>
      <c r="D96" s="79"/>
      <c r="E96" s="79"/>
      <c r="F96" s="79"/>
      <c r="G96" s="79"/>
      <c r="H96" s="79"/>
      <c r="I96" s="79"/>
      <c r="J96" s="79"/>
      <c r="K96" s="79"/>
      <c r="L96" s="79"/>
      <c r="N96" s="4"/>
      <c r="O96" s="96"/>
      <c r="P96" s="79"/>
      <c r="Q96" s="79"/>
      <c r="R96" s="79"/>
      <c r="S96" s="79"/>
      <c r="T96" s="79"/>
      <c r="U96" s="79"/>
      <c r="V96" s="79"/>
      <c r="W96" s="79"/>
      <c r="X96" s="79"/>
      <c r="Y96" s="79"/>
    </row>
    <row r="97" spans="1:25" ht="14.1" customHeight="1" thickBot="1" x14ac:dyDescent="0.3">
      <c r="A97" s="4"/>
      <c r="B97" s="10"/>
      <c r="C97" s="79"/>
      <c r="D97" s="79"/>
      <c r="E97" s="79"/>
      <c r="F97" s="79"/>
      <c r="G97" s="79"/>
      <c r="H97" s="79"/>
      <c r="I97" s="79"/>
      <c r="J97" s="79"/>
      <c r="K97" s="79"/>
      <c r="L97" s="79"/>
      <c r="N97" s="6"/>
      <c r="O97" s="96"/>
      <c r="P97" s="79"/>
      <c r="Q97" s="79"/>
      <c r="R97" s="79"/>
      <c r="S97" s="79"/>
      <c r="T97" s="79"/>
      <c r="U97" s="79"/>
      <c r="V97" s="79"/>
      <c r="W97" s="79"/>
      <c r="X97" s="79"/>
      <c r="Y97" s="79"/>
    </row>
    <row r="98" spans="1:25" ht="14.1" customHeight="1" thickBot="1" x14ac:dyDescent="0.3">
      <c r="A98" s="4"/>
      <c r="B98" s="10"/>
      <c r="C98" s="79"/>
      <c r="D98" s="79"/>
      <c r="E98" s="79"/>
      <c r="F98" s="79"/>
      <c r="G98" s="79"/>
      <c r="H98" s="79"/>
      <c r="I98" s="79"/>
      <c r="J98" s="79"/>
      <c r="K98" s="79"/>
      <c r="L98" s="79"/>
      <c r="N98" s="4"/>
      <c r="O98" s="96"/>
      <c r="P98" s="79"/>
      <c r="Q98" s="79"/>
      <c r="R98" s="79"/>
      <c r="S98" s="79"/>
      <c r="T98" s="79"/>
      <c r="U98" s="79"/>
      <c r="V98" s="79"/>
      <c r="W98" s="79"/>
      <c r="X98" s="79"/>
      <c r="Y98" s="79"/>
    </row>
    <row r="99" spans="1:25" ht="14.1" customHeight="1" thickBot="1" x14ac:dyDescent="0.3">
      <c r="A99" s="4"/>
      <c r="B99" s="10"/>
      <c r="C99" s="79"/>
      <c r="D99" s="79"/>
      <c r="E99" s="79"/>
      <c r="F99" s="79"/>
      <c r="G99" s="79"/>
      <c r="H99" s="79"/>
      <c r="I99" s="79"/>
      <c r="J99" s="79"/>
      <c r="K99" s="79"/>
      <c r="L99" s="79"/>
      <c r="N99" s="4"/>
      <c r="O99" s="96"/>
      <c r="P99" s="79"/>
      <c r="Q99" s="79"/>
      <c r="R99" s="79"/>
      <c r="S99" s="79"/>
      <c r="T99" s="79"/>
      <c r="U99" s="79"/>
      <c r="V99" s="79"/>
      <c r="W99" s="79"/>
      <c r="X99" s="79"/>
      <c r="Y99" s="79"/>
    </row>
    <row r="100" spans="1:25" ht="14.1" customHeight="1" thickBot="1" x14ac:dyDescent="0.3">
      <c r="A100" s="4"/>
      <c r="B100" s="10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N100" s="4"/>
      <c r="O100" s="96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  <row r="101" spans="1:25" ht="14.1" customHeight="1" thickBot="1" x14ac:dyDescent="0.3">
      <c r="A101" s="4"/>
      <c r="B101" s="10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N101" s="4"/>
      <c r="O101" s="96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  <row r="102" spans="1:25" ht="14.1" customHeight="1" thickBot="1" x14ac:dyDescent="0.3">
      <c r="A102" s="4"/>
      <c r="B102" s="10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N102" s="4"/>
      <c r="O102" s="96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  <row r="103" spans="1:25" ht="14.1" customHeight="1" thickBot="1" x14ac:dyDescent="0.3">
      <c r="A103" s="4"/>
      <c r="B103" s="10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N103" s="4"/>
      <c r="O103" s="96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  <row r="104" spans="1:25" ht="14.1" customHeight="1" thickBot="1" x14ac:dyDescent="0.3">
      <c r="A104" s="4"/>
      <c r="B104" s="10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N104" s="95"/>
      <c r="O104" s="5"/>
      <c r="P104" s="79"/>
      <c r="Q104" s="79"/>
      <c r="R104" s="79"/>
      <c r="S104" s="79"/>
      <c r="T104" s="79"/>
      <c r="U104" s="79"/>
      <c r="V104" s="79"/>
      <c r="W104" s="79"/>
      <c r="X104" s="79"/>
      <c r="Y104" s="79"/>
    </row>
    <row r="105" spans="1:25" ht="14.1" customHeight="1" thickBot="1" x14ac:dyDescent="0.3">
      <c r="A105" s="4"/>
      <c r="B105" s="10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N105" s="95"/>
      <c r="O105" s="10"/>
      <c r="P105" s="79"/>
      <c r="Q105" s="79"/>
      <c r="R105" s="79"/>
      <c r="S105" s="79"/>
      <c r="T105" s="79"/>
      <c r="U105" s="79"/>
      <c r="V105" s="79"/>
      <c r="W105" s="79"/>
      <c r="X105" s="79"/>
      <c r="Y105" s="79"/>
    </row>
    <row r="106" spans="1:25" ht="14.1" customHeight="1" thickBot="1" x14ac:dyDescent="0.3">
      <c r="A106" s="4"/>
      <c r="B106" s="10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N106" s="4"/>
      <c r="O106" s="96"/>
      <c r="P106" s="79"/>
      <c r="Q106" s="79"/>
      <c r="R106" s="79"/>
      <c r="S106" s="79"/>
      <c r="T106" s="79"/>
      <c r="U106" s="79"/>
      <c r="V106" s="79"/>
      <c r="W106" s="79"/>
      <c r="X106" s="79"/>
      <c r="Y106" s="79"/>
    </row>
    <row r="107" spans="1:25" ht="14.1" customHeight="1" thickBot="1" x14ac:dyDescent="0.3">
      <c r="A107" s="4"/>
      <c r="B107" s="10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N107" s="4"/>
      <c r="O107" s="96"/>
      <c r="P107" s="79"/>
      <c r="Q107" s="79"/>
      <c r="R107" s="79"/>
      <c r="S107" s="79"/>
      <c r="T107" s="79"/>
      <c r="U107" s="79"/>
      <c r="V107" s="79"/>
      <c r="W107" s="79"/>
      <c r="X107" s="79"/>
      <c r="Y107" s="79"/>
    </row>
    <row r="108" spans="1:25" ht="14.1" customHeight="1" thickBot="1" x14ac:dyDescent="0.3">
      <c r="A108" s="4"/>
      <c r="B108" s="10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N108" s="4"/>
      <c r="O108" s="96"/>
      <c r="P108" s="79"/>
      <c r="Q108" s="79"/>
      <c r="R108" s="79"/>
      <c r="S108" s="79"/>
      <c r="T108" s="79"/>
      <c r="U108" s="79"/>
      <c r="V108" s="79"/>
      <c r="W108" s="79"/>
      <c r="X108" s="79"/>
      <c r="Y108" s="79"/>
    </row>
    <row r="109" spans="1:25" ht="14.1" customHeight="1" thickBot="1" x14ac:dyDescent="0.3">
      <c r="A109" s="4"/>
      <c r="B109" s="10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N109" s="95"/>
      <c r="O109" s="5"/>
      <c r="P109" s="79"/>
      <c r="Q109" s="79"/>
      <c r="R109" s="79"/>
      <c r="S109" s="79"/>
      <c r="T109" s="79"/>
      <c r="U109" s="79"/>
      <c r="V109" s="79"/>
      <c r="W109" s="79"/>
      <c r="X109" s="79"/>
      <c r="Y109" s="79"/>
    </row>
    <row r="110" spans="1:25" ht="14.1" customHeight="1" thickBot="1" x14ac:dyDescent="0.3">
      <c r="A110" s="4"/>
      <c r="B110" s="10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N110" s="4"/>
      <c r="O110" s="96"/>
      <c r="P110" s="79"/>
      <c r="Q110" s="79"/>
      <c r="R110" s="79"/>
      <c r="S110" s="79"/>
      <c r="T110" s="79"/>
      <c r="U110" s="79"/>
      <c r="V110" s="79"/>
      <c r="W110" s="79"/>
      <c r="X110" s="79"/>
      <c r="Y110" s="79"/>
    </row>
    <row r="111" spans="1:25" ht="14.1" customHeight="1" thickBot="1" x14ac:dyDescent="0.3">
      <c r="A111" s="4"/>
      <c r="B111" s="10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N111" s="4"/>
      <c r="O111" s="96"/>
      <c r="P111" s="79"/>
      <c r="Q111" s="79"/>
      <c r="R111" s="79"/>
      <c r="S111" s="79"/>
      <c r="T111" s="79"/>
      <c r="U111" s="79"/>
      <c r="V111" s="79"/>
      <c r="W111" s="79"/>
      <c r="X111" s="79"/>
      <c r="Y111" s="79"/>
    </row>
    <row r="112" spans="1:25" ht="14.1" customHeight="1" thickBot="1" x14ac:dyDescent="0.3">
      <c r="A112" s="4"/>
      <c r="B112" s="10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N112" s="95"/>
      <c r="O112" s="5"/>
      <c r="P112" s="79"/>
      <c r="Q112" s="79"/>
      <c r="R112" s="79"/>
      <c r="S112" s="79"/>
      <c r="T112" s="79"/>
      <c r="U112" s="79"/>
      <c r="V112" s="79"/>
      <c r="W112" s="79"/>
      <c r="X112" s="79"/>
      <c r="Y112" s="79"/>
    </row>
    <row r="113" spans="1:25" ht="14.1" customHeight="1" thickBot="1" x14ac:dyDescent="0.3">
      <c r="A113" s="4"/>
      <c r="B113" s="10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N113" s="4"/>
      <c r="O113" s="96"/>
      <c r="P113" s="79"/>
      <c r="Q113" s="79"/>
      <c r="R113" s="79"/>
      <c r="S113" s="79"/>
      <c r="T113" s="79"/>
      <c r="U113" s="79"/>
      <c r="V113" s="79"/>
      <c r="W113" s="79"/>
      <c r="X113" s="79"/>
      <c r="Y113" s="79"/>
    </row>
    <row r="114" spans="1:25" ht="14.1" customHeight="1" thickBot="1" x14ac:dyDescent="0.3">
      <c r="A114" s="4"/>
      <c r="B114" s="10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N114" s="4"/>
      <c r="O114" s="96"/>
      <c r="P114" s="79"/>
      <c r="Q114" s="79"/>
      <c r="R114" s="79"/>
      <c r="S114" s="79"/>
      <c r="T114" s="79"/>
      <c r="U114" s="79"/>
      <c r="V114" s="79"/>
      <c r="W114" s="79"/>
      <c r="X114" s="79"/>
      <c r="Y114" s="79"/>
    </row>
    <row r="115" spans="1:25" ht="14.1" customHeight="1" thickBot="1" x14ac:dyDescent="0.3">
      <c r="A115" s="4"/>
      <c r="B115" s="10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N115" s="4"/>
      <c r="O115" s="96"/>
      <c r="P115" s="79"/>
      <c r="Q115" s="79"/>
      <c r="R115" s="79"/>
      <c r="S115" s="79"/>
      <c r="T115" s="79"/>
      <c r="U115" s="79"/>
      <c r="V115" s="79"/>
      <c r="W115" s="79"/>
      <c r="X115" s="79"/>
      <c r="Y115" s="79"/>
    </row>
    <row r="116" spans="1:25" ht="14.1" customHeight="1" thickBot="1" x14ac:dyDescent="0.3">
      <c r="A116" s="4"/>
      <c r="B116" s="10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N116" s="4"/>
      <c r="O116" s="96"/>
      <c r="P116" s="79"/>
      <c r="Q116" s="79"/>
      <c r="R116" s="79"/>
      <c r="S116" s="79"/>
      <c r="T116" s="79"/>
      <c r="U116" s="79"/>
      <c r="V116" s="79"/>
      <c r="W116" s="79"/>
      <c r="X116" s="79"/>
      <c r="Y116" s="79"/>
    </row>
    <row r="117" spans="1:25" ht="14.1" customHeight="1" thickBot="1" x14ac:dyDescent="0.3">
      <c r="A117" s="4"/>
      <c r="B117" s="10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N117" s="4"/>
      <c r="O117" s="96"/>
      <c r="P117" s="79"/>
      <c r="Q117" s="79"/>
      <c r="R117" s="79"/>
      <c r="S117" s="79"/>
      <c r="T117" s="79"/>
      <c r="U117" s="79"/>
      <c r="V117" s="79"/>
      <c r="W117" s="79"/>
      <c r="X117" s="79"/>
      <c r="Y117" s="79"/>
    </row>
    <row r="118" spans="1:25" ht="14.1" customHeight="1" thickBot="1" x14ac:dyDescent="0.3">
      <c r="A118" s="4"/>
      <c r="B118" s="10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N118" s="95"/>
      <c r="O118" s="5"/>
      <c r="P118" s="79"/>
      <c r="Q118" s="79"/>
      <c r="R118" s="79"/>
      <c r="S118" s="79"/>
      <c r="T118" s="79"/>
      <c r="U118" s="79"/>
      <c r="V118" s="79"/>
      <c r="W118" s="79"/>
      <c r="X118" s="79"/>
      <c r="Y118" s="79"/>
    </row>
    <row r="119" spans="1:25" ht="14.1" customHeight="1" thickBot="1" x14ac:dyDescent="0.3">
      <c r="A119" s="4"/>
      <c r="B119" s="10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N119" s="95"/>
      <c r="O119" s="5"/>
      <c r="P119" s="79"/>
      <c r="Q119" s="79"/>
      <c r="R119" s="79"/>
      <c r="S119" s="79"/>
      <c r="T119" s="79"/>
      <c r="U119" s="79"/>
      <c r="V119" s="79"/>
      <c r="W119" s="79"/>
      <c r="X119" s="79"/>
      <c r="Y119" s="79"/>
    </row>
    <row r="120" spans="1:25" ht="14.1" customHeight="1" thickBot="1" x14ac:dyDescent="0.3">
      <c r="A120" s="4"/>
      <c r="B120" s="10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N120" s="95"/>
      <c r="O120" s="5"/>
      <c r="P120" s="79"/>
      <c r="Q120" s="79"/>
      <c r="R120" s="79"/>
      <c r="S120" s="79"/>
      <c r="T120" s="79"/>
      <c r="U120" s="79"/>
      <c r="V120" s="79"/>
      <c r="W120" s="79"/>
      <c r="X120" s="79"/>
      <c r="Y120" s="79"/>
    </row>
    <row r="121" spans="1:25" ht="14.1" customHeight="1" thickBot="1" x14ac:dyDescent="0.3">
      <c r="A121" s="4"/>
      <c r="B121" s="10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N121" s="4"/>
      <c r="O121" s="96"/>
      <c r="P121" s="79"/>
      <c r="Q121" s="79"/>
      <c r="R121" s="79"/>
      <c r="S121" s="79"/>
      <c r="T121" s="79"/>
      <c r="U121" s="79"/>
      <c r="V121" s="79"/>
      <c r="W121" s="79"/>
      <c r="X121" s="79"/>
      <c r="Y121" s="79"/>
    </row>
    <row r="122" spans="1:25" ht="14.1" customHeight="1" thickBot="1" x14ac:dyDescent="0.3">
      <c r="A122" s="4"/>
      <c r="B122" s="10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N122" s="6"/>
      <c r="O122" s="96"/>
      <c r="P122" s="79"/>
      <c r="Q122" s="79"/>
      <c r="R122" s="79"/>
      <c r="S122" s="79"/>
      <c r="T122" s="79"/>
      <c r="U122" s="79"/>
      <c r="V122" s="79"/>
      <c r="W122" s="79"/>
      <c r="X122" s="79"/>
      <c r="Y122" s="79"/>
    </row>
    <row r="123" spans="1:25" ht="14.1" customHeight="1" thickBot="1" x14ac:dyDescent="0.3">
      <c r="A123" s="4"/>
      <c r="B123" s="10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N123" s="4"/>
      <c r="O123" s="96"/>
      <c r="P123" s="79"/>
      <c r="Q123" s="79"/>
      <c r="R123" s="79"/>
      <c r="S123" s="79"/>
      <c r="T123" s="79"/>
      <c r="U123" s="79"/>
      <c r="V123" s="79"/>
      <c r="W123" s="79"/>
      <c r="X123" s="79"/>
      <c r="Y123" s="79"/>
    </row>
    <row r="124" spans="1:25" ht="14.1" customHeight="1" thickBot="1" x14ac:dyDescent="0.3">
      <c r="A124" s="4"/>
      <c r="B124" s="10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N124" s="4"/>
      <c r="O124" s="96"/>
      <c r="P124" s="79"/>
      <c r="Q124" s="79"/>
      <c r="R124" s="79"/>
      <c r="S124" s="79"/>
      <c r="T124" s="79"/>
      <c r="U124" s="79"/>
      <c r="V124" s="79"/>
      <c r="W124" s="79"/>
      <c r="X124" s="79"/>
      <c r="Y124" s="79"/>
    </row>
    <row r="125" spans="1:25" ht="14.1" customHeight="1" thickBot="1" x14ac:dyDescent="0.3">
      <c r="A125" s="4"/>
      <c r="B125" s="10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N125" s="4"/>
      <c r="O125" s="96"/>
      <c r="P125" s="79"/>
      <c r="Q125" s="79"/>
      <c r="R125" s="79"/>
      <c r="S125" s="79"/>
      <c r="T125" s="79"/>
      <c r="U125" s="79"/>
      <c r="V125" s="79"/>
      <c r="W125" s="79"/>
      <c r="X125" s="79"/>
      <c r="Y125" s="79"/>
    </row>
    <row r="126" spans="1:25" ht="14.1" customHeight="1" thickBot="1" x14ac:dyDescent="0.3">
      <c r="A126" s="4"/>
      <c r="B126" s="10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N126" s="4"/>
      <c r="O126" s="96"/>
      <c r="P126" s="79"/>
      <c r="Q126" s="79"/>
      <c r="R126" s="79"/>
      <c r="S126" s="79"/>
      <c r="T126" s="79"/>
      <c r="U126" s="79"/>
      <c r="V126" s="79"/>
      <c r="W126" s="79"/>
      <c r="X126" s="79"/>
      <c r="Y126" s="79"/>
    </row>
    <row r="127" spans="1:25" ht="14.1" customHeight="1" thickBot="1" x14ac:dyDescent="0.3">
      <c r="A127" s="4"/>
      <c r="B127" s="10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N127" s="4"/>
      <c r="O127" s="96"/>
      <c r="P127" s="79"/>
      <c r="Q127" s="79"/>
      <c r="R127" s="79"/>
      <c r="S127" s="79"/>
      <c r="T127" s="79"/>
      <c r="U127" s="79"/>
      <c r="V127" s="79"/>
      <c r="W127" s="79"/>
      <c r="X127" s="79"/>
      <c r="Y127" s="79"/>
    </row>
    <row r="128" spans="1:25" ht="14.1" customHeight="1" thickBot="1" x14ac:dyDescent="0.3">
      <c r="A128" s="4"/>
      <c r="B128" s="10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N128" s="4"/>
      <c r="O128" s="96"/>
      <c r="P128" s="79"/>
      <c r="Q128" s="79"/>
      <c r="R128" s="79"/>
      <c r="S128" s="79"/>
      <c r="T128" s="79"/>
      <c r="U128" s="79"/>
      <c r="V128" s="79"/>
      <c r="W128" s="79"/>
      <c r="X128" s="79"/>
      <c r="Y128" s="79"/>
    </row>
    <row r="129" spans="1:25" ht="14.1" customHeight="1" thickBot="1" x14ac:dyDescent="0.3">
      <c r="A129" s="4"/>
      <c r="B129" s="10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N129" s="95"/>
      <c r="O129" s="5"/>
      <c r="P129" s="79"/>
      <c r="Q129" s="79"/>
      <c r="R129" s="79"/>
      <c r="S129" s="79"/>
      <c r="T129" s="79"/>
      <c r="U129" s="79"/>
      <c r="V129" s="79"/>
      <c r="W129" s="79"/>
      <c r="X129" s="79"/>
      <c r="Y129" s="79"/>
    </row>
    <row r="130" spans="1:25" ht="14.1" customHeight="1" thickBot="1" x14ac:dyDescent="0.3">
      <c r="A130" s="4"/>
      <c r="B130" s="10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N130" s="95"/>
      <c r="O130" s="10"/>
      <c r="P130" s="79"/>
      <c r="Q130" s="79"/>
      <c r="R130" s="79"/>
      <c r="S130" s="79"/>
      <c r="T130" s="79"/>
      <c r="U130" s="79"/>
      <c r="V130" s="79"/>
      <c r="W130" s="79"/>
      <c r="X130" s="79"/>
      <c r="Y130" s="79"/>
    </row>
    <row r="131" spans="1:25" ht="14.1" customHeight="1" thickBot="1" x14ac:dyDescent="0.3">
      <c r="A131" s="4"/>
      <c r="B131" s="10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N131" s="4"/>
      <c r="O131" s="96"/>
      <c r="P131" s="79"/>
      <c r="Q131" s="79"/>
      <c r="R131" s="79"/>
      <c r="S131" s="79"/>
      <c r="T131" s="79"/>
      <c r="U131" s="79"/>
      <c r="V131" s="79"/>
      <c r="W131" s="79"/>
      <c r="X131" s="79"/>
      <c r="Y131" s="79"/>
    </row>
    <row r="132" spans="1:25" ht="14.1" customHeight="1" thickBot="1" x14ac:dyDescent="0.3">
      <c r="A132" s="4"/>
      <c r="B132" s="10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N132" s="4"/>
      <c r="O132" s="96"/>
      <c r="P132" s="79"/>
      <c r="Q132" s="79"/>
      <c r="R132" s="79"/>
      <c r="S132" s="79"/>
      <c r="T132" s="79"/>
      <c r="U132" s="79"/>
      <c r="V132" s="79"/>
      <c r="W132" s="79"/>
      <c r="X132" s="79"/>
      <c r="Y132" s="79"/>
    </row>
    <row r="133" spans="1:25" ht="14.1" customHeight="1" thickBot="1" x14ac:dyDescent="0.3">
      <c r="A133" s="4"/>
      <c r="B133" s="10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N133" s="4"/>
      <c r="O133" s="96"/>
      <c r="P133" s="79"/>
      <c r="Q133" s="79"/>
      <c r="R133" s="79"/>
      <c r="S133" s="79"/>
      <c r="T133" s="79"/>
      <c r="U133" s="79"/>
      <c r="V133" s="79"/>
      <c r="W133" s="79"/>
      <c r="X133" s="79"/>
      <c r="Y133" s="79"/>
    </row>
    <row r="134" spans="1:25" ht="14.1" customHeight="1" thickBot="1" x14ac:dyDescent="0.3">
      <c r="A134" s="4"/>
      <c r="B134" s="10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N134" s="4"/>
      <c r="O134" s="96"/>
      <c r="P134" s="79"/>
      <c r="Q134" s="79"/>
      <c r="R134" s="79"/>
      <c r="S134" s="79"/>
      <c r="T134" s="79"/>
      <c r="U134" s="79"/>
      <c r="V134" s="79"/>
      <c r="W134" s="79"/>
      <c r="X134" s="79"/>
      <c r="Y134" s="79"/>
    </row>
    <row r="135" spans="1:25" ht="14.1" customHeight="1" thickBot="1" x14ac:dyDescent="0.3">
      <c r="A135" s="4"/>
      <c r="B135" s="10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N135" s="4"/>
      <c r="O135" s="96"/>
      <c r="P135" s="79"/>
      <c r="Q135" s="79"/>
      <c r="R135" s="79"/>
      <c r="S135" s="79"/>
      <c r="T135" s="79"/>
      <c r="U135" s="79"/>
      <c r="V135" s="79"/>
      <c r="W135" s="79"/>
      <c r="X135" s="79"/>
      <c r="Y135" s="79"/>
    </row>
    <row r="136" spans="1:25" ht="14.1" customHeight="1" thickBot="1" x14ac:dyDescent="0.3">
      <c r="A136" s="4"/>
      <c r="B136" s="10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N136" s="4"/>
      <c r="O136" s="96"/>
      <c r="P136" s="79"/>
      <c r="Q136" s="79"/>
      <c r="R136" s="79"/>
      <c r="S136" s="79"/>
      <c r="T136" s="79"/>
      <c r="U136" s="79"/>
      <c r="V136" s="79"/>
      <c r="W136" s="79"/>
      <c r="X136" s="79"/>
      <c r="Y136" s="79"/>
    </row>
    <row r="137" spans="1:25" ht="14.1" customHeight="1" thickBot="1" x14ac:dyDescent="0.3">
      <c r="A137" s="4"/>
      <c r="B137" s="10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N137" s="4"/>
      <c r="O137" s="96"/>
      <c r="P137" s="79"/>
      <c r="Q137" s="79"/>
      <c r="R137" s="79"/>
      <c r="S137" s="79"/>
      <c r="T137" s="79"/>
      <c r="U137" s="79"/>
      <c r="V137" s="79"/>
      <c r="W137" s="79"/>
      <c r="X137" s="79"/>
      <c r="Y137" s="79"/>
    </row>
    <row r="138" spans="1:25" ht="14.1" customHeight="1" thickBot="1" x14ac:dyDescent="0.3">
      <c r="A138" s="4"/>
      <c r="B138" s="10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N138" s="4"/>
      <c r="O138" s="96"/>
      <c r="P138" s="79"/>
      <c r="Q138" s="79"/>
      <c r="R138" s="79"/>
      <c r="S138" s="79"/>
      <c r="T138" s="79"/>
      <c r="U138" s="79"/>
      <c r="V138" s="79"/>
      <c r="W138" s="79"/>
      <c r="X138" s="79"/>
      <c r="Y138" s="79"/>
    </row>
    <row r="139" spans="1:25" ht="14.1" customHeight="1" thickBot="1" x14ac:dyDescent="0.3">
      <c r="A139" s="4"/>
      <c r="B139" s="10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N139" s="4"/>
      <c r="O139" s="96"/>
      <c r="P139" s="79"/>
      <c r="Q139" s="79"/>
      <c r="R139" s="79"/>
      <c r="S139" s="79"/>
      <c r="T139" s="79"/>
      <c r="U139" s="79"/>
      <c r="V139" s="79"/>
      <c r="W139" s="79"/>
      <c r="X139" s="79"/>
      <c r="Y139" s="79"/>
    </row>
    <row r="140" spans="1:25" ht="14.1" customHeight="1" thickBot="1" x14ac:dyDescent="0.3">
      <c r="A140" s="4"/>
      <c r="B140" s="10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N140" s="4"/>
      <c r="O140" s="96"/>
      <c r="P140" s="79"/>
      <c r="Q140" s="79"/>
      <c r="R140" s="79"/>
      <c r="S140" s="79"/>
      <c r="T140" s="79"/>
      <c r="U140" s="79"/>
      <c r="V140" s="79"/>
      <c r="W140" s="79"/>
      <c r="X140" s="79"/>
      <c r="Y140" s="79"/>
    </row>
    <row r="141" spans="1:25" ht="14.1" customHeight="1" thickBot="1" x14ac:dyDescent="0.3">
      <c r="A141" s="4"/>
      <c r="B141" s="10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N141" s="4"/>
      <c r="O141" s="96"/>
      <c r="P141" s="79"/>
      <c r="Q141" s="79"/>
      <c r="R141" s="79"/>
      <c r="S141" s="79"/>
      <c r="T141" s="79"/>
      <c r="U141" s="79"/>
      <c r="V141" s="79"/>
      <c r="W141" s="79"/>
      <c r="X141" s="79"/>
      <c r="Y141" s="79"/>
    </row>
    <row r="142" spans="1:25" ht="14.1" customHeight="1" thickBot="1" x14ac:dyDescent="0.3">
      <c r="A142" s="4"/>
      <c r="B142" s="10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N142" s="95"/>
      <c r="O142" s="5"/>
      <c r="P142" s="79"/>
      <c r="Q142" s="79"/>
      <c r="R142" s="79"/>
      <c r="S142" s="79"/>
      <c r="T142" s="79"/>
      <c r="U142" s="79"/>
      <c r="V142" s="79"/>
      <c r="W142" s="79"/>
      <c r="X142" s="79"/>
      <c r="Y142" s="79"/>
    </row>
    <row r="143" spans="1:25" ht="14.1" customHeight="1" thickBot="1" x14ac:dyDescent="0.3">
      <c r="A143" s="4"/>
      <c r="B143" s="10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N143" s="4"/>
      <c r="O143" s="96"/>
      <c r="P143" s="79"/>
      <c r="Q143" s="79"/>
      <c r="R143" s="79"/>
      <c r="S143" s="79"/>
      <c r="T143" s="79"/>
      <c r="U143" s="79"/>
      <c r="V143" s="79"/>
      <c r="W143" s="79"/>
      <c r="X143" s="79"/>
      <c r="Y143" s="79"/>
    </row>
    <row r="144" spans="1:25" ht="14.1" customHeight="1" thickBot="1" x14ac:dyDescent="0.3">
      <c r="A144" s="4"/>
      <c r="B144" s="10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N144" s="4"/>
      <c r="O144" s="96"/>
      <c r="P144" s="79"/>
      <c r="Q144" s="79"/>
      <c r="R144" s="79"/>
      <c r="S144" s="79"/>
      <c r="T144" s="79"/>
      <c r="U144" s="79"/>
      <c r="V144" s="79"/>
      <c r="W144" s="79"/>
      <c r="X144" s="79"/>
      <c r="Y144" s="79"/>
    </row>
    <row r="145" spans="1:25" ht="14.1" customHeight="1" thickBot="1" x14ac:dyDescent="0.3">
      <c r="A145" s="4"/>
      <c r="B145" s="10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N145" s="95"/>
      <c r="O145" s="5"/>
      <c r="P145" s="79"/>
      <c r="Q145" s="79"/>
      <c r="R145" s="79"/>
      <c r="S145" s="79"/>
      <c r="T145" s="79"/>
      <c r="U145" s="79"/>
      <c r="V145" s="79"/>
      <c r="W145" s="79"/>
      <c r="X145" s="79"/>
      <c r="Y145" s="79"/>
    </row>
    <row r="146" spans="1:25" ht="14.1" customHeight="1" thickBot="1" x14ac:dyDescent="0.3">
      <c r="A146" s="4"/>
      <c r="B146" s="10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N146" s="95"/>
      <c r="O146" s="5"/>
      <c r="P146" s="79"/>
      <c r="Q146" s="79"/>
      <c r="R146" s="79"/>
      <c r="S146" s="79"/>
      <c r="T146" s="79"/>
      <c r="U146" s="79"/>
      <c r="V146" s="79"/>
      <c r="W146" s="79"/>
      <c r="X146" s="79"/>
      <c r="Y146" s="79"/>
    </row>
    <row r="147" spans="1:25" ht="14.1" customHeight="1" thickBot="1" x14ac:dyDescent="0.3">
      <c r="A147" s="4"/>
      <c r="B147" s="10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N147" s="4"/>
      <c r="O147" s="96"/>
      <c r="P147" s="79"/>
      <c r="Q147" s="79"/>
      <c r="R147" s="79"/>
      <c r="S147" s="79"/>
      <c r="T147" s="79"/>
      <c r="U147" s="79"/>
      <c r="V147" s="79"/>
      <c r="W147" s="79"/>
      <c r="X147" s="79"/>
      <c r="Y147" s="79"/>
    </row>
    <row r="148" spans="1:25" ht="14.1" customHeight="1" thickBot="1" x14ac:dyDescent="0.3">
      <c r="A148" s="4"/>
      <c r="B148" s="10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N148" s="4"/>
      <c r="O148" s="10"/>
      <c r="P148" s="79"/>
      <c r="Q148" s="79"/>
      <c r="R148" s="79"/>
      <c r="S148" s="79"/>
      <c r="T148" s="79"/>
      <c r="U148" s="79"/>
      <c r="V148" s="79"/>
      <c r="W148" s="79"/>
      <c r="X148" s="79"/>
      <c r="Y148" s="79"/>
    </row>
    <row r="149" spans="1:25" ht="14.1" customHeight="1" thickBot="1" x14ac:dyDescent="0.3">
      <c r="A149" s="4"/>
      <c r="B149" s="10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N149" s="4"/>
      <c r="O149" s="10"/>
      <c r="P149" s="79"/>
      <c r="Q149" s="79"/>
      <c r="R149" s="79"/>
      <c r="S149" s="79"/>
      <c r="T149" s="79"/>
      <c r="U149" s="79"/>
      <c r="V149" s="79"/>
      <c r="W149" s="79"/>
      <c r="X149" s="79"/>
      <c r="Y149" s="79"/>
    </row>
    <row r="150" spans="1:25" ht="14.1" customHeight="1" thickBot="1" x14ac:dyDescent="0.3">
      <c r="A150" s="4"/>
      <c r="B150" s="10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N150" s="4"/>
      <c r="O150" s="10"/>
      <c r="P150" s="92"/>
      <c r="Q150" s="79"/>
      <c r="R150" s="79"/>
      <c r="S150" s="79"/>
      <c r="T150" s="79"/>
      <c r="U150" s="79"/>
      <c r="V150" s="79"/>
      <c r="W150" s="79"/>
      <c r="X150" s="79"/>
      <c r="Y150" s="79"/>
    </row>
    <row r="151" spans="1:25" ht="14.1" customHeight="1" thickBot="1" x14ac:dyDescent="0.3">
      <c r="A151" s="4"/>
      <c r="B151" s="10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N151" s="4"/>
      <c r="O151" s="10"/>
      <c r="P151" s="92"/>
      <c r="Q151" s="79"/>
      <c r="R151" s="79"/>
      <c r="S151" s="79"/>
      <c r="T151" s="79"/>
      <c r="U151" s="79"/>
      <c r="V151" s="79"/>
      <c r="W151" s="79"/>
      <c r="X151" s="79"/>
      <c r="Y151" s="79"/>
    </row>
    <row r="152" spans="1:25" ht="14.1" customHeight="1" thickBot="1" x14ac:dyDescent="0.3">
      <c r="A152" s="4"/>
      <c r="B152" s="10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N152" s="4"/>
      <c r="O152" s="10"/>
      <c r="P152" s="92"/>
      <c r="Q152" s="79"/>
      <c r="R152" s="79"/>
      <c r="S152" s="79"/>
      <c r="T152" s="79"/>
      <c r="U152" s="79"/>
      <c r="V152" s="79"/>
      <c r="W152" s="79"/>
      <c r="X152" s="79"/>
      <c r="Y152" s="79"/>
    </row>
    <row r="153" spans="1:25" ht="14.1" customHeight="1" thickBot="1" x14ac:dyDescent="0.3">
      <c r="A153" s="4"/>
      <c r="B153" s="10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N153" s="4"/>
      <c r="O153" s="10"/>
      <c r="P153" s="92"/>
      <c r="Q153" s="79"/>
      <c r="R153" s="79"/>
      <c r="S153" s="79"/>
      <c r="T153" s="79"/>
      <c r="U153" s="79"/>
      <c r="V153" s="79"/>
      <c r="W153" s="79"/>
      <c r="X153" s="79"/>
      <c r="Y153" s="79"/>
    </row>
  </sheetData>
  <conditionalFormatting sqref="C2:L43">
    <cfRule type="cellIs" dxfId="5" priority="168" operator="greaterThan">
      <formula>$B2</formula>
    </cfRule>
  </conditionalFormatting>
  <conditionalFormatting sqref="C46:L153">
    <cfRule type="cellIs" dxfId="4" priority="6" operator="greaterThan">
      <formula>$B46</formula>
    </cfRule>
  </conditionalFormatting>
  <conditionalFormatting sqref="M3:M4">
    <cfRule type="cellIs" dxfId="3" priority="175" operator="greaterThan">
      <formula>$B3</formula>
    </cfRule>
  </conditionalFormatting>
  <conditionalFormatting sqref="P2:Y43">
    <cfRule type="cellIs" dxfId="2" priority="158" stopIfTrue="1" operator="greaterThan">
      <formula>$O2</formula>
    </cfRule>
  </conditionalFormatting>
  <conditionalFormatting sqref="Q47:Y153">
    <cfRule type="cellIs" dxfId="1" priority="1" operator="greaterThan">
      <formula>$O47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7C3F-3D90-4709-8566-8C9168726BF9}">
  <sheetPr>
    <tabColor rgb="FF7030A0"/>
  </sheetPr>
  <dimension ref="A1:R23"/>
  <sheetViews>
    <sheetView workbookViewId="0">
      <selection activeCell="O28" sqref="O28"/>
    </sheetView>
  </sheetViews>
  <sheetFormatPr defaultRowHeight="15" x14ac:dyDescent="0.25"/>
  <cols>
    <col min="1" max="1" width="14.42578125" bestFit="1" customWidth="1"/>
    <col min="13" max="13" width="13.5703125" customWidth="1"/>
  </cols>
  <sheetData>
    <row r="1" spans="1:18" x14ac:dyDescent="0.25">
      <c r="B1" s="103" t="s">
        <v>94</v>
      </c>
      <c r="C1" s="103"/>
      <c r="P1" t="s">
        <v>95</v>
      </c>
      <c r="Q1">
        <v>7.1999999999999995E-2</v>
      </c>
      <c r="R1" t="s">
        <v>96</v>
      </c>
    </row>
    <row r="2" spans="1:18" x14ac:dyDescent="0.25">
      <c r="A2" s="52" t="s">
        <v>10</v>
      </c>
      <c r="B2" s="53">
        <v>2023</v>
      </c>
      <c r="C2" s="53">
        <v>2024</v>
      </c>
      <c r="D2" s="53">
        <v>2025</v>
      </c>
      <c r="E2" s="53">
        <v>2026</v>
      </c>
      <c r="F2" s="53">
        <v>2027</v>
      </c>
      <c r="G2" s="53">
        <v>2028</v>
      </c>
      <c r="H2" s="53">
        <v>2029</v>
      </c>
      <c r="I2" s="53">
        <v>2030</v>
      </c>
      <c r="J2" s="53">
        <v>2031</v>
      </c>
      <c r="K2" s="53">
        <v>2032</v>
      </c>
      <c r="L2" s="53">
        <v>2033</v>
      </c>
      <c r="M2" s="54" t="s">
        <v>97</v>
      </c>
      <c r="P2" t="s">
        <v>98</v>
      </c>
      <c r="Q2">
        <v>3.36</v>
      </c>
      <c r="R2" t="s">
        <v>96</v>
      </c>
    </row>
    <row r="3" spans="1:18" x14ac:dyDescent="0.25">
      <c r="A3" s="55" t="s">
        <v>99</v>
      </c>
      <c r="B3" s="56">
        <v>300.89999999999998</v>
      </c>
      <c r="C3" s="56">
        <v>320</v>
      </c>
      <c r="D3" s="56">
        <f>C3+(D13*$Q$1)+(D23*$Q$2)</f>
        <v>338.48198698607138</v>
      </c>
      <c r="E3" s="56">
        <f t="shared" ref="E3:K3" si="0">D3+(E13*$Q$1)+(E23*$Q$2)</f>
        <v>350.50018774236696</v>
      </c>
      <c r="F3" s="56">
        <f t="shared" si="0"/>
        <v>359.37556051020738</v>
      </c>
      <c r="G3" s="56">
        <f t="shared" si="0"/>
        <v>364.07404466219975</v>
      </c>
      <c r="H3" s="56">
        <f t="shared" si="0"/>
        <v>365.7943083633844</v>
      </c>
      <c r="I3" s="56">
        <f t="shared" si="0"/>
        <v>367.48270860677849</v>
      </c>
      <c r="J3" s="56">
        <f t="shared" si="0"/>
        <v>369.13924539238195</v>
      </c>
      <c r="K3" s="56">
        <f t="shared" si="0"/>
        <v>370.76391872019479</v>
      </c>
      <c r="L3" s="56">
        <f>K3+(L13*$Q$1)+(L23*$Q$2)</f>
        <v>372.35672859021707</v>
      </c>
      <c r="M3" s="57">
        <v>400</v>
      </c>
    </row>
    <row r="5" spans="1:18" x14ac:dyDescent="0.25">
      <c r="A5" s="49" t="s">
        <v>100</v>
      </c>
      <c r="D5">
        <v>2025</v>
      </c>
      <c r="E5">
        <v>2026</v>
      </c>
      <c r="F5">
        <v>2027</v>
      </c>
      <c r="G5">
        <v>2028</v>
      </c>
      <c r="H5">
        <v>2029</v>
      </c>
      <c r="I5">
        <v>2030</v>
      </c>
      <c r="J5">
        <v>2031</v>
      </c>
      <c r="K5">
        <v>2032</v>
      </c>
      <c r="L5">
        <v>2033</v>
      </c>
    </row>
    <row r="6" spans="1:18" x14ac:dyDescent="0.25">
      <c r="A6" t="s">
        <v>101</v>
      </c>
      <c r="C6" s="19">
        <v>0</v>
      </c>
      <c r="D6" s="19">
        <v>0.60509620188799573</v>
      </c>
      <c r="E6" s="19">
        <v>0.60184300616004105</v>
      </c>
      <c r="F6" s="19">
        <v>0.59858981043208548</v>
      </c>
      <c r="G6" s="19">
        <v>0.5953366147041308</v>
      </c>
      <c r="H6" s="19">
        <v>0.59208341897617522</v>
      </c>
      <c r="I6" s="19">
        <v>0.58883022324821965</v>
      </c>
      <c r="J6" s="19">
        <v>0.58557702752026497</v>
      </c>
      <c r="K6" s="19">
        <v>0.5823238317923094</v>
      </c>
      <c r="L6" s="19">
        <v>0.57907063606435472</v>
      </c>
      <c r="M6" s="19"/>
      <c r="O6" s="19"/>
    </row>
    <row r="7" spans="1:18" x14ac:dyDescent="0.25">
      <c r="A7" t="s">
        <v>102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/>
      <c r="O7" s="19"/>
    </row>
    <row r="8" spans="1:18" x14ac:dyDescent="0.25">
      <c r="A8" t="s">
        <v>103</v>
      </c>
      <c r="C8" s="19">
        <v>0</v>
      </c>
      <c r="D8" s="19">
        <v>0.91756885582319114</v>
      </c>
      <c r="E8" s="19">
        <v>0.99161216997237034</v>
      </c>
      <c r="F8" s="19">
        <v>1.0656554841215211</v>
      </c>
      <c r="G8" s="19">
        <v>1.1396987982706719</v>
      </c>
      <c r="H8" s="19">
        <v>1.2137421124198511</v>
      </c>
      <c r="I8" s="19">
        <v>1.2877854265690019</v>
      </c>
      <c r="J8" s="19">
        <v>1.3618287407181811</v>
      </c>
      <c r="K8" s="19">
        <v>1.4358720548673318</v>
      </c>
      <c r="L8" s="19">
        <v>1.509915369016511</v>
      </c>
      <c r="M8" s="19"/>
      <c r="O8" s="19"/>
    </row>
    <row r="9" spans="1:18" x14ac:dyDescent="0.25">
      <c r="A9" t="s">
        <v>104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  <c r="O9" s="19"/>
    </row>
    <row r="10" spans="1:18" x14ac:dyDescent="0.25">
      <c r="A10" t="s">
        <v>105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  <c r="O10" s="19"/>
    </row>
    <row r="11" spans="1:18" x14ac:dyDescent="0.25">
      <c r="A11" t="s">
        <v>106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/>
      <c r="O11" s="19"/>
    </row>
    <row r="12" spans="1:18" x14ac:dyDescent="0.25">
      <c r="A12" t="s">
        <v>107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O12" s="19"/>
    </row>
    <row r="13" spans="1:18" x14ac:dyDescent="0.25">
      <c r="A13" t="s">
        <v>108</v>
      </c>
      <c r="C13" s="19">
        <v>0</v>
      </c>
      <c r="D13" s="19">
        <v>1.5226650577111869</v>
      </c>
      <c r="E13" s="19">
        <v>1.5934551761324114</v>
      </c>
      <c r="F13" s="19">
        <v>1.6642452945536066</v>
      </c>
      <c r="G13" s="19">
        <v>1.7350354129748027</v>
      </c>
      <c r="H13" s="19">
        <v>1.8058255313960263</v>
      </c>
      <c r="I13" s="19">
        <v>1.8766156498172215</v>
      </c>
      <c r="J13" s="19">
        <v>1.947405768238446</v>
      </c>
      <c r="K13" s="19">
        <v>2.0181958866596412</v>
      </c>
      <c r="L13" s="19">
        <v>2.0889860050808657</v>
      </c>
      <c r="M13" s="19"/>
      <c r="O13" s="19"/>
    </row>
    <row r="15" spans="1:18" x14ac:dyDescent="0.25">
      <c r="A15" s="49" t="s">
        <v>109</v>
      </c>
    </row>
    <row r="16" spans="1:18" x14ac:dyDescent="0.25">
      <c r="A16" t="s">
        <v>101</v>
      </c>
      <c r="C16" s="19">
        <v>0</v>
      </c>
      <c r="D16" s="19">
        <v>0.29433686230399303</v>
      </c>
      <c r="E16" s="19">
        <v>0.2765469272570158</v>
      </c>
      <c r="F16" s="19">
        <v>0.25875699221003856</v>
      </c>
      <c r="G16" s="19">
        <v>0.24096705716306133</v>
      </c>
      <c r="H16" s="19">
        <v>0.22317712211608409</v>
      </c>
      <c r="I16" s="19">
        <v>0.20538718706910686</v>
      </c>
      <c r="J16" s="19">
        <v>0.18759725202213673</v>
      </c>
      <c r="K16" s="19">
        <v>0.16980731697515949</v>
      </c>
      <c r="L16" s="19">
        <v>0.15201738192818226</v>
      </c>
      <c r="N16" s="58"/>
    </row>
    <row r="17" spans="1:14" x14ac:dyDescent="0.25">
      <c r="A17" t="s">
        <v>102</v>
      </c>
      <c r="C17" s="19">
        <v>0</v>
      </c>
      <c r="D17" s="19">
        <v>0.13286815075440472</v>
      </c>
      <c r="E17" s="19">
        <v>2.2438608949642003E-3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N17" s="58"/>
    </row>
    <row r="18" spans="1:14" x14ac:dyDescent="0.25">
      <c r="A18" t="s">
        <v>103</v>
      </c>
      <c r="C18" s="19">
        <v>0</v>
      </c>
      <c r="D18" s="19">
        <v>4.92</v>
      </c>
      <c r="E18" s="19">
        <v>3.14</v>
      </c>
      <c r="F18" s="19">
        <v>2.2199999999999998</v>
      </c>
      <c r="G18" s="19">
        <v>0.99</v>
      </c>
      <c r="H18" s="19">
        <v>0.11674647769061064</v>
      </c>
      <c r="I18" s="19">
        <v>0.12038491758866776</v>
      </c>
      <c r="J18" s="19">
        <v>0.12402335748672488</v>
      </c>
      <c r="K18" s="19">
        <v>0.12766179738478289</v>
      </c>
      <c r="L18" s="19">
        <v>0.13130023728284002</v>
      </c>
    </row>
    <row r="19" spans="1:14" x14ac:dyDescent="0.25">
      <c r="A19" t="s">
        <v>104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1:14" x14ac:dyDescent="0.25">
      <c r="A20" t="s">
        <v>105</v>
      </c>
      <c r="C20" s="19">
        <v>0</v>
      </c>
      <c r="D20" s="19">
        <v>0.12075781489285564</v>
      </c>
      <c r="E20" s="19">
        <v>0.12390920697125463</v>
      </c>
      <c r="F20" s="19">
        <v>0.1270605990496545</v>
      </c>
      <c r="G20" s="19">
        <v>0.13021199112805437</v>
      </c>
      <c r="H20" s="19">
        <v>0.13336338320645424</v>
      </c>
      <c r="I20" s="19">
        <v>0.13651477528485323</v>
      </c>
      <c r="J20" s="19">
        <v>0.1396661673632531</v>
      </c>
      <c r="K20" s="19">
        <v>0.14281755944165297</v>
      </c>
      <c r="L20" s="19">
        <v>0.14596895152005285</v>
      </c>
    </row>
    <row r="21" spans="1:14" x14ac:dyDescent="0.25">
      <c r="A21" t="s">
        <v>106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4" x14ac:dyDescent="0.25">
      <c r="A22" t="s">
        <v>107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1:14" x14ac:dyDescent="0.25">
      <c r="A23" t="s">
        <v>108</v>
      </c>
      <c r="C23" s="19">
        <v>0</v>
      </c>
      <c r="D23" s="19">
        <v>5.4679628279512533</v>
      </c>
      <c r="E23" s="19">
        <v>3.5426999951232347</v>
      </c>
      <c r="F23" s="19">
        <v>2.6058175912596928</v>
      </c>
      <c r="G23" s="19">
        <v>1.3611790482911157</v>
      </c>
      <c r="H23" s="19">
        <v>0.47328698301314898</v>
      </c>
      <c r="I23" s="19">
        <v>0.46228687994262785</v>
      </c>
      <c r="J23" s="19">
        <v>0.45128677687211471</v>
      </c>
      <c r="K23" s="19">
        <v>0.44028667380159536</v>
      </c>
      <c r="L23" s="19">
        <v>0.42928657073107512</v>
      </c>
      <c r="M23" s="19"/>
    </row>
  </sheetData>
  <mergeCells count="1">
    <mergeCell ref="B1:C1"/>
  </mergeCells>
  <conditionalFormatting sqref="B3:L3">
    <cfRule type="cellIs" dxfId="0" priority="1" operator="greaterThan">
      <formula>$M$3</formula>
    </cfRule>
  </conditionalFormatting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63E5E62BF724086D347C959262467" ma:contentTypeVersion="17" ma:contentTypeDescription="Create a new document." ma:contentTypeScope="" ma:versionID="d5fb31da9a69ab909e9c794f9fb151bd">
  <xsd:schema xmlns:xsd="http://www.w3.org/2001/XMLSchema" xmlns:xs="http://www.w3.org/2001/XMLSchema" xmlns:p="http://schemas.microsoft.com/office/2006/metadata/properties" xmlns:ns2="58dd876c-ba06-4341-9d47-b53ee198fe78" xmlns:ns3="cce62ca5-22ea-47d8-bfd0-cf180537c997" targetNamespace="http://schemas.microsoft.com/office/2006/metadata/properties" ma:root="true" ma:fieldsID="89349fb864ef67cc53d88d2da92ebc81" ns2:_="" ns3:_="">
    <xsd:import namespace="58dd876c-ba06-4341-9d47-b53ee198fe78"/>
    <xsd:import namespace="cce62ca5-22ea-47d8-bfd0-cf180537c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d876c-ba06-4341-9d47-b53ee198f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62ca5-22ea-47d8-bfd0-cf180537c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787cdf0-0bfe-4b44-926d-f49baf1faca0}" ma:internalName="TaxCatchAll" ma:showField="CatchAllData" ma:web="cce62ca5-22ea-47d8-bfd0-cf180537c9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e62ca5-22ea-47d8-bfd0-cf180537c997">
      <UserInfo>
        <DisplayName/>
        <AccountId xsi:nil="true"/>
        <AccountType/>
      </UserInfo>
    </SharedWithUsers>
    <lcf76f155ced4ddcb4097134ff3c332f xmlns="58dd876c-ba06-4341-9d47-b53ee198fe78">
      <Terms xmlns="http://schemas.microsoft.com/office/infopath/2007/PartnerControls"/>
    </lcf76f155ced4ddcb4097134ff3c332f>
    <TaxCatchAll xmlns="cce62ca5-22ea-47d8-bfd0-cf180537c997" xsi:nil="true"/>
  </documentManagement>
</p:properties>
</file>

<file path=customXml/itemProps1.xml><?xml version="1.0" encoding="utf-8"?>
<ds:datastoreItem xmlns:ds="http://schemas.openxmlformats.org/officeDocument/2006/customXml" ds:itemID="{8E6D28CA-9E26-411C-863F-49CA9DFE8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d876c-ba06-4341-9d47-b53ee198fe78"/>
    <ds:schemaRef ds:uri="cce62ca5-22ea-47d8-bfd0-cf180537c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FF205-D0AC-41F8-AD27-E5AB4264A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C9229-1867-46AC-95D7-D1E998A6B0AA}">
  <ds:schemaRefs>
    <ds:schemaRef ds:uri="http://purl.org/dc/elements/1.1/"/>
    <ds:schemaRef ds:uri="http://schemas.microsoft.com/office/2006/metadata/properties"/>
    <ds:schemaRef ds:uri="58dd876c-ba06-4341-9d47-b53ee198fe7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ce62ca5-22ea-47d8-bfd0-cf180537c99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Ratings</vt:lpstr>
      <vt:lpstr>Customers</vt:lpstr>
      <vt:lpstr>Population</vt:lpstr>
      <vt:lpstr>Historical</vt:lpstr>
      <vt:lpstr>Summer 10PoE</vt:lpstr>
      <vt:lpstr>Winter 10PoE</vt:lpstr>
      <vt:lpstr>Summer 50PoE</vt:lpstr>
      <vt:lpstr>Winter 50PoE</vt:lpstr>
      <vt:lpstr>REFCL</vt:lpstr>
      <vt:lpstr>EUE</vt:lpstr>
      <vt:lpstr>Costs</vt:lpstr>
      <vt:lpstr>NPV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North-Western Growth Corridor Network Development Strategy</dc:title>
  <dc:subject/>
  <dc:creator>Rodney Bray</dc:creator>
  <cp:keywords/>
  <dc:description/>
  <cp:lastModifiedBy>Salil Sharma</cp:lastModifiedBy>
  <cp:revision/>
  <dcterms:created xsi:type="dcterms:W3CDTF">2021-11-10T23:55:05Z</dcterms:created>
  <dcterms:modified xsi:type="dcterms:W3CDTF">2025-01-31T08:07:13Z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0x010100BE463E5E62BF724086D347C959262467</vt:lpwstr>
  </property>
  <property fmtid="{D5CDD505-2E9C-101B-9397-08002B2CF9AE}" pid="3" name="MediaServiceImageTags">
    <vt:lpwstr/>
  </property>
  <property fmtid="{D5CDD505-2E9C-101B-9397-08002B2CF9AE}" pid="4" name="Order">
    <vt:r8>688500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