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.sharepoint.com/sites/Teams_JENPriceReset2026-2031ExternalCollaboration-JENScopeofWorks/Shared Documents/JEN Justification Documents/Justification Documents/Draft 2/00_Management Approval/01_Future Network &amp; Planning/Legal/Northern Growth Corridor NDS/Redacted Files/"/>
    </mc:Choice>
  </mc:AlternateContent>
  <xr:revisionPtr revIDLastSave="24" documentId="8_{3CFA4F3F-BF6C-4D63-9A23-FAD5BE40E301}" xr6:coauthVersionLast="47" xr6:coauthVersionMax="47" xr10:uidLastSave="{A917D5DE-0A9F-4315-9B56-10CF43727CC5}"/>
  <bookViews>
    <workbookView xWindow="-108" yWindow="-108" windowWidth="23256" windowHeight="13896" firstSheet="12" activeTab="12" xr2:uid="{ECFB3450-30C2-452C-8D1F-0AB7EB87B68E}"/>
  </bookViews>
  <sheets>
    <sheet name="Ratings" sheetId="1" r:id="rId1"/>
    <sheet name="Customers" sheetId="34" r:id="rId2"/>
    <sheet name="Population" sheetId="33" r:id="rId3"/>
    <sheet name="Historical" sheetId="3" r:id="rId4"/>
    <sheet name="Summer 10PoE" sheetId="6" r:id="rId5"/>
    <sheet name="Winter 10PoE" sheetId="12" r:id="rId6"/>
    <sheet name="Summer 50PoE" sheetId="7" r:id="rId7"/>
    <sheet name="Winter 50PoE" sheetId="13" r:id="rId8"/>
    <sheet name="REFCL" sheetId="35" r:id="rId9"/>
    <sheet name="EUE" sheetId="2" r:id="rId10"/>
    <sheet name="Costs" sheetId="14" r:id="rId11"/>
    <sheet name="NPV" sheetId="26" r:id="rId12"/>
    <sheet name="Non-Network Options" sheetId="36" r:id="rId13"/>
  </sheets>
  <externalReferences>
    <externalReference r:id="rId14"/>
  </externalReferences>
  <definedNames>
    <definedName name="_ftn1" localSheetId="11">NPV!$Q$29</definedName>
    <definedName name="_ftnref1" localSheetId="11">NPV!$S$26</definedName>
    <definedName name="Fifty_POE_WEIGHTING" localSheetId="12">[1]EUE!#REF!</definedName>
    <definedName name="Fifty_POE_WEIGHTING" localSheetId="8">#REF!</definedName>
    <definedName name="Fifty_POE_WEIGHTING">EUE!#REF!</definedName>
    <definedName name="NA" localSheetId="12">#REF!</definedName>
    <definedName name="NA" localSheetId="8">#REF!</definedName>
    <definedName name="NA">#REF!</definedName>
    <definedName name="Option_3" localSheetId="12">#REF!</definedName>
    <definedName name="Option_3" localSheetId="8">#REF!</definedName>
    <definedName name="Option_3">#REF!</definedName>
    <definedName name="Option_4" localSheetId="12">#REF!</definedName>
    <definedName name="Option_4" localSheetId="8">#REF!</definedName>
    <definedName name="Option_4">#REF!</definedName>
    <definedName name="Option_5" localSheetId="12">#REF!</definedName>
    <definedName name="Option_5" localSheetId="8">#REF!</definedName>
    <definedName name="Option_5">#REF!</definedName>
    <definedName name="Ten_POE_WEIGHTING" localSheetId="12">[1]EUE!#REF!</definedName>
    <definedName name="Ten_POE_WEIGHTING" localSheetId="8">#REF!</definedName>
    <definedName name="Ten_POE_WEIGHTING">EUE!#REF!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1" i="26" l="1"/>
  <c r="S41" i="26"/>
  <c r="T41" i="26"/>
  <c r="U41" i="26"/>
  <c r="V41" i="26"/>
  <c r="W41" i="26"/>
  <c r="X41" i="26"/>
  <c r="Y41" i="26"/>
  <c r="Z41" i="26"/>
  <c r="R42" i="26"/>
  <c r="S42" i="26"/>
  <c r="T42" i="26"/>
  <c r="U42" i="26"/>
  <c r="V42" i="26"/>
  <c r="W42" i="26"/>
  <c r="X42" i="26"/>
  <c r="Y42" i="26"/>
  <c r="Z42" i="26"/>
  <c r="R43" i="26"/>
  <c r="S43" i="26"/>
  <c r="T43" i="26"/>
  <c r="U43" i="26"/>
  <c r="V43" i="26"/>
  <c r="W43" i="26"/>
  <c r="X43" i="26"/>
  <c r="Y43" i="26"/>
  <c r="Z43" i="26"/>
  <c r="R44" i="26"/>
  <c r="S44" i="26"/>
  <c r="T44" i="26"/>
  <c r="U44" i="26"/>
  <c r="V44" i="26"/>
  <c r="W44" i="26"/>
  <c r="X44" i="26"/>
  <c r="Y44" i="26"/>
  <c r="Z44" i="26"/>
  <c r="R45" i="26"/>
  <c r="S45" i="26"/>
  <c r="T45" i="26"/>
  <c r="U45" i="26"/>
  <c r="V45" i="26"/>
  <c r="W45" i="26"/>
  <c r="X45" i="26"/>
  <c r="Y45" i="26"/>
  <c r="Z45" i="26"/>
  <c r="Z40" i="26"/>
  <c r="Y40" i="26"/>
  <c r="X40" i="26"/>
  <c r="W40" i="26"/>
  <c r="V40" i="26"/>
  <c r="U40" i="26"/>
  <c r="T40" i="26"/>
  <c r="S40" i="26"/>
  <c r="R40" i="26"/>
  <c r="Q41" i="26"/>
  <c r="Q42" i="26"/>
  <c r="Q43" i="26"/>
  <c r="Q44" i="26"/>
  <c r="Q45" i="26"/>
  <c r="Q40" i="26"/>
  <c r="R28" i="26"/>
  <c r="S28" i="26"/>
  <c r="T28" i="26"/>
  <c r="R29" i="26"/>
  <c r="S29" i="26"/>
  <c r="T29" i="26"/>
  <c r="R30" i="26"/>
  <c r="S30" i="26"/>
  <c r="T30" i="26"/>
  <c r="R31" i="26"/>
  <c r="S31" i="26"/>
  <c r="T31" i="26"/>
  <c r="R32" i="26"/>
  <c r="S32" i="26"/>
  <c r="T32" i="26"/>
  <c r="R33" i="26"/>
  <c r="S33" i="26"/>
  <c r="T33" i="26"/>
  <c r="R34" i="26"/>
  <c r="S34" i="26"/>
  <c r="T34" i="26"/>
  <c r="R35" i="26"/>
  <c r="S35" i="26"/>
  <c r="T35" i="26"/>
  <c r="R36" i="26"/>
  <c r="S36" i="26"/>
  <c r="T36" i="26"/>
  <c r="T27" i="26"/>
  <c r="S27" i="26"/>
  <c r="R27" i="26"/>
  <c r="Q28" i="26"/>
  <c r="Q29" i="26"/>
  <c r="Q30" i="26"/>
  <c r="Q31" i="26"/>
  <c r="Q32" i="26"/>
  <c r="Q33" i="26"/>
  <c r="Q34" i="26"/>
  <c r="Q35" i="26"/>
  <c r="Q36" i="26"/>
  <c r="Q27" i="26"/>
  <c r="U27" i="26" l="1"/>
  <c r="AA43" i="26" l="1"/>
  <c r="U36" i="26"/>
  <c r="U35" i="26"/>
  <c r="U32" i="26"/>
  <c r="U29" i="26"/>
  <c r="U28" i="26"/>
  <c r="Q20" i="26"/>
  <c r="Q19" i="26"/>
  <c r="U33" i="26" l="1"/>
  <c r="U31" i="26"/>
  <c r="AA40" i="26"/>
  <c r="U30" i="26"/>
  <c r="AA41" i="26"/>
  <c r="AA44" i="26"/>
  <c r="AA45" i="26"/>
  <c r="U34" i="26"/>
  <c r="AA42" i="26"/>
  <c r="O133" i="6" l="1"/>
  <c r="N133" i="6"/>
  <c r="O132" i="6"/>
  <c r="N132" i="6"/>
  <c r="O131" i="6"/>
  <c r="N131" i="6"/>
  <c r="O130" i="6"/>
  <c r="N130" i="6"/>
  <c r="O129" i="6"/>
  <c r="N129" i="6"/>
  <c r="O128" i="6"/>
  <c r="N128" i="6"/>
  <c r="O127" i="6"/>
  <c r="N127" i="6"/>
  <c r="O126" i="6"/>
  <c r="N126" i="6"/>
  <c r="O125" i="6"/>
  <c r="N125" i="6"/>
  <c r="O124" i="6"/>
  <c r="N124" i="6"/>
  <c r="O123" i="6"/>
  <c r="N123" i="6"/>
  <c r="O122" i="6"/>
  <c r="N122" i="6"/>
  <c r="O121" i="6"/>
  <c r="N121" i="6"/>
  <c r="O90" i="6"/>
  <c r="N90" i="6"/>
  <c r="O89" i="6"/>
  <c r="N89" i="6"/>
  <c r="O88" i="6"/>
  <c r="N88" i="6"/>
  <c r="O87" i="6"/>
  <c r="N87" i="6"/>
  <c r="O86" i="6"/>
  <c r="N86" i="6"/>
  <c r="O85" i="6"/>
  <c r="N85" i="6"/>
  <c r="O84" i="6"/>
  <c r="N84" i="6"/>
  <c r="O83" i="6"/>
  <c r="N83" i="6"/>
  <c r="O82" i="6"/>
  <c r="N82" i="6"/>
  <c r="O81" i="6"/>
  <c r="N81" i="6"/>
  <c r="O80" i="6"/>
  <c r="N80" i="6"/>
  <c r="B66" i="6"/>
  <c r="A66" i="6"/>
  <c r="O59" i="6"/>
  <c r="N59" i="6"/>
  <c r="O58" i="6"/>
  <c r="N58" i="6"/>
  <c r="O57" i="6"/>
  <c r="N57" i="6"/>
  <c r="O56" i="6"/>
  <c r="N56" i="6"/>
  <c r="O55" i="6"/>
  <c r="N55" i="6"/>
  <c r="O54" i="6"/>
  <c r="N54" i="6"/>
  <c r="B54" i="6"/>
  <c r="A54" i="6"/>
  <c r="O53" i="6"/>
  <c r="N53" i="6"/>
  <c r="O52" i="6"/>
  <c r="N52" i="6"/>
  <c r="O51" i="6"/>
  <c r="N51" i="6"/>
  <c r="O50" i="6"/>
  <c r="N50" i="6"/>
  <c r="O49" i="6"/>
  <c r="N49" i="6"/>
  <c r="O48" i="6"/>
  <c r="N48" i="6"/>
  <c r="O47" i="6"/>
  <c r="N47" i="6"/>
  <c r="O33" i="6"/>
  <c r="N33" i="6"/>
  <c r="O32" i="6"/>
  <c r="N32" i="6"/>
  <c r="O31" i="6"/>
  <c r="N31" i="6"/>
  <c r="O30" i="6"/>
  <c r="N30" i="6"/>
  <c r="O29" i="6"/>
  <c r="N29" i="6"/>
  <c r="O28" i="6"/>
  <c r="N28" i="6"/>
  <c r="O27" i="6"/>
  <c r="N27" i="6"/>
  <c r="O26" i="6"/>
  <c r="N26" i="6"/>
  <c r="O25" i="6"/>
  <c r="N25" i="6"/>
  <c r="O24" i="6"/>
  <c r="N24" i="6"/>
  <c r="O23" i="6"/>
  <c r="N23" i="6"/>
  <c r="O22" i="6"/>
  <c r="N22" i="6"/>
  <c r="O21" i="6"/>
  <c r="N21" i="6"/>
  <c r="O20" i="6"/>
  <c r="N20" i="6"/>
  <c r="O19" i="6"/>
  <c r="N19" i="6"/>
  <c r="O18" i="6"/>
  <c r="N18" i="6"/>
  <c r="O17" i="6"/>
  <c r="N17" i="6"/>
  <c r="O16" i="6"/>
  <c r="N16" i="6"/>
  <c r="O15" i="6"/>
  <c r="N15" i="6"/>
  <c r="O14" i="6"/>
  <c r="N14" i="6"/>
  <c r="O13" i="6"/>
  <c r="N13" i="6"/>
  <c r="O12" i="6"/>
  <c r="N12" i="6"/>
  <c r="O11" i="6"/>
  <c r="N11" i="6"/>
  <c r="O10" i="6"/>
  <c r="N10" i="6"/>
  <c r="O9" i="6"/>
  <c r="N9" i="6"/>
  <c r="O8" i="6"/>
  <c r="N8" i="6"/>
  <c r="B8" i="6"/>
  <c r="A8" i="6"/>
  <c r="O7" i="6"/>
  <c r="N7" i="6"/>
  <c r="B7" i="6"/>
  <c r="A7" i="6"/>
  <c r="O6" i="6"/>
  <c r="N6" i="6"/>
  <c r="B6" i="6"/>
  <c r="A6" i="6"/>
  <c r="O5" i="6"/>
  <c r="N5" i="6"/>
  <c r="B5" i="6"/>
  <c r="A5" i="6"/>
  <c r="O4" i="6"/>
  <c r="N4" i="6"/>
  <c r="B4" i="6"/>
  <c r="A4" i="6"/>
  <c r="O3" i="6"/>
  <c r="N3" i="6"/>
  <c r="B3" i="6"/>
  <c r="A3" i="6"/>
  <c r="O2" i="6"/>
  <c r="N2" i="6"/>
  <c r="B2" i="6"/>
  <c r="A2" i="6"/>
  <c r="C1" i="6"/>
  <c r="O133" i="12"/>
  <c r="N133" i="12"/>
  <c r="O132" i="12"/>
  <c r="N132" i="12"/>
  <c r="O131" i="12"/>
  <c r="N131" i="12"/>
  <c r="O130" i="12"/>
  <c r="N130" i="12"/>
  <c r="O129" i="12"/>
  <c r="N129" i="12"/>
  <c r="O128" i="12"/>
  <c r="N128" i="12"/>
  <c r="O127" i="12"/>
  <c r="N127" i="12"/>
  <c r="O126" i="12"/>
  <c r="N126" i="12"/>
  <c r="O125" i="12"/>
  <c r="N125" i="12"/>
  <c r="O124" i="12"/>
  <c r="N124" i="12"/>
  <c r="O123" i="12"/>
  <c r="N123" i="12"/>
  <c r="O122" i="12"/>
  <c r="N122" i="12"/>
  <c r="O121" i="12"/>
  <c r="N121" i="12"/>
  <c r="O90" i="12"/>
  <c r="N90" i="12"/>
  <c r="O89" i="12"/>
  <c r="N89" i="12"/>
  <c r="O88" i="12"/>
  <c r="N88" i="12"/>
  <c r="O87" i="12"/>
  <c r="N87" i="12"/>
  <c r="O86" i="12"/>
  <c r="N86" i="12"/>
  <c r="O85" i="12"/>
  <c r="N85" i="12"/>
  <c r="O84" i="12"/>
  <c r="N84" i="12"/>
  <c r="O83" i="12"/>
  <c r="N83" i="12"/>
  <c r="O82" i="12"/>
  <c r="N82" i="12"/>
  <c r="O81" i="12"/>
  <c r="N81" i="12"/>
  <c r="O80" i="12"/>
  <c r="N80" i="12"/>
  <c r="B66" i="12"/>
  <c r="A66" i="12"/>
  <c r="O59" i="12"/>
  <c r="N59" i="12"/>
  <c r="O58" i="12"/>
  <c r="N58" i="12"/>
  <c r="O57" i="12"/>
  <c r="N57" i="12"/>
  <c r="O56" i="12"/>
  <c r="N56" i="12"/>
  <c r="O55" i="12"/>
  <c r="N55" i="12"/>
  <c r="O54" i="12"/>
  <c r="N54" i="12"/>
  <c r="B54" i="12"/>
  <c r="A54" i="12"/>
  <c r="O53" i="12"/>
  <c r="N53" i="12"/>
  <c r="O52" i="12"/>
  <c r="N52" i="12"/>
  <c r="O51" i="12"/>
  <c r="N51" i="12"/>
  <c r="O50" i="12"/>
  <c r="N50" i="12"/>
  <c r="O49" i="12"/>
  <c r="N49" i="12"/>
  <c r="O48" i="12"/>
  <c r="N48" i="12"/>
  <c r="O47" i="12"/>
  <c r="N47" i="12"/>
  <c r="O33" i="12"/>
  <c r="N33" i="12"/>
  <c r="O32" i="12"/>
  <c r="N32" i="12"/>
  <c r="O31" i="12"/>
  <c r="N31" i="12"/>
  <c r="O30" i="12"/>
  <c r="N30" i="12"/>
  <c r="O29" i="12"/>
  <c r="N29" i="12"/>
  <c r="O28" i="12"/>
  <c r="N28" i="12"/>
  <c r="O27" i="12"/>
  <c r="N27" i="12"/>
  <c r="O26" i="12"/>
  <c r="N26" i="12"/>
  <c r="O25" i="12"/>
  <c r="N25" i="12"/>
  <c r="O24" i="12"/>
  <c r="N24" i="12"/>
  <c r="O23" i="12"/>
  <c r="N23" i="12"/>
  <c r="O22" i="12"/>
  <c r="N22" i="12"/>
  <c r="O21" i="12"/>
  <c r="N21" i="12"/>
  <c r="O20" i="12"/>
  <c r="N20" i="12"/>
  <c r="O19" i="12"/>
  <c r="N19" i="12"/>
  <c r="O18" i="12"/>
  <c r="N18" i="12"/>
  <c r="O17" i="12"/>
  <c r="N17" i="12"/>
  <c r="O16" i="12"/>
  <c r="N16" i="12"/>
  <c r="O15" i="12"/>
  <c r="N15" i="12"/>
  <c r="O14" i="12"/>
  <c r="N14" i="12"/>
  <c r="O13" i="12"/>
  <c r="N13" i="12"/>
  <c r="O12" i="12"/>
  <c r="N12" i="12"/>
  <c r="O11" i="12"/>
  <c r="N11" i="12"/>
  <c r="O10" i="12"/>
  <c r="N10" i="12"/>
  <c r="O9" i="12"/>
  <c r="N9" i="12"/>
  <c r="O8" i="12"/>
  <c r="N8" i="12"/>
  <c r="B8" i="12"/>
  <c r="A8" i="12"/>
  <c r="O7" i="12"/>
  <c r="N7" i="12"/>
  <c r="B7" i="12"/>
  <c r="A7" i="12"/>
  <c r="O6" i="12"/>
  <c r="N6" i="12"/>
  <c r="B6" i="12"/>
  <c r="A6" i="12"/>
  <c r="O5" i="12"/>
  <c r="N5" i="12"/>
  <c r="B5" i="12"/>
  <c r="A5" i="12"/>
  <c r="O4" i="12"/>
  <c r="N4" i="12"/>
  <c r="B4" i="12"/>
  <c r="A4" i="12"/>
  <c r="O3" i="12"/>
  <c r="N3" i="12"/>
  <c r="B3" i="12"/>
  <c r="A3" i="12"/>
  <c r="O2" i="12"/>
  <c r="N2" i="12"/>
  <c r="B2" i="12"/>
  <c r="A2" i="12"/>
  <c r="C1" i="12"/>
  <c r="O133" i="7"/>
  <c r="N133" i="7"/>
  <c r="O132" i="7"/>
  <c r="N132" i="7"/>
  <c r="O131" i="7"/>
  <c r="N131" i="7"/>
  <c r="O130" i="7"/>
  <c r="N130" i="7"/>
  <c r="O129" i="7"/>
  <c r="N129" i="7"/>
  <c r="O128" i="7"/>
  <c r="N128" i="7"/>
  <c r="O127" i="7"/>
  <c r="N127" i="7"/>
  <c r="O126" i="7"/>
  <c r="N126" i="7"/>
  <c r="O125" i="7"/>
  <c r="N125" i="7"/>
  <c r="O124" i="7"/>
  <c r="N124" i="7"/>
  <c r="O123" i="7"/>
  <c r="N123" i="7"/>
  <c r="O122" i="7"/>
  <c r="N122" i="7"/>
  <c r="O121" i="7"/>
  <c r="N121" i="7"/>
  <c r="O90" i="7"/>
  <c r="N90" i="7"/>
  <c r="O89" i="7"/>
  <c r="N89" i="7"/>
  <c r="O88" i="7"/>
  <c r="N88" i="7"/>
  <c r="O87" i="7"/>
  <c r="N87" i="7"/>
  <c r="O86" i="7"/>
  <c r="N86" i="7"/>
  <c r="O85" i="7"/>
  <c r="N85" i="7"/>
  <c r="O84" i="7"/>
  <c r="N84" i="7"/>
  <c r="O83" i="7"/>
  <c r="N83" i="7"/>
  <c r="O82" i="7"/>
  <c r="N82" i="7"/>
  <c r="O81" i="7"/>
  <c r="N81" i="7"/>
  <c r="O80" i="7"/>
  <c r="N80" i="7"/>
  <c r="B66" i="7"/>
  <c r="A66" i="7"/>
  <c r="O59" i="7"/>
  <c r="N59" i="7"/>
  <c r="O58" i="7"/>
  <c r="N58" i="7"/>
  <c r="O57" i="7"/>
  <c r="N57" i="7"/>
  <c r="O56" i="7"/>
  <c r="N56" i="7"/>
  <c r="O55" i="7"/>
  <c r="N55" i="7"/>
  <c r="O54" i="7"/>
  <c r="N54" i="7"/>
  <c r="B54" i="7"/>
  <c r="A54" i="7"/>
  <c r="O53" i="7"/>
  <c r="N53" i="7"/>
  <c r="O52" i="7"/>
  <c r="N52" i="7"/>
  <c r="O51" i="7"/>
  <c r="N51" i="7"/>
  <c r="O50" i="7"/>
  <c r="N50" i="7"/>
  <c r="O49" i="7"/>
  <c r="N49" i="7"/>
  <c r="O48" i="7"/>
  <c r="N48" i="7"/>
  <c r="O47" i="7"/>
  <c r="N47" i="7"/>
  <c r="O33" i="7"/>
  <c r="N33" i="7"/>
  <c r="O32" i="7"/>
  <c r="N32" i="7"/>
  <c r="O31" i="7"/>
  <c r="N31" i="7"/>
  <c r="O30" i="7"/>
  <c r="N30" i="7"/>
  <c r="O29" i="7"/>
  <c r="N29" i="7"/>
  <c r="O28" i="7"/>
  <c r="N28" i="7"/>
  <c r="O27" i="7"/>
  <c r="N27" i="7"/>
  <c r="O26" i="7"/>
  <c r="N26" i="7"/>
  <c r="O25" i="7"/>
  <c r="N25" i="7"/>
  <c r="O24" i="7"/>
  <c r="N24" i="7"/>
  <c r="O23" i="7"/>
  <c r="N23" i="7"/>
  <c r="O22" i="7"/>
  <c r="N22" i="7"/>
  <c r="O21" i="7"/>
  <c r="N21" i="7"/>
  <c r="O20" i="7"/>
  <c r="N20" i="7"/>
  <c r="O19" i="7"/>
  <c r="N19" i="7"/>
  <c r="O18" i="7"/>
  <c r="N18" i="7"/>
  <c r="O17" i="7"/>
  <c r="N17" i="7"/>
  <c r="O16" i="7"/>
  <c r="N16" i="7"/>
  <c r="O15" i="7"/>
  <c r="N15" i="7"/>
  <c r="O14" i="7"/>
  <c r="N14" i="7"/>
  <c r="O13" i="7"/>
  <c r="N13" i="7"/>
  <c r="O12" i="7"/>
  <c r="N12" i="7"/>
  <c r="O11" i="7"/>
  <c r="N11" i="7"/>
  <c r="O10" i="7"/>
  <c r="N10" i="7"/>
  <c r="O9" i="7"/>
  <c r="N9" i="7"/>
  <c r="O8" i="7"/>
  <c r="N8" i="7"/>
  <c r="B8" i="7"/>
  <c r="A8" i="7"/>
  <c r="O7" i="7"/>
  <c r="N7" i="7"/>
  <c r="B7" i="7"/>
  <c r="A7" i="7"/>
  <c r="O6" i="7"/>
  <c r="N6" i="7"/>
  <c r="B6" i="7"/>
  <c r="A6" i="7"/>
  <c r="O5" i="7"/>
  <c r="N5" i="7"/>
  <c r="B5" i="7"/>
  <c r="A5" i="7"/>
  <c r="O4" i="7"/>
  <c r="N4" i="7"/>
  <c r="B4" i="7"/>
  <c r="A4" i="7"/>
  <c r="O3" i="7"/>
  <c r="N3" i="7"/>
  <c r="B3" i="7"/>
  <c r="A3" i="7"/>
  <c r="O2" i="7"/>
  <c r="N2" i="7"/>
  <c r="B2" i="7"/>
  <c r="A2" i="7"/>
  <c r="C1" i="7"/>
  <c r="O133" i="13"/>
  <c r="N133" i="13"/>
  <c r="O132" i="13"/>
  <c r="N132" i="13"/>
  <c r="O131" i="13"/>
  <c r="N131" i="13"/>
  <c r="O130" i="13"/>
  <c r="N130" i="13"/>
  <c r="O129" i="13"/>
  <c r="N129" i="13"/>
  <c r="O128" i="13"/>
  <c r="N128" i="13"/>
  <c r="O127" i="13"/>
  <c r="N127" i="13"/>
  <c r="O126" i="13"/>
  <c r="N126" i="13"/>
  <c r="O125" i="13"/>
  <c r="N125" i="13"/>
  <c r="O124" i="13"/>
  <c r="N124" i="13"/>
  <c r="O123" i="13"/>
  <c r="N123" i="13"/>
  <c r="O122" i="13"/>
  <c r="N122" i="13"/>
  <c r="O121" i="13"/>
  <c r="N121" i="13"/>
  <c r="O90" i="13"/>
  <c r="N90" i="13"/>
  <c r="O89" i="13"/>
  <c r="N89" i="13"/>
  <c r="O88" i="13"/>
  <c r="N88" i="13"/>
  <c r="O87" i="13"/>
  <c r="N87" i="13"/>
  <c r="O86" i="13"/>
  <c r="N86" i="13"/>
  <c r="O85" i="13"/>
  <c r="N85" i="13"/>
  <c r="O84" i="13"/>
  <c r="N84" i="13"/>
  <c r="O83" i="13"/>
  <c r="N83" i="13"/>
  <c r="O82" i="13"/>
  <c r="N82" i="13"/>
  <c r="O81" i="13"/>
  <c r="N81" i="13"/>
  <c r="O80" i="13"/>
  <c r="N80" i="13"/>
  <c r="B66" i="13"/>
  <c r="A66" i="13"/>
  <c r="O59" i="13"/>
  <c r="N59" i="13"/>
  <c r="O58" i="13"/>
  <c r="N58" i="13"/>
  <c r="O57" i="13"/>
  <c r="N57" i="13"/>
  <c r="O56" i="13"/>
  <c r="N56" i="13"/>
  <c r="O55" i="13"/>
  <c r="N55" i="13"/>
  <c r="O54" i="13"/>
  <c r="N54" i="13"/>
  <c r="B54" i="13"/>
  <c r="A54" i="13"/>
  <c r="O53" i="13"/>
  <c r="N53" i="13"/>
  <c r="O52" i="13"/>
  <c r="N52" i="13"/>
  <c r="O51" i="13"/>
  <c r="N51" i="13"/>
  <c r="O50" i="13"/>
  <c r="N50" i="13"/>
  <c r="O49" i="13"/>
  <c r="N49" i="13"/>
  <c r="O48" i="13"/>
  <c r="N48" i="13"/>
  <c r="O47" i="13"/>
  <c r="N47" i="13"/>
  <c r="O33" i="13"/>
  <c r="N33" i="13"/>
  <c r="O32" i="13"/>
  <c r="N32" i="13"/>
  <c r="O31" i="13"/>
  <c r="N31" i="13"/>
  <c r="O30" i="13"/>
  <c r="N30" i="13"/>
  <c r="O29" i="13"/>
  <c r="N29" i="13"/>
  <c r="O28" i="13"/>
  <c r="N28" i="13"/>
  <c r="O27" i="13"/>
  <c r="N27" i="13"/>
  <c r="O26" i="13"/>
  <c r="N26" i="13"/>
  <c r="O25" i="13"/>
  <c r="N25" i="13"/>
  <c r="O24" i="13"/>
  <c r="N24" i="13"/>
  <c r="O23" i="13"/>
  <c r="N23" i="13"/>
  <c r="O22" i="13"/>
  <c r="N22" i="13"/>
  <c r="O21" i="13"/>
  <c r="N21" i="13"/>
  <c r="O20" i="13"/>
  <c r="N20" i="13"/>
  <c r="O19" i="13"/>
  <c r="N19" i="13"/>
  <c r="O18" i="13"/>
  <c r="N18" i="13"/>
  <c r="O17" i="13"/>
  <c r="N17" i="13"/>
  <c r="O16" i="13"/>
  <c r="N16" i="13"/>
  <c r="O15" i="13"/>
  <c r="N15" i="13"/>
  <c r="O14" i="13"/>
  <c r="N14" i="13"/>
  <c r="O13" i="13"/>
  <c r="N13" i="13"/>
  <c r="O12" i="13"/>
  <c r="N12" i="13"/>
  <c r="O11" i="13"/>
  <c r="N11" i="13"/>
  <c r="O10" i="13"/>
  <c r="N10" i="13"/>
  <c r="O9" i="13"/>
  <c r="N9" i="13"/>
  <c r="O8" i="13"/>
  <c r="N8" i="13"/>
  <c r="B8" i="13"/>
  <c r="A8" i="13"/>
  <c r="O7" i="13"/>
  <c r="N7" i="13"/>
  <c r="B7" i="13"/>
  <c r="A7" i="13"/>
  <c r="O6" i="13"/>
  <c r="N6" i="13"/>
  <c r="B6" i="13"/>
  <c r="A6" i="13"/>
  <c r="O5" i="13"/>
  <c r="N5" i="13"/>
  <c r="B5" i="13"/>
  <c r="A5" i="13"/>
  <c r="O4" i="13"/>
  <c r="N4" i="13"/>
  <c r="B4" i="13"/>
  <c r="A4" i="13"/>
  <c r="O3" i="13"/>
  <c r="N3" i="13"/>
  <c r="B3" i="13"/>
  <c r="A3" i="13"/>
  <c r="O2" i="13"/>
  <c r="N2" i="13"/>
  <c r="B2" i="13"/>
  <c r="A2" i="13"/>
  <c r="C1" i="13"/>
  <c r="K76" i="2"/>
  <c r="C74" i="2"/>
  <c r="E44" i="2" l="1"/>
  <c r="E45" i="2" s="1"/>
  <c r="E46" i="2" s="1"/>
  <c r="D44" i="2"/>
  <c r="D45" i="2" s="1"/>
  <c r="D46" i="2" s="1"/>
  <c r="C44" i="2"/>
  <c r="C45" i="2" s="1"/>
  <c r="C46" i="2" s="1"/>
  <c r="B44" i="2"/>
  <c r="B45" i="2" s="1"/>
  <c r="B46" i="2" s="1"/>
  <c r="L44" i="2"/>
  <c r="L45" i="2" s="1"/>
  <c r="L46" i="2" s="1"/>
  <c r="K44" i="2"/>
  <c r="K45" i="2" s="1"/>
  <c r="K46" i="2" s="1"/>
  <c r="J44" i="2"/>
  <c r="J45" i="2" s="1"/>
  <c r="J46" i="2" s="1"/>
  <c r="I44" i="2"/>
  <c r="I45" i="2" s="1"/>
  <c r="I46" i="2" s="1"/>
  <c r="S44" i="2"/>
  <c r="S45" i="2" s="1"/>
  <c r="S46" i="2" s="1"/>
  <c r="Q44" i="2"/>
  <c r="Q45" i="2" s="1"/>
  <c r="Q46" i="2" s="1"/>
  <c r="P44" i="2"/>
  <c r="P45" i="2" s="1"/>
  <c r="P46" i="2" s="1"/>
  <c r="Z44" i="2"/>
  <c r="Z45" i="2" s="1"/>
  <c r="Z46" i="2" s="1"/>
  <c r="Y44" i="2"/>
  <c r="Y45" i="2" s="1"/>
  <c r="Y46" i="2" s="1"/>
  <c r="X44" i="2"/>
  <c r="X45" i="2" s="1"/>
  <c r="X46" i="2" s="1"/>
  <c r="W44" i="2"/>
  <c r="W45" i="2" s="1"/>
  <c r="W46" i="2" s="1"/>
  <c r="Z29" i="2"/>
  <c r="Z30" i="2" s="1"/>
  <c r="Z31" i="2" s="1"/>
  <c r="Y29" i="2"/>
  <c r="Y30" i="2" s="1"/>
  <c r="Y31" i="2" s="1"/>
  <c r="X29" i="2"/>
  <c r="X30" i="2" s="1"/>
  <c r="X31" i="2" s="1"/>
  <c r="W29" i="2"/>
  <c r="W30" i="2" s="1"/>
  <c r="W31" i="2" s="1"/>
  <c r="S29" i="2"/>
  <c r="S30" i="2" s="1"/>
  <c r="S31" i="2" s="1"/>
  <c r="R29" i="2"/>
  <c r="R30" i="2" s="1"/>
  <c r="R31" i="2" s="1"/>
  <c r="Q29" i="2"/>
  <c r="Q30" i="2" s="1"/>
  <c r="Q31" i="2" s="1"/>
  <c r="P29" i="2"/>
  <c r="P30" i="2" s="1"/>
  <c r="P31" i="2" s="1"/>
  <c r="L29" i="2"/>
  <c r="L30" i="2" s="1"/>
  <c r="L31" i="2" s="1"/>
  <c r="K29" i="2"/>
  <c r="K30" i="2" s="1"/>
  <c r="K31" i="2" s="1"/>
  <c r="J29" i="2"/>
  <c r="J30" i="2" s="1"/>
  <c r="J31" i="2" s="1"/>
  <c r="I29" i="2"/>
  <c r="I30" i="2" s="1"/>
  <c r="I31" i="2" s="1"/>
  <c r="E29" i="2"/>
  <c r="E30" i="2" s="1"/>
  <c r="E31" i="2" s="1"/>
  <c r="D29" i="2"/>
  <c r="D30" i="2" s="1"/>
  <c r="D31" i="2" s="1"/>
  <c r="C29" i="2"/>
  <c r="C30" i="2" s="1"/>
  <c r="C31" i="2" s="1"/>
  <c r="B29" i="2"/>
  <c r="B30" i="2" s="1"/>
  <c r="B31" i="2" s="1"/>
  <c r="Z14" i="2"/>
  <c r="Z15" i="2" s="1"/>
  <c r="Z16" i="2" s="1"/>
  <c r="Y14" i="2"/>
  <c r="Y15" i="2" s="1"/>
  <c r="Y16" i="2" s="1"/>
  <c r="X14" i="2"/>
  <c r="X15" i="2" s="1"/>
  <c r="X16" i="2" s="1"/>
  <c r="W14" i="2"/>
  <c r="W15" i="2" s="1"/>
  <c r="W16" i="2" s="1"/>
  <c r="S14" i="2"/>
  <c r="S15" i="2" s="1"/>
  <c r="S16" i="2" s="1"/>
  <c r="R14" i="2"/>
  <c r="R15" i="2" s="1"/>
  <c r="R16" i="2" s="1"/>
  <c r="Q14" i="2"/>
  <c r="Q15" i="2" s="1"/>
  <c r="Q16" i="2" s="1"/>
  <c r="P14" i="2"/>
  <c r="P15" i="2" s="1"/>
  <c r="P16" i="2" s="1"/>
  <c r="L14" i="2"/>
  <c r="L15" i="2" s="1"/>
  <c r="L16" i="2" s="1"/>
  <c r="K14" i="2"/>
  <c r="K15" i="2" s="1"/>
  <c r="K16" i="2" s="1"/>
  <c r="J14" i="2"/>
  <c r="J15" i="2" s="1"/>
  <c r="J16" i="2" s="1"/>
  <c r="I14" i="2"/>
  <c r="I15" i="2" s="1"/>
  <c r="I16" i="2" s="1"/>
  <c r="E14" i="2"/>
  <c r="E15" i="2" s="1"/>
  <c r="E16" i="2" s="1"/>
  <c r="D14" i="2"/>
  <c r="D15" i="2" s="1"/>
  <c r="D16" i="2" s="1"/>
  <c r="C14" i="2"/>
  <c r="C15" i="2" s="1"/>
  <c r="C16" i="2" s="1"/>
  <c r="B15" i="2"/>
  <c r="B16" i="2" s="1"/>
  <c r="B14" i="2"/>
  <c r="M1" i="7" l="1"/>
  <c r="L89" i="2" l="1"/>
  <c r="AP89" i="2"/>
  <c r="N85" i="2"/>
  <c r="K74" i="2"/>
  <c r="K75" i="2"/>
  <c r="R92" i="6" l="1"/>
  <c r="S92" i="6"/>
  <c r="T92" i="6"/>
  <c r="U92" i="6"/>
  <c r="V92" i="6"/>
  <c r="W92" i="6"/>
  <c r="X92" i="6"/>
  <c r="Y92" i="6"/>
  <c r="Q92" i="6"/>
  <c r="R60" i="6"/>
  <c r="S60" i="6"/>
  <c r="T60" i="6"/>
  <c r="U60" i="6"/>
  <c r="V60" i="6"/>
  <c r="W60" i="6"/>
  <c r="X60" i="6"/>
  <c r="Y60" i="6"/>
  <c r="Q60" i="6"/>
  <c r="R92" i="12"/>
  <c r="S92" i="12"/>
  <c r="T92" i="12"/>
  <c r="U92" i="12"/>
  <c r="V92" i="12"/>
  <c r="W92" i="12"/>
  <c r="X92" i="12"/>
  <c r="Y92" i="12"/>
  <c r="Q92" i="12"/>
  <c r="R60" i="12"/>
  <c r="S60" i="12"/>
  <c r="T60" i="12"/>
  <c r="U60" i="12"/>
  <c r="V60" i="12"/>
  <c r="W60" i="12"/>
  <c r="X60" i="12"/>
  <c r="Y60" i="12"/>
  <c r="Q60" i="12"/>
  <c r="R92" i="7"/>
  <c r="S92" i="7"/>
  <c r="T92" i="7"/>
  <c r="U92" i="7"/>
  <c r="V92" i="7"/>
  <c r="W92" i="7"/>
  <c r="X92" i="7"/>
  <c r="Y92" i="7"/>
  <c r="Q92" i="7"/>
  <c r="R60" i="7"/>
  <c r="S60" i="7"/>
  <c r="T60" i="7"/>
  <c r="U60" i="7"/>
  <c r="V60" i="7"/>
  <c r="W60" i="7"/>
  <c r="X60" i="7"/>
  <c r="Y60" i="7"/>
  <c r="Q60" i="7"/>
  <c r="R92" i="13"/>
  <c r="S92" i="13"/>
  <c r="T92" i="13"/>
  <c r="U92" i="13"/>
  <c r="V92" i="13"/>
  <c r="W92" i="13"/>
  <c r="X92" i="13"/>
  <c r="Y92" i="13"/>
  <c r="Q92" i="13"/>
  <c r="R60" i="13"/>
  <c r="S60" i="13"/>
  <c r="T60" i="13"/>
  <c r="U60" i="13"/>
  <c r="V60" i="13"/>
  <c r="W60" i="13"/>
  <c r="X60" i="13"/>
  <c r="Y60" i="13"/>
  <c r="Q60" i="13"/>
  <c r="AT40" i="2" l="1"/>
  <c r="Q41" i="2" l="1"/>
  <c r="K69" i="2"/>
  <c r="K70" i="2"/>
  <c r="K71" i="2"/>
  <c r="K72" i="2"/>
  <c r="K73" i="2"/>
  <c r="K68" i="2"/>
  <c r="X133" i="13"/>
  <c r="W133" i="13"/>
  <c r="V133" i="13"/>
  <c r="U133" i="13"/>
  <c r="T133" i="13"/>
  <c r="S133" i="13"/>
  <c r="R133" i="13"/>
  <c r="Q133" i="13"/>
  <c r="X131" i="13"/>
  <c r="W131" i="13"/>
  <c r="V131" i="13"/>
  <c r="U131" i="13"/>
  <c r="T131" i="13"/>
  <c r="S131" i="13"/>
  <c r="R131" i="13"/>
  <c r="Q131" i="13"/>
  <c r="X130" i="13"/>
  <c r="W130" i="13"/>
  <c r="V130" i="13"/>
  <c r="U130" i="13"/>
  <c r="T130" i="13"/>
  <c r="S130" i="13"/>
  <c r="R130" i="13"/>
  <c r="Q130" i="13"/>
  <c r="X129" i="13"/>
  <c r="W129" i="13"/>
  <c r="V129" i="13"/>
  <c r="U129" i="13"/>
  <c r="T129" i="13"/>
  <c r="S129" i="13"/>
  <c r="R129" i="13"/>
  <c r="Q129" i="13"/>
  <c r="X128" i="13"/>
  <c r="W128" i="13"/>
  <c r="V128" i="13"/>
  <c r="U128" i="13"/>
  <c r="T128" i="13"/>
  <c r="G62" i="13" s="1"/>
  <c r="S128" i="13"/>
  <c r="R128" i="13"/>
  <c r="Q128" i="13"/>
  <c r="X127" i="13"/>
  <c r="W127" i="13"/>
  <c r="V127" i="13"/>
  <c r="U127" i="13"/>
  <c r="T127" i="13"/>
  <c r="S127" i="13"/>
  <c r="R127" i="13"/>
  <c r="Q127" i="13"/>
  <c r="X126" i="13"/>
  <c r="W126" i="13"/>
  <c r="V126" i="13"/>
  <c r="U126" i="13"/>
  <c r="T126" i="13"/>
  <c r="S126" i="13"/>
  <c r="R126" i="13"/>
  <c r="Q126" i="13"/>
  <c r="X125" i="13"/>
  <c r="W125" i="13"/>
  <c r="V125" i="13"/>
  <c r="U125" i="13"/>
  <c r="T125" i="13"/>
  <c r="S125" i="13"/>
  <c r="R125" i="13"/>
  <c r="Q125" i="13"/>
  <c r="X124" i="13"/>
  <c r="K67" i="13" s="1"/>
  <c r="W124" i="13"/>
  <c r="J67" i="13" s="1"/>
  <c r="V124" i="13"/>
  <c r="I55" i="13" s="1"/>
  <c r="U124" i="13"/>
  <c r="H67" i="13" s="1"/>
  <c r="T124" i="13"/>
  <c r="G67" i="13" s="1"/>
  <c r="S124" i="13"/>
  <c r="R124" i="13"/>
  <c r="Q124" i="13"/>
  <c r="X123" i="13"/>
  <c r="W123" i="13"/>
  <c r="V123" i="13"/>
  <c r="U123" i="13"/>
  <c r="T123" i="13"/>
  <c r="S123" i="13"/>
  <c r="R123" i="13"/>
  <c r="Q123" i="13"/>
  <c r="X122" i="13"/>
  <c r="W122" i="13"/>
  <c r="V122" i="13"/>
  <c r="U122" i="13"/>
  <c r="T122" i="13"/>
  <c r="S122" i="13"/>
  <c r="F61" i="13" s="1"/>
  <c r="R122" i="13"/>
  <c r="Q122" i="13"/>
  <c r="X121" i="13"/>
  <c r="W121" i="13"/>
  <c r="V121" i="13"/>
  <c r="U121" i="13"/>
  <c r="T121" i="13"/>
  <c r="S121" i="13"/>
  <c r="R121" i="13"/>
  <c r="E61" i="13" s="1"/>
  <c r="Q121" i="13"/>
  <c r="X91" i="13"/>
  <c r="W91" i="13"/>
  <c r="V91" i="13"/>
  <c r="U91" i="13"/>
  <c r="T91" i="13"/>
  <c r="S91" i="13"/>
  <c r="R91" i="13"/>
  <c r="E60" i="13" s="1"/>
  <c r="Q91" i="13"/>
  <c r="X90" i="13"/>
  <c r="W90" i="13"/>
  <c r="V90" i="13"/>
  <c r="U90" i="13"/>
  <c r="T90" i="13"/>
  <c r="S90" i="13"/>
  <c r="R90" i="13"/>
  <c r="Q90" i="13"/>
  <c r="X89" i="13"/>
  <c r="W89" i="13"/>
  <c r="V89" i="13"/>
  <c r="U89" i="13"/>
  <c r="T89" i="13"/>
  <c r="S89" i="13"/>
  <c r="R89" i="13"/>
  <c r="Q89" i="13"/>
  <c r="X88" i="13"/>
  <c r="W88" i="13"/>
  <c r="V88" i="13"/>
  <c r="U88" i="13"/>
  <c r="T88" i="13"/>
  <c r="S88" i="13"/>
  <c r="R88" i="13"/>
  <c r="Q88" i="13"/>
  <c r="X87" i="13"/>
  <c r="W87" i="13"/>
  <c r="V87" i="13"/>
  <c r="U87" i="13"/>
  <c r="T87" i="13"/>
  <c r="S87" i="13"/>
  <c r="R87" i="13"/>
  <c r="E59" i="13" s="1"/>
  <c r="Q87" i="13"/>
  <c r="X86" i="13"/>
  <c r="W86" i="13"/>
  <c r="V86" i="13"/>
  <c r="U86" i="13"/>
  <c r="T86" i="13"/>
  <c r="S86" i="13"/>
  <c r="R86" i="13"/>
  <c r="Q86" i="13"/>
  <c r="X85" i="13"/>
  <c r="W85" i="13"/>
  <c r="V85" i="13"/>
  <c r="U85" i="13"/>
  <c r="T85" i="13"/>
  <c r="S85" i="13"/>
  <c r="R85" i="13"/>
  <c r="Q85" i="13"/>
  <c r="X84" i="13"/>
  <c r="W84" i="13"/>
  <c r="V84" i="13"/>
  <c r="U84" i="13"/>
  <c r="T84" i="13"/>
  <c r="S84" i="13"/>
  <c r="R84" i="13"/>
  <c r="Q84" i="13"/>
  <c r="X83" i="13"/>
  <c r="W83" i="13"/>
  <c r="V83" i="13"/>
  <c r="I68" i="13" s="1"/>
  <c r="U83" i="13"/>
  <c r="H68" i="13" s="1"/>
  <c r="T83" i="13"/>
  <c r="S83" i="13"/>
  <c r="R83" i="13"/>
  <c r="Q83" i="13"/>
  <c r="X82" i="13"/>
  <c r="W82" i="13"/>
  <c r="V82" i="13"/>
  <c r="U82" i="13"/>
  <c r="T82" i="13"/>
  <c r="S82" i="13"/>
  <c r="R82" i="13"/>
  <c r="Q82" i="13"/>
  <c r="X81" i="13"/>
  <c r="W81" i="13"/>
  <c r="V81" i="13"/>
  <c r="U81" i="13"/>
  <c r="T81" i="13"/>
  <c r="S81" i="13"/>
  <c r="R81" i="13"/>
  <c r="Q81" i="13"/>
  <c r="N79" i="13"/>
  <c r="B68" i="13"/>
  <c r="A68" i="13"/>
  <c r="B67" i="13"/>
  <c r="A67" i="13"/>
  <c r="K63" i="13"/>
  <c r="J63" i="13"/>
  <c r="I63" i="13"/>
  <c r="H63" i="13"/>
  <c r="G63" i="13"/>
  <c r="F63" i="13"/>
  <c r="E63" i="13"/>
  <c r="D63" i="13"/>
  <c r="X59" i="13"/>
  <c r="W59" i="13"/>
  <c r="V59" i="13"/>
  <c r="U59" i="13"/>
  <c r="T59" i="13"/>
  <c r="S59" i="13"/>
  <c r="R59" i="13"/>
  <c r="E48" i="13" s="1"/>
  <c r="Q59" i="13"/>
  <c r="O91" i="13"/>
  <c r="N91" i="13"/>
  <c r="X58" i="13"/>
  <c r="X54" i="13" s="1"/>
  <c r="W58" i="13"/>
  <c r="V58" i="13"/>
  <c r="U58" i="13"/>
  <c r="T58" i="13"/>
  <c r="S58" i="13"/>
  <c r="R58" i="13"/>
  <c r="Q58" i="13"/>
  <c r="Y57" i="13"/>
  <c r="X57" i="13"/>
  <c r="W57" i="13"/>
  <c r="V57" i="13"/>
  <c r="U57" i="13"/>
  <c r="T57" i="13"/>
  <c r="S57" i="13"/>
  <c r="R57" i="13"/>
  <c r="Q57" i="13"/>
  <c r="Q54" i="13" s="1"/>
  <c r="P56" i="13"/>
  <c r="X56" i="13" s="1"/>
  <c r="B56" i="13"/>
  <c r="Y55" i="13"/>
  <c r="X55" i="13"/>
  <c r="W55" i="13"/>
  <c r="V55" i="13"/>
  <c r="U55" i="13"/>
  <c r="T55" i="13"/>
  <c r="S55" i="13"/>
  <c r="R55" i="13"/>
  <c r="Q55" i="13"/>
  <c r="B55" i="13"/>
  <c r="Z54" i="13"/>
  <c r="W54" i="13"/>
  <c r="V54" i="13"/>
  <c r="Z53" i="13"/>
  <c r="Y53" i="13"/>
  <c r="X53" i="13"/>
  <c r="W53" i="13"/>
  <c r="V53" i="13"/>
  <c r="U53" i="13"/>
  <c r="T53" i="13"/>
  <c r="S53" i="13"/>
  <c r="R53" i="13"/>
  <c r="Q53" i="13"/>
  <c r="Z52" i="13"/>
  <c r="Y52" i="13"/>
  <c r="X52" i="13"/>
  <c r="W52" i="13"/>
  <c r="V52" i="13"/>
  <c r="U52" i="13"/>
  <c r="T52" i="13"/>
  <c r="P52" i="13"/>
  <c r="S52" i="13" s="1"/>
  <c r="Z51" i="13"/>
  <c r="X51" i="13"/>
  <c r="X80" i="13" s="1"/>
  <c r="W51" i="13"/>
  <c r="W80" i="13" s="1"/>
  <c r="V51" i="13"/>
  <c r="V80" i="13" s="1"/>
  <c r="U51" i="13"/>
  <c r="U80" i="13" s="1"/>
  <c r="T51" i="13"/>
  <c r="T80" i="13" s="1"/>
  <c r="S51" i="13"/>
  <c r="S80" i="13" s="1"/>
  <c r="R51" i="13"/>
  <c r="R80" i="13" s="1"/>
  <c r="Q51" i="13"/>
  <c r="Q80" i="13" s="1"/>
  <c r="K51" i="13"/>
  <c r="J51" i="13"/>
  <c r="I51" i="13"/>
  <c r="H51" i="13"/>
  <c r="G51" i="13"/>
  <c r="F51" i="13"/>
  <c r="E51" i="13"/>
  <c r="D51" i="13"/>
  <c r="X50" i="13"/>
  <c r="W50" i="13"/>
  <c r="V50" i="13"/>
  <c r="U50" i="13"/>
  <c r="T50" i="13"/>
  <c r="S50" i="13"/>
  <c r="R50" i="13"/>
  <c r="Q50" i="13"/>
  <c r="I50" i="13"/>
  <c r="X49" i="13"/>
  <c r="W49" i="13"/>
  <c r="V49" i="13"/>
  <c r="U49" i="13"/>
  <c r="T49" i="13"/>
  <c r="S49" i="13"/>
  <c r="R49" i="13"/>
  <c r="Q49" i="13"/>
  <c r="U48" i="13"/>
  <c r="T48" i="13"/>
  <c r="S48" i="13"/>
  <c r="R48" i="13"/>
  <c r="Q48" i="13"/>
  <c r="P48" i="13"/>
  <c r="Y48" i="13" s="1"/>
  <c r="P47" i="13"/>
  <c r="Y47" i="13" s="1"/>
  <c r="B45" i="13"/>
  <c r="Z56" i="13"/>
  <c r="Z55" i="13"/>
  <c r="Z132" i="13"/>
  <c r="Z86" i="13"/>
  <c r="Z133" i="13"/>
  <c r="Y81" i="13"/>
  <c r="Z84" i="13"/>
  <c r="Z131" i="13"/>
  <c r="Y89" i="13"/>
  <c r="Z130" i="13"/>
  <c r="Z129" i="13"/>
  <c r="Z128" i="13"/>
  <c r="Z127" i="13"/>
  <c r="Z126" i="13"/>
  <c r="Z83" i="13"/>
  <c r="Y13" i="13"/>
  <c r="Y12" i="13"/>
  <c r="Z125" i="13" s="1"/>
  <c r="I67" i="13"/>
  <c r="H55" i="13"/>
  <c r="G55" i="13"/>
  <c r="L10" i="13"/>
  <c r="K11" i="13"/>
  <c r="J11" i="13"/>
  <c r="I11" i="13"/>
  <c r="H11" i="13"/>
  <c r="G11" i="13"/>
  <c r="F11" i="13"/>
  <c r="E11" i="13"/>
  <c r="D11" i="13"/>
  <c r="C11" i="13"/>
  <c r="Z124" i="13"/>
  <c r="K10" i="13"/>
  <c r="J10" i="13"/>
  <c r="I10" i="13"/>
  <c r="H10" i="13"/>
  <c r="G10" i="13"/>
  <c r="F10" i="13"/>
  <c r="E10" i="13"/>
  <c r="D10" i="13"/>
  <c r="C10" i="13"/>
  <c r="Z123" i="13"/>
  <c r="K8" i="13"/>
  <c r="J8" i="13"/>
  <c r="I8" i="13"/>
  <c r="H8" i="13"/>
  <c r="G8" i="13"/>
  <c r="F8" i="13"/>
  <c r="E8" i="13"/>
  <c r="D8" i="13"/>
  <c r="C8" i="13"/>
  <c r="B65" i="13"/>
  <c r="A65" i="13"/>
  <c r="Z122" i="13"/>
  <c r="L7" i="13"/>
  <c r="K7" i="13"/>
  <c r="J7" i="13"/>
  <c r="I7" i="13"/>
  <c r="H7" i="13"/>
  <c r="G7" i="13"/>
  <c r="F7" i="13"/>
  <c r="E7" i="13"/>
  <c r="D7" i="13"/>
  <c r="C7" i="13"/>
  <c r="B64" i="13"/>
  <c r="A64" i="13"/>
  <c r="Z121" i="13"/>
  <c r="L63" i="13"/>
  <c r="B63" i="13"/>
  <c r="A63" i="13"/>
  <c r="M5" i="13"/>
  <c r="B62" i="13"/>
  <c r="A62" i="13"/>
  <c r="M4" i="13"/>
  <c r="M3" i="13"/>
  <c r="B49" i="13"/>
  <c r="A49" i="13"/>
  <c r="Y3" i="13"/>
  <c r="B48" i="13"/>
  <c r="A48" i="13"/>
  <c r="M2" i="13"/>
  <c r="M1" i="13"/>
  <c r="B59" i="13"/>
  <c r="A47" i="13"/>
  <c r="O1" i="13"/>
  <c r="O45" i="13" s="1"/>
  <c r="N1" i="13"/>
  <c r="P1" i="13"/>
  <c r="X133" i="12"/>
  <c r="W133" i="12"/>
  <c r="V133" i="12"/>
  <c r="U133" i="12"/>
  <c r="T133" i="12"/>
  <c r="S133" i="12"/>
  <c r="R133" i="12"/>
  <c r="Q133" i="12"/>
  <c r="Y131" i="12"/>
  <c r="X131" i="12"/>
  <c r="W131" i="12"/>
  <c r="V131" i="12"/>
  <c r="U131" i="12"/>
  <c r="T131" i="12"/>
  <c r="G60" i="12" s="1"/>
  <c r="S131" i="12"/>
  <c r="R131" i="12"/>
  <c r="Q131" i="12"/>
  <c r="Y130" i="12"/>
  <c r="X130" i="12"/>
  <c r="W130" i="12"/>
  <c r="V130" i="12"/>
  <c r="U130" i="12"/>
  <c r="T130" i="12"/>
  <c r="S130" i="12"/>
  <c r="R130" i="12"/>
  <c r="Q130" i="12"/>
  <c r="Y129" i="12"/>
  <c r="X129" i="12"/>
  <c r="W129" i="12"/>
  <c r="V129" i="12"/>
  <c r="U129" i="12"/>
  <c r="T129" i="12"/>
  <c r="S129" i="12"/>
  <c r="R129" i="12"/>
  <c r="Q129" i="12"/>
  <c r="Y128" i="12"/>
  <c r="X128" i="12"/>
  <c r="W128" i="12"/>
  <c r="V128" i="12"/>
  <c r="U128" i="12"/>
  <c r="T128" i="12"/>
  <c r="G62" i="12" s="1"/>
  <c r="S128" i="12"/>
  <c r="R128" i="12"/>
  <c r="Q128" i="12"/>
  <c r="Y127" i="12"/>
  <c r="X127" i="12"/>
  <c r="W127" i="12"/>
  <c r="V127" i="12"/>
  <c r="U127" i="12"/>
  <c r="T127" i="12"/>
  <c r="S127" i="12"/>
  <c r="R127" i="12"/>
  <c r="Q127" i="12"/>
  <c r="Y126" i="12"/>
  <c r="X126" i="12"/>
  <c r="W126" i="12"/>
  <c r="V126" i="12"/>
  <c r="U126" i="12"/>
  <c r="T126" i="12"/>
  <c r="S126" i="12"/>
  <c r="R126" i="12"/>
  <c r="Q126" i="12"/>
  <c r="Y125" i="12"/>
  <c r="X125" i="12"/>
  <c r="W125" i="12"/>
  <c r="V125" i="12"/>
  <c r="U125" i="12"/>
  <c r="T125" i="12"/>
  <c r="S125" i="12"/>
  <c r="R125" i="12"/>
  <c r="Q125" i="12"/>
  <c r="Y124" i="12"/>
  <c r="X124" i="12"/>
  <c r="K67" i="12" s="1"/>
  <c r="W124" i="12"/>
  <c r="V124" i="12"/>
  <c r="U124" i="12"/>
  <c r="T124" i="12"/>
  <c r="G67" i="12" s="1"/>
  <c r="S124" i="12"/>
  <c r="R124" i="12"/>
  <c r="Q124" i="12"/>
  <c r="Y123" i="12"/>
  <c r="X123" i="12"/>
  <c r="W123" i="12"/>
  <c r="V123" i="12"/>
  <c r="U123" i="12"/>
  <c r="T123" i="12"/>
  <c r="S123" i="12"/>
  <c r="R123" i="12"/>
  <c r="E61" i="12" s="1"/>
  <c r="Q123" i="12"/>
  <c r="X122" i="12"/>
  <c r="W122" i="12"/>
  <c r="V122" i="12"/>
  <c r="U122" i="12"/>
  <c r="T122" i="12"/>
  <c r="S122" i="12"/>
  <c r="R122" i="12"/>
  <c r="Q122" i="12"/>
  <c r="X121" i="12"/>
  <c r="W121" i="12"/>
  <c r="V121" i="12"/>
  <c r="U121" i="12"/>
  <c r="H61" i="12" s="1"/>
  <c r="T121" i="12"/>
  <c r="S121" i="12"/>
  <c r="R121" i="12"/>
  <c r="Q121" i="12"/>
  <c r="Y91" i="12"/>
  <c r="X91" i="12"/>
  <c r="W91" i="12"/>
  <c r="V91" i="12"/>
  <c r="U91" i="12"/>
  <c r="T91" i="12"/>
  <c r="S91" i="12"/>
  <c r="R91" i="12"/>
  <c r="Q91" i="12"/>
  <c r="X90" i="12"/>
  <c r="W90" i="12"/>
  <c r="V90" i="12"/>
  <c r="U90" i="12"/>
  <c r="T90" i="12"/>
  <c r="S90" i="12"/>
  <c r="R90" i="12"/>
  <c r="Q90" i="12"/>
  <c r="X89" i="12"/>
  <c r="W89" i="12"/>
  <c r="V89" i="12"/>
  <c r="U89" i="12"/>
  <c r="T89" i="12"/>
  <c r="S89" i="12"/>
  <c r="R89" i="12"/>
  <c r="Q89" i="12"/>
  <c r="X88" i="12"/>
  <c r="W88" i="12"/>
  <c r="V88" i="12"/>
  <c r="U88" i="12"/>
  <c r="T88" i="12"/>
  <c r="S88" i="12"/>
  <c r="R88" i="12"/>
  <c r="Q88" i="12"/>
  <c r="Z87" i="12"/>
  <c r="X87" i="12"/>
  <c r="W87" i="12"/>
  <c r="V87" i="12"/>
  <c r="U87" i="12"/>
  <c r="T87" i="12"/>
  <c r="S87" i="12"/>
  <c r="R87" i="12"/>
  <c r="Q87" i="12"/>
  <c r="Z86" i="12"/>
  <c r="X86" i="12"/>
  <c r="W86" i="12"/>
  <c r="V86" i="12"/>
  <c r="U86" i="12"/>
  <c r="T86" i="12"/>
  <c r="S86" i="12"/>
  <c r="R86" i="12"/>
  <c r="Q86" i="12"/>
  <c r="Z85" i="12"/>
  <c r="X85" i="12"/>
  <c r="W85" i="12"/>
  <c r="V85" i="12"/>
  <c r="U85" i="12"/>
  <c r="T85" i="12"/>
  <c r="S85" i="12"/>
  <c r="R85" i="12"/>
  <c r="Q85" i="12"/>
  <c r="X84" i="12"/>
  <c r="W84" i="12"/>
  <c r="V84" i="12"/>
  <c r="U84" i="12"/>
  <c r="T84" i="12"/>
  <c r="S84" i="12"/>
  <c r="R84" i="12"/>
  <c r="Q84" i="12"/>
  <c r="X83" i="12"/>
  <c r="W83" i="12"/>
  <c r="J68" i="12" s="1"/>
  <c r="V83" i="12"/>
  <c r="U83" i="12"/>
  <c r="T83" i="12"/>
  <c r="S83" i="12"/>
  <c r="R83" i="12"/>
  <c r="Q83" i="12"/>
  <c r="Y82" i="12"/>
  <c r="X82" i="12"/>
  <c r="W82" i="12"/>
  <c r="V82" i="12"/>
  <c r="U82" i="12"/>
  <c r="T82" i="12"/>
  <c r="S82" i="12"/>
  <c r="R82" i="12"/>
  <c r="Q82" i="12"/>
  <c r="X81" i="12"/>
  <c r="W81" i="12"/>
  <c r="V81" i="12"/>
  <c r="U81" i="12"/>
  <c r="T81" i="12"/>
  <c r="S81" i="12"/>
  <c r="R81" i="12"/>
  <c r="Q81" i="12"/>
  <c r="T80" i="12"/>
  <c r="G66" i="12" s="1"/>
  <c r="S80" i="12"/>
  <c r="F66" i="12" s="1"/>
  <c r="N79" i="12"/>
  <c r="B68" i="12"/>
  <c r="A68" i="12"/>
  <c r="B67" i="12"/>
  <c r="A67" i="12"/>
  <c r="K63" i="12"/>
  <c r="J63" i="12"/>
  <c r="I63" i="12"/>
  <c r="H63" i="12"/>
  <c r="G63" i="12"/>
  <c r="F63" i="12"/>
  <c r="E63" i="12"/>
  <c r="D63" i="12"/>
  <c r="Y59" i="12"/>
  <c r="X59" i="12"/>
  <c r="W59" i="12"/>
  <c r="V59" i="12"/>
  <c r="U59" i="12"/>
  <c r="T59" i="12"/>
  <c r="S59" i="12"/>
  <c r="R59" i="12"/>
  <c r="Q59" i="12"/>
  <c r="O91" i="12"/>
  <c r="N91" i="12"/>
  <c r="X58" i="12"/>
  <c r="W58" i="12"/>
  <c r="W54" i="12" s="1"/>
  <c r="V58" i="12"/>
  <c r="U58" i="12"/>
  <c r="T58" i="12"/>
  <c r="T54" i="12" s="1"/>
  <c r="S58" i="12"/>
  <c r="R58" i="12"/>
  <c r="R54" i="12" s="1"/>
  <c r="Q58" i="12"/>
  <c r="Y57" i="12"/>
  <c r="X57" i="12"/>
  <c r="W57" i="12"/>
  <c r="V57" i="12"/>
  <c r="V54" i="12" s="1"/>
  <c r="U57" i="12"/>
  <c r="U54" i="12" s="1"/>
  <c r="T57" i="12"/>
  <c r="S57" i="12"/>
  <c r="S54" i="12" s="1"/>
  <c r="R57" i="12"/>
  <c r="Q57" i="12"/>
  <c r="V56" i="12"/>
  <c r="U56" i="12"/>
  <c r="Q56" i="12"/>
  <c r="P56" i="12"/>
  <c r="X56" i="12" s="1"/>
  <c r="I56" i="12"/>
  <c r="B56" i="12"/>
  <c r="Z55" i="12"/>
  <c r="Y55" i="12"/>
  <c r="X55" i="12"/>
  <c r="W55" i="12"/>
  <c r="V55" i="12"/>
  <c r="U55" i="12"/>
  <c r="T55" i="12"/>
  <c r="S55" i="12"/>
  <c r="R55" i="12"/>
  <c r="Q55" i="12"/>
  <c r="H55" i="12"/>
  <c r="G55" i="12"/>
  <c r="B55" i="12"/>
  <c r="Z54" i="12"/>
  <c r="X54" i="12"/>
  <c r="Z53" i="12"/>
  <c r="Y53" i="12"/>
  <c r="X53" i="12"/>
  <c r="W53" i="12"/>
  <c r="V53" i="12"/>
  <c r="U53" i="12"/>
  <c r="T53" i="12"/>
  <c r="S53" i="12"/>
  <c r="R53" i="12"/>
  <c r="Q53" i="12"/>
  <c r="Y52" i="12"/>
  <c r="X52" i="12"/>
  <c r="W52" i="12"/>
  <c r="V52" i="12"/>
  <c r="U52" i="12"/>
  <c r="R52" i="12"/>
  <c r="Q52" i="12"/>
  <c r="P52" i="12"/>
  <c r="T52" i="12" s="1"/>
  <c r="Y51" i="12"/>
  <c r="X51" i="12"/>
  <c r="X80" i="12" s="1"/>
  <c r="K66" i="12" s="1"/>
  <c r="W51" i="12"/>
  <c r="W80" i="12" s="1"/>
  <c r="V51" i="12"/>
  <c r="V80" i="12" s="1"/>
  <c r="I66" i="12" s="1"/>
  <c r="U51" i="12"/>
  <c r="U80" i="12" s="1"/>
  <c r="H66" i="12" s="1"/>
  <c r="T51" i="12"/>
  <c r="S51" i="12"/>
  <c r="R51" i="12"/>
  <c r="Q51" i="12"/>
  <c r="K51" i="12"/>
  <c r="J51" i="12"/>
  <c r="I51" i="12"/>
  <c r="H51" i="12"/>
  <c r="G51" i="12"/>
  <c r="F51" i="12"/>
  <c r="E51" i="12"/>
  <c r="D51" i="12"/>
  <c r="X50" i="12"/>
  <c r="W50" i="12"/>
  <c r="V50" i="12"/>
  <c r="U50" i="12"/>
  <c r="T50" i="12"/>
  <c r="S50" i="12"/>
  <c r="R50" i="12"/>
  <c r="Q50" i="12"/>
  <c r="I50" i="12"/>
  <c r="Y49" i="12"/>
  <c r="X49" i="12"/>
  <c r="W49" i="12"/>
  <c r="V49" i="12"/>
  <c r="U49" i="12"/>
  <c r="T49" i="12"/>
  <c r="S49" i="12"/>
  <c r="R49" i="12"/>
  <c r="Q49" i="12"/>
  <c r="G49" i="12"/>
  <c r="X48" i="12"/>
  <c r="W48" i="12"/>
  <c r="S48" i="12"/>
  <c r="R48" i="12"/>
  <c r="Q48" i="12"/>
  <c r="P48" i="12"/>
  <c r="Y48" i="12" s="1"/>
  <c r="W47" i="12"/>
  <c r="J54" i="12" s="1"/>
  <c r="V47" i="12"/>
  <c r="R47" i="12"/>
  <c r="E54" i="12" s="1"/>
  <c r="P47" i="12"/>
  <c r="Y47" i="12" s="1"/>
  <c r="B45" i="12"/>
  <c r="Y81" i="12"/>
  <c r="Y87" i="12"/>
  <c r="Z132" i="12"/>
  <c r="Y86" i="12"/>
  <c r="Z133" i="12"/>
  <c r="Y85" i="12"/>
  <c r="Z84" i="12"/>
  <c r="Z131" i="12"/>
  <c r="Y89" i="12"/>
  <c r="Z130" i="12"/>
  <c r="Z129" i="12"/>
  <c r="Z128" i="12"/>
  <c r="Z127" i="12"/>
  <c r="Z126" i="12"/>
  <c r="Z83" i="12"/>
  <c r="Y13" i="12"/>
  <c r="Y12" i="12"/>
  <c r="Z125" i="12" s="1"/>
  <c r="J67" i="12"/>
  <c r="I67" i="12"/>
  <c r="H67" i="12"/>
  <c r="D60" i="12"/>
  <c r="L10" i="12"/>
  <c r="L11" i="12"/>
  <c r="K11" i="12"/>
  <c r="J11" i="12"/>
  <c r="I11" i="12"/>
  <c r="H11" i="12"/>
  <c r="G11" i="12"/>
  <c r="F11" i="12"/>
  <c r="E11" i="12"/>
  <c r="D11" i="12"/>
  <c r="C11" i="12"/>
  <c r="Z124" i="12"/>
  <c r="K10" i="12"/>
  <c r="J10" i="12"/>
  <c r="I10" i="12"/>
  <c r="H10" i="12"/>
  <c r="G10" i="12"/>
  <c r="F10" i="12"/>
  <c r="E10" i="12"/>
  <c r="D10" i="12"/>
  <c r="C10" i="12"/>
  <c r="Z123" i="12"/>
  <c r="K8" i="12"/>
  <c r="J8" i="12"/>
  <c r="I8" i="12"/>
  <c r="H8" i="12"/>
  <c r="G8" i="12"/>
  <c r="F8" i="12"/>
  <c r="E8" i="12"/>
  <c r="D8" i="12"/>
  <c r="C8" i="12"/>
  <c r="B65" i="12"/>
  <c r="A65" i="12"/>
  <c r="Y122" i="12"/>
  <c r="K7" i="12"/>
  <c r="J7" i="12"/>
  <c r="L7" i="12" s="1"/>
  <c r="I7" i="12"/>
  <c r="H7" i="12"/>
  <c r="G7" i="12"/>
  <c r="F7" i="12"/>
  <c r="E7" i="12"/>
  <c r="D7" i="12"/>
  <c r="C7" i="12"/>
  <c r="B64" i="12"/>
  <c r="A64" i="12"/>
  <c r="Z121" i="12"/>
  <c r="L63" i="12"/>
  <c r="B51" i="12"/>
  <c r="A51" i="12"/>
  <c r="L60" i="12"/>
  <c r="B62" i="12"/>
  <c r="A62" i="12"/>
  <c r="B61" i="12"/>
  <c r="A49" i="12"/>
  <c r="Y3" i="12"/>
  <c r="M3" i="12"/>
  <c r="B60" i="12"/>
  <c r="A48" i="12"/>
  <c r="M2" i="12"/>
  <c r="M1" i="12"/>
  <c r="B59" i="12"/>
  <c r="A47" i="12"/>
  <c r="O1" i="12"/>
  <c r="O45" i="12" s="1"/>
  <c r="N1" i="12"/>
  <c r="P1" i="12"/>
  <c r="Y133" i="7"/>
  <c r="X133" i="7"/>
  <c r="W133" i="7"/>
  <c r="V133" i="7"/>
  <c r="U133" i="7"/>
  <c r="T133" i="7"/>
  <c r="S133" i="7"/>
  <c r="R133" i="7"/>
  <c r="Q133" i="7"/>
  <c r="X131" i="7"/>
  <c r="W131" i="7"/>
  <c r="V131" i="7"/>
  <c r="U131" i="7"/>
  <c r="T131" i="7"/>
  <c r="S131" i="7"/>
  <c r="R131" i="7"/>
  <c r="Q131" i="7"/>
  <c r="X130" i="7"/>
  <c r="W130" i="7"/>
  <c r="V130" i="7"/>
  <c r="U130" i="7"/>
  <c r="T130" i="7"/>
  <c r="S130" i="7"/>
  <c r="R130" i="7"/>
  <c r="Q130" i="7"/>
  <c r="X129" i="7"/>
  <c r="W129" i="7"/>
  <c r="V129" i="7"/>
  <c r="U129" i="7"/>
  <c r="T129" i="7"/>
  <c r="S129" i="7"/>
  <c r="R129" i="7"/>
  <c r="Q129" i="7"/>
  <c r="X128" i="7"/>
  <c r="W128" i="7"/>
  <c r="V128" i="7"/>
  <c r="U128" i="7"/>
  <c r="T128" i="7"/>
  <c r="S128" i="7"/>
  <c r="R128" i="7"/>
  <c r="Q128" i="7"/>
  <c r="X127" i="7"/>
  <c r="W127" i="7"/>
  <c r="V127" i="7"/>
  <c r="U127" i="7"/>
  <c r="T127" i="7"/>
  <c r="S127" i="7"/>
  <c r="R127" i="7"/>
  <c r="Q127" i="7"/>
  <c r="X126" i="7"/>
  <c r="W126" i="7"/>
  <c r="V126" i="7"/>
  <c r="U126" i="7"/>
  <c r="T126" i="7"/>
  <c r="S126" i="7"/>
  <c r="R126" i="7"/>
  <c r="Q126" i="7"/>
  <c r="X125" i="7"/>
  <c r="W125" i="7"/>
  <c r="V125" i="7"/>
  <c r="U125" i="7"/>
  <c r="T125" i="7"/>
  <c r="S125" i="7"/>
  <c r="R125" i="7"/>
  <c r="Q125" i="7"/>
  <c r="X124" i="7"/>
  <c r="W124" i="7"/>
  <c r="V124" i="7"/>
  <c r="U124" i="7"/>
  <c r="T124" i="7"/>
  <c r="S124" i="7"/>
  <c r="R124" i="7"/>
  <c r="Q124" i="7"/>
  <c r="X123" i="7"/>
  <c r="W123" i="7"/>
  <c r="V123" i="7"/>
  <c r="U123" i="7"/>
  <c r="T123" i="7"/>
  <c r="S123" i="7"/>
  <c r="R123" i="7"/>
  <c r="Q123" i="7"/>
  <c r="X122" i="7"/>
  <c r="W122" i="7"/>
  <c r="V122" i="7"/>
  <c r="U122" i="7"/>
  <c r="T122" i="7"/>
  <c r="S122" i="7"/>
  <c r="R122" i="7"/>
  <c r="Q122" i="7"/>
  <c r="X121" i="7"/>
  <c r="W121" i="7"/>
  <c r="V121" i="7"/>
  <c r="U121" i="7"/>
  <c r="T121" i="7"/>
  <c r="S121" i="7"/>
  <c r="R121" i="7"/>
  <c r="Q121" i="7"/>
  <c r="X91" i="7"/>
  <c r="W91" i="7"/>
  <c r="V91" i="7"/>
  <c r="U91" i="7"/>
  <c r="T91" i="7"/>
  <c r="S91" i="7"/>
  <c r="R91" i="7"/>
  <c r="Q91" i="7"/>
  <c r="X90" i="7"/>
  <c r="W90" i="7"/>
  <c r="V90" i="7"/>
  <c r="U90" i="7"/>
  <c r="T90" i="7"/>
  <c r="S90" i="7"/>
  <c r="R90" i="7"/>
  <c r="Q90" i="7"/>
  <c r="X89" i="7"/>
  <c r="W89" i="7"/>
  <c r="V89" i="7"/>
  <c r="U89" i="7"/>
  <c r="T89" i="7"/>
  <c r="S89" i="7"/>
  <c r="R89" i="7"/>
  <c r="Q89" i="7"/>
  <c r="Z88" i="7"/>
  <c r="X88" i="7"/>
  <c r="W88" i="7"/>
  <c r="V88" i="7"/>
  <c r="U88" i="7"/>
  <c r="T88" i="7"/>
  <c r="S88" i="7"/>
  <c r="R88" i="7"/>
  <c r="Q88" i="7"/>
  <c r="Z87" i="7"/>
  <c r="X87" i="7"/>
  <c r="W87" i="7"/>
  <c r="V87" i="7"/>
  <c r="U87" i="7"/>
  <c r="T87" i="7"/>
  <c r="S87" i="7"/>
  <c r="R87" i="7"/>
  <c r="Q87" i="7"/>
  <c r="Z86" i="7"/>
  <c r="X86" i="7"/>
  <c r="W86" i="7"/>
  <c r="V86" i="7"/>
  <c r="U86" i="7"/>
  <c r="T86" i="7"/>
  <c r="S86" i="7"/>
  <c r="R86" i="7"/>
  <c r="Q86" i="7"/>
  <c r="Z85" i="7"/>
  <c r="X85" i="7"/>
  <c r="W85" i="7"/>
  <c r="V85" i="7"/>
  <c r="U85" i="7"/>
  <c r="T85" i="7"/>
  <c r="S85" i="7"/>
  <c r="R85" i="7"/>
  <c r="Q85" i="7"/>
  <c r="Z84" i="7"/>
  <c r="X84" i="7"/>
  <c r="W84" i="7"/>
  <c r="V84" i="7"/>
  <c r="U84" i="7"/>
  <c r="T84" i="7"/>
  <c r="S84" i="7"/>
  <c r="R84" i="7"/>
  <c r="Q84" i="7"/>
  <c r="Z83" i="7"/>
  <c r="X83" i="7"/>
  <c r="W83" i="7"/>
  <c r="V83" i="7"/>
  <c r="U83" i="7"/>
  <c r="T83" i="7"/>
  <c r="S83" i="7"/>
  <c r="R83" i="7"/>
  <c r="Q83" i="7"/>
  <c r="Y82" i="7"/>
  <c r="X82" i="7"/>
  <c r="W82" i="7"/>
  <c r="V82" i="7"/>
  <c r="U82" i="7"/>
  <c r="T82" i="7"/>
  <c r="S82" i="7"/>
  <c r="R82" i="7"/>
  <c r="Q82" i="7"/>
  <c r="X81" i="7"/>
  <c r="W81" i="7"/>
  <c r="V81" i="7"/>
  <c r="U81" i="7"/>
  <c r="T81" i="7"/>
  <c r="S81" i="7"/>
  <c r="R81" i="7"/>
  <c r="Q81" i="7"/>
  <c r="N79" i="7"/>
  <c r="B68" i="7"/>
  <c r="A68" i="7"/>
  <c r="B67" i="7"/>
  <c r="A67" i="7"/>
  <c r="K63" i="7"/>
  <c r="J63" i="7"/>
  <c r="I63" i="7"/>
  <c r="H63" i="7"/>
  <c r="G63" i="7"/>
  <c r="F63" i="7"/>
  <c r="E63" i="7"/>
  <c r="D63" i="7"/>
  <c r="X59" i="7"/>
  <c r="W59" i="7"/>
  <c r="V59" i="7"/>
  <c r="U59" i="7"/>
  <c r="T59" i="7"/>
  <c r="S59" i="7"/>
  <c r="R59" i="7"/>
  <c r="Q59" i="7"/>
  <c r="O91" i="7"/>
  <c r="N91" i="7"/>
  <c r="Y58" i="7"/>
  <c r="Y54" i="7" s="1"/>
  <c r="X58" i="7"/>
  <c r="W58" i="7"/>
  <c r="V58" i="7"/>
  <c r="U58" i="7"/>
  <c r="T58" i="7"/>
  <c r="S58" i="7"/>
  <c r="R58" i="7"/>
  <c r="Q58" i="7"/>
  <c r="Y57" i="7"/>
  <c r="X57" i="7"/>
  <c r="W57" i="7"/>
  <c r="W54" i="7" s="1"/>
  <c r="V57" i="7"/>
  <c r="V54" i="7" s="1"/>
  <c r="U57" i="7"/>
  <c r="T57" i="7"/>
  <c r="T54" i="7" s="1"/>
  <c r="S57" i="7"/>
  <c r="S54" i="7" s="1"/>
  <c r="R57" i="7"/>
  <c r="R54" i="7" s="1"/>
  <c r="Q57" i="7"/>
  <c r="Y56" i="7"/>
  <c r="X56" i="7"/>
  <c r="S56" i="7"/>
  <c r="R56" i="7"/>
  <c r="Q56" i="7"/>
  <c r="P56" i="7"/>
  <c r="W56" i="7" s="1"/>
  <c r="B56" i="7"/>
  <c r="Y55" i="7"/>
  <c r="X55" i="7"/>
  <c r="W55" i="7"/>
  <c r="V55" i="7"/>
  <c r="U55" i="7"/>
  <c r="T55" i="7"/>
  <c r="S55" i="7"/>
  <c r="R55" i="7"/>
  <c r="Q55" i="7"/>
  <c r="B55" i="7"/>
  <c r="Q54" i="7"/>
  <c r="Z53" i="7"/>
  <c r="X53" i="7"/>
  <c r="W53" i="7"/>
  <c r="V53" i="7"/>
  <c r="U53" i="7"/>
  <c r="T53" i="7"/>
  <c r="S53" i="7"/>
  <c r="R53" i="7"/>
  <c r="Q53" i="7"/>
  <c r="Z52" i="7"/>
  <c r="Y52" i="7"/>
  <c r="X52" i="7"/>
  <c r="W52" i="7"/>
  <c r="U52" i="7"/>
  <c r="T52" i="7"/>
  <c r="P52" i="7"/>
  <c r="V52" i="7" s="1"/>
  <c r="Z51" i="7"/>
  <c r="Y51" i="7"/>
  <c r="Y80" i="7" s="1"/>
  <c r="X51" i="7"/>
  <c r="X80" i="7" s="1"/>
  <c r="W51" i="7"/>
  <c r="W80" i="7" s="1"/>
  <c r="V51" i="7"/>
  <c r="V80" i="7" s="1"/>
  <c r="U51" i="7"/>
  <c r="U80" i="7" s="1"/>
  <c r="T51" i="7"/>
  <c r="T80" i="7" s="1"/>
  <c r="S51" i="7"/>
  <c r="S80" i="7" s="1"/>
  <c r="R51" i="7"/>
  <c r="R80" i="7" s="1"/>
  <c r="Q51" i="7"/>
  <c r="Q80" i="7" s="1"/>
  <c r="L51" i="7"/>
  <c r="K51" i="7"/>
  <c r="J51" i="7"/>
  <c r="I51" i="7"/>
  <c r="H51" i="7"/>
  <c r="G51" i="7"/>
  <c r="F51" i="7"/>
  <c r="E51" i="7"/>
  <c r="D51" i="7"/>
  <c r="Y50" i="7"/>
  <c r="X50" i="7"/>
  <c r="W50" i="7"/>
  <c r="V50" i="7"/>
  <c r="U50" i="7"/>
  <c r="T50" i="7"/>
  <c r="S50" i="7"/>
  <c r="R50" i="7"/>
  <c r="Q50" i="7"/>
  <c r="X49" i="7"/>
  <c r="W49" i="7"/>
  <c r="V49" i="7"/>
  <c r="U49" i="7"/>
  <c r="T49" i="7"/>
  <c r="S49" i="7"/>
  <c r="R49" i="7"/>
  <c r="Q49" i="7"/>
  <c r="U48" i="7"/>
  <c r="T48" i="7"/>
  <c r="S48" i="7"/>
  <c r="Q48" i="7"/>
  <c r="P48" i="7"/>
  <c r="Y48" i="7" s="1"/>
  <c r="P47" i="7"/>
  <c r="Y47" i="7" s="1"/>
  <c r="B45" i="7"/>
  <c r="Z56" i="7"/>
  <c r="Z55" i="7"/>
  <c r="Z132" i="7"/>
  <c r="Y86" i="7"/>
  <c r="Z133" i="7"/>
  <c r="Y81" i="7"/>
  <c r="Y84" i="7"/>
  <c r="Z131" i="7"/>
  <c r="Y89" i="7"/>
  <c r="Z130" i="7"/>
  <c r="Z129" i="7"/>
  <c r="Z128" i="7"/>
  <c r="Z127" i="7"/>
  <c r="Z126" i="7"/>
  <c r="Y125" i="7"/>
  <c r="Y13" i="7"/>
  <c r="Y12" i="7"/>
  <c r="Z125" i="7" s="1"/>
  <c r="K12" i="7"/>
  <c r="K67" i="7" s="1"/>
  <c r="J12" i="7"/>
  <c r="I12" i="7"/>
  <c r="I67" i="7" s="1"/>
  <c r="H12" i="7"/>
  <c r="G12" i="7"/>
  <c r="F12" i="7"/>
  <c r="E12" i="7"/>
  <c r="D12" i="7"/>
  <c r="C12" i="7"/>
  <c r="L10" i="7"/>
  <c r="K11" i="7"/>
  <c r="J11" i="7"/>
  <c r="I11" i="7"/>
  <c r="H11" i="7"/>
  <c r="G11" i="7"/>
  <c r="F11" i="7"/>
  <c r="E11" i="7"/>
  <c r="D11" i="7"/>
  <c r="C11" i="7"/>
  <c r="Z124" i="7"/>
  <c r="K10" i="7"/>
  <c r="J10" i="7"/>
  <c r="I10" i="7"/>
  <c r="H10" i="7"/>
  <c r="G10" i="7"/>
  <c r="F10" i="7"/>
  <c r="E10" i="7"/>
  <c r="D10" i="7"/>
  <c r="C10" i="7"/>
  <c r="Z123" i="7"/>
  <c r="K8" i="7"/>
  <c r="J8" i="7"/>
  <c r="I8" i="7"/>
  <c r="H8" i="7"/>
  <c r="G8" i="7"/>
  <c r="F8" i="7"/>
  <c r="E8" i="7"/>
  <c r="D8" i="7"/>
  <c r="C8" i="7"/>
  <c r="B65" i="7"/>
  <c r="A65" i="7"/>
  <c r="Z122" i="7"/>
  <c r="K7" i="7"/>
  <c r="J7" i="7"/>
  <c r="I7" i="7"/>
  <c r="H7" i="7"/>
  <c r="G7" i="7"/>
  <c r="F7" i="7"/>
  <c r="E7" i="7"/>
  <c r="D7" i="7"/>
  <c r="C7" i="7"/>
  <c r="B64" i="7"/>
  <c r="A64" i="7"/>
  <c r="Z121" i="7"/>
  <c r="L63" i="7"/>
  <c r="B63" i="7"/>
  <c r="A63" i="7"/>
  <c r="M5" i="7"/>
  <c r="L12" i="7"/>
  <c r="B62" i="7"/>
  <c r="A62" i="7"/>
  <c r="M4" i="7"/>
  <c r="B61" i="7"/>
  <c r="A49" i="7"/>
  <c r="Y3" i="7"/>
  <c r="M3" i="7"/>
  <c r="B48" i="7"/>
  <c r="A60" i="7"/>
  <c r="M2" i="7"/>
  <c r="B59" i="7"/>
  <c r="A47" i="7"/>
  <c r="O1" i="7"/>
  <c r="O45" i="7" s="1"/>
  <c r="N1" i="7"/>
  <c r="D1" i="7"/>
  <c r="X133" i="6"/>
  <c r="W133" i="6"/>
  <c r="V133" i="6"/>
  <c r="U133" i="6"/>
  <c r="T133" i="6"/>
  <c r="S133" i="6"/>
  <c r="R133" i="6"/>
  <c r="Q133" i="6"/>
  <c r="X131" i="6"/>
  <c r="W131" i="6"/>
  <c r="V131" i="6"/>
  <c r="U131" i="6"/>
  <c r="T131" i="6"/>
  <c r="S131" i="6"/>
  <c r="R131" i="6"/>
  <c r="Q131" i="6"/>
  <c r="X130" i="6"/>
  <c r="W130" i="6"/>
  <c r="V130" i="6"/>
  <c r="U130" i="6"/>
  <c r="T130" i="6"/>
  <c r="S130" i="6"/>
  <c r="R130" i="6"/>
  <c r="Q130" i="6"/>
  <c r="X129" i="6"/>
  <c r="W129" i="6"/>
  <c r="V129" i="6"/>
  <c r="U129" i="6"/>
  <c r="T129" i="6"/>
  <c r="S129" i="6"/>
  <c r="R129" i="6"/>
  <c r="Q129" i="6"/>
  <c r="X128" i="6"/>
  <c r="W128" i="6"/>
  <c r="V128" i="6"/>
  <c r="U128" i="6"/>
  <c r="T128" i="6"/>
  <c r="S128" i="6"/>
  <c r="R128" i="6"/>
  <c r="Q128" i="6"/>
  <c r="X127" i="6"/>
  <c r="W127" i="6"/>
  <c r="V127" i="6"/>
  <c r="U127" i="6"/>
  <c r="T127" i="6"/>
  <c r="S127" i="6"/>
  <c r="R127" i="6"/>
  <c r="Q127" i="6"/>
  <c r="X126" i="6"/>
  <c r="W126" i="6"/>
  <c r="V126" i="6"/>
  <c r="U126" i="6"/>
  <c r="T126" i="6"/>
  <c r="S126" i="6"/>
  <c r="R126" i="6"/>
  <c r="Q126" i="6"/>
  <c r="X125" i="6"/>
  <c r="W125" i="6"/>
  <c r="V125" i="6"/>
  <c r="U125" i="6"/>
  <c r="T125" i="6"/>
  <c r="S125" i="6"/>
  <c r="R125" i="6"/>
  <c r="Q125" i="6"/>
  <c r="X124" i="6"/>
  <c r="W124" i="6"/>
  <c r="V124" i="6"/>
  <c r="U124" i="6"/>
  <c r="T124" i="6"/>
  <c r="S124" i="6"/>
  <c r="R124" i="6"/>
  <c r="Q124" i="6"/>
  <c r="X123" i="6"/>
  <c r="W123" i="6"/>
  <c r="V123" i="6"/>
  <c r="U123" i="6"/>
  <c r="T123" i="6"/>
  <c r="S123" i="6"/>
  <c r="R123" i="6"/>
  <c r="Q123" i="6"/>
  <c r="X122" i="6"/>
  <c r="W122" i="6"/>
  <c r="V122" i="6"/>
  <c r="U122" i="6"/>
  <c r="T122" i="6"/>
  <c r="S122" i="6"/>
  <c r="R122" i="6"/>
  <c r="Q122" i="6"/>
  <c r="X121" i="6"/>
  <c r="W121" i="6"/>
  <c r="V121" i="6"/>
  <c r="U121" i="6"/>
  <c r="T121" i="6"/>
  <c r="S121" i="6"/>
  <c r="R121" i="6"/>
  <c r="E61" i="6" s="1"/>
  <c r="Q121" i="6"/>
  <c r="X91" i="6"/>
  <c r="W91" i="6"/>
  <c r="V91" i="6"/>
  <c r="U91" i="6"/>
  <c r="T91" i="6"/>
  <c r="S91" i="6"/>
  <c r="R91" i="6"/>
  <c r="Q91" i="6"/>
  <c r="X90" i="6"/>
  <c r="W90" i="6"/>
  <c r="V90" i="6"/>
  <c r="U90" i="6"/>
  <c r="T90" i="6"/>
  <c r="S90" i="6"/>
  <c r="R90" i="6"/>
  <c r="Q90" i="6"/>
  <c r="X89" i="6"/>
  <c r="W89" i="6"/>
  <c r="V89" i="6"/>
  <c r="U89" i="6"/>
  <c r="T89" i="6"/>
  <c r="S89" i="6"/>
  <c r="R89" i="6"/>
  <c r="Q89" i="6"/>
  <c r="X88" i="6"/>
  <c r="W88" i="6"/>
  <c r="V88" i="6"/>
  <c r="U88" i="6"/>
  <c r="T88" i="6"/>
  <c r="S88" i="6"/>
  <c r="R88" i="6"/>
  <c r="Q88" i="6"/>
  <c r="X87" i="6"/>
  <c r="W87" i="6"/>
  <c r="V87" i="6"/>
  <c r="U87" i="6"/>
  <c r="T87" i="6"/>
  <c r="S87" i="6"/>
  <c r="R87" i="6"/>
  <c r="Q87" i="6"/>
  <c r="X86" i="6"/>
  <c r="W86" i="6"/>
  <c r="V86" i="6"/>
  <c r="U86" i="6"/>
  <c r="T86" i="6"/>
  <c r="S86" i="6"/>
  <c r="R86" i="6"/>
  <c r="Q86" i="6"/>
  <c r="X85" i="6"/>
  <c r="W85" i="6"/>
  <c r="V85" i="6"/>
  <c r="U85" i="6"/>
  <c r="T85" i="6"/>
  <c r="S85" i="6"/>
  <c r="R85" i="6"/>
  <c r="Q85" i="6"/>
  <c r="X84" i="6"/>
  <c r="W84" i="6"/>
  <c r="V84" i="6"/>
  <c r="U84" i="6"/>
  <c r="T84" i="6"/>
  <c r="S84" i="6"/>
  <c r="R84" i="6"/>
  <c r="Q84" i="6"/>
  <c r="X83" i="6"/>
  <c r="W83" i="6"/>
  <c r="V83" i="6"/>
  <c r="U83" i="6"/>
  <c r="T83" i="6"/>
  <c r="S83" i="6"/>
  <c r="R83" i="6"/>
  <c r="Q83" i="6"/>
  <c r="X82" i="6"/>
  <c r="W82" i="6"/>
  <c r="V82" i="6"/>
  <c r="U82" i="6"/>
  <c r="T82" i="6"/>
  <c r="S82" i="6"/>
  <c r="R82" i="6"/>
  <c r="Q82" i="6"/>
  <c r="X81" i="6"/>
  <c r="W81" i="6"/>
  <c r="V81" i="6"/>
  <c r="U81" i="6"/>
  <c r="T81" i="6"/>
  <c r="S81" i="6"/>
  <c r="R81" i="6"/>
  <c r="Q81" i="6"/>
  <c r="N79" i="6"/>
  <c r="B68" i="6"/>
  <c r="A68" i="6"/>
  <c r="B67" i="6"/>
  <c r="A67" i="6"/>
  <c r="K63" i="6"/>
  <c r="J63" i="6"/>
  <c r="I63" i="6"/>
  <c r="H63" i="6"/>
  <c r="G63" i="6"/>
  <c r="F63" i="6"/>
  <c r="E63" i="6"/>
  <c r="D63" i="6"/>
  <c r="X59" i="6"/>
  <c r="W59" i="6"/>
  <c r="V59" i="6"/>
  <c r="U59" i="6"/>
  <c r="T59" i="6"/>
  <c r="S59" i="6"/>
  <c r="R59" i="6"/>
  <c r="Q59" i="6"/>
  <c r="O91" i="6"/>
  <c r="N91" i="6"/>
  <c r="X58" i="6"/>
  <c r="W58" i="6"/>
  <c r="V58" i="6"/>
  <c r="U58" i="6"/>
  <c r="T58" i="6"/>
  <c r="S58" i="6"/>
  <c r="S54" i="6" s="1"/>
  <c r="R58" i="6"/>
  <c r="Q58" i="6"/>
  <c r="X57" i="6"/>
  <c r="W57" i="6"/>
  <c r="V57" i="6"/>
  <c r="U57" i="6"/>
  <c r="T57" i="6"/>
  <c r="S57" i="6"/>
  <c r="R57" i="6"/>
  <c r="R54" i="6" s="1"/>
  <c r="Q57" i="6"/>
  <c r="Q54" i="6" s="1"/>
  <c r="P56" i="6"/>
  <c r="R56" i="6" s="1"/>
  <c r="B56" i="6"/>
  <c r="X55" i="6"/>
  <c r="W55" i="6"/>
  <c r="V55" i="6"/>
  <c r="U55" i="6"/>
  <c r="T55" i="6"/>
  <c r="S55" i="6"/>
  <c r="R55" i="6"/>
  <c r="Q55" i="6"/>
  <c r="B55" i="6"/>
  <c r="Z54" i="6"/>
  <c r="X54" i="6"/>
  <c r="W54" i="6"/>
  <c r="V54" i="6"/>
  <c r="U54" i="6"/>
  <c r="T54" i="6"/>
  <c r="Z53" i="6"/>
  <c r="Y53" i="6"/>
  <c r="X53" i="6"/>
  <c r="W53" i="6"/>
  <c r="V53" i="6"/>
  <c r="U53" i="6"/>
  <c r="T53" i="6"/>
  <c r="S53" i="6"/>
  <c r="R53" i="6"/>
  <c r="Q53" i="6"/>
  <c r="Z52" i="6"/>
  <c r="Y52" i="6"/>
  <c r="X52" i="6"/>
  <c r="W52" i="6"/>
  <c r="V52" i="6"/>
  <c r="U52" i="6"/>
  <c r="T52" i="6"/>
  <c r="S52" i="6"/>
  <c r="R52" i="6"/>
  <c r="Q52" i="6"/>
  <c r="P52" i="6"/>
  <c r="Z51" i="6"/>
  <c r="Y51" i="6"/>
  <c r="Y80" i="6" s="1"/>
  <c r="X51" i="6"/>
  <c r="X80" i="6" s="1"/>
  <c r="W51" i="6"/>
  <c r="W80" i="6" s="1"/>
  <c r="V51" i="6"/>
  <c r="V80" i="6" s="1"/>
  <c r="U51" i="6"/>
  <c r="U80" i="6" s="1"/>
  <c r="T51" i="6"/>
  <c r="T80" i="6" s="1"/>
  <c r="S51" i="6"/>
  <c r="S80" i="6" s="1"/>
  <c r="R51" i="6"/>
  <c r="R80" i="6" s="1"/>
  <c r="Q51" i="6"/>
  <c r="Q80" i="6" s="1"/>
  <c r="L51" i="6"/>
  <c r="K51" i="6"/>
  <c r="J51" i="6"/>
  <c r="I51" i="6"/>
  <c r="H51" i="6"/>
  <c r="G51" i="6"/>
  <c r="F51" i="6"/>
  <c r="E51" i="6"/>
  <c r="D51" i="6"/>
  <c r="X50" i="6"/>
  <c r="W50" i="6"/>
  <c r="V50" i="6"/>
  <c r="U50" i="6"/>
  <c r="T50" i="6"/>
  <c r="S50" i="6"/>
  <c r="R50" i="6"/>
  <c r="Q50" i="6"/>
  <c r="X49" i="6"/>
  <c r="W49" i="6"/>
  <c r="V49" i="6"/>
  <c r="U49" i="6"/>
  <c r="T49" i="6"/>
  <c r="S49" i="6"/>
  <c r="R49" i="6"/>
  <c r="Q49" i="6"/>
  <c r="W48" i="6"/>
  <c r="T48" i="6"/>
  <c r="S48" i="6"/>
  <c r="R48" i="6"/>
  <c r="Q48" i="6"/>
  <c r="P48" i="6"/>
  <c r="X48" i="6" s="1"/>
  <c r="P47" i="6"/>
  <c r="Y47" i="6" s="1"/>
  <c r="B45" i="6"/>
  <c r="Z56" i="6"/>
  <c r="Z55" i="6"/>
  <c r="Z132" i="6"/>
  <c r="Z86" i="6"/>
  <c r="Z133" i="6"/>
  <c r="Y81" i="6"/>
  <c r="Z84" i="6"/>
  <c r="Z131" i="6"/>
  <c r="Y89" i="6"/>
  <c r="Z130" i="6"/>
  <c r="Z129" i="6"/>
  <c r="Z128" i="6"/>
  <c r="Z127" i="6"/>
  <c r="Z126" i="6"/>
  <c r="Z83" i="6"/>
  <c r="Y13" i="6"/>
  <c r="Y12" i="6"/>
  <c r="Z125" i="6" s="1"/>
  <c r="K12" i="6"/>
  <c r="J12" i="6"/>
  <c r="J67" i="6" s="1"/>
  <c r="I12" i="6"/>
  <c r="I67" i="6" s="1"/>
  <c r="H12" i="6"/>
  <c r="G12" i="6"/>
  <c r="F12" i="6"/>
  <c r="F10" i="6" s="1"/>
  <c r="E12" i="6"/>
  <c r="E11" i="6" s="1"/>
  <c r="D12" i="6"/>
  <c r="C12" i="6"/>
  <c r="C11" i="6" s="1"/>
  <c r="Z124" i="6"/>
  <c r="Z123" i="6"/>
  <c r="K8" i="6"/>
  <c r="J8" i="6"/>
  <c r="I8" i="6"/>
  <c r="H8" i="6"/>
  <c r="G8" i="6"/>
  <c r="F8" i="6"/>
  <c r="E8" i="6"/>
  <c r="D8" i="6"/>
  <c r="C8" i="6"/>
  <c r="B65" i="6"/>
  <c r="A65" i="6"/>
  <c r="Z122" i="6"/>
  <c r="K7" i="6"/>
  <c r="J7" i="6"/>
  <c r="I7" i="6"/>
  <c r="H7" i="6"/>
  <c r="G7" i="6"/>
  <c r="F7" i="6"/>
  <c r="E7" i="6"/>
  <c r="D7" i="6"/>
  <c r="C7" i="6"/>
  <c r="B64" i="6"/>
  <c r="A64" i="6"/>
  <c r="Z121" i="6"/>
  <c r="L63" i="6"/>
  <c r="B63" i="6"/>
  <c r="A63" i="6"/>
  <c r="M5" i="6"/>
  <c r="L12" i="6"/>
  <c r="B62" i="6"/>
  <c r="A62" i="6"/>
  <c r="M4" i="6"/>
  <c r="M3" i="6"/>
  <c r="B49" i="6"/>
  <c r="A49" i="6"/>
  <c r="Y3" i="6"/>
  <c r="B48" i="6"/>
  <c r="A48" i="6"/>
  <c r="M2" i="6"/>
  <c r="M1" i="6"/>
  <c r="B59" i="6"/>
  <c r="A47" i="6"/>
  <c r="O1" i="6"/>
  <c r="O45" i="6" s="1"/>
  <c r="N1" i="6"/>
  <c r="P1" i="6"/>
  <c r="L7" i="7" l="1"/>
  <c r="T54" i="13"/>
  <c r="U54" i="13"/>
  <c r="S54" i="13"/>
  <c r="K47" i="13"/>
  <c r="R54" i="13"/>
  <c r="E66" i="13"/>
  <c r="E64" i="13" s="1"/>
  <c r="D66" i="13"/>
  <c r="F66" i="13"/>
  <c r="G66" i="13"/>
  <c r="D60" i="13"/>
  <c r="H66" i="13"/>
  <c r="I66" i="13"/>
  <c r="J66" i="13"/>
  <c r="K66" i="13"/>
  <c r="G50" i="13"/>
  <c r="F50" i="13"/>
  <c r="E62" i="13"/>
  <c r="E68" i="13"/>
  <c r="G68" i="13"/>
  <c r="F62" i="13"/>
  <c r="F65" i="13" s="1"/>
  <c r="D62" i="13"/>
  <c r="E49" i="13"/>
  <c r="E59" i="7"/>
  <c r="E64" i="7" s="1"/>
  <c r="X54" i="7"/>
  <c r="U54" i="7"/>
  <c r="D60" i="7"/>
  <c r="F61" i="7"/>
  <c r="J68" i="7"/>
  <c r="D66" i="7"/>
  <c r="F50" i="7"/>
  <c r="G67" i="7"/>
  <c r="J66" i="7"/>
  <c r="I55" i="7"/>
  <c r="H55" i="7"/>
  <c r="K66" i="7"/>
  <c r="E60" i="7"/>
  <c r="E61" i="7"/>
  <c r="J66" i="12"/>
  <c r="Q54" i="12"/>
  <c r="H68" i="12"/>
  <c r="H59" i="12"/>
  <c r="H64" i="12" s="1"/>
  <c r="K59" i="12"/>
  <c r="I47" i="12"/>
  <c r="G59" i="12"/>
  <c r="G64" i="12" s="1"/>
  <c r="G48" i="12"/>
  <c r="L48" i="12"/>
  <c r="F62" i="12"/>
  <c r="I68" i="12"/>
  <c r="K68" i="12"/>
  <c r="D62" i="12"/>
  <c r="F68" i="12"/>
  <c r="G56" i="12"/>
  <c r="H50" i="12"/>
  <c r="F56" i="12"/>
  <c r="H47" i="12"/>
  <c r="G68" i="12"/>
  <c r="J59" i="12"/>
  <c r="J64" i="12" s="1"/>
  <c r="I59" i="12"/>
  <c r="I64" i="12" s="1"/>
  <c r="E67" i="12"/>
  <c r="D67" i="12"/>
  <c r="D50" i="12"/>
  <c r="E62" i="12"/>
  <c r="E65" i="12" s="1"/>
  <c r="G50" i="12"/>
  <c r="G53" i="12" s="1"/>
  <c r="E50" i="12"/>
  <c r="K61" i="12"/>
  <c r="H59" i="6"/>
  <c r="D60" i="6"/>
  <c r="G59" i="6"/>
  <c r="F11" i="6"/>
  <c r="E56" i="6"/>
  <c r="G11" i="6"/>
  <c r="K67" i="6"/>
  <c r="G62" i="6"/>
  <c r="J11" i="6"/>
  <c r="H62" i="6"/>
  <c r="G10" i="6"/>
  <c r="E66" i="6"/>
  <c r="G48" i="6"/>
  <c r="H10" i="6"/>
  <c r="H50" i="6"/>
  <c r="F66" i="6"/>
  <c r="H48" i="6"/>
  <c r="G66" i="6"/>
  <c r="G64" i="6" s="1"/>
  <c r="E47" i="6"/>
  <c r="H49" i="6"/>
  <c r="H11" i="6"/>
  <c r="H66" i="6"/>
  <c r="H64" i="6" s="1"/>
  <c r="L8" i="7"/>
  <c r="L8" i="13"/>
  <c r="E49" i="7"/>
  <c r="E50" i="7"/>
  <c r="E53" i="7" s="1"/>
  <c r="E62" i="7"/>
  <c r="E68" i="7"/>
  <c r="I49" i="7"/>
  <c r="G50" i="7"/>
  <c r="G62" i="7"/>
  <c r="F62" i="7"/>
  <c r="I50" i="7"/>
  <c r="K62" i="7"/>
  <c r="G68" i="7"/>
  <c r="K50" i="7"/>
  <c r="E66" i="7"/>
  <c r="E48" i="7"/>
  <c r="J67" i="7"/>
  <c r="H68" i="7"/>
  <c r="F66" i="7"/>
  <c r="E67" i="7"/>
  <c r="I68" i="7"/>
  <c r="G66" i="7"/>
  <c r="J47" i="7"/>
  <c r="K55" i="7"/>
  <c r="H66" i="7"/>
  <c r="K68" i="7"/>
  <c r="I66" i="7"/>
  <c r="I48" i="7"/>
  <c r="H67" i="7"/>
  <c r="L8" i="6"/>
  <c r="M11" i="12"/>
  <c r="L8" i="12"/>
  <c r="I62" i="6"/>
  <c r="J10" i="6"/>
  <c r="I66" i="6"/>
  <c r="F56" i="6"/>
  <c r="J62" i="6"/>
  <c r="K10" i="6"/>
  <c r="J66" i="6"/>
  <c r="E60" i="6"/>
  <c r="I50" i="6"/>
  <c r="K66" i="6"/>
  <c r="F60" i="6"/>
  <c r="H68" i="6"/>
  <c r="I10" i="6"/>
  <c r="G60" i="6"/>
  <c r="E50" i="6"/>
  <c r="K11" i="6"/>
  <c r="F61" i="6"/>
  <c r="D62" i="6"/>
  <c r="F50" i="6"/>
  <c r="E49" i="6"/>
  <c r="G61" i="6"/>
  <c r="E62" i="6"/>
  <c r="E65" i="6" s="1"/>
  <c r="G67" i="6"/>
  <c r="I11" i="6"/>
  <c r="F49" i="6"/>
  <c r="E48" i="6"/>
  <c r="H61" i="6"/>
  <c r="F62" i="6"/>
  <c r="H67" i="6"/>
  <c r="H60" i="6"/>
  <c r="G49" i="6"/>
  <c r="G50" i="6"/>
  <c r="D66" i="6"/>
  <c r="F48" i="6"/>
  <c r="I61" i="6"/>
  <c r="G68" i="6"/>
  <c r="L7" i="6"/>
  <c r="D1" i="12"/>
  <c r="D45" i="12" s="1"/>
  <c r="A63" i="12"/>
  <c r="B63" i="12"/>
  <c r="A53" i="7"/>
  <c r="P1" i="7"/>
  <c r="B49" i="7"/>
  <c r="B60" i="7"/>
  <c r="B47" i="7"/>
  <c r="D45" i="7"/>
  <c r="E1" i="7"/>
  <c r="F1" i="7" s="1"/>
  <c r="S1" i="7" s="1"/>
  <c r="S45" i="7" s="1"/>
  <c r="Q1" i="7"/>
  <c r="Q45" i="7" s="1"/>
  <c r="B48" i="12"/>
  <c r="B47" i="6"/>
  <c r="A48" i="7"/>
  <c r="B47" i="13"/>
  <c r="B49" i="12"/>
  <c r="A50" i="12"/>
  <c r="Y121" i="12"/>
  <c r="L49" i="12" s="1"/>
  <c r="K64" i="12"/>
  <c r="E65" i="13"/>
  <c r="Q47" i="13"/>
  <c r="D54" i="13" s="1"/>
  <c r="F49" i="13"/>
  <c r="H50" i="13"/>
  <c r="D56" i="13"/>
  <c r="F60" i="13"/>
  <c r="G61" i="13"/>
  <c r="G65" i="13" s="1"/>
  <c r="H62" i="13"/>
  <c r="D1" i="13"/>
  <c r="R47" i="13"/>
  <c r="E54" i="13" s="1"/>
  <c r="F48" i="13"/>
  <c r="G49" i="13"/>
  <c r="Y51" i="13"/>
  <c r="E56" i="13"/>
  <c r="Q56" i="13"/>
  <c r="F59" i="13"/>
  <c r="F64" i="13" s="1"/>
  <c r="G60" i="13"/>
  <c r="H61" i="13"/>
  <c r="I62" i="13"/>
  <c r="D48" i="13"/>
  <c r="S47" i="13"/>
  <c r="F54" i="13" s="1"/>
  <c r="G48" i="13"/>
  <c r="H49" i="13"/>
  <c r="J50" i="13"/>
  <c r="L51" i="13"/>
  <c r="D55" i="13"/>
  <c r="F56" i="13"/>
  <c r="R56" i="13"/>
  <c r="G59" i="13"/>
  <c r="H60" i="13"/>
  <c r="I61" i="13"/>
  <c r="J62" i="13"/>
  <c r="D68" i="13"/>
  <c r="T47" i="13"/>
  <c r="G54" i="13" s="1"/>
  <c r="H48" i="13"/>
  <c r="I49" i="13"/>
  <c r="I53" i="13" s="1"/>
  <c r="K50" i="13"/>
  <c r="Y50" i="13"/>
  <c r="A52" i="13"/>
  <c r="A53" i="13"/>
  <c r="E55" i="13"/>
  <c r="G56" i="13"/>
  <c r="S56" i="13"/>
  <c r="F47" i="13" s="1"/>
  <c r="H59" i="13"/>
  <c r="I60" i="13"/>
  <c r="J61" i="13"/>
  <c r="K62" i="13"/>
  <c r="D67" i="13"/>
  <c r="U47" i="13"/>
  <c r="H54" i="13" s="1"/>
  <c r="I48" i="13"/>
  <c r="V48" i="13"/>
  <c r="J49" i="13"/>
  <c r="A51" i="13"/>
  <c r="B52" i="13"/>
  <c r="B53" i="13"/>
  <c r="F55" i="13"/>
  <c r="H56" i="13"/>
  <c r="T56" i="13"/>
  <c r="G47" i="13" s="1"/>
  <c r="I59" i="13"/>
  <c r="J60" i="13"/>
  <c r="K61" i="13"/>
  <c r="E67" i="13"/>
  <c r="F68" i="13"/>
  <c r="L11" i="13"/>
  <c r="M11" i="13" s="1"/>
  <c r="V47" i="13"/>
  <c r="I54" i="13" s="1"/>
  <c r="J48" i="13"/>
  <c r="W48" i="13"/>
  <c r="K49" i="13"/>
  <c r="Y49" i="13"/>
  <c r="B51" i="13"/>
  <c r="Q52" i="13"/>
  <c r="I56" i="13"/>
  <c r="U56" i="13"/>
  <c r="H47" i="13" s="1"/>
  <c r="H52" i="13" s="1"/>
  <c r="J59" i="13"/>
  <c r="J64" i="13" s="1"/>
  <c r="K60" i="13"/>
  <c r="F67" i="13"/>
  <c r="W47" i="13"/>
  <c r="K48" i="13"/>
  <c r="X48" i="13"/>
  <c r="A50" i="13"/>
  <c r="R52" i="13"/>
  <c r="J56" i="13"/>
  <c r="V56" i="13"/>
  <c r="I47" i="13" s="1"/>
  <c r="K59" i="13"/>
  <c r="Y59" i="13"/>
  <c r="Y91" i="13"/>
  <c r="L60" i="13" s="1"/>
  <c r="Y121" i="13"/>
  <c r="Y122" i="13"/>
  <c r="Y123" i="13"/>
  <c r="Y124" i="13"/>
  <c r="Y125" i="13"/>
  <c r="Y126" i="13"/>
  <c r="Y127" i="13"/>
  <c r="Y128" i="13"/>
  <c r="Y129" i="13"/>
  <c r="Y130" i="13"/>
  <c r="Y131" i="13"/>
  <c r="X47" i="13"/>
  <c r="B50" i="13"/>
  <c r="K56" i="13"/>
  <c r="W56" i="13"/>
  <c r="J47" i="13" s="1"/>
  <c r="Z59" i="13"/>
  <c r="A61" i="13"/>
  <c r="Y90" i="13"/>
  <c r="Z91" i="13"/>
  <c r="D50" i="13"/>
  <c r="J55" i="13"/>
  <c r="Y58" i="13"/>
  <c r="Y54" i="13" s="1"/>
  <c r="A60" i="13"/>
  <c r="B61" i="13"/>
  <c r="J68" i="13"/>
  <c r="Y83" i="13"/>
  <c r="Y84" i="13"/>
  <c r="Y85" i="13"/>
  <c r="Y86" i="13"/>
  <c r="Y87" i="13"/>
  <c r="Y88" i="13"/>
  <c r="D59" i="13"/>
  <c r="E50" i="13"/>
  <c r="K55" i="13"/>
  <c r="Y56" i="13"/>
  <c r="A59" i="13"/>
  <c r="B60" i="13"/>
  <c r="D61" i="13"/>
  <c r="D65" i="13" s="1"/>
  <c r="K68" i="13"/>
  <c r="Y82" i="13"/>
  <c r="Z85" i="13"/>
  <c r="Z87" i="13"/>
  <c r="Z88" i="13"/>
  <c r="Y133" i="13"/>
  <c r="D49" i="13"/>
  <c r="G47" i="12"/>
  <c r="D47" i="12"/>
  <c r="L55" i="12"/>
  <c r="K47" i="12"/>
  <c r="L61" i="12"/>
  <c r="L56" i="12"/>
  <c r="M5" i="12"/>
  <c r="B47" i="12"/>
  <c r="D48" i="12"/>
  <c r="E49" i="12"/>
  <c r="D59" i="12"/>
  <c r="E60" i="12"/>
  <c r="F61" i="12"/>
  <c r="L67" i="12"/>
  <c r="Y80" i="12"/>
  <c r="Q47" i="12"/>
  <c r="D54" i="12" s="1"/>
  <c r="E48" i="12"/>
  <c r="F49" i="12"/>
  <c r="D56" i="12"/>
  <c r="E59" i="12"/>
  <c r="F60" i="12"/>
  <c r="G61" i="12"/>
  <c r="G65" i="12" s="1"/>
  <c r="H62" i="12"/>
  <c r="H65" i="12" s="1"/>
  <c r="F48" i="12"/>
  <c r="E56" i="12"/>
  <c r="F59" i="12"/>
  <c r="F64" i="12" s="1"/>
  <c r="I62" i="12"/>
  <c r="E1" i="12"/>
  <c r="Q1" i="12"/>
  <c r="Q45" i="12" s="1"/>
  <c r="S47" i="12"/>
  <c r="F54" i="12" s="1"/>
  <c r="T48" i="12"/>
  <c r="H49" i="12"/>
  <c r="J50" i="12"/>
  <c r="L51" i="12"/>
  <c r="Z51" i="12"/>
  <c r="Z52" i="12"/>
  <c r="D55" i="12"/>
  <c r="R56" i="12"/>
  <c r="E47" i="12" s="1"/>
  <c r="E52" i="12" s="1"/>
  <c r="H60" i="12"/>
  <c r="I61" i="12"/>
  <c r="J62" i="12"/>
  <c r="D68" i="12"/>
  <c r="T47" i="12"/>
  <c r="H48" i="12"/>
  <c r="U48" i="12"/>
  <c r="I49" i="12"/>
  <c r="I53" i="12" s="1"/>
  <c r="K50" i="12"/>
  <c r="Y50" i="12"/>
  <c r="L54" i="12" s="1"/>
  <c r="A52" i="12"/>
  <c r="A53" i="12"/>
  <c r="E55" i="12"/>
  <c r="S56" i="12"/>
  <c r="I60" i="12"/>
  <c r="J61" i="12"/>
  <c r="K62" i="12"/>
  <c r="E68" i="12"/>
  <c r="Q80" i="12"/>
  <c r="D66" i="12" s="1"/>
  <c r="M4" i="12"/>
  <c r="U47" i="12"/>
  <c r="H54" i="12" s="1"/>
  <c r="I48" i="12"/>
  <c r="V48" i="12"/>
  <c r="I54" i="12" s="1"/>
  <c r="I52" i="12" s="1"/>
  <c r="J49" i="12"/>
  <c r="L50" i="12"/>
  <c r="B52" i="12"/>
  <c r="B53" i="12"/>
  <c r="F55" i="12"/>
  <c r="H56" i="12"/>
  <c r="T56" i="12"/>
  <c r="J60" i="12"/>
  <c r="R80" i="12"/>
  <c r="E66" i="12" s="1"/>
  <c r="J48" i="12"/>
  <c r="K49" i="12"/>
  <c r="K60" i="12"/>
  <c r="F67" i="12"/>
  <c r="K48" i="12"/>
  <c r="J56" i="12"/>
  <c r="X47" i="12"/>
  <c r="K54" i="12" s="1"/>
  <c r="B50" i="12"/>
  <c r="S52" i="12"/>
  <c r="I55" i="12"/>
  <c r="K56" i="12"/>
  <c r="W56" i="12"/>
  <c r="J47" i="12" s="1"/>
  <c r="J52" i="12" s="1"/>
  <c r="Z59" i="12"/>
  <c r="A61" i="12"/>
  <c r="Y90" i="12"/>
  <c r="Z91" i="12"/>
  <c r="Z122" i="12"/>
  <c r="J55" i="12"/>
  <c r="Y58" i="12"/>
  <c r="Y54" i="12" s="1"/>
  <c r="A60" i="12"/>
  <c r="Y83" i="12"/>
  <c r="L68" i="12" s="1"/>
  <c r="Y84" i="12"/>
  <c r="Y88" i="12"/>
  <c r="K55" i="12"/>
  <c r="Y56" i="12"/>
  <c r="A59" i="12"/>
  <c r="D61" i="12"/>
  <c r="Z88" i="12"/>
  <c r="Y133" i="12"/>
  <c r="D49" i="12"/>
  <c r="F50" i="12"/>
  <c r="Z56" i="12"/>
  <c r="K47" i="7"/>
  <c r="D48" i="7"/>
  <c r="D59" i="7"/>
  <c r="Q47" i="7"/>
  <c r="D54" i="7" s="1"/>
  <c r="R48" i="7"/>
  <c r="F49" i="7"/>
  <c r="F53" i="7" s="1"/>
  <c r="H50" i="7"/>
  <c r="Y53" i="7"/>
  <c r="Z54" i="7"/>
  <c r="D56" i="7"/>
  <c r="F60" i="7"/>
  <c r="G61" i="7"/>
  <c r="H62" i="7"/>
  <c r="R47" i="7"/>
  <c r="F48" i="7"/>
  <c r="G49" i="7"/>
  <c r="E56" i="7"/>
  <c r="F59" i="7"/>
  <c r="G60" i="7"/>
  <c r="H61" i="7"/>
  <c r="I62" i="7"/>
  <c r="S47" i="7"/>
  <c r="F54" i="7" s="1"/>
  <c r="G48" i="7"/>
  <c r="H49" i="7"/>
  <c r="J50" i="7"/>
  <c r="D55" i="7"/>
  <c r="F56" i="7"/>
  <c r="G59" i="7"/>
  <c r="H60" i="7"/>
  <c r="I61" i="7"/>
  <c r="J62" i="7"/>
  <c r="D68" i="7"/>
  <c r="T47" i="7"/>
  <c r="G54" i="7" s="1"/>
  <c r="H48" i="7"/>
  <c r="A52" i="7"/>
  <c r="E55" i="7"/>
  <c r="G56" i="7"/>
  <c r="H59" i="7"/>
  <c r="I60" i="7"/>
  <c r="J61" i="7"/>
  <c r="D67" i="7"/>
  <c r="U47" i="7"/>
  <c r="H54" i="7" s="1"/>
  <c r="V48" i="7"/>
  <c r="J49" i="7"/>
  <c r="A51" i="7"/>
  <c r="B52" i="7"/>
  <c r="B53" i="7"/>
  <c r="F55" i="7"/>
  <c r="H56" i="7"/>
  <c r="T56" i="7"/>
  <c r="G47" i="7" s="1"/>
  <c r="I59" i="7"/>
  <c r="J60" i="7"/>
  <c r="K61" i="7"/>
  <c r="F68" i="7"/>
  <c r="L11" i="7"/>
  <c r="M11" i="7" s="1"/>
  <c r="V47" i="7"/>
  <c r="I54" i="7" s="1"/>
  <c r="J48" i="7"/>
  <c r="W48" i="7"/>
  <c r="K49" i="7"/>
  <c r="Y49" i="7"/>
  <c r="L54" i="7" s="1"/>
  <c r="B51" i="7"/>
  <c r="Q52" i="7"/>
  <c r="D47" i="7" s="1"/>
  <c r="G55" i="7"/>
  <c r="I56" i="7"/>
  <c r="U56" i="7"/>
  <c r="H47" i="7" s="1"/>
  <c r="J59" i="7"/>
  <c r="J64" i="7" s="1"/>
  <c r="K60" i="7"/>
  <c r="F67" i="7"/>
  <c r="W47" i="7"/>
  <c r="K48" i="7"/>
  <c r="X48" i="7"/>
  <c r="A50" i="7"/>
  <c r="R52" i="7"/>
  <c r="E47" i="7" s="1"/>
  <c r="J56" i="7"/>
  <c r="V56" i="7"/>
  <c r="I47" i="7" s="1"/>
  <c r="K59" i="7"/>
  <c r="Y59" i="7"/>
  <c r="L48" i="7" s="1"/>
  <c r="Y91" i="7"/>
  <c r="L60" i="7" s="1"/>
  <c r="Y121" i="7"/>
  <c r="Y122" i="7"/>
  <c r="Y123" i="7"/>
  <c r="Y124" i="7"/>
  <c r="Y126" i="7"/>
  <c r="Y127" i="7"/>
  <c r="Y128" i="7"/>
  <c r="Y129" i="7"/>
  <c r="Y130" i="7"/>
  <c r="Y131" i="7"/>
  <c r="X47" i="7"/>
  <c r="K54" i="7" s="1"/>
  <c r="B50" i="7"/>
  <c r="S52" i="7"/>
  <c r="F47" i="7" s="1"/>
  <c r="K56" i="7"/>
  <c r="Z59" i="7"/>
  <c r="A61" i="7"/>
  <c r="Y90" i="7"/>
  <c r="L66" i="7" s="1"/>
  <c r="Z91" i="7"/>
  <c r="L47" i="7"/>
  <c r="D50" i="7"/>
  <c r="J55" i="7"/>
  <c r="D62" i="7"/>
  <c r="Y83" i="7"/>
  <c r="L68" i="7" s="1"/>
  <c r="Y85" i="7"/>
  <c r="Y87" i="7"/>
  <c r="Y88" i="7"/>
  <c r="A59" i="7"/>
  <c r="D61" i="7"/>
  <c r="D49" i="7"/>
  <c r="L10" i="6"/>
  <c r="D56" i="6"/>
  <c r="D59" i="6"/>
  <c r="D68" i="6"/>
  <c r="E59" i="6"/>
  <c r="R47" i="6"/>
  <c r="E54" i="6" s="1"/>
  <c r="E52" i="6" s="1"/>
  <c r="T47" i="6"/>
  <c r="G54" i="6" s="1"/>
  <c r="U48" i="6"/>
  <c r="I49" i="6"/>
  <c r="K50" i="6"/>
  <c r="Y50" i="6"/>
  <c r="A52" i="6"/>
  <c r="A53" i="6"/>
  <c r="E55" i="6"/>
  <c r="G56" i="6"/>
  <c r="S56" i="6"/>
  <c r="F47" i="6" s="1"/>
  <c r="I60" i="6"/>
  <c r="J61" i="6"/>
  <c r="K62" i="6"/>
  <c r="D67" i="6"/>
  <c r="E68" i="6"/>
  <c r="U47" i="6"/>
  <c r="H54" i="6" s="1"/>
  <c r="I48" i="6"/>
  <c r="V48" i="6"/>
  <c r="J49" i="6"/>
  <c r="A51" i="6"/>
  <c r="B52" i="6"/>
  <c r="B53" i="6"/>
  <c r="F55" i="6"/>
  <c r="H56" i="6"/>
  <c r="T56" i="6"/>
  <c r="G47" i="6" s="1"/>
  <c r="I59" i="6"/>
  <c r="I64" i="6" s="1"/>
  <c r="J60" i="6"/>
  <c r="K61" i="6"/>
  <c r="E67" i="6"/>
  <c r="F68" i="6"/>
  <c r="D48" i="6"/>
  <c r="D1" i="6"/>
  <c r="L11" i="6"/>
  <c r="V47" i="6"/>
  <c r="J48" i="6"/>
  <c r="K49" i="6"/>
  <c r="Y49" i="6"/>
  <c r="B51" i="6"/>
  <c r="G55" i="6"/>
  <c r="I56" i="6"/>
  <c r="U56" i="6"/>
  <c r="H47" i="6" s="1"/>
  <c r="J59" i="6"/>
  <c r="J64" i="6" s="1"/>
  <c r="K60" i="6"/>
  <c r="F67" i="6"/>
  <c r="Q56" i="6"/>
  <c r="D47" i="6" s="1"/>
  <c r="S47" i="6"/>
  <c r="F54" i="6" s="1"/>
  <c r="J50" i="6"/>
  <c r="D55" i="6"/>
  <c r="W47" i="6"/>
  <c r="J54" i="6" s="1"/>
  <c r="K48" i="6"/>
  <c r="A50" i="6"/>
  <c r="H55" i="6"/>
  <c r="J56" i="6"/>
  <c r="V56" i="6"/>
  <c r="I47" i="6" s="1"/>
  <c r="K59" i="6"/>
  <c r="Y59" i="6"/>
  <c r="Y91" i="6"/>
  <c r="Y121" i="6"/>
  <c r="Y122" i="6"/>
  <c r="Y123" i="6"/>
  <c r="Y124" i="6"/>
  <c r="Y125" i="6"/>
  <c r="Y126" i="6"/>
  <c r="Y127" i="6"/>
  <c r="Y128" i="6"/>
  <c r="L56" i="6" s="1"/>
  <c r="Y129" i="6"/>
  <c r="Y130" i="6"/>
  <c r="Y131" i="6"/>
  <c r="C10" i="6"/>
  <c r="X47" i="6"/>
  <c r="K54" i="6" s="1"/>
  <c r="Y48" i="6"/>
  <c r="B50" i="6"/>
  <c r="I55" i="6"/>
  <c r="K56" i="6"/>
  <c r="W56" i="6"/>
  <c r="J47" i="6" s="1"/>
  <c r="Z59" i="6"/>
  <c r="A61" i="6"/>
  <c r="I68" i="6"/>
  <c r="Y90" i="6"/>
  <c r="Z91" i="6"/>
  <c r="Q47" i="6"/>
  <c r="D54" i="6" s="1"/>
  <c r="D10" i="6"/>
  <c r="D50" i="6"/>
  <c r="J55" i="6"/>
  <c r="X56" i="6"/>
  <c r="K47" i="6" s="1"/>
  <c r="Y58" i="6"/>
  <c r="A60" i="6"/>
  <c r="B61" i="6"/>
  <c r="J68" i="6"/>
  <c r="Y83" i="6"/>
  <c r="L68" i="6" s="1"/>
  <c r="Y84" i="6"/>
  <c r="Y85" i="6"/>
  <c r="Y86" i="6"/>
  <c r="Y87" i="6"/>
  <c r="Y88" i="6"/>
  <c r="E10" i="6"/>
  <c r="D11" i="6"/>
  <c r="K55" i="6"/>
  <c r="Y55" i="6"/>
  <c r="Y56" i="6"/>
  <c r="Y57" i="6"/>
  <c r="A59" i="6"/>
  <c r="B60" i="6"/>
  <c r="D61" i="6"/>
  <c r="K68" i="6"/>
  <c r="Y82" i="6"/>
  <c r="Z85" i="6"/>
  <c r="Z87" i="6"/>
  <c r="Z88" i="6"/>
  <c r="Y133" i="6"/>
  <c r="F59" i="6"/>
  <c r="D49" i="6"/>
  <c r="F65" i="12" l="1"/>
  <c r="K65" i="12"/>
  <c r="I64" i="7"/>
  <c r="F65" i="7"/>
  <c r="D64" i="7"/>
  <c r="D64" i="13"/>
  <c r="H64" i="13"/>
  <c r="G64" i="13"/>
  <c r="E53" i="13"/>
  <c r="L54" i="13"/>
  <c r="K64" i="13"/>
  <c r="I64" i="13"/>
  <c r="F52" i="13"/>
  <c r="G52" i="13"/>
  <c r="K54" i="13"/>
  <c r="K52" i="13" s="1"/>
  <c r="L48" i="13"/>
  <c r="G53" i="13"/>
  <c r="F53" i="13"/>
  <c r="L68" i="13"/>
  <c r="L59" i="13"/>
  <c r="L47" i="13"/>
  <c r="L50" i="13"/>
  <c r="L49" i="13"/>
  <c r="K53" i="13"/>
  <c r="F64" i="7"/>
  <c r="K64" i="7"/>
  <c r="E65" i="7"/>
  <c r="L59" i="7"/>
  <c r="L64" i="7" s="1"/>
  <c r="E54" i="7"/>
  <c r="G64" i="7"/>
  <c r="L56" i="7"/>
  <c r="I52" i="7"/>
  <c r="L50" i="7"/>
  <c r="F52" i="7"/>
  <c r="G53" i="7"/>
  <c r="K65" i="7"/>
  <c r="G65" i="7"/>
  <c r="L49" i="7"/>
  <c r="L53" i="7" s="1"/>
  <c r="J65" i="7"/>
  <c r="D65" i="7"/>
  <c r="I53" i="7"/>
  <c r="D65" i="12"/>
  <c r="H52" i="12"/>
  <c r="L59" i="12"/>
  <c r="H53" i="12"/>
  <c r="M68" i="12"/>
  <c r="D53" i="12"/>
  <c r="L47" i="12"/>
  <c r="L52" i="12" s="1"/>
  <c r="E53" i="12"/>
  <c r="G53" i="6"/>
  <c r="H53" i="6"/>
  <c r="Y54" i="6"/>
  <c r="L47" i="6" s="1"/>
  <c r="L52" i="6" s="1"/>
  <c r="G65" i="6"/>
  <c r="G52" i="6"/>
  <c r="L54" i="6"/>
  <c r="L66" i="6"/>
  <c r="I54" i="6"/>
  <c r="I52" i="6" s="1"/>
  <c r="L60" i="6"/>
  <c r="L48" i="6"/>
  <c r="L50" i="6"/>
  <c r="L59" i="6"/>
  <c r="L64" i="6" s="1"/>
  <c r="J52" i="6"/>
  <c r="H65" i="6"/>
  <c r="E64" i="6"/>
  <c r="J65" i="6"/>
  <c r="F65" i="6"/>
  <c r="E53" i="6"/>
  <c r="F64" i="6"/>
  <c r="D52" i="6"/>
  <c r="D64" i="6"/>
  <c r="D65" i="6"/>
  <c r="I65" i="6"/>
  <c r="L49" i="6"/>
  <c r="L53" i="6" s="1"/>
  <c r="F53" i="6"/>
  <c r="H64" i="7"/>
  <c r="D52" i="7"/>
  <c r="K53" i="7"/>
  <c r="K52" i="7"/>
  <c r="I65" i="7"/>
  <c r="H52" i="7"/>
  <c r="H53" i="13"/>
  <c r="D53" i="7"/>
  <c r="I53" i="6"/>
  <c r="K64" i="6"/>
  <c r="F52" i="6"/>
  <c r="J53" i="6"/>
  <c r="L53" i="12"/>
  <c r="K65" i="6"/>
  <c r="F45" i="7"/>
  <c r="E45" i="7"/>
  <c r="G1" i="7"/>
  <c r="T1" i="7" s="1"/>
  <c r="T45" i="7" s="1"/>
  <c r="R1" i="7"/>
  <c r="R45" i="7" s="1"/>
  <c r="J53" i="7"/>
  <c r="H65" i="7"/>
  <c r="K53" i="6"/>
  <c r="K65" i="13"/>
  <c r="I52" i="13"/>
  <c r="J65" i="13"/>
  <c r="H65" i="13"/>
  <c r="D64" i="12"/>
  <c r="M56" i="12"/>
  <c r="K53" i="12"/>
  <c r="J54" i="13"/>
  <c r="J52" i="13" s="1"/>
  <c r="I65" i="13"/>
  <c r="D45" i="13"/>
  <c r="Q1" i="13"/>
  <c r="Q45" i="13" s="1"/>
  <c r="E1" i="13"/>
  <c r="L61" i="13"/>
  <c r="D53" i="13"/>
  <c r="L53" i="13"/>
  <c r="L62" i="13"/>
  <c r="L65" i="13" s="1"/>
  <c r="E47" i="13"/>
  <c r="E52" i="13" s="1"/>
  <c r="D47" i="13"/>
  <c r="D52" i="13" s="1"/>
  <c r="Y80" i="13"/>
  <c r="L66" i="13" s="1"/>
  <c r="L56" i="13"/>
  <c r="J53" i="13"/>
  <c r="L55" i="13"/>
  <c r="M56" i="13" s="1"/>
  <c r="L67" i="13"/>
  <c r="M68" i="13" s="1"/>
  <c r="J65" i="12"/>
  <c r="D52" i="12"/>
  <c r="I65" i="12"/>
  <c r="L66" i="12"/>
  <c r="E45" i="12"/>
  <c r="R1" i="12"/>
  <c r="R45" i="12" s="1"/>
  <c r="F1" i="12"/>
  <c r="K52" i="12"/>
  <c r="G54" i="12"/>
  <c r="G52" i="12" s="1"/>
  <c r="L62" i="12"/>
  <c r="L65" i="12" s="1"/>
  <c r="J53" i="12"/>
  <c r="F53" i="12"/>
  <c r="F47" i="12"/>
  <c r="F52" i="12" s="1"/>
  <c r="E64" i="12"/>
  <c r="L61" i="7"/>
  <c r="G52" i="7"/>
  <c r="J54" i="7"/>
  <c r="J52" i="7" s="1"/>
  <c r="L62" i="7"/>
  <c r="L52" i="7"/>
  <c r="H1" i="7"/>
  <c r="H53" i="7"/>
  <c r="E52" i="7"/>
  <c r="L55" i="7"/>
  <c r="M56" i="7" s="1"/>
  <c r="L67" i="7"/>
  <c r="M68" i="7" s="1"/>
  <c r="K52" i="6"/>
  <c r="M11" i="6"/>
  <c r="L61" i="6"/>
  <c r="Q1" i="6"/>
  <c r="Q45" i="6" s="1"/>
  <c r="E1" i="6"/>
  <c r="D45" i="6"/>
  <c r="D53" i="6"/>
  <c r="L55" i="6"/>
  <c r="M56" i="6" s="1"/>
  <c r="L67" i="6"/>
  <c r="M68" i="6" s="1"/>
  <c r="L62" i="6"/>
  <c r="H52" i="6"/>
  <c r="L64" i="12" l="1"/>
  <c r="L52" i="13"/>
  <c r="G45" i="7"/>
  <c r="L64" i="13"/>
  <c r="L65" i="7"/>
  <c r="L65" i="6"/>
  <c r="E45" i="13"/>
  <c r="R1" i="13"/>
  <c r="R45" i="13" s="1"/>
  <c r="F1" i="13"/>
  <c r="F45" i="12"/>
  <c r="S1" i="12"/>
  <c r="S45" i="12" s="1"/>
  <c r="G1" i="12"/>
  <c r="H45" i="7"/>
  <c r="U1" i="7"/>
  <c r="U45" i="7" s="1"/>
  <c r="I1" i="7"/>
  <c r="E45" i="6"/>
  <c r="R1" i="6"/>
  <c r="R45" i="6" s="1"/>
  <c r="F1" i="6"/>
  <c r="F45" i="13" l="1"/>
  <c r="S1" i="13"/>
  <c r="S45" i="13" s="1"/>
  <c r="G1" i="13"/>
  <c r="G45" i="12"/>
  <c r="H1" i="12"/>
  <c r="T1" i="12"/>
  <c r="T45" i="12" s="1"/>
  <c r="I45" i="7"/>
  <c r="V1" i="7"/>
  <c r="V45" i="7" s="1"/>
  <c r="J1" i="7"/>
  <c r="F45" i="6"/>
  <c r="S1" i="6"/>
  <c r="S45" i="6" s="1"/>
  <c r="G1" i="6"/>
  <c r="G45" i="13" l="1"/>
  <c r="T1" i="13"/>
  <c r="T45" i="13" s="1"/>
  <c r="H1" i="13"/>
  <c r="U1" i="12"/>
  <c r="U45" i="12" s="1"/>
  <c r="I1" i="12"/>
  <c r="H45" i="12"/>
  <c r="J45" i="7"/>
  <c r="W1" i="7"/>
  <c r="W45" i="7" s="1"/>
  <c r="K1" i="7"/>
  <c r="G45" i="6"/>
  <c r="T1" i="6"/>
  <c r="T45" i="6" s="1"/>
  <c r="H1" i="6"/>
  <c r="H45" i="13" l="1"/>
  <c r="U1" i="13"/>
  <c r="U45" i="13" s="1"/>
  <c r="I1" i="13"/>
  <c r="I45" i="12"/>
  <c r="V1" i="12"/>
  <c r="V45" i="12" s="1"/>
  <c r="J1" i="12"/>
  <c r="K45" i="7"/>
  <c r="X1" i="7"/>
  <c r="X45" i="7" s="1"/>
  <c r="L1" i="7"/>
  <c r="H45" i="6"/>
  <c r="U1" i="6"/>
  <c r="U45" i="6" s="1"/>
  <c r="I1" i="6"/>
  <c r="I45" i="13" l="1"/>
  <c r="V1" i="13"/>
  <c r="V45" i="13" s="1"/>
  <c r="J1" i="13"/>
  <c r="J45" i="12"/>
  <c r="W1" i="12"/>
  <c r="W45" i="12" s="1"/>
  <c r="K1" i="12"/>
  <c r="Y1" i="7"/>
  <c r="Y45" i="7" s="1"/>
  <c r="L45" i="7"/>
  <c r="I45" i="6"/>
  <c r="V1" i="6"/>
  <c r="V45" i="6" s="1"/>
  <c r="J1" i="6"/>
  <c r="J45" i="13" l="1"/>
  <c r="W1" i="13"/>
  <c r="W45" i="13" s="1"/>
  <c r="K1" i="13"/>
  <c r="K45" i="12"/>
  <c r="X1" i="12"/>
  <c r="X45" i="12" s="1"/>
  <c r="L1" i="12"/>
  <c r="J45" i="6"/>
  <c r="W1" i="6"/>
  <c r="W45" i="6" s="1"/>
  <c r="K1" i="6"/>
  <c r="K45" i="13" l="1"/>
  <c r="X1" i="13"/>
  <c r="X45" i="13" s="1"/>
  <c r="L1" i="13"/>
  <c r="Y1" i="12"/>
  <c r="Y45" i="12" s="1"/>
  <c r="L45" i="12"/>
  <c r="K45" i="6"/>
  <c r="X1" i="6"/>
  <c r="X45" i="6" s="1"/>
  <c r="L1" i="6"/>
  <c r="Y1" i="13" l="1"/>
  <c r="Y45" i="13" s="1"/>
  <c r="L45" i="13"/>
  <c r="Y1" i="6"/>
  <c r="Y45" i="6" s="1"/>
  <c r="L45" i="6"/>
  <c r="C19" i="35" l="1"/>
  <c r="V1" i="2"/>
  <c r="C73" i="2"/>
  <c r="C72" i="2" l="1"/>
  <c r="B20" i="35" l="1"/>
  <c r="C27" i="35"/>
  <c r="C69" i="2" l="1"/>
  <c r="C68" i="2"/>
  <c r="W88" i="2" l="1"/>
  <c r="X88" i="2"/>
  <c r="Y88" i="2"/>
  <c r="Z88" i="2"/>
  <c r="W87" i="2"/>
  <c r="X87" i="2"/>
  <c r="Y87" i="2"/>
  <c r="Z87" i="2"/>
  <c r="W86" i="2"/>
  <c r="X86" i="2"/>
  <c r="Y86" i="2"/>
  <c r="Z86" i="2"/>
  <c r="T85" i="2"/>
  <c r="U85" i="2"/>
  <c r="V85" i="2"/>
  <c r="W85" i="2"/>
  <c r="X85" i="2"/>
  <c r="Y85" i="2"/>
  <c r="Z85" i="2"/>
  <c r="C71" i="2"/>
  <c r="C70" i="2"/>
  <c r="Y53" i="2"/>
  <c r="X53" i="2"/>
  <c r="R53" i="2"/>
  <c r="Q53" i="2"/>
  <c r="D54" i="2"/>
  <c r="C54" i="2"/>
  <c r="D53" i="2"/>
  <c r="C53" i="2"/>
  <c r="K38" i="2"/>
  <c r="J38" i="2"/>
  <c r="D39" i="2"/>
  <c r="C39" i="2"/>
  <c r="D38" i="2"/>
  <c r="C38" i="2"/>
  <c r="Y23" i="2"/>
  <c r="X23" i="2"/>
  <c r="R23" i="2"/>
  <c r="Q23" i="2"/>
  <c r="K23" i="2"/>
  <c r="J23" i="2"/>
  <c r="K53" i="2"/>
  <c r="J53" i="2"/>
  <c r="D8" i="2"/>
  <c r="C8" i="2"/>
  <c r="B37" i="35" l="1"/>
  <c r="I37" i="35" s="1"/>
  <c r="L39" i="35"/>
  <c r="K39" i="35"/>
  <c r="J39" i="35"/>
  <c r="I39" i="35"/>
  <c r="H39" i="35"/>
  <c r="G39" i="35"/>
  <c r="F39" i="35"/>
  <c r="E39" i="35"/>
  <c r="D39" i="35"/>
  <c r="C39" i="35"/>
  <c r="L35" i="35"/>
  <c r="K35" i="35"/>
  <c r="J35" i="35"/>
  <c r="I35" i="35"/>
  <c r="H35" i="35"/>
  <c r="G35" i="35"/>
  <c r="F35" i="35"/>
  <c r="E35" i="35"/>
  <c r="D35" i="35"/>
  <c r="C35" i="35"/>
  <c r="L34" i="35"/>
  <c r="K34" i="35"/>
  <c r="J34" i="35"/>
  <c r="I34" i="35"/>
  <c r="H34" i="35"/>
  <c r="G34" i="35"/>
  <c r="F34" i="35"/>
  <c r="E34" i="35"/>
  <c r="D34" i="35"/>
  <c r="C34" i="35"/>
  <c r="L33" i="35"/>
  <c r="K33" i="35"/>
  <c r="J33" i="35"/>
  <c r="I33" i="35"/>
  <c r="H33" i="35"/>
  <c r="G33" i="35"/>
  <c r="F33" i="35"/>
  <c r="E33" i="35"/>
  <c r="D33" i="35"/>
  <c r="C33" i="35"/>
  <c r="L32" i="35"/>
  <c r="K32" i="35"/>
  <c r="J32" i="35"/>
  <c r="I32" i="35"/>
  <c r="H32" i="35"/>
  <c r="G32" i="35"/>
  <c r="F32" i="35"/>
  <c r="E32" i="35"/>
  <c r="D32" i="35"/>
  <c r="C32" i="35"/>
  <c r="L21" i="35"/>
  <c r="K21" i="35"/>
  <c r="J21" i="35"/>
  <c r="I21" i="35"/>
  <c r="H21" i="35"/>
  <c r="G21" i="35"/>
  <c r="F21" i="35"/>
  <c r="E21" i="35"/>
  <c r="D21" i="35"/>
  <c r="C21" i="35"/>
  <c r="L24" i="35"/>
  <c r="K24" i="35"/>
  <c r="J24" i="35"/>
  <c r="I24" i="35"/>
  <c r="H24" i="35"/>
  <c r="G24" i="35"/>
  <c r="F24" i="35"/>
  <c r="E24" i="35"/>
  <c r="D24" i="35"/>
  <c r="C24" i="35"/>
  <c r="C26" i="35"/>
  <c r="B24" i="35"/>
  <c r="B19" i="35"/>
  <c r="M18" i="35"/>
  <c r="C37" i="35" l="1"/>
  <c r="D37" i="35"/>
  <c r="E37" i="35"/>
  <c r="J37" i="35"/>
  <c r="K37" i="35"/>
  <c r="L37" i="35"/>
  <c r="F37" i="35"/>
  <c r="G37" i="35"/>
  <c r="H37" i="35"/>
  <c r="L27" i="35" l="1"/>
  <c r="L40" i="35" s="1"/>
  <c r="K27" i="35"/>
  <c r="K40" i="35" s="1"/>
  <c r="J27" i="35"/>
  <c r="J40" i="35" s="1"/>
  <c r="I27" i="35"/>
  <c r="I40" i="35" s="1"/>
  <c r="H27" i="35"/>
  <c r="H40" i="35" s="1"/>
  <c r="G27" i="35"/>
  <c r="G40" i="35" s="1"/>
  <c r="F27" i="35"/>
  <c r="F40" i="35" s="1"/>
  <c r="E27" i="35"/>
  <c r="E40" i="35" s="1"/>
  <c r="D27" i="35"/>
  <c r="D40" i="35" s="1"/>
  <c r="C40" i="35"/>
  <c r="L26" i="35"/>
  <c r="K26" i="35"/>
  <c r="J26" i="35"/>
  <c r="I26" i="35"/>
  <c r="H26" i="35"/>
  <c r="G26" i="35"/>
  <c r="F26" i="35"/>
  <c r="E26" i="35"/>
  <c r="D26" i="35"/>
  <c r="D28" i="35" s="1"/>
  <c r="L25" i="35"/>
  <c r="L38" i="35" s="1"/>
  <c r="K25" i="35"/>
  <c r="K38" i="35" s="1"/>
  <c r="J25" i="35"/>
  <c r="J38" i="35" s="1"/>
  <c r="I25" i="35"/>
  <c r="I38" i="35" s="1"/>
  <c r="H25" i="35"/>
  <c r="H38" i="35" s="1"/>
  <c r="G25" i="35"/>
  <c r="G38" i="35" s="1"/>
  <c r="F25" i="35"/>
  <c r="F38" i="35" s="1"/>
  <c r="E25" i="35"/>
  <c r="E38" i="35" s="1"/>
  <c r="D25" i="35"/>
  <c r="D38" i="35" s="1"/>
  <c r="C25" i="35"/>
  <c r="I28" i="35"/>
  <c r="H28" i="35"/>
  <c r="L22" i="35"/>
  <c r="K22" i="35"/>
  <c r="J22" i="35"/>
  <c r="I22" i="35"/>
  <c r="H22" i="35"/>
  <c r="G22" i="35"/>
  <c r="F22" i="35"/>
  <c r="E22" i="35"/>
  <c r="D22" i="35"/>
  <c r="C22" i="35"/>
  <c r="L20" i="35"/>
  <c r="K20" i="35"/>
  <c r="J20" i="35"/>
  <c r="I20" i="35"/>
  <c r="H20" i="35"/>
  <c r="G20" i="35"/>
  <c r="F20" i="35"/>
  <c r="F23" i="35" s="1"/>
  <c r="E20" i="35"/>
  <c r="D20" i="35"/>
  <c r="C20" i="35"/>
  <c r="L19" i="35"/>
  <c r="K19" i="35"/>
  <c r="J19" i="35"/>
  <c r="J23" i="35" s="1"/>
  <c r="I19" i="35"/>
  <c r="H19" i="35"/>
  <c r="G19" i="35"/>
  <c r="F19" i="35"/>
  <c r="E19" i="35"/>
  <c r="D19" i="35"/>
  <c r="G8" i="3"/>
  <c r="F8" i="3"/>
  <c r="E8" i="3"/>
  <c r="D8" i="3"/>
  <c r="C8" i="3"/>
  <c r="G7" i="3"/>
  <c r="F7" i="3"/>
  <c r="E7" i="3"/>
  <c r="D7" i="3"/>
  <c r="C7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O8" i="3"/>
  <c r="N8" i="3"/>
  <c r="O7" i="3"/>
  <c r="N7" i="3"/>
  <c r="O6" i="3"/>
  <c r="N6" i="3"/>
  <c r="O5" i="3"/>
  <c r="N5" i="3"/>
  <c r="O4" i="3"/>
  <c r="N4" i="3"/>
  <c r="O3" i="3"/>
  <c r="N3" i="3"/>
  <c r="O2" i="3"/>
  <c r="N2" i="3"/>
  <c r="B6" i="3"/>
  <c r="A6" i="3"/>
  <c r="B8" i="3"/>
  <c r="B7" i="3"/>
  <c r="B5" i="3"/>
  <c r="B4" i="3"/>
  <c r="B3" i="3"/>
  <c r="B2" i="3"/>
  <c r="A8" i="3"/>
  <c r="A7" i="3"/>
  <c r="A5" i="3"/>
  <c r="A4" i="3"/>
  <c r="A3" i="3"/>
  <c r="A2" i="3"/>
  <c r="C28" i="35" l="1"/>
  <c r="C38" i="35"/>
  <c r="K28" i="35"/>
  <c r="G28" i="35"/>
  <c r="F28" i="35"/>
  <c r="J28" i="35"/>
  <c r="E28" i="35"/>
  <c r="G23" i="35"/>
  <c r="H23" i="35"/>
  <c r="I23" i="35"/>
  <c r="K23" i="35"/>
  <c r="D23" i="35"/>
  <c r="E23" i="35"/>
  <c r="L23" i="35"/>
  <c r="C23" i="35"/>
  <c r="L28" i="35" l="1"/>
  <c r="Q43" i="2" l="1"/>
  <c r="R43" i="2"/>
  <c r="R44" i="2" s="1"/>
  <c r="R45" i="2" s="1"/>
  <c r="R46" i="2" s="1"/>
  <c r="C43" i="2"/>
  <c r="D43" i="2"/>
  <c r="E43" i="2"/>
  <c r="F43" i="2"/>
  <c r="J43" i="2"/>
  <c r="K43" i="2"/>
  <c r="L43" i="2"/>
  <c r="M43" i="2"/>
  <c r="M44" i="2" s="1"/>
  <c r="M45" i="2" s="1"/>
  <c r="M46" i="2" s="1"/>
  <c r="S43" i="2"/>
  <c r="W43" i="2"/>
  <c r="X43" i="2"/>
  <c r="Y43" i="2"/>
  <c r="Z43" i="2"/>
  <c r="F44" i="2"/>
  <c r="F45" i="2"/>
  <c r="F46" i="2" s="1"/>
  <c r="K41" i="35"/>
  <c r="J41" i="35"/>
  <c r="I41" i="35"/>
  <c r="H41" i="35"/>
  <c r="G41" i="35"/>
  <c r="F41" i="35"/>
  <c r="E41" i="35"/>
  <c r="D41" i="35"/>
  <c r="C41" i="35"/>
  <c r="K36" i="35"/>
  <c r="J36" i="35"/>
  <c r="I36" i="35"/>
  <c r="H36" i="35"/>
  <c r="G36" i="35"/>
  <c r="F36" i="35"/>
  <c r="E36" i="35"/>
  <c r="D36" i="35"/>
  <c r="C36" i="35"/>
  <c r="M31" i="35"/>
  <c r="J14" i="35"/>
  <c r="K9" i="35"/>
  <c r="J9" i="35"/>
  <c r="I9" i="35"/>
  <c r="H9" i="35"/>
  <c r="C9" i="35"/>
  <c r="V86" i="2" l="1"/>
  <c r="U86" i="2"/>
  <c r="L41" i="35"/>
  <c r="L36" i="35"/>
  <c r="D9" i="35"/>
  <c r="G14" i="35"/>
  <c r="I14" i="35"/>
  <c r="C14" i="35"/>
  <c r="H14" i="35"/>
  <c r="K14" i="35"/>
  <c r="L14" i="35" s="1"/>
  <c r="D14" i="35"/>
  <c r="F9" i="35"/>
  <c r="F14" i="35"/>
  <c r="E9" i="35"/>
  <c r="G9" i="35"/>
  <c r="E14" i="35"/>
  <c r="L9" i="35"/>
  <c r="V87" i="2" l="1"/>
  <c r="U87" i="2"/>
  <c r="AZ85" i="2"/>
  <c r="BA85" i="2"/>
  <c r="BB85" i="2"/>
  <c r="BC85" i="2"/>
  <c r="BD85" i="2"/>
  <c r="F31" i="26"/>
  <c r="E31" i="26"/>
  <c r="F30" i="26"/>
  <c r="E30" i="26"/>
  <c r="F29" i="26"/>
  <c r="E29" i="26"/>
  <c r="F28" i="26"/>
  <c r="E28" i="26"/>
  <c r="F27" i="26"/>
  <c r="E27" i="26"/>
  <c r="D22" i="26"/>
  <c r="D21" i="26"/>
  <c r="H22" i="26"/>
  <c r="H21" i="26"/>
  <c r="Z84" i="2"/>
  <c r="BD84" i="2" s="1"/>
  <c r="Y84" i="2"/>
  <c r="BC84" i="2" s="1"/>
  <c r="X84" i="2"/>
  <c r="BB84" i="2" s="1"/>
  <c r="W84" i="2"/>
  <c r="BA84" i="2" s="1"/>
  <c r="V84" i="2"/>
  <c r="AZ84" i="2" s="1"/>
  <c r="U84" i="2"/>
  <c r="AY84" i="2" s="1"/>
  <c r="Z83" i="2"/>
  <c r="BD83" i="2" s="1"/>
  <c r="Y83" i="2"/>
  <c r="BC83" i="2" s="1"/>
  <c r="X83" i="2"/>
  <c r="BB83" i="2" s="1"/>
  <c r="W83" i="2"/>
  <c r="BA83" i="2" s="1"/>
  <c r="V83" i="2"/>
  <c r="AZ83" i="2" s="1"/>
  <c r="U83" i="2"/>
  <c r="AY83" i="2" s="1"/>
  <c r="Z82" i="2"/>
  <c r="BD82" i="2" s="1"/>
  <c r="Y82" i="2"/>
  <c r="BC82" i="2" s="1"/>
  <c r="X82" i="2"/>
  <c r="BB82" i="2" s="1"/>
  <c r="W82" i="2"/>
  <c r="BA82" i="2" s="1"/>
  <c r="V82" i="2"/>
  <c r="AZ82" i="2" s="1"/>
  <c r="U82" i="2"/>
  <c r="AY82" i="2" s="1"/>
  <c r="Z81" i="2"/>
  <c r="BD81" i="2" s="1"/>
  <c r="Y81" i="2"/>
  <c r="BC81" i="2" s="1"/>
  <c r="X81" i="2"/>
  <c r="BB81" i="2" s="1"/>
  <c r="W81" i="2"/>
  <c r="BA81" i="2" s="1"/>
  <c r="V81" i="2"/>
  <c r="AZ81" i="2" s="1"/>
  <c r="U81" i="2"/>
  <c r="AY81" i="2" s="1"/>
  <c r="V88" i="2" l="1"/>
  <c r="U88" i="2"/>
  <c r="AY89" i="2"/>
  <c r="AY85" i="2"/>
  <c r="BC87" i="2"/>
  <c r="BD87" i="2"/>
  <c r="BC86" i="2"/>
  <c r="BD86" i="2"/>
  <c r="AX89" i="2" l="1"/>
  <c r="BD89" i="2"/>
  <c r="BD88" i="2"/>
  <c r="BC88" i="2"/>
  <c r="BA89" i="2"/>
  <c r="BC89" i="2" l="1"/>
  <c r="AZ89" i="2"/>
  <c r="BB89" i="2"/>
  <c r="BG66" i="2" l="1"/>
  <c r="Y28" i="2" l="1"/>
  <c r="X28" i="2"/>
  <c r="Z28" i="2"/>
  <c r="S13" i="2" l="1"/>
  <c r="R13" i="2"/>
  <c r="Q13" i="2"/>
  <c r="C13" i="2" l="1"/>
  <c r="S28" i="2" l="1"/>
  <c r="R28" i="2"/>
  <c r="Q28" i="2"/>
  <c r="L28" i="2"/>
  <c r="K28" i="2"/>
  <c r="J28" i="2"/>
  <c r="E28" i="2"/>
  <c r="D28" i="2"/>
  <c r="C28" i="2"/>
  <c r="B28" i="2"/>
  <c r="L13" i="2"/>
  <c r="K13" i="2"/>
  <c r="J13" i="2"/>
  <c r="E13" i="2"/>
  <c r="D13" i="2"/>
  <c r="T86" i="2" l="1"/>
  <c r="BB86" i="2"/>
  <c r="AY86" i="2"/>
  <c r="AZ86" i="2"/>
  <c r="BA86" i="2"/>
  <c r="AF52" i="2"/>
  <c r="AM52" i="2"/>
  <c r="AT52" i="2"/>
  <c r="BA52" i="2"/>
  <c r="AF7" i="2"/>
  <c r="AM7" i="2"/>
  <c r="AT7" i="2"/>
  <c r="BA7" i="2"/>
  <c r="AF22" i="2"/>
  <c r="AM22" i="2"/>
  <c r="AT22" i="2"/>
  <c r="BA22" i="2"/>
  <c r="BK52" i="2" l="1"/>
  <c r="BJ52" i="2"/>
  <c r="T87" i="2"/>
  <c r="BL52" i="2"/>
  <c r="AH30" i="2"/>
  <c r="AZ87" i="2"/>
  <c r="BA87" i="2"/>
  <c r="AG30" i="2"/>
  <c r="AY87" i="2"/>
  <c r="BB87" i="2"/>
  <c r="AF30" i="2"/>
  <c r="BG61" i="2"/>
  <c r="BF58" i="2"/>
  <c r="BG57" i="2"/>
  <c r="BF57" i="2"/>
  <c r="BG56" i="2"/>
  <c r="BF56" i="2"/>
  <c r="BG54" i="2"/>
  <c r="BC60" i="2"/>
  <c r="BG59" i="2"/>
  <c r="BF59" i="2"/>
  <c r="BE59" i="2"/>
  <c r="BD57" i="2"/>
  <c r="BC57" i="2"/>
  <c r="BE55" i="2"/>
  <c r="BF54" i="2"/>
  <c r="BE54" i="2"/>
  <c r="BD54" i="2"/>
  <c r="BE53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BE71" i="2"/>
  <c r="BD71" i="2"/>
  <c r="BC71" i="2"/>
  <c r="BB71" i="2"/>
  <c r="BA71" i="2"/>
  <c r="AZ71" i="2"/>
  <c r="AY71" i="2"/>
  <c r="AX71" i="2"/>
  <c r="AW71" i="2"/>
  <c r="AV71" i="2"/>
  <c r="AU71" i="2"/>
  <c r="AT71" i="2"/>
  <c r="AQ71" i="2"/>
  <c r="AP71" i="2"/>
  <c r="AO71" i="2"/>
  <c r="AN71" i="2"/>
  <c r="AM71" i="2"/>
  <c r="AL71" i="2"/>
  <c r="AK71" i="2"/>
  <c r="AJ71" i="2"/>
  <c r="AI71" i="2"/>
  <c r="AH71" i="2"/>
  <c r="AG71" i="2"/>
  <c r="AF71" i="2"/>
  <c r="BG70" i="2"/>
  <c r="BE70" i="2"/>
  <c r="BD70" i="2"/>
  <c r="BC70" i="2"/>
  <c r="BB70" i="2"/>
  <c r="BA70" i="2"/>
  <c r="AZ70" i="2"/>
  <c r="AY70" i="2"/>
  <c r="AX70" i="2"/>
  <c r="AW70" i="2"/>
  <c r="AV70" i="2"/>
  <c r="AU70" i="2"/>
  <c r="AT70" i="2"/>
  <c r="AQ70" i="2"/>
  <c r="AP70" i="2"/>
  <c r="AO70" i="2"/>
  <c r="AN70" i="2"/>
  <c r="AM70" i="2"/>
  <c r="AL70" i="2"/>
  <c r="AK70" i="2"/>
  <c r="AJ70" i="2"/>
  <c r="AI70" i="2"/>
  <c r="AH70" i="2"/>
  <c r="AG70" i="2"/>
  <c r="AF70" i="2"/>
  <c r="BE69" i="2"/>
  <c r="BD69" i="2"/>
  <c r="BC69" i="2"/>
  <c r="BB69" i="2"/>
  <c r="BA69" i="2"/>
  <c r="AZ69" i="2"/>
  <c r="AY69" i="2"/>
  <c r="AX69" i="2"/>
  <c r="AW69" i="2"/>
  <c r="AV69" i="2"/>
  <c r="AU69" i="2"/>
  <c r="AT69" i="2"/>
  <c r="AR69" i="2"/>
  <c r="AQ69" i="2"/>
  <c r="AP69" i="2"/>
  <c r="AO69" i="2"/>
  <c r="AN69" i="2"/>
  <c r="AM69" i="2"/>
  <c r="AL69" i="2"/>
  <c r="AK69" i="2"/>
  <c r="AJ69" i="2"/>
  <c r="AI69" i="2"/>
  <c r="AH69" i="2"/>
  <c r="AG69" i="2"/>
  <c r="AF69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Q68" i="2"/>
  <c r="AP68" i="2"/>
  <c r="AO68" i="2"/>
  <c r="AN68" i="2"/>
  <c r="AM68" i="2"/>
  <c r="AL68" i="2"/>
  <c r="AK68" i="2"/>
  <c r="AJ68" i="2"/>
  <c r="AI68" i="2"/>
  <c r="AH68" i="2"/>
  <c r="AF68" i="2"/>
  <c r="BA67" i="2"/>
  <c r="AT67" i="2"/>
  <c r="AM67" i="2"/>
  <c r="AF67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BG60" i="2"/>
  <c r="BF60" i="2"/>
  <c r="BE60" i="2"/>
  <c r="BD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BG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BE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BG55" i="2"/>
  <c r="BF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BG53" i="2"/>
  <c r="BF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BA37" i="2"/>
  <c r="AT37" i="2"/>
  <c r="AM37" i="2"/>
  <c r="AF37" i="2"/>
  <c r="BG31" i="2"/>
  <c r="BF31" i="2"/>
  <c r="BE31" i="2"/>
  <c r="BD31" i="2"/>
  <c r="BC31" i="2"/>
  <c r="BB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BG30" i="2"/>
  <c r="BF30" i="2"/>
  <c r="BE30" i="2"/>
  <c r="BD30" i="2"/>
  <c r="BC30" i="2"/>
  <c r="BB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BG29" i="2"/>
  <c r="BF29" i="2"/>
  <c r="BE29" i="2"/>
  <c r="BD29" i="2"/>
  <c r="BC29" i="2"/>
  <c r="BB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BG28" i="2"/>
  <c r="BF28" i="2"/>
  <c r="BE28" i="2"/>
  <c r="BD28" i="2"/>
  <c r="BC28" i="2"/>
  <c r="BB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BG16" i="2"/>
  <c r="BF16" i="2"/>
  <c r="BE16" i="2"/>
  <c r="BD16" i="2"/>
  <c r="BC16" i="2"/>
  <c r="BB16" i="2"/>
  <c r="AZ16" i="2"/>
  <c r="AY16" i="2"/>
  <c r="AX16" i="2"/>
  <c r="AW16" i="2"/>
  <c r="AV16" i="2"/>
  <c r="AU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BG15" i="2"/>
  <c r="BF15" i="2"/>
  <c r="BE15" i="2"/>
  <c r="BD15" i="2"/>
  <c r="BC15" i="2"/>
  <c r="BB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BG14" i="2"/>
  <c r="BF14" i="2"/>
  <c r="BE14" i="2"/>
  <c r="BD14" i="2"/>
  <c r="BC14" i="2"/>
  <c r="BB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BG13" i="2"/>
  <c r="BF13" i="2"/>
  <c r="BE13" i="2"/>
  <c r="BD13" i="2"/>
  <c r="BC13" i="2"/>
  <c r="BB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E64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E49" i="2"/>
  <c r="BG36" i="2"/>
  <c r="BF36" i="2"/>
  <c r="BE36" i="2"/>
  <c r="BD36" i="2"/>
  <c r="BC36" i="2"/>
  <c r="BB36" i="2"/>
  <c r="BA36" i="2"/>
  <c r="AZ36" i="2"/>
  <c r="AY36" i="2"/>
  <c r="AX36" i="2"/>
  <c r="AW36" i="2"/>
  <c r="AV36" i="2"/>
  <c r="AU36" i="2"/>
  <c r="AT36" i="2"/>
  <c r="AS36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F36" i="2"/>
  <c r="AE36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F34" i="2"/>
  <c r="AE34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F19" i="2"/>
  <c r="AE19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F4" i="2"/>
  <c r="AE4" i="2"/>
  <c r="AS76" i="2"/>
  <c r="AR76" i="2"/>
  <c r="AS75" i="2"/>
  <c r="AR75" i="2"/>
  <c r="AS72" i="2"/>
  <c r="AR72" i="2"/>
  <c r="AS71" i="2"/>
  <c r="AR71" i="2"/>
  <c r="AS70" i="2"/>
  <c r="AR70" i="2"/>
  <c r="AS69" i="2"/>
  <c r="AR68" i="2"/>
  <c r="BG76" i="2"/>
  <c r="BF76" i="2"/>
  <c r="BG75" i="2"/>
  <c r="BF75" i="2"/>
  <c r="BG74" i="2"/>
  <c r="BF74" i="2"/>
  <c r="BG73" i="2"/>
  <c r="BF73" i="2"/>
  <c r="BG72" i="2"/>
  <c r="BF72" i="2"/>
  <c r="BG71" i="2"/>
  <c r="BF71" i="2"/>
  <c r="BF70" i="2"/>
  <c r="BG69" i="2"/>
  <c r="BF69" i="2"/>
  <c r="AG68" i="2"/>
  <c r="BJ53" i="2" l="1"/>
  <c r="BM52" i="2"/>
  <c r="BK56" i="2"/>
  <c r="BJ54" i="2"/>
  <c r="BJ55" i="2"/>
  <c r="BK57" i="2"/>
  <c r="BK58" i="2"/>
  <c r="BJ56" i="2"/>
  <c r="BK53" i="2"/>
  <c r="BJ57" i="2"/>
  <c r="BJ58" i="2"/>
  <c r="BK54" i="2"/>
  <c r="BK55" i="2"/>
  <c r="BM53" i="2"/>
  <c r="BL59" i="2"/>
  <c r="BL53" i="2"/>
  <c r="BL56" i="2"/>
  <c r="BL60" i="2"/>
  <c r="AT16" i="2"/>
  <c r="BL61" i="2" s="1"/>
  <c r="T88" i="2"/>
  <c r="BM54" i="2"/>
  <c r="BM55" i="2"/>
  <c r="BM56" i="2"/>
  <c r="BM57" i="2"/>
  <c r="BL57" i="2"/>
  <c r="BL55" i="2"/>
  <c r="BL58" i="2"/>
  <c r="BL54" i="2"/>
  <c r="AJ31" i="2"/>
  <c r="BB88" i="2"/>
  <c r="AG31" i="2"/>
  <c r="AY88" i="2"/>
  <c r="AI31" i="2"/>
  <c r="BA88" i="2"/>
  <c r="AF31" i="2"/>
  <c r="AH31" i="2"/>
  <c r="AZ88" i="2"/>
  <c r="AF14" i="2" l="1"/>
  <c r="Q89" i="2"/>
  <c r="P89" i="2"/>
  <c r="O89" i="2"/>
  <c r="N89" i="2"/>
  <c r="M89" i="2"/>
  <c r="K89" i="2"/>
  <c r="Q88" i="2"/>
  <c r="P88" i="2"/>
  <c r="O88" i="2"/>
  <c r="N88" i="2"/>
  <c r="M88" i="2"/>
  <c r="L88" i="2"/>
  <c r="K88" i="2"/>
  <c r="Q87" i="2"/>
  <c r="P87" i="2"/>
  <c r="O87" i="2"/>
  <c r="N87" i="2"/>
  <c r="M87" i="2"/>
  <c r="L87" i="2"/>
  <c r="K87" i="2"/>
  <c r="Q86" i="2"/>
  <c r="P86" i="2"/>
  <c r="O86" i="2"/>
  <c r="N86" i="2"/>
  <c r="M86" i="2"/>
  <c r="L86" i="2"/>
  <c r="K86" i="2"/>
  <c r="Q85" i="2"/>
  <c r="P85" i="2"/>
  <c r="O85" i="2"/>
  <c r="M85" i="2"/>
  <c r="L85" i="2"/>
  <c r="K85" i="2"/>
  <c r="Q84" i="2"/>
  <c r="P84" i="2"/>
  <c r="O84" i="2"/>
  <c r="N84" i="2"/>
  <c r="M84" i="2"/>
  <c r="L84" i="2"/>
  <c r="K84" i="2"/>
  <c r="Q83" i="2"/>
  <c r="P83" i="2"/>
  <c r="O83" i="2"/>
  <c r="N83" i="2"/>
  <c r="M83" i="2"/>
  <c r="L83" i="2"/>
  <c r="K83" i="2"/>
  <c r="Q82" i="2"/>
  <c r="P82" i="2"/>
  <c r="O82" i="2"/>
  <c r="N82" i="2"/>
  <c r="M82" i="2"/>
  <c r="L82" i="2"/>
  <c r="K82" i="2"/>
  <c r="Q81" i="2"/>
  <c r="P81" i="2"/>
  <c r="O81" i="2"/>
  <c r="N81" i="2"/>
  <c r="M81" i="2"/>
  <c r="L81" i="2"/>
  <c r="K81" i="2"/>
  <c r="K80" i="2"/>
  <c r="I34" i="2"/>
  <c r="AM34" i="2" s="1"/>
  <c r="C34" i="2"/>
  <c r="I19" i="2"/>
  <c r="C19" i="2"/>
  <c r="BJ59" i="2" l="1"/>
  <c r="BK59" i="2"/>
  <c r="AQ83" i="2"/>
  <c r="D83" i="2"/>
  <c r="AH83" i="2" s="1"/>
  <c r="AO87" i="2"/>
  <c r="AT86" i="2"/>
  <c r="G86" i="2"/>
  <c r="AK86" i="2" s="1"/>
  <c r="AS83" i="2"/>
  <c r="F83" i="2"/>
  <c r="AJ83" i="2" s="1"/>
  <c r="AO82" i="2"/>
  <c r="AO89" i="2"/>
  <c r="B89" i="2"/>
  <c r="AF89" i="2" s="1"/>
  <c r="AS87" i="2"/>
  <c r="F87" i="2"/>
  <c r="AJ87" i="2" s="1"/>
  <c r="AQ89" i="2"/>
  <c r="D89" i="2"/>
  <c r="AH89" i="2" s="1"/>
  <c r="AR83" i="2"/>
  <c r="E83" i="2"/>
  <c r="AI83" i="2" s="1"/>
  <c r="H81" i="2"/>
  <c r="AL81" i="2" s="1"/>
  <c r="AU81" i="2"/>
  <c r="AR85" i="2"/>
  <c r="E85" i="2"/>
  <c r="AI85" i="2" s="1"/>
  <c r="AS85" i="2"/>
  <c r="F85" i="2"/>
  <c r="AJ85" i="2" s="1"/>
  <c r="C89" i="2"/>
  <c r="AG89" i="2" s="1"/>
  <c r="F82" i="2"/>
  <c r="AJ82" i="2" s="1"/>
  <c r="AS82" i="2"/>
  <c r="AO86" i="2"/>
  <c r="AT87" i="2"/>
  <c r="G87" i="2"/>
  <c r="AK87" i="2" s="1"/>
  <c r="AR89" i="2"/>
  <c r="E89" i="2"/>
  <c r="AI89" i="2" s="1"/>
  <c r="AO85" i="2"/>
  <c r="AU86" i="2"/>
  <c r="H86" i="2"/>
  <c r="AL86" i="2" s="1"/>
  <c r="AU88" i="2"/>
  <c r="H88" i="2"/>
  <c r="AL88" i="2" s="1"/>
  <c r="AO84" i="2"/>
  <c r="E82" i="2"/>
  <c r="AI82" i="2" s="1"/>
  <c r="AR82" i="2"/>
  <c r="E84" i="2"/>
  <c r="AI84" i="2" s="1"/>
  <c r="AR84" i="2"/>
  <c r="AS89" i="2"/>
  <c r="F89" i="2"/>
  <c r="AJ89" i="2" s="1"/>
  <c r="AR88" i="2"/>
  <c r="E88" i="2"/>
  <c r="AI88" i="2" s="1"/>
  <c r="AT88" i="2"/>
  <c r="G88" i="2"/>
  <c r="AK88" i="2" s="1"/>
  <c r="AP82" i="2"/>
  <c r="C82" i="2"/>
  <c r="AG82" i="2" s="1"/>
  <c r="D82" i="2"/>
  <c r="AH82" i="2" s="1"/>
  <c r="AQ82" i="2"/>
  <c r="AU85" i="2"/>
  <c r="H85" i="2"/>
  <c r="AL85" i="2" s="1"/>
  <c r="AO81" i="2"/>
  <c r="AP86" i="2"/>
  <c r="C86" i="2"/>
  <c r="AG86" i="2" s="1"/>
  <c r="AP81" i="2"/>
  <c r="C81" i="2"/>
  <c r="AG81" i="2" s="1"/>
  <c r="AU82" i="2"/>
  <c r="H82" i="2"/>
  <c r="AL82" i="2" s="1"/>
  <c r="F84" i="2"/>
  <c r="AJ84" i="2" s="1"/>
  <c r="AS84" i="2"/>
  <c r="AQ86" i="2"/>
  <c r="D86" i="2"/>
  <c r="AH86" i="2" s="1"/>
  <c r="AO88" i="2"/>
  <c r="AT89" i="2"/>
  <c r="G89" i="2"/>
  <c r="AK89" i="2" s="1"/>
  <c r="AS81" i="2"/>
  <c r="F81" i="2"/>
  <c r="AJ81" i="2" s="1"/>
  <c r="AP85" i="2"/>
  <c r="C85" i="2"/>
  <c r="AG85" i="2" s="1"/>
  <c r="AQ85" i="2"/>
  <c r="D85" i="2"/>
  <c r="AH85" i="2" s="1"/>
  <c r="G83" i="2"/>
  <c r="AK83" i="2" s="1"/>
  <c r="AT83" i="2"/>
  <c r="AU83" i="2"/>
  <c r="H83" i="2"/>
  <c r="AL83" i="2" s="1"/>
  <c r="AT85" i="2"/>
  <c r="G85" i="2"/>
  <c r="AK85" i="2" s="1"/>
  <c r="AP84" i="2"/>
  <c r="C84" i="2"/>
  <c r="AG84" i="2" s="1"/>
  <c r="D84" i="2"/>
  <c r="AH84" i="2" s="1"/>
  <c r="AQ84" i="2"/>
  <c r="AU87" i="2"/>
  <c r="H87" i="2"/>
  <c r="AL87" i="2" s="1"/>
  <c r="AQ81" i="2"/>
  <c r="D81" i="2"/>
  <c r="AH81" i="2" s="1"/>
  <c r="AO83" i="2"/>
  <c r="G84" i="2"/>
  <c r="AK84" i="2" s="1"/>
  <c r="AT84" i="2"/>
  <c r="E86" i="2"/>
  <c r="AI86" i="2" s="1"/>
  <c r="AR86" i="2"/>
  <c r="AP88" i="2"/>
  <c r="C88" i="2"/>
  <c r="AG88" i="2" s="1"/>
  <c r="AU89" i="2"/>
  <c r="H89" i="2"/>
  <c r="AL89" i="2" s="1"/>
  <c r="G81" i="2"/>
  <c r="AK81" i="2" s="1"/>
  <c r="AT81" i="2"/>
  <c r="AS88" i="2"/>
  <c r="F88" i="2"/>
  <c r="AJ88" i="2" s="1"/>
  <c r="AP87" i="2"/>
  <c r="C87" i="2"/>
  <c r="AG87" i="2" s="1"/>
  <c r="AQ87" i="2"/>
  <c r="D87" i="2"/>
  <c r="AH87" i="2" s="1"/>
  <c r="AR87" i="2"/>
  <c r="E87" i="2"/>
  <c r="AI87" i="2" s="1"/>
  <c r="Q80" i="2"/>
  <c r="P80" i="2"/>
  <c r="O80" i="2"/>
  <c r="AO80" i="2"/>
  <c r="L80" i="2"/>
  <c r="N80" i="2"/>
  <c r="M80" i="2"/>
  <c r="AT82" i="2"/>
  <c r="G82" i="2"/>
  <c r="AK82" i="2" s="1"/>
  <c r="AR81" i="2"/>
  <c r="E81" i="2"/>
  <c r="AI81" i="2" s="1"/>
  <c r="C83" i="2"/>
  <c r="AG83" i="2" s="1"/>
  <c r="AP83" i="2"/>
  <c r="AU84" i="2"/>
  <c r="H84" i="2"/>
  <c r="AL84" i="2" s="1"/>
  <c r="AS86" i="2"/>
  <c r="F86" i="2"/>
  <c r="AJ86" i="2" s="1"/>
  <c r="AQ88" i="2"/>
  <c r="D88" i="2"/>
  <c r="AH88" i="2" s="1"/>
  <c r="D19" i="2"/>
  <c r="AH19" i="2" s="1"/>
  <c r="AG19" i="2"/>
  <c r="J34" i="2"/>
  <c r="AN34" i="2" s="1"/>
  <c r="AG34" i="2"/>
  <c r="P19" i="2"/>
  <c r="AM19" i="2"/>
  <c r="BA29" i="2"/>
  <c r="BA28" i="2"/>
  <c r="BA13" i="2"/>
  <c r="P34" i="2"/>
  <c r="AF15" i="2"/>
  <c r="Q34" i="2"/>
  <c r="AU34" i="2" s="1"/>
  <c r="D34" i="2"/>
  <c r="AH34" i="2" s="1"/>
  <c r="E19" i="2"/>
  <c r="AI19" i="2" s="1"/>
  <c r="K19" i="2"/>
  <c r="AO19" i="2" s="1"/>
  <c r="J19" i="2"/>
  <c r="AN19" i="2" s="1"/>
  <c r="BM58" i="2" l="1"/>
  <c r="BJ60" i="2"/>
  <c r="BK60" i="2"/>
  <c r="AQ80" i="2"/>
  <c r="AP80" i="2"/>
  <c r="AR80" i="2"/>
  <c r="W19" i="2"/>
  <c r="BA19" i="2" s="1"/>
  <c r="AT19" i="2"/>
  <c r="W34" i="2"/>
  <c r="BA34" i="2" s="1"/>
  <c r="AT34" i="2"/>
  <c r="BA30" i="2"/>
  <c r="BA14" i="2"/>
  <c r="BM59" i="2" s="1"/>
  <c r="BA31" i="2"/>
  <c r="AF16" i="2"/>
  <c r="K34" i="2"/>
  <c r="AO34" i="2" s="1"/>
  <c r="E34" i="2"/>
  <c r="AI34" i="2" s="1"/>
  <c r="X34" i="2"/>
  <c r="BB34" i="2" s="1"/>
  <c r="Q19" i="2"/>
  <c r="AU19" i="2" s="1"/>
  <c r="R19" i="2"/>
  <c r="AV19" i="2" s="1"/>
  <c r="L19" i="2"/>
  <c r="AP19" i="2" s="1"/>
  <c r="F19" i="2"/>
  <c r="AJ19" i="2" s="1"/>
  <c r="BK61" i="2" l="1"/>
  <c r="BJ61" i="2"/>
  <c r="AS80" i="2"/>
  <c r="BA16" i="2"/>
  <c r="BM61" i="2" s="1"/>
  <c r="BA15" i="2"/>
  <c r="BM60" i="2" s="1"/>
  <c r="F34" i="2"/>
  <c r="AJ34" i="2" s="1"/>
  <c r="L34" i="2"/>
  <c r="AP34" i="2" s="1"/>
  <c r="R34" i="2"/>
  <c r="AV34" i="2" s="1"/>
  <c r="X19" i="2"/>
  <c r="BB19" i="2" s="1"/>
  <c r="M19" i="2"/>
  <c r="AQ19" i="2" s="1"/>
  <c r="G19" i="2"/>
  <c r="AK19" i="2" s="1"/>
  <c r="Y19" i="2"/>
  <c r="BC19" i="2" s="1"/>
  <c r="S19" i="2"/>
  <c r="AW19" i="2" s="1"/>
  <c r="AT80" i="2" l="1"/>
  <c r="M34" i="2"/>
  <c r="AQ34" i="2" s="1"/>
  <c r="G34" i="2"/>
  <c r="AK34" i="2" s="1"/>
  <c r="Y34" i="2"/>
  <c r="BC34" i="2" s="1"/>
  <c r="S34" i="2"/>
  <c r="AW34" i="2" s="1"/>
  <c r="N19" i="2"/>
  <c r="AR19" i="2" s="1"/>
  <c r="H19" i="2"/>
  <c r="AL19" i="2" s="1"/>
  <c r="T19" i="2"/>
  <c r="AX19" i="2" s="1"/>
  <c r="Z19" i="2"/>
  <c r="BD19" i="2" s="1"/>
  <c r="AU80" i="2" l="1"/>
  <c r="Z34" i="2"/>
  <c r="BD34" i="2" s="1"/>
  <c r="N34" i="2"/>
  <c r="AR34" i="2" s="1"/>
  <c r="H34" i="2"/>
  <c r="AL34" i="2" s="1"/>
  <c r="T34" i="2"/>
  <c r="AX34" i="2" s="1"/>
  <c r="AA19" i="2"/>
  <c r="BE19" i="2" s="1"/>
  <c r="U19" i="2"/>
  <c r="AY19" i="2" s="1"/>
  <c r="O19" i="2"/>
  <c r="AS19" i="2" s="1"/>
  <c r="AA34" i="2" l="1"/>
  <c r="BE34" i="2" s="1"/>
  <c r="O34" i="2"/>
  <c r="AS34" i="2" s="1"/>
  <c r="U34" i="2"/>
  <c r="AY34" i="2" s="1"/>
  <c r="V19" i="2"/>
  <c r="AZ19" i="2" s="1"/>
  <c r="AB19" i="2"/>
  <c r="BF19" i="2" s="1"/>
  <c r="AB34" i="2" l="1"/>
  <c r="BF34" i="2" s="1"/>
  <c r="V34" i="2"/>
  <c r="AZ34" i="2" s="1"/>
  <c r="AC19" i="2"/>
  <c r="BG19" i="2" s="1"/>
  <c r="AC34" i="2" l="1"/>
  <c r="BG34" i="2" s="1"/>
  <c r="I4" i="2" l="1"/>
  <c r="C4" i="2"/>
  <c r="A7" i="2"/>
  <c r="P4" i="2" l="1"/>
  <c r="AM4" i="2"/>
  <c r="D4" i="2"/>
  <c r="AG4" i="2"/>
  <c r="AE7" i="2"/>
  <c r="A52" i="2"/>
  <c r="A8" i="2"/>
  <c r="A22" i="2"/>
  <c r="A80" i="2"/>
  <c r="K4" i="2"/>
  <c r="J4" i="2"/>
  <c r="AE80" i="2" l="1"/>
  <c r="AE81" i="2" s="1"/>
  <c r="AE82" i="2" s="1"/>
  <c r="AE83" i="2" s="1"/>
  <c r="AE84" i="2" s="1"/>
  <c r="AE85" i="2" s="1"/>
  <c r="AE86" i="2" s="1"/>
  <c r="AE87" i="2" s="1"/>
  <c r="AE88" i="2" s="1"/>
  <c r="AE89" i="2" s="1"/>
  <c r="Q4" i="2"/>
  <c r="AN4" i="2"/>
  <c r="R4" i="2"/>
  <c r="AO4" i="2"/>
  <c r="E4" i="2"/>
  <c r="AH4" i="2"/>
  <c r="W4" i="2"/>
  <c r="BA4" i="2" s="1"/>
  <c r="AT4" i="2"/>
  <c r="AE22" i="2"/>
  <c r="A23" i="2"/>
  <c r="AE52" i="2"/>
  <c r="A53" i="2"/>
  <c r="A67" i="2"/>
  <c r="A81" i="2"/>
  <c r="A82" i="2" s="1"/>
  <c r="A83" i="2" s="1"/>
  <c r="A84" i="2" s="1"/>
  <c r="A85" i="2" s="1"/>
  <c r="A86" i="2" s="1"/>
  <c r="A87" i="2" s="1"/>
  <c r="A88" i="2" s="1"/>
  <c r="A89" i="2" s="1"/>
  <c r="J80" i="2"/>
  <c r="A37" i="2"/>
  <c r="AN80" i="2" l="1"/>
  <c r="Y4" i="2"/>
  <c r="BC4" i="2" s="1"/>
  <c r="AV4" i="2"/>
  <c r="F4" i="2"/>
  <c r="AI4" i="2"/>
  <c r="L4" i="2"/>
  <c r="X4" i="2"/>
  <c r="BB4" i="2" s="1"/>
  <c r="AU4" i="2"/>
  <c r="AN81" i="2"/>
  <c r="AN82" i="2" s="1"/>
  <c r="AN83" i="2" s="1"/>
  <c r="AN84" i="2" s="1"/>
  <c r="AN85" i="2" s="1"/>
  <c r="AN86" i="2" s="1"/>
  <c r="AN87" i="2" s="1"/>
  <c r="AN88" i="2" s="1"/>
  <c r="AN89" i="2" s="1"/>
  <c r="AW80" i="2"/>
  <c r="AW81" i="2" s="1"/>
  <c r="AW82" i="2" s="1"/>
  <c r="AW83" i="2" s="1"/>
  <c r="AW84" i="2" s="1"/>
  <c r="AW85" i="2" s="1"/>
  <c r="AW86" i="2" s="1"/>
  <c r="AW87" i="2" s="1"/>
  <c r="AW88" i="2" s="1"/>
  <c r="AW89" i="2" s="1"/>
  <c r="AE37" i="2"/>
  <c r="A38" i="2"/>
  <c r="AE67" i="2"/>
  <c r="A68" i="2"/>
  <c r="AE68" i="2" s="1"/>
  <c r="J81" i="2"/>
  <c r="J82" i="2" s="1"/>
  <c r="J83" i="2" s="1"/>
  <c r="J84" i="2" s="1"/>
  <c r="J85" i="2" s="1"/>
  <c r="J86" i="2" s="1"/>
  <c r="J87" i="2" s="1"/>
  <c r="J88" i="2" s="1"/>
  <c r="J89" i="2" s="1"/>
  <c r="S80" i="2"/>
  <c r="S81" i="2" s="1"/>
  <c r="S82" i="2" s="1"/>
  <c r="S83" i="2" s="1"/>
  <c r="S84" i="2" s="1"/>
  <c r="S85" i="2" s="1"/>
  <c r="S86" i="2" s="1"/>
  <c r="S87" i="2" s="1"/>
  <c r="S88" i="2" s="1"/>
  <c r="S89" i="2" s="1"/>
  <c r="S4" i="2" l="1"/>
  <c r="AP4" i="2"/>
  <c r="M4" i="2"/>
  <c r="AJ4" i="2"/>
  <c r="G4" i="2"/>
  <c r="N4" i="2" l="1"/>
  <c r="AK4" i="2"/>
  <c r="H4" i="2"/>
  <c r="T4" i="2"/>
  <c r="AQ4" i="2"/>
  <c r="Z4" i="2"/>
  <c r="BD4" i="2" s="1"/>
  <c r="AW4" i="2"/>
  <c r="AA4" i="2" l="1"/>
  <c r="BE4" i="2" s="1"/>
  <c r="AX4" i="2"/>
  <c r="O4" i="2"/>
  <c r="AL4" i="2"/>
  <c r="U4" i="2"/>
  <c r="AR4" i="2"/>
  <c r="AB4" i="2" l="1"/>
  <c r="BF4" i="2" s="1"/>
  <c r="AY4" i="2"/>
  <c r="V4" i="2"/>
  <c r="AS4" i="2"/>
  <c r="AC4" i="2" l="1"/>
  <c r="BG4" i="2" s="1"/>
  <c r="AZ4" i="2"/>
  <c r="B43" i="34" l="1"/>
  <c r="C15" i="33"/>
  <c r="B15" i="33"/>
  <c r="F7" i="33"/>
  <c r="F5" i="33"/>
  <c r="D8" i="33"/>
  <c r="D7" i="33"/>
  <c r="E7" i="33" s="1"/>
  <c r="D6" i="33"/>
  <c r="E6" i="33" s="1"/>
  <c r="F6" i="33" s="1"/>
  <c r="D5" i="33"/>
  <c r="E5" i="33" s="1"/>
  <c r="D4" i="33"/>
  <c r="D3" i="33"/>
  <c r="D2" i="33"/>
  <c r="E2" i="33" l="1"/>
  <c r="F2" i="33" s="1"/>
  <c r="E4" i="33"/>
  <c r="F4" i="33" s="1"/>
  <c r="E8" i="33"/>
  <c r="F8" i="33" s="1"/>
  <c r="E3" i="33"/>
  <c r="F3" i="33" s="1"/>
  <c r="D15" i="33"/>
  <c r="E15" i="33" s="1"/>
  <c r="F15" i="33" s="1"/>
  <c r="K49" i="2" l="1"/>
  <c r="L49" i="2"/>
  <c r="F49" i="2"/>
  <c r="T49" i="2"/>
  <c r="G49" i="2"/>
  <c r="H49" i="2"/>
  <c r="B49" i="2"/>
  <c r="C49" i="2"/>
  <c r="D49" i="2"/>
  <c r="E49" i="2"/>
  <c r="G1" i="3"/>
  <c r="D64" i="2" l="1"/>
  <c r="AH64" i="2" s="1"/>
  <c r="AH49" i="2"/>
  <c r="H64" i="2"/>
  <c r="AL64" i="2" s="1"/>
  <c r="AL49" i="2"/>
  <c r="E64" i="2"/>
  <c r="AI64" i="2" s="1"/>
  <c r="AI49" i="2"/>
  <c r="C64" i="2"/>
  <c r="AG64" i="2" s="1"/>
  <c r="AG49" i="2"/>
  <c r="B64" i="2"/>
  <c r="AF64" i="2" s="1"/>
  <c r="AF49" i="2"/>
  <c r="G64" i="2"/>
  <c r="AK64" i="2" s="1"/>
  <c r="AK49" i="2"/>
  <c r="T64" i="2"/>
  <c r="AX64" i="2" s="1"/>
  <c r="AX49" i="2"/>
  <c r="F64" i="2"/>
  <c r="AJ64" i="2" s="1"/>
  <c r="AJ49" i="2"/>
  <c r="L64" i="2"/>
  <c r="AP64" i="2" s="1"/>
  <c r="AP49" i="2"/>
  <c r="K64" i="2"/>
  <c r="AO64" i="2" s="1"/>
  <c r="AO49" i="2"/>
  <c r="J49" i="2"/>
  <c r="M49" i="2"/>
  <c r="AA49" i="2"/>
  <c r="O49" i="2"/>
  <c r="R49" i="2"/>
  <c r="I49" i="2"/>
  <c r="N49" i="2"/>
  <c r="Q49" i="2"/>
  <c r="F1" i="3"/>
  <c r="T1" i="3"/>
  <c r="U1" i="3"/>
  <c r="AA64" i="2" l="1"/>
  <c r="BE64" i="2" s="1"/>
  <c r="BE49" i="2"/>
  <c r="M64" i="2"/>
  <c r="AQ64" i="2" s="1"/>
  <c r="AQ49" i="2"/>
  <c r="J64" i="2"/>
  <c r="AN64" i="2" s="1"/>
  <c r="AN49" i="2"/>
  <c r="N64" i="2"/>
  <c r="AR64" i="2" s="1"/>
  <c r="AR49" i="2"/>
  <c r="Q64" i="2"/>
  <c r="AU64" i="2" s="1"/>
  <c r="AU49" i="2"/>
  <c r="I64" i="2"/>
  <c r="AM64" i="2" s="1"/>
  <c r="AM49" i="2"/>
  <c r="R64" i="2"/>
  <c r="AV64" i="2" s="1"/>
  <c r="AV49" i="2"/>
  <c r="O64" i="2"/>
  <c r="AS64" i="2" s="1"/>
  <c r="AS49" i="2"/>
  <c r="S49" i="2"/>
  <c r="V49" i="2"/>
  <c r="P49" i="2"/>
  <c r="U49" i="2"/>
  <c r="X49" i="2"/>
  <c r="Y49" i="2"/>
  <c r="E1" i="3"/>
  <c r="S1" i="3"/>
  <c r="Y64" i="2" l="1"/>
  <c r="BC64" i="2" s="1"/>
  <c r="BC49" i="2"/>
  <c r="X64" i="2"/>
  <c r="BB64" i="2" s="1"/>
  <c r="BB49" i="2"/>
  <c r="V64" i="2"/>
  <c r="AZ64" i="2" s="1"/>
  <c r="AZ49" i="2"/>
  <c r="S64" i="2"/>
  <c r="AW64" i="2" s="1"/>
  <c r="AW49" i="2"/>
  <c r="U64" i="2"/>
  <c r="AY64" i="2" s="1"/>
  <c r="AY49" i="2"/>
  <c r="P64" i="2"/>
  <c r="AT64" i="2" s="1"/>
  <c r="AT49" i="2"/>
  <c r="Z49" i="2"/>
  <c r="AB49" i="2"/>
  <c r="W49" i="2"/>
  <c r="AC49" i="2"/>
  <c r="D1" i="3"/>
  <c r="R1" i="3"/>
  <c r="AC64" i="2" l="1"/>
  <c r="BG64" i="2" s="1"/>
  <c r="BG49" i="2"/>
  <c r="AB64" i="2"/>
  <c r="BF64" i="2" s="1"/>
  <c r="BF49" i="2"/>
  <c r="W64" i="2"/>
  <c r="BA64" i="2" s="1"/>
  <c r="BA49" i="2"/>
  <c r="Z64" i="2"/>
  <c r="BD64" i="2" s="1"/>
  <c r="BD49" i="2"/>
  <c r="C1" i="3"/>
  <c r="P1" i="3" s="1"/>
  <c r="Q1" i="3"/>
  <c r="C4" i="26" l="1"/>
  <c r="B4" i="26"/>
  <c r="Q6" i="26" l="1"/>
  <c r="Q5" i="26"/>
  <c r="I4" i="26"/>
  <c r="R16" i="26" s="1"/>
  <c r="Q7" i="26" l="1"/>
  <c r="G22" i="26"/>
  <c r="C22" i="26"/>
  <c r="B22" i="26"/>
  <c r="C21" i="26"/>
  <c r="G21" i="26"/>
  <c r="B21" i="26" l="1"/>
  <c r="A54" i="2" l="1"/>
  <c r="A69" i="2"/>
  <c r="AE38" i="2"/>
  <c r="AE23" i="2"/>
  <c r="A9" i="2"/>
  <c r="AE9" i="2" s="1"/>
  <c r="AE8" i="2"/>
  <c r="A10" i="2" l="1"/>
  <c r="AE10" i="2" s="1"/>
  <c r="AE53" i="2"/>
  <c r="AE69" i="2"/>
  <c r="A70" i="2"/>
  <c r="A55" i="2"/>
  <c r="AE54" i="2"/>
  <c r="A24" i="2"/>
  <c r="A39" i="2"/>
  <c r="A11" i="2" l="1"/>
  <c r="A12" i="2" s="1"/>
  <c r="A40" i="2"/>
  <c r="AE39" i="2"/>
  <c r="A25" i="2"/>
  <c r="AE24" i="2"/>
  <c r="A56" i="2"/>
  <c r="AE55" i="2"/>
  <c r="A71" i="2"/>
  <c r="AE70" i="2"/>
  <c r="AE11" i="2" l="1"/>
  <c r="AE71" i="2"/>
  <c r="A72" i="2"/>
  <c r="AE56" i="2"/>
  <c r="A57" i="2"/>
  <c r="A13" i="2"/>
  <c r="AE12" i="2"/>
  <c r="A26" i="2"/>
  <c r="AE25" i="2"/>
  <c r="AE40" i="2"/>
  <c r="A41" i="2"/>
  <c r="AE41" i="2" l="1"/>
  <c r="A42" i="2"/>
  <c r="AE26" i="2"/>
  <c r="A27" i="2"/>
  <c r="A14" i="2"/>
  <c r="AE13" i="2"/>
  <c r="A58" i="2"/>
  <c r="AE57" i="2"/>
  <c r="A73" i="2"/>
  <c r="AE72" i="2"/>
  <c r="A15" i="2" l="1"/>
  <c r="AE14" i="2"/>
  <c r="A74" i="2"/>
  <c r="AE73" i="2"/>
  <c r="A28" i="2"/>
  <c r="AE27" i="2"/>
  <c r="A59" i="2"/>
  <c r="AE58" i="2"/>
  <c r="A43" i="2"/>
  <c r="AE42" i="2"/>
  <c r="AE43" i="2" l="1"/>
  <c r="A44" i="2"/>
  <c r="AE59" i="2"/>
  <c r="A60" i="2"/>
  <c r="A29" i="2"/>
  <c r="AE28" i="2"/>
  <c r="AE74" i="2"/>
  <c r="A75" i="2"/>
  <c r="AE15" i="2"/>
  <c r="A16" i="2"/>
  <c r="AE16" i="2" s="1"/>
  <c r="AE75" i="2" l="1"/>
  <c r="A76" i="2"/>
  <c r="AE76" i="2" s="1"/>
  <c r="AE29" i="2"/>
  <c r="A30" i="2"/>
  <c r="A61" i="2"/>
  <c r="AE61" i="2" s="1"/>
  <c r="AE60" i="2"/>
  <c r="A45" i="2"/>
  <c r="AE44" i="2"/>
  <c r="A46" i="2" l="1"/>
  <c r="AE46" i="2" s="1"/>
  <c r="AE45" i="2"/>
  <c r="A31" i="2"/>
  <c r="AE31" i="2" s="1"/>
  <c r="AE30" i="2"/>
  <c r="R4" i="26" l="1"/>
  <c r="Q17" i="26" s="1"/>
  <c r="S4" i="26" l="1"/>
  <c r="Q18" i="26" s="1"/>
  <c r="B6" i="26"/>
  <c r="S5" i="26" s="1"/>
  <c r="B5" i="26"/>
  <c r="R5" i="26" s="1"/>
  <c r="T81" i="2"/>
  <c r="B81" i="2" s="1"/>
  <c r="AF81" i="2" s="1"/>
  <c r="B88" i="2"/>
  <c r="AF88" i="2" s="1"/>
  <c r="B87" i="2"/>
  <c r="AF87" i="2" s="1"/>
  <c r="T84" i="2"/>
  <c r="AX84" i="2" s="1"/>
  <c r="AX86" i="2"/>
  <c r="T83" i="2"/>
  <c r="B83" i="2" s="1"/>
  <c r="AF83" i="2" s="1"/>
  <c r="B85" i="2"/>
  <c r="AF85" i="2" s="1"/>
  <c r="T80" i="2"/>
  <c r="Z80" i="2" s="1"/>
  <c r="T82" i="2"/>
  <c r="B82" i="2" s="1"/>
  <c r="AF82" i="2" s="1"/>
  <c r="AX82" i="2" l="1"/>
  <c r="AX87" i="2"/>
  <c r="B84" i="2"/>
  <c r="AF84" i="2" s="1"/>
  <c r="AX85" i="2"/>
  <c r="AX88" i="2"/>
  <c r="AX81" i="2"/>
  <c r="BD80" i="2"/>
  <c r="H80" i="2"/>
  <c r="AL80" i="2" s="1"/>
  <c r="B80" i="2"/>
  <c r="AF80" i="2" s="1"/>
  <c r="V80" i="2"/>
  <c r="W80" i="2"/>
  <c r="AX83" i="2"/>
  <c r="U80" i="2"/>
  <c r="B86" i="2"/>
  <c r="AF86" i="2" s="1"/>
  <c r="X80" i="2"/>
  <c r="Y80" i="2"/>
  <c r="AX80" i="2"/>
  <c r="C6" i="26" l="1"/>
  <c r="C5" i="26"/>
  <c r="BB80" i="2"/>
  <c r="F80" i="2"/>
  <c r="AJ80" i="2" s="1"/>
  <c r="AY80" i="2"/>
  <c r="C80" i="2"/>
  <c r="AG80" i="2" s="1"/>
  <c r="D80" i="2"/>
  <c r="AH80" i="2" s="1"/>
  <c r="AZ80" i="2"/>
  <c r="D4" i="26"/>
  <c r="G80" i="2"/>
  <c r="AK80" i="2" s="1"/>
  <c r="BC80" i="2"/>
  <c r="E80" i="2"/>
  <c r="AI80" i="2" s="1"/>
  <c r="BA80" i="2"/>
  <c r="I5" i="26" l="1"/>
  <c r="R6" i="26"/>
  <c r="R7" i="26" s="1"/>
  <c r="I6" i="26"/>
  <c r="R18" i="26" s="1"/>
  <c r="S6" i="26"/>
  <c r="S7" i="26" s="1"/>
  <c r="D6" i="26"/>
  <c r="E6" i="26" s="1"/>
  <c r="D5" i="26"/>
  <c r="J4" i="26"/>
  <c r="S16" i="26" s="1"/>
  <c r="E4" i="26"/>
  <c r="B3" i="36" l="1"/>
  <c r="D7" i="36" s="1"/>
  <c r="R17" i="26"/>
  <c r="E5" i="26"/>
  <c r="J5" i="26"/>
  <c r="G16" i="26"/>
  <c r="D16" i="26"/>
  <c r="H16" i="26"/>
  <c r="C16" i="26"/>
  <c r="K4" i="26"/>
  <c r="T16" i="26" s="1"/>
  <c r="J6" i="26"/>
  <c r="J7" i="26" l="1"/>
  <c r="J8" i="26"/>
  <c r="K6" i="26"/>
  <c r="T18" i="26" s="1"/>
  <c r="S18" i="26"/>
  <c r="K5" i="26"/>
  <c r="B5" i="36"/>
  <c r="S17" i="26"/>
  <c r="L6" i="26"/>
  <c r="C18" i="26"/>
  <c r="G18" i="26"/>
  <c r="D18" i="26"/>
  <c r="H18" i="26"/>
  <c r="H17" i="26"/>
  <c r="D17" i="26"/>
  <c r="C17" i="26"/>
  <c r="L5" i="26"/>
  <c r="G17" i="26"/>
  <c r="B16" i="26"/>
  <c r="C8" i="26" l="1"/>
  <c r="S20" i="26"/>
  <c r="D8" i="26"/>
  <c r="C7" i="26"/>
  <c r="S19" i="26"/>
  <c r="D7" i="26"/>
  <c r="T17" i="26"/>
  <c r="B18" i="26"/>
  <c r="B17" i="26"/>
  <c r="I7" i="26" l="1"/>
  <c r="E7" i="26"/>
  <c r="I8" i="26"/>
  <c r="E8" i="26"/>
  <c r="F8" i="26" s="1"/>
  <c r="R20" i="26" l="1"/>
  <c r="L8" i="26"/>
  <c r="H20" i="26"/>
  <c r="H31" i="26" s="1"/>
  <c r="C20" i="26"/>
  <c r="C31" i="26" s="1"/>
  <c r="K8" i="26"/>
  <c r="D20" i="26"/>
  <c r="D31" i="26" s="1"/>
  <c r="G20" i="26"/>
  <c r="G31" i="26" s="1"/>
  <c r="F5" i="26"/>
  <c r="F7" i="26"/>
  <c r="F4" i="26"/>
  <c r="F6" i="26"/>
  <c r="R19" i="26"/>
  <c r="D19" i="26"/>
  <c r="G19" i="26"/>
  <c r="H19" i="26"/>
  <c r="K7" i="26"/>
  <c r="C19" i="26"/>
  <c r="L7" i="26"/>
  <c r="C29" i="26" l="1"/>
  <c r="C27" i="26"/>
  <c r="C30" i="26"/>
  <c r="C28" i="26"/>
  <c r="T20" i="26"/>
  <c r="B20" i="26"/>
  <c r="M8" i="26"/>
  <c r="U20" i="26" s="1"/>
  <c r="T19" i="26"/>
  <c r="B19" i="26"/>
  <c r="M4" i="26"/>
  <c r="U16" i="26" s="1"/>
  <c r="M5" i="26"/>
  <c r="U17" i="26" s="1"/>
  <c r="M6" i="26"/>
  <c r="U18" i="26" s="1"/>
  <c r="M7" i="26"/>
  <c r="U19" i="26" s="1"/>
  <c r="H29" i="26"/>
  <c r="H30" i="26"/>
  <c r="H28" i="26"/>
  <c r="H27" i="26"/>
  <c r="G30" i="26"/>
  <c r="G27" i="26"/>
  <c r="G28" i="26"/>
  <c r="G29" i="26"/>
  <c r="D29" i="26"/>
  <c r="D28" i="26"/>
  <c r="D30" i="26"/>
  <c r="D27" i="26"/>
  <c r="B31" i="26" l="1"/>
  <c r="B27" i="26"/>
  <c r="B28" i="26"/>
  <c r="B29" i="26"/>
  <c r="B30" i="26"/>
</calcChain>
</file>

<file path=xl/sharedStrings.xml><?xml version="1.0" encoding="utf-8"?>
<sst xmlns="http://schemas.openxmlformats.org/spreadsheetml/2006/main" count="716" uniqueCount="282">
  <si>
    <t>Zone Substation (MVA)</t>
  </si>
  <si>
    <t>Summer (N)</t>
  </si>
  <si>
    <t>Winter (N)</t>
  </si>
  <si>
    <t>Summer (N-1)</t>
  </si>
  <si>
    <t>Winter (N-1)</t>
  </si>
  <si>
    <t>Feeder (MVA)</t>
  </si>
  <si>
    <t>Summer</t>
  </si>
  <si>
    <t>Winter</t>
  </si>
  <si>
    <t>ST</t>
  </si>
  <si>
    <t>BD 01</t>
  </si>
  <si>
    <t>KLO</t>
  </si>
  <si>
    <t>BD 02</t>
  </si>
  <si>
    <t>BD</t>
  </si>
  <si>
    <t>BD 04</t>
  </si>
  <si>
    <t>COO</t>
  </si>
  <si>
    <t>BD 06</t>
  </si>
  <si>
    <t>BD 08</t>
  </si>
  <si>
    <t>BMS</t>
  </si>
  <si>
    <t>BD 09</t>
  </si>
  <si>
    <t>BD 13</t>
  </si>
  <si>
    <t>CBN</t>
  </si>
  <si>
    <t>BD 14</t>
  </si>
  <si>
    <t>GVE</t>
  </si>
  <si>
    <t>COO11</t>
  </si>
  <si>
    <t>COO12</t>
  </si>
  <si>
    <t>COO13</t>
  </si>
  <si>
    <t>COO14</t>
  </si>
  <si>
    <t>COO21</t>
  </si>
  <si>
    <t>COO22</t>
  </si>
  <si>
    <t>COO23</t>
  </si>
  <si>
    <t>COO24</t>
  </si>
  <si>
    <t>KLO13</t>
  </si>
  <si>
    <t>KLO21</t>
  </si>
  <si>
    <t>KLO22</t>
  </si>
  <si>
    <t>Sub-transmission Loop (MVA)</t>
  </si>
  <si>
    <t>Line</t>
  </si>
  <si>
    <t>KLO23</t>
  </si>
  <si>
    <t>Overall N Rating</t>
  </si>
  <si>
    <t>ST 11</t>
  </si>
  <si>
    <t>Overall N-1 Rating</t>
  </si>
  <si>
    <t>ST 12</t>
  </si>
  <si>
    <t>ST 13</t>
  </si>
  <si>
    <t>ST 14</t>
  </si>
  <si>
    <t>ST 21</t>
  </si>
  <si>
    <t>ST 22</t>
  </si>
  <si>
    <t>ST 23</t>
  </si>
  <si>
    <t>ST 24</t>
  </si>
  <si>
    <t>ST 31</t>
  </si>
  <si>
    <t>ST 32</t>
  </si>
  <si>
    <t>ST 33</t>
  </si>
  <si>
    <t>ST 34</t>
  </si>
  <si>
    <t>COO21 Option 3</t>
  </si>
  <si>
    <t>GVE11 new</t>
  </si>
  <si>
    <t>SMTS-ST-SSS-SMTS</t>
  </si>
  <si>
    <t>GVE12 new</t>
  </si>
  <si>
    <t>GVE13 new</t>
  </si>
  <si>
    <t>SMTS-SSS</t>
  </si>
  <si>
    <t>GVE21 new</t>
  </si>
  <si>
    <t>SMTS-ST</t>
  </si>
  <si>
    <t>GVE22 new</t>
  </si>
  <si>
    <t>SSS-ST</t>
  </si>
  <si>
    <t>GVE23 new</t>
  </si>
  <si>
    <t>CBN11 new</t>
  </si>
  <si>
    <t>CBN12 new</t>
  </si>
  <si>
    <t>CBN13 new</t>
  </si>
  <si>
    <t>CBN21 new</t>
  </si>
  <si>
    <t>CBN22 new</t>
  </si>
  <si>
    <t>CBN23 new</t>
  </si>
  <si>
    <t>TTS-COO-VCO-BD-BMS-TTS</t>
  </si>
  <si>
    <t>KLO23 reconfigured</t>
  </si>
  <si>
    <t>TTS-BMS</t>
  </si>
  <si>
    <t>TTS-BD</t>
  </si>
  <si>
    <t>TTS-COO</t>
  </si>
  <si>
    <t>BMS-BD</t>
  </si>
  <si>
    <t>COO-VCO</t>
  </si>
  <si>
    <t>BD-VCO</t>
  </si>
  <si>
    <t>Feeder</t>
  </si>
  <si>
    <t>Actual 2022</t>
  </si>
  <si>
    <t>TOTAL</t>
  </si>
  <si>
    <t>Suburb</t>
  </si>
  <si>
    <t>Forecast 2046</t>
  </si>
  <si>
    <t>Increase</t>
  </si>
  <si>
    <t>% Increase</t>
  </si>
  <si>
    <t>% Increase (pa)</t>
  </si>
  <si>
    <t>Mickleham</t>
  </si>
  <si>
    <t>Craigieburn</t>
  </si>
  <si>
    <t>Somerton / Campbellfield</t>
  </si>
  <si>
    <t>Meadow Heights</t>
  </si>
  <si>
    <t>Roxburgh Park</t>
  </si>
  <si>
    <t>Greenvale / Yuroke</t>
  </si>
  <si>
    <t>Coolaroo</t>
  </si>
  <si>
    <t>Network Asset (MVA)</t>
  </si>
  <si>
    <t>N-1 Rating</t>
  </si>
  <si>
    <t>Feeder (A)</t>
  </si>
  <si>
    <t>Rating</t>
  </si>
  <si>
    <t>VCO</t>
  </si>
  <si>
    <t>Option 1 - Do Nothing</t>
  </si>
  <si>
    <t>COO Bus No.1</t>
  </si>
  <si>
    <t>N</t>
  </si>
  <si>
    <t>COO Bus No.2</t>
  </si>
  <si>
    <t>Feeder - ZSS Diversity Factor</t>
  </si>
  <si>
    <t>ZSS/SubT Solutions Applied</t>
  </si>
  <si>
    <t>Xfer</t>
  </si>
  <si>
    <t>Feeder Solutions Applied</t>
  </si>
  <si>
    <t>2034 do nothing check</t>
  </si>
  <si>
    <t>Option 2</t>
  </si>
  <si>
    <t>CBN11/22</t>
  </si>
  <si>
    <t>Nil</t>
  </si>
  <si>
    <t>ST22</t>
  </si>
  <si>
    <t>Option 3</t>
  </si>
  <si>
    <t>BD13</t>
  </si>
  <si>
    <t>COO21 new</t>
  </si>
  <si>
    <t>ST12/32/33</t>
  </si>
  <si>
    <t>ST12</t>
  </si>
  <si>
    <t>ST32/12</t>
  </si>
  <si>
    <t>ST12/22</t>
  </si>
  <si>
    <t>GVE13/21/COO21/ST11/KLO22</t>
  </si>
  <si>
    <t>KLO22/ST11/33</t>
  </si>
  <si>
    <t>GVE21/COO21</t>
  </si>
  <si>
    <t>GVE21/ST22</t>
  </si>
  <si>
    <t>COO11/GVE12/22/ST22/12</t>
  </si>
  <si>
    <t>Option 2 &amp; 3</t>
  </si>
  <si>
    <t>KLO13/21</t>
  </si>
  <si>
    <t>COO24/22</t>
  </si>
  <si>
    <t>BD013</t>
  </si>
  <si>
    <t>EDPR Forecasts for Ico at COO</t>
  </si>
  <si>
    <t>U/G Length (km)</t>
  </si>
  <si>
    <t>JEN Feeders (August 2023)</t>
  </si>
  <si>
    <t>COO-011</t>
  </si>
  <si>
    <t>COO-012</t>
  </si>
  <si>
    <t>COO-013</t>
  </si>
  <si>
    <t>COO-014</t>
  </si>
  <si>
    <t>COO-021</t>
  </si>
  <si>
    <t>COO-022</t>
  </si>
  <si>
    <t>COO-023</t>
  </si>
  <si>
    <t>COO-024</t>
  </si>
  <si>
    <t>Option 2 - CBN</t>
  </si>
  <si>
    <t>Share</t>
  </si>
  <si>
    <t>To KLO22</t>
  </si>
  <si>
    <t>To CLO21</t>
  </si>
  <si>
    <t>from COO21</t>
  </si>
  <si>
    <t>No change</t>
  </si>
  <si>
    <t>From COO23 + new exit cable (part of COO12 cable)</t>
  </si>
  <si>
    <t>To ST21</t>
  </si>
  <si>
    <t>To COO21</t>
  </si>
  <si>
    <t>Option 3 - GVE</t>
  </si>
  <si>
    <t>As above</t>
  </si>
  <si>
    <t>Moved to GVE11, Pick up ST21</t>
  </si>
  <si>
    <t>Results from EUE modellling</t>
  </si>
  <si>
    <t>VCR</t>
  </si>
  <si>
    <t>$/MWh</t>
  </si>
  <si>
    <t>WACC</t>
  </si>
  <si>
    <t>O&amp;M</t>
  </si>
  <si>
    <t>Asset Life</t>
  </si>
  <si>
    <t>years</t>
  </si>
  <si>
    <t>Discount Rate</t>
  </si>
  <si>
    <t>Expected Unserved Energy for each Option (MWh) – Feeder (N) Overload (from NDS FDR EUE model)</t>
  </si>
  <si>
    <t>Value of Expected Unserved Energy for each Option ($k) – Feeder (N) Overload</t>
  </si>
  <si>
    <t>Option</t>
  </si>
  <si>
    <t>FDR</t>
  </si>
  <si>
    <t>Solution Applied</t>
  </si>
  <si>
    <t>Expected Unserved Energy for each Option (MWh) – Zone Substations Overload (from NDS ZSS EUE model)</t>
  </si>
  <si>
    <t>Value of Expected Unserved Energy for each Option ($k) – Zone Substations Overload</t>
  </si>
  <si>
    <t>ZSS</t>
  </si>
  <si>
    <t>COO Bus No.1 REFCL</t>
  </si>
  <si>
    <t>COO Bus No.2 REFCL</t>
  </si>
  <si>
    <t>REFCL1 + (COO23 + COO)/2</t>
  </si>
  <si>
    <t>REFCL2 + (COO23 + COO)/2</t>
  </si>
  <si>
    <t>KLO13+KLO21</t>
  </si>
  <si>
    <t>ST &amp; Other Feeders</t>
  </si>
  <si>
    <t>xfers to BD</t>
  </si>
  <si>
    <t>Expected Unserved Energy for each Option (MWh) – SubT Overload (from NDS SUBT EUE model)</t>
  </si>
  <si>
    <t>Value of Expected Unserved Energy for each Option ($k) – SubT Overload</t>
  </si>
  <si>
    <t>2 tx</t>
  </si>
  <si>
    <t>Total EUE (MWh)</t>
  </si>
  <si>
    <t>Total EUE (MWh) - Zone Substations and Sub-Transmission</t>
  </si>
  <si>
    <t>Total EUE (MWh) - Distribution Feeders</t>
  </si>
  <si>
    <t>Total EUE ($k)</t>
  </si>
  <si>
    <t>Total EUE ($k) - Zone Substations and Sub-Transmission</t>
  </si>
  <si>
    <t>Total EUE ($k) - Distribution Feeders</t>
  </si>
  <si>
    <t>Cap</t>
  </si>
  <si>
    <t>for benefits moderation</t>
  </si>
  <si>
    <t>PV Risk Mitigation Option Costs and Timing</t>
  </si>
  <si>
    <t>Evaluation Period</t>
  </si>
  <si>
    <t>CAPEX PV RESULTS $m</t>
  </si>
  <si>
    <t>Capex Costs</t>
  </si>
  <si>
    <t>Opex Costs</t>
  </si>
  <si>
    <t>EUE Costs</t>
  </si>
  <si>
    <t>Year</t>
  </si>
  <si>
    <t>Ratio</t>
  </si>
  <si>
    <t>PV $m</t>
  </si>
  <si>
    <t>Sum $m</t>
  </si>
  <si>
    <t>Solutions</t>
  </si>
  <si>
    <t>Ref.</t>
  </si>
  <si>
    <t>Capex $m</t>
  </si>
  <si>
    <t>Annualised $k</t>
  </si>
  <si>
    <t>Network Limitation</t>
  </si>
  <si>
    <t>Lead Time Years</t>
  </si>
  <si>
    <t>Optimum Timing</t>
  </si>
  <si>
    <t>Options</t>
  </si>
  <si>
    <t>Coolaroo No.1 bus cable transfers</t>
  </si>
  <si>
    <t>8.1.1</t>
  </si>
  <si>
    <t>xxx</t>
  </si>
  <si>
    <t>REFCL1/COO23/COO</t>
  </si>
  <si>
    <t>2,3</t>
  </si>
  <si>
    <t>Coolaroo No.2 bus feeders</t>
  </si>
  <si>
    <t>8.1.2</t>
  </si>
  <si>
    <t>REFCL2/COO23/COO</t>
  </si>
  <si>
    <t>New feeder KLO-023</t>
  </si>
  <si>
    <t>8.1.3</t>
  </si>
  <si>
    <t>Establish new Craigieburn (CBN) zone substation - zone substation works</t>
  </si>
  <si>
    <t>8.2.1</t>
  </si>
  <si>
    <t>ST/OTHER FDRS</t>
  </si>
  <si>
    <t>Establish new Craigieburn (CBN) zone substation - HV feeder works</t>
  </si>
  <si>
    <t>8.2.2</t>
  </si>
  <si>
    <t>New 66/22 kV zone substation at GVE</t>
  </si>
  <si>
    <t>8.3.1</t>
  </si>
  <si>
    <t>New 22 kV feeders at GVE</t>
  </si>
  <si>
    <t>8.3.2</t>
  </si>
  <si>
    <t>Third 66/22 kV transformer at CBN</t>
  </si>
  <si>
    <t>-</t>
  </si>
  <si>
    <t>2b</t>
  </si>
  <si>
    <t>Third 66/22 kV transformer at GVE</t>
  </si>
  <si>
    <t>3b</t>
  </si>
  <si>
    <t>Augment feeder BD0-008</t>
  </si>
  <si>
    <t>8.1.4</t>
  </si>
  <si>
    <t>ST, ST34</t>
  </si>
  <si>
    <t>Base Case NPV ($ million)</t>
  </si>
  <si>
    <t>Table 5‑4: Summary of Option Costs ($M Real 2024)</t>
  </si>
  <si>
    <t xml:space="preserve">PV of Project Capital Cost </t>
  </si>
  <si>
    <t xml:space="preserve">PV of Annual O&amp;M Cost </t>
  </si>
  <si>
    <t>PV of EUE Cost</t>
  </si>
  <si>
    <t xml:space="preserve">PV of Total Costs </t>
  </si>
  <si>
    <t>Ranking</t>
  </si>
  <si>
    <t xml:space="preserve">PV of Capital and O&amp;M Cost </t>
  </si>
  <si>
    <t xml:space="preserve">PV of EUE Benefit </t>
  </si>
  <si>
    <t xml:space="preserve">NPV </t>
  </si>
  <si>
    <t xml:space="preserve">PVR </t>
  </si>
  <si>
    <t>Capital Cost</t>
  </si>
  <si>
    <t>Option 1</t>
  </si>
  <si>
    <t xml:space="preserve">Option total capital cost </t>
  </si>
  <si>
    <t xml:space="preserve">PV of total capital cost </t>
  </si>
  <si>
    <t xml:space="preserve">PV of O&amp;M cost </t>
  </si>
  <si>
    <t>Option 4</t>
  </si>
  <si>
    <t xml:space="preserve">PV of option total capital and O&amp;M cost </t>
  </si>
  <si>
    <t>Option 5</t>
  </si>
  <si>
    <t>Option 6</t>
  </si>
  <si>
    <t>Option 7</t>
  </si>
  <si>
    <t>Sensitivity NPV ($ million)</t>
  </si>
  <si>
    <t>Table ES-1: Summary of Cost-Benefit Analysis ($M Real 2024)</t>
  </si>
  <si>
    <t>Table 6‑1: Summary of NPV Cost-Benefit Analysis ($M Real 2024)</t>
  </si>
  <si>
    <t>Baseline</t>
  </si>
  <si>
    <t>Customer Benefit 10% Lower</t>
  </si>
  <si>
    <t>Customer Benefit 10% Higher</t>
  </si>
  <si>
    <t>Discount Rate 1% Higher</t>
  </si>
  <si>
    <t>Discount Rate 1% Lower</t>
  </si>
  <si>
    <t>Capital Costs 30% Higher</t>
  </si>
  <si>
    <t>Capital Costs 30% Lower</t>
  </si>
  <si>
    <t xml:space="preserve">Total Capital Cost </t>
  </si>
  <si>
    <t xml:space="preserve">Present Value of Capital and O&amp;M Cost </t>
  </si>
  <si>
    <t xml:space="preserve">Present Value of Reliability Benefit </t>
  </si>
  <si>
    <t>Net Present Value (NPV)</t>
  </si>
  <si>
    <t>Option 2 – Craigieburn Plan</t>
  </si>
  <si>
    <t>Option 3 - Greenvale Plan</t>
  </si>
  <si>
    <t>Sensitivity Rank</t>
  </si>
  <si>
    <t>Yellow highlights copied from Sensitivities sheet</t>
  </si>
  <si>
    <t>Table 4‑3: Zone Substation and Sub-transmission Value of Expected Unserved Energy ($k, Real 2024) – Option 1</t>
  </si>
  <si>
    <t>Asset</t>
  </si>
  <si>
    <t>Total</t>
  </si>
  <si>
    <t>Table 4‑4: Distribution Feeder Value of Expected Unserved Energy ($k, Real 2024) – Option 1</t>
  </si>
  <si>
    <t>OPTION 2</t>
  </si>
  <si>
    <t>NPV Capx+Opex</t>
  </si>
  <si>
    <t>M</t>
  </si>
  <si>
    <t>NPV Benefits Option 2</t>
  </si>
  <si>
    <t>Network Augmentation deferral benefits</t>
  </si>
  <si>
    <t>STORAGE OPTION</t>
  </si>
  <si>
    <t>DEMAND RESPONSE</t>
  </si>
  <si>
    <t>Storage Cost</t>
  </si>
  <si>
    <t>XXX</t>
  </si>
  <si>
    <t>Dispatch Cost</t>
  </si>
  <si>
    <t>Installed cost</t>
  </si>
  <si>
    <t>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</si>
</sst>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&quot;$&quot;* #,##0.00_-;\-&quot;$&quot;* #,##0.00_-;_-&quot;$&quot;* &quot;-&quot;??_-;_-@_-"/>
    <numFmt numFmtId="165" formatCode="0.0"/>
    <numFmt numFmtId="166" formatCode="0.0%"/>
    <numFmt numFmtId="167" formatCode="#,##0.0"/>
    <numFmt numFmtId="168" formatCode="_-&quot;$&quot;* #,##0.0_-;\-&quot;$&quot;* #,##0.0_-;_-&quot;$&quot;* &quot;-&quot;??_-;_-@_-"/>
  </numFmts>
  <fonts count="23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6"/>
      <color rgb="FF00000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26BCD7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26CB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 style="medium">
        <color rgb="FF7DCCE0"/>
      </right>
      <top style="medium">
        <color rgb="FF7DCCE0"/>
      </top>
      <bottom style="thick">
        <color rgb="FF7DCCE0"/>
      </bottom>
      <diagonal/>
    </border>
    <border>
      <left/>
      <right/>
      <top style="medium">
        <color rgb="FF7DCCE0"/>
      </top>
      <bottom style="thick">
        <color rgb="FF7DCCE0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/>
      <diagonal/>
    </border>
    <border>
      <left/>
      <right style="medium">
        <color rgb="FF26BCD7"/>
      </right>
      <top/>
      <bottom/>
      <diagonal/>
    </border>
    <border>
      <left style="medium">
        <color rgb="FF26BCD7"/>
      </left>
      <right style="medium">
        <color rgb="FF26BCD7"/>
      </right>
      <top style="thick">
        <color rgb="FF7DCCE0"/>
      </top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/>
      <diagonal/>
    </border>
    <border>
      <left style="medium">
        <color rgb="FF26BCD7"/>
      </left>
      <right/>
      <top style="thick">
        <color rgb="FF7DCCE0"/>
      </top>
      <bottom style="medium">
        <color rgb="FF26BCD7"/>
      </bottom>
      <diagonal/>
    </border>
    <border>
      <left/>
      <right/>
      <top style="thick">
        <color rgb="FF7DCCE0"/>
      </top>
      <bottom style="medium">
        <color rgb="FF26BCD7"/>
      </bottom>
      <diagonal/>
    </border>
    <border>
      <left/>
      <right style="medium">
        <color rgb="FF26BCD7"/>
      </right>
      <top style="thick">
        <color rgb="FF7DCCE0"/>
      </top>
      <bottom style="medium">
        <color rgb="FF26BCD7"/>
      </bottom>
      <diagonal/>
    </border>
    <border>
      <left/>
      <right/>
      <top/>
      <bottom style="medium">
        <color rgb="FF26BC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7DCCE0"/>
      </right>
      <top/>
      <bottom style="medium">
        <color rgb="FF7DCCE0"/>
      </bottom>
      <diagonal/>
    </border>
    <border>
      <left/>
      <right style="medium">
        <color rgb="FF7DCCE0"/>
      </right>
      <top/>
      <bottom style="thick">
        <color rgb="FF26BCD7"/>
      </bottom>
      <diagonal/>
    </border>
    <border>
      <left/>
      <right/>
      <top/>
      <bottom style="medium">
        <color rgb="FF7DCCE0"/>
      </bottom>
      <diagonal/>
    </border>
  </borders>
  <cellStyleXfs count="3">
    <xf numFmtId="0" fontId="0" fillId="0" borderId="0"/>
    <xf numFmtId="0" fontId="13" fillId="0" borderId="0"/>
    <xf numFmtId="164" fontId="18" fillId="0" borderId="0" applyFont="0" applyFill="0" applyBorder="0" applyAlignment="0" applyProtection="0"/>
  </cellStyleXfs>
  <cellXfs count="174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5" fontId="1" fillId="0" borderId="4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7" fillId="0" borderId="0" xfId="0" applyFont="1"/>
    <xf numFmtId="0" fontId="6" fillId="0" borderId="0" xfId="0" applyFont="1"/>
    <xf numFmtId="165" fontId="0" fillId="0" borderId="0" xfId="0" applyNumberFormat="1"/>
    <xf numFmtId="1" fontId="1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left" vertical="center" wrapText="1"/>
    </xf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left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166" fontId="3" fillId="0" borderId="4" xfId="0" applyNumberFormat="1" applyFont="1" applyBorder="1" applyAlignment="1">
      <alignment horizontal="center" vertical="center" wrapText="1"/>
    </xf>
    <xf numFmtId="165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/>
    <xf numFmtId="167" fontId="1" fillId="0" borderId="4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wrapText="1"/>
    </xf>
    <xf numFmtId="1" fontId="1" fillId="0" borderId="3" xfId="0" applyNumberFormat="1" applyFont="1" applyBorder="1" applyAlignment="1">
      <alignment horizontal="left" vertical="center"/>
    </xf>
    <xf numFmtId="167" fontId="1" fillId="4" borderId="4" xfId="0" applyNumberFormat="1" applyFont="1" applyFill="1" applyBorder="1" applyAlignment="1">
      <alignment horizontal="left" vertical="center" wrapText="1"/>
    </xf>
    <xf numFmtId="0" fontId="11" fillId="0" borderId="0" xfId="0" applyFont="1"/>
    <xf numFmtId="1" fontId="1" fillId="0" borderId="4" xfId="0" applyNumberFormat="1" applyFont="1" applyBorder="1" applyAlignment="1">
      <alignment horizontal="center" vertical="center" wrapText="1"/>
    </xf>
    <xf numFmtId="0" fontId="6" fillId="5" borderId="13" xfId="0" applyFont="1" applyFill="1" applyBorder="1"/>
    <xf numFmtId="0" fontId="6" fillId="5" borderId="13" xfId="0" applyFont="1" applyFill="1" applyBorder="1" applyAlignment="1">
      <alignment horizontal="center"/>
    </xf>
    <xf numFmtId="1" fontId="6" fillId="5" borderId="15" xfId="0" applyNumberFormat="1" applyFont="1" applyFill="1" applyBorder="1" applyAlignment="1">
      <alignment horizontal="center"/>
    </xf>
    <xf numFmtId="1" fontId="6" fillId="5" borderId="16" xfId="0" applyNumberFormat="1" applyFont="1" applyFill="1" applyBorder="1" applyAlignment="1">
      <alignment horizontal="center"/>
    </xf>
    <xf numFmtId="1" fontId="6" fillId="5" borderId="13" xfId="0" applyNumberFormat="1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 wrapText="1"/>
    </xf>
    <xf numFmtId="0" fontId="0" fillId="0" borderId="19" xfId="0" applyBorder="1"/>
    <xf numFmtId="165" fontId="0" fillId="0" borderId="19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5" fontId="6" fillId="5" borderId="13" xfId="0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6" fillId="5" borderId="23" xfId="0" applyNumberFormat="1" applyFont="1" applyFill="1" applyBorder="1" applyAlignment="1">
      <alignment horizontal="center"/>
    </xf>
    <xf numFmtId="1" fontId="6" fillId="5" borderId="24" xfId="0" applyNumberFormat="1" applyFont="1" applyFill="1" applyBorder="1" applyAlignment="1">
      <alignment horizontal="center"/>
    </xf>
    <xf numFmtId="0" fontId="0" fillId="0" borderId="0" xfId="0" quotePrefix="1" applyAlignment="1">
      <alignment horizontal="center"/>
    </xf>
    <xf numFmtId="9" fontId="6" fillId="0" borderId="17" xfId="0" applyNumberFormat="1" applyFont="1" applyBorder="1" applyAlignment="1">
      <alignment horizontal="center"/>
    </xf>
    <xf numFmtId="9" fontId="6" fillId="5" borderId="13" xfId="0" applyNumberFormat="1" applyFont="1" applyFill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0" borderId="0" xfId="0" applyNumberFormat="1"/>
    <xf numFmtId="0" fontId="6" fillId="0" borderId="17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quotePrefix="1" applyAlignment="1">
      <alignment horizontal="left" wrapText="1"/>
    </xf>
    <xf numFmtId="2" fontId="1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Alignment="1">
      <alignment horizontal="left" vertical="center"/>
    </xf>
    <xf numFmtId="167" fontId="3" fillId="0" borderId="4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165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167" fontId="3" fillId="0" borderId="25" xfId="0" applyNumberFormat="1" applyFont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167" fontId="1" fillId="0" borderId="25" xfId="0" applyNumberFormat="1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167" fontId="1" fillId="0" borderId="26" xfId="0" applyNumberFormat="1" applyFont="1" applyBorder="1" applyAlignment="1">
      <alignment horizontal="center" vertical="center" wrapText="1"/>
    </xf>
    <xf numFmtId="1" fontId="1" fillId="0" borderId="26" xfId="0" applyNumberFormat="1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1" fillId="0" borderId="25" xfId="0" applyNumberFormat="1" applyFont="1" applyBorder="1" applyAlignment="1">
      <alignment horizontal="center" vertical="center" wrapText="1"/>
    </xf>
    <xf numFmtId="3" fontId="3" fillId="0" borderId="2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168" fontId="0" fillId="0" borderId="0" xfId="2" applyNumberFormat="1" applyFont="1"/>
    <xf numFmtId="3" fontId="1" fillId="0" borderId="26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0" fillId="0" borderId="13" xfId="0" applyBorder="1"/>
    <xf numFmtId="0" fontId="6" fillId="0" borderId="0" xfId="0" applyFont="1" applyAlignment="1">
      <alignment horizontal="right"/>
    </xf>
    <xf numFmtId="165" fontId="6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165" fontId="0" fillId="0" borderId="13" xfId="0" applyNumberFormat="1" applyBorder="1"/>
    <xf numFmtId="4" fontId="0" fillId="0" borderId="13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0" fontId="6" fillId="6" borderId="0" xfId="0" applyFont="1" applyFill="1"/>
    <xf numFmtId="0" fontId="0" fillId="6" borderId="0" xfId="0" applyFill="1"/>
    <xf numFmtId="165" fontId="0" fillId="6" borderId="0" xfId="0" applyNumberFormat="1" applyFill="1"/>
    <xf numFmtId="0" fontId="0" fillId="6" borderId="0" xfId="0" applyFill="1" applyAlignment="1">
      <alignment horizontal="center"/>
    </xf>
    <xf numFmtId="165" fontId="0" fillId="6" borderId="0" xfId="0" applyNumberFormat="1" applyFill="1" applyAlignment="1">
      <alignment horizontal="center"/>
    </xf>
    <xf numFmtId="165" fontId="0" fillId="0" borderId="14" xfId="0" applyNumberFormat="1" applyBorder="1" applyAlignment="1">
      <alignment horizontal="left"/>
    </xf>
    <xf numFmtId="165" fontId="0" fillId="0" borderId="15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165" fontId="16" fillId="0" borderId="14" xfId="0" applyNumberFormat="1" applyFont="1" applyBorder="1" applyAlignment="1">
      <alignment horizontal="left"/>
    </xf>
    <xf numFmtId="165" fontId="16" fillId="0" borderId="15" xfId="0" applyNumberFormat="1" applyFont="1" applyBorder="1" applyAlignment="1">
      <alignment horizontal="center"/>
    </xf>
    <xf numFmtId="165" fontId="16" fillId="0" borderId="16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3" xfId="0" applyFont="1" applyBorder="1"/>
    <xf numFmtId="0" fontId="16" fillId="0" borderId="13" xfId="0" applyFont="1" applyBorder="1" applyAlignment="1">
      <alignment horizontal="center"/>
    </xf>
    <xf numFmtId="1" fontId="16" fillId="0" borderId="0" xfId="0" applyNumberFormat="1" applyFont="1"/>
    <xf numFmtId="0" fontId="1" fillId="0" borderId="7" xfId="0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6" fontId="0" fillId="0" borderId="13" xfId="0" applyNumberFormat="1" applyBorder="1"/>
    <xf numFmtId="0" fontId="16" fillId="0" borderId="0" xfId="0" applyFont="1"/>
    <xf numFmtId="0" fontId="15" fillId="0" borderId="0" xfId="0" applyFont="1"/>
    <xf numFmtId="10" fontId="0" fillId="0" borderId="0" xfId="0" applyNumberFormat="1"/>
    <xf numFmtId="168" fontId="0" fillId="0" borderId="0" xfId="0" applyNumberFormat="1"/>
    <xf numFmtId="168" fontId="0" fillId="0" borderId="0" xfId="2" applyNumberFormat="1" applyFont="1" applyFill="1"/>
    <xf numFmtId="164" fontId="0" fillId="0" borderId="0" xfId="2" applyFont="1" applyFill="1"/>
    <xf numFmtId="165" fontId="16" fillId="7" borderId="13" xfId="0" applyNumberFormat="1" applyFont="1" applyFill="1" applyBorder="1" applyAlignment="1">
      <alignment horizontal="center"/>
    </xf>
    <xf numFmtId="165" fontId="3" fillId="0" borderId="4" xfId="0" applyNumberFormat="1" applyFont="1" applyBorder="1" applyAlignment="1">
      <alignment horizontal="center" vertical="center" wrapText="1"/>
    </xf>
    <xf numFmtId="168" fontId="0" fillId="7" borderId="0" xfId="2" applyNumberFormat="1" applyFont="1" applyFill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0" xfId="0" applyFill="1" applyAlignment="1">
      <alignment horizontal="center"/>
    </xf>
  </cellXfs>
  <cellStyles count="3">
    <cellStyle name="Currency" xfId="2" builtinId="4"/>
    <cellStyle name="Normal" xfId="0" builtinId="0"/>
    <cellStyle name="Normal 2" xfId="1" xr:uid="{FD677EB4-73AF-4101-97F9-B8EFA6562193}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3981CD54-369C-4941-A1D5-411AB5E4482E}"/>
  </tableStyles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cantero\OneDrive%20-%20onlineeportal\Documents\Temp\ELE-999-PA-EL-003%2011kV%20Central%20Area%20NDS.xlsx" TargetMode="External"/><Relationship Id="rId1" Type="http://schemas.openxmlformats.org/officeDocument/2006/relationships/externalLinkPath" Target="file:///C:\Users\scantero\OneDrive%20-%20onlineeportal\Documents\Temp\ELE-999-PA-EL-003%2011kV%20Central%20Area%20N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tings"/>
      <sheetName val="Customers"/>
      <sheetName val="Population"/>
      <sheetName val="Historical"/>
      <sheetName val="Summer 10PoE"/>
      <sheetName val="Winter 10PoE"/>
      <sheetName val="Summer 50PoE"/>
      <sheetName val="Winter 50PoE"/>
      <sheetName val="EUE"/>
      <sheetName val="Costs"/>
      <sheetName val="NPV"/>
      <sheetName val="Non-Network Option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0.bin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4.bin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8.bin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62764-8918-40BE-93A2-49D756F6AD2F}">
  <sheetPr codeName="Sheet1">
    <tabColor theme="5" tint="-0.499984740745262"/>
  </sheetPr>
  <dimension ref="A1:J82"/>
  <sheetViews>
    <sheetView topLeftCell="A20" zoomScale="70" zoomScaleNormal="70" workbookViewId="0">
      <selection activeCell="J29" sqref="J29"/>
    </sheetView>
  </sheetViews>
  <sheetFormatPr defaultRowHeight="14.1" customHeight="1"/>
  <cols>
    <col min="1" max="1" width="29.7109375" customWidth="1"/>
    <col min="2" max="7" width="12.7109375" customWidth="1"/>
    <col min="8" max="8" width="27.42578125" bestFit="1" customWidth="1"/>
    <col min="9" max="22" width="12.7109375" customWidth="1"/>
  </cols>
  <sheetData>
    <row r="1" spans="1:10" ht="14.1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H1" s="1" t="s">
        <v>5</v>
      </c>
      <c r="I1" s="2" t="s">
        <v>6</v>
      </c>
      <c r="J1" s="2" t="s">
        <v>7</v>
      </c>
    </row>
    <row r="2" spans="1:10" ht="14.1" customHeight="1" thickTop="1" thickBot="1">
      <c r="A2" s="4" t="s">
        <v>8</v>
      </c>
      <c r="B2" s="11">
        <v>95.2</v>
      </c>
      <c r="C2" s="11">
        <v>95.2</v>
      </c>
      <c r="D2" s="11">
        <v>79.7</v>
      </c>
      <c r="E2" s="11">
        <v>89.3</v>
      </c>
      <c r="H2" s="4" t="s">
        <v>9</v>
      </c>
      <c r="I2" s="151">
        <v>14.289419162443236</v>
      </c>
      <c r="J2" s="151">
        <v>14.289419162443236</v>
      </c>
    </row>
    <row r="3" spans="1:10" ht="14.1" customHeight="1" thickBot="1">
      <c r="A3" s="4" t="s">
        <v>10</v>
      </c>
      <c r="B3" s="11">
        <v>66</v>
      </c>
      <c r="C3" s="11">
        <v>66</v>
      </c>
      <c r="D3" s="11">
        <v>49.1</v>
      </c>
      <c r="E3" s="11">
        <v>49.1</v>
      </c>
      <c r="H3" s="4" t="s">
        <v>11</v>
      </c>
      <c r="I3" s="151">
        <v>22.482019482244024</v>
      </c>
      <c r="J3" s="151">
        <v>22.482019482244024</v>
      </c>
    </row>
    <row r="4" spans="1:10" ht="14.1" customHeight="1" thickBot="1">
      <c r="A4" s="4" t="s">
        <v>12</v>
      </c>
      <c r="B4" s="11">
        <v>123</v>
      </c>
      <c r="C4" s="11">
        <v>123</v>
      </c>
      <c r="D4" s="11">
        <v>123.7</v>
      </c>
      <c r="E4" s="11">
        <v>125.1</v>
      </c>
      <c r="H4" s="4" t="s">
        <v>13</v>
      </c>
      <c r="I4" s="151">
        <v>11.6</v>
      </c>
      <c r="J4" s="151">
        <v>11.6</v>
      </c>
    </row>
    <row r="5" spans="1:10" ht="14.1" customHeight="1" thickBot="1">
      <c r="A5" s="4" t="s">
        <v>14</v>
      </c>
      <c r="B5" s="11">
        <v>46.5</v>
      </c>
      <c r="C5" s="11">
        <v>47.6</v>
      </c>
      <c r="D5" s="11">
        <v>38</v>
      </c>
      <c r="E5" s="11">
        <v>39.6</v>
      </c>
      <c r="H5" s="4" t="s">
        <v>15</v>
      </c>
      <c r="I5" s="151">
        <v>22.482019482244024</v>
      </c>
      <c r="J5" s="151">
        <v>22.482019482244024</v>
      </c>
    </row>
    <row r="6" spans="1:10" ht="14.1" customHeight="1" thickBot="1">
      <c r="A6" s="4"/>
      <c r="B6" s="11"/>
      <c r="C6" s="11"/>
      <c r="D6" s="11"/>
      <c r="E6" s="11"/>
      <c r="H6" s="4" t="s">
        <v>16</v>
      </c>
      <c r="I6" s="151">
        <v>11.622060918787167</v>
      </c>
      <c r="J6" s="151">
        <v>11.622060918787167</v>
      </c>
    </row>
    <row r="7" spans="1:10" ht="14.1" customHeight="1" thickBot="1">
      <c r="A7" s="4" t="s">
        <v>17</v>
      </c>
      <c r="B7" s="11">
        <v>66</v>
      </c>
      <c r="C7" s="11">
        <v>66</v>
      </c>
      <c r="D7" s="11">
        <v>38</v>
      </c>
      <c r="E7" s="11">
        <v>39.6</v>
      </c>
      <c r="H7" s="4" t="s">
        <v>18</v>
      </c>
      <c r="I7" s="151">
        <v>13.146265629447777</v>
      </c>
      <c r="J7" s="151">
        <v>13.146265629447777</v>
      </c>
    </row>
    <row r="8" spans="1:10" ht="14.1" customHeight="1" thickBot="1">
      <c r="A8" s="4"/>
      <c r="B8" s="11"/>
      <c r="C8" s="11"/>
      <c r="D8" s="11"/>
      <c r="E8" s="11"/>
      <c r="H8" s="4" t="s">
        <v>19</v>
      </c>
      <c r="I8" s="151">
        <v>12.003112096452318</v>
      </c>
      <c r="J8" s="151">
        <v>12.003112096452318</v>
      </c>
    </row>
    <row r="9" spans="1:10" ht="14.1" customHeight="1" thickBot="1">
      <c r="A9" s="4" t="s">
        <v>20</v>
      </c>
      <c r="B9" s="11">
        <v>66</v>
      </c>
      <c r="C9" s="11">
        <v>66</v>
      </c>
      <c r="D9" s="11">
        <v>38</v>
      </c>
      <c r="E9" s="11">
        <v>39.6</v>
      </c>
      <c r="H9" s="4" t="s">
        <v>21</v>
      </c>
      <c r="I9" s="151">
        <v>12.003112096452318</v>
      </c>
      <c r="J9" s="151">
        <v>12.003112096452318</v>
      </c>
    </row>
    <row r="10" spans="1:10" ht="14.1" customHeight="1" thickBot="1">
      <c r="A10" s="4" t="s">
        <v>22</v>
      </c>
      <c r="B10" s="11">
        <v>66</v>
      </c>
      <c r="C10" s="11">
        <v>66</v>
      </c>
      <c r="D10" s="11">
        <v>38</v>
      </c>
      <c r="E10" s="11">
        <v>39.6</v>
      </c>
      <c r="H10" s="4" t="s">
        <v>23</v>
      </c>
      <c r="I10" s="151">
        <v>10.859958563456859</v>
      </c>
      <c r="J10" s="151">
        <v>10.859958563456859</v>
      </c>
    </row>
    <row r="11" spans="1:10" ht="14.1" customHeight="1" thickBot="1">
      <c r="A11" s="4"/>
      <c r="B11" s="11"/>
      <c r="C11" s="11"/>
      <c r="D11" s="11"/>
      <c r="E11" s="11"/>
      <c r="H11" s="4" t="s">
        <v>24</v>
      </c>
      <c r="I11" s="151">
        <v>14.3</v>
      </c>
      <c r="J11" s="151">
        <v>14.3</v>
      </c>
    </row>
    <row r="12" spans="1:10" ht="14.1" customHeight="1" thickBot="1">
      <c r="A12" s="4"/>
      <c r="B12" s="11"/>
      <c r="C12" s="11"/>
      <c r="D12" s="11"/>
      <c r="E12" s="11"/>
      <c r="H12" s="4" t="s">
        <v>25</v>
      </c>
      <c r="I12" s="151">
        <v>12.003112096452318</v>
      </c>
      <c r="J12" s="151">
        <v>12.003112096452318</v>
      </c>
    </row>
    <row r="13" spans="1:10" ht="14.1" customHeight="1" thickBot="1">
      <c r="A13" s="4"/>
      <c r="B13" s="11"/>
      <c r="C13" s="11"/>
      <c r="D13" s="11"/>
      <c r="E13" s="11"/>
      <c r="H13" s="4" t="s">
        <v>26</v>
      </c>
      <c r="I13" s="151">
        <v>12.003112096452318</v>
      </c>
      <c r="J13" s="151">
        <v>12.003112096452318</v>
      </c>
    </row>
    <row r="14" spans="1:10" ht="14.1" customHeight="1" thickBot="1">
      <c r="A14" s="4"/>
      <c r="B14" s="11"/>
      <c r="C14" s="11"/>
      <c r="D14" s="11"/>
      <c r="E14" s="11"/>
      <c r="H14" s="4" t="s">
        <v>27</v>
      </c>
      <c r="I14" s="151">
        <v>14.289419162443236</v>
      </c>
      <c r="J14" s="151">
        <v>14.289419162443236</v>
      </c>
    </row>
    <row r="15" spans="1:10" ht="14.1" customHeight="1" thickBot="1">
      <c r="A15" s="4"/>
      <c r="B15" s="11"/>
      <c r="C15" s="11"/>
      <c r="D15" s="11"/>
      <c r="E15" s="11"/>
      <c r="H15" s="4" t="s">
        <v>28</v>
      </c>
      <c r="I15" s="151">
        <v>12.003112096452318</v>
      </c>
      <c r="J15" s="151">
        <v>12.003112096452318</v>
      </c>
    </row>
    <row r="16" spans="1:10" ht="14.1" customHeight="1" thickBot="1">
      <c r="A16" s="4"/>
      <c r="B16" s="11"/>
      <c r="C16" s="11"/>
      <c r="D16" s="11"/>
      <c r="E16" s="11"/>
      <c r="H16" s="4" t="s">
        <v>29</v>
      </c>
      <c r="I16" s="151">
        <v>14.289419162443236</v>
      </c>
      <c r="J16" s="151">
        <v>14.289419162443236</v>
      </c>
    </row>
    <row r="17" spans="1:10" ht="14.1" customHeight="1" thickBot="1">
      <c r="A17" s="4"/>
      <c r="B17" s="11"/>
      <c r="C17" s="11"/>
      <c r="D17" s="11"/>
      <c r="E17" s="11"/>
      <c r="H17" s="4" t="s">
        <v>30</v>
      </c>
      <c r="I17" s="151">
        <v>12.193637685284894</v>
      </c>
      <c r="J17" s="151">
        <v>12.193637685284894</v>
      </c>
    </row>
    <row r="18" spans="1:10" ht="14.1" customHeight="1" thickBot="1">
      <c r="A18" s="4"/>
      <c r="B18" s="11"/>
      <c r="C18" s="11"/>
      <c r="D18" s="11"/>
      <c r="E18" s="11"/>
      <c r="H18" s="4" t="s">
        <v>31</v>
      </c>
      <c r="I18" s="151">
        <v>14.289419162443236</v>
      </c>
      <c r="J18" s="151">
        <v>14.5</v>
      </c>
    </row>
    <row r="19" spans="1:10" ht="14.1" customHeight="1" thickBot="1">
      <c r="A19" s="4"/>
      <c r="B19" s="11"/>
      <c r="C19" s="11"/>
      <c r="D19" s="11"/>
      <c r="E19" s="11"/>
      <c r="H19" s="4" t="s">
        <v>32</v>
      </c>
      <c r="I19" s="151">
        <v>14.289419162443236</v>
      </c>
      <c r="J19" s="151">
        <v>14.5</v>
      </c>
    </row>
    <row r="20" spans="1:10" ht="14.1" customHeight="1" thickBot="1">
      <c r="H20" s="4" t="s">
        <v>33</v>
      </c>
      <c r="I20" s="151">
        <v>14.289419162443236</v>
      </c>
      <c r="J20" s="151">
        <v>14.289419162443236</v>
      </c>
    </row>
    <row r="21" spans="1:10" ht="14.1" customHeight="1" thickBot="1">
      <c r="A21" s="1" t="s">
        <v>34</v>
      </c>
      <c r="B21" s="3" t="s">
        <v>6</v>
      </c>
      <c r="C21" s="3" t="s">
        <v>7</v>
      </c>
      <c r="D21" s="3" t="s">
        <v>35</v>
      </c>
      <c r="G21" s="9"/>
      <c r="H21" s="4" t="s">
        <v>36</v>
      </c>
      <c r="I21" s="151">
        <v>14.289419162443236</v>
      </c>
      <c r="J21" s="151">
        <v>14.289419162443236</v>
      </c>
    </row>
    <row r="22" spans="1:10" ht="14.1" customHeight="1" thickTop="1" thickBot="1">
      <c r="A22" s="142"/>
      <c r="B22" s="143"/>
      <c r="C22" s="143"/>
      <c r="D22" s="144" t="s">
        <v>37</v>
      </c>
      <c r="G22" s="26"/>
      <c r="H22" s="4" t="s">
        <v>38</v>
      </c>
      <c r="I22" s="151">
        <v>22.482019482244024</v>
      </c>
      <c r="J22" s="151">
        <v>22.6</v>
      </c>
    </row>
    <row r="23" spans="1:10" ht="14.1" customHeight="1" thickBot="1">
      <c r="A23" s="145"/>
      <c r="B23" s="143"/>
      <c r="C23" s="143"/>
      <c r="D23" s="144" t="s">
        <v>39</v>
      </c>
      <c r="G23" s="26"/>
      <c r="H23" s="4" t="s">
        <v>40</v>
      </c>
      <c r="I23" s="151">
        <v>14.289419162443236</v>
      </c>
      <c r="J23" s="151">
        <v>14.6</v>
      </c>
    </row>
    <row r="24" spans="1:10" ht="14.1" customHeight="1" thickBot="1">
      <c r="A24" s="145"/>
      <c r="B24" s="26"/>
      <c r="C24" s="26"/>
      <c r="D24" s="146"/>
      <c r="G24" s="26"/>
      <c r="H24" s="4" t="s">
        <v>41</v>
      </c>
      <c r="I24" s="151">
        <v>14.289419162443236</v>
      </c>
      <c r="J24" s="151">
        <v>14.289419162443236</v>
      </c>
    </row>
    <row r="25" spans="1:10" ht="14.1" customHeight="1" thickBot="1">
      <c r="A25" s="4"/>
      <c r="B25" s="11"/>
      <c r="C25" s="11"/>
      <c r="D25" s="147"/>
      <c r="G25" s="25"/>
      <c r="H25" s="4" t="s">
        <v>42</v>
      </c>
      <c r="I25" s="151">
        <v>14.289419162443236</v>
      </c>
      <c r="J25" s="151">
        <v>14.289419162443236</v>
      </c>
    </row>
    <row r="26" spans="1:10" ht="14.1" customHeight="1" thickTop="1" thickBot="1">
      <c r="A26" s="142"/>
      <c r="B26" s="143"/>
      <c r="C26" s="143"/>
      <c r="D26" s="144" t="s">
        <v>37</v>
      </c>
      <c r="G26" s="25"/>
      <c r="H26" s="4" t="s">
        <v>43</v>
      </c>
      <c r="I26" s="151">
        <v>14.289419162443236</v>
      </c>
      <c r="J26" s="151">
        <v>14.289419162443236</v>
      </c>
    </row>
    <row r="27" spans="1:10" ht="14.1" customHeight="1" thickBot="1">
      <c r="A27" s="145"/>
      <c r="B27" s="143"/>
      <c r="C27" s="143"/>
      <c r="D27" s="144" t="s">
        <v>39</v>
      </c>
      <c r="G27" s="26"/>
      <c r="H27" s="4" t="s">
        <v>44</v>
      </c>
      <c r="I27" s="151">
        <v>22.482019482244024</v>
      </c>
      <c r="J27" s="151">
        <v>22.482019482244024</v>
      </c>
    </row>
    <row r="28" spans="1:10" ht="14.1" customHeight="1" thickBot="1">
      <c r="A28" s="145"/>
      <c r="B28" s="26"/>
      <c r="C28" s="26"/>
      <c r="D28" s="146"/>
      <c r="G28" s="26"/>
      <c r="H28" s="4" t="s">
        <v>45</v>
      </c>
      <c r="I28" s="151">
        <v>22.482019482244024</v>
      </c>
      <c r="J28" s="151">
        <v>22.482019482244024</v>
      </c>
    </row>
    <row r="29" spans="1:10" ht="14.1" customHeight="1" thickBot="1">
      <c r="A29" s="4"/>
      <c r="B29" s="11"/>
      <c r="C29" s="11"/>
      <c r="D29" s="147"/>
      <c r="G29" s="16"/>
      <c r="H29" s="4" t="s">
        <v>46</v>
      </c>
      <c r="I29" s="151">
        <v>14.289419162443236</v>
      </c>
      <c r="J29" s="151">
        <v>14.289419162443236</v>
      </c>
    </row>
    <row r="30" spans="1:10" ht="14.1" customHeight="1" thickBot="1">
      <c r="A30" s="148"/>
      <c r="B30" s="143"/>
      <c r="C30" s="143"/>
      <c r="D30" s="144" t="s">
        <v>37</v>
      </c>
      <c r="G30" s="16"/>
      <c r="H30" s="4" t="s">
        <v>47</v>
      </c>
      <c r="I30" s="151">
        <v>22.482019482244024</v>
      </c>
      <c r="J30" s="151">
        <v>22.482019482244024</v>
      </c>
    </row>
    <row r="31" spans="1:10" ht="14.1" customHeight="1" thickBot="1">
      <c r="A31" s="145"/>
      <c r="B31" s="143"/>
      <c r="C31" s="143"/>
      <c r="D31" s="144" t="s">
        <v>39</v>
      </c>
      <c r="G31" s="16"/>
      <c r="H31" s="4" t="s">
        <v>48</v>
      </c>
      <c r="I31" s="151">
        <v>12.384163274117471</v>
      </c>
      <c r="J31" s="151">
        <v>12.6</v>
      </c>
    </row>
    <row r="32" spans="1:10" ht="14.1" customHeight="1" thickBot="1">
      <c r="A32" s="145"/>
      <c r="B32" s="26"/>
      <c r="C32" s="26"/>
      <c r="D32" s="146"/>
      <c r="G32" s="16"/>
      <c r="H32" s="4" t="s">
        <v>49</v>
      </c>
      <c r="I32" s="151">
        <v>12.5</v>
      </c>
      <c r="J32" s="151">
        <v>12.5</v>
      </c>
    </row>
    <row r="33" spans="1:10" ht="14.1" customHeight="1" thickBot="1">
      <c r="A33" s="145"/>
      <c r="B33" s="26"/>
      <c r="C33" s="26"/>
      <c r="D33" s="149"/>
      <c r="G33" s="27"/>
      <c r="H33" s="4" t="s">
        <v>50</v>
      </c>
      <c r="I33" s="151">
        <v>14.289419162443236</v>
      </c>
      <c r="J33" s="151">
        <v>14.289419162443236</v>
      </c>
    </row>
    <row r="34" spans="1:10" ht="14.1" customHeight="1" thickBot="1">
      <c r="A34" s="145"/>
      <c r="B34" s="26"/>
      <c r="C34" s="26"/>
      <c r="D34" s="149"/>
      <c r="G34" s="27"/>
      <c r="H34" s="4"/>
      <c r="I34" s="151"/>
      <c r="J34" s="151"/>
    </row>
    <row r="35" spans="1:10" ht="14.1" customHeight="1" thickBot="1">
      <c r="A35" s="145"/>
      <c r="B35" s="26"/>
      <c r="C35" s="26"/>
      <c r="D35" s="149"/>
      <c r="G35" s="27"/>
      <c r="H35" s="4" t="s">
        <v>51</v>
      </c>
      <c r="I35" s="151">
        <v>12.7</v>
      </c>
      <c r="J35" s="151">
        <v>12.7</v>
      </c>
    </row>
    <row r="36" spans="1:10" ht="14.1" customHeight="1" thickBot="1">
      <c r="A36" s="4"/>
      <c r="B36" s="11"/>
      <c r="C36" s="11"/>
      <c r="D36" s="150"/>
      <c r="G36" s="27"/>
      <c r="H36" s="4" t="s">
        <v>52</v>
      </c>
      <c r="I36" s="151">
        <v>12.7</v>
      </c>
      <c r="J36" s="151">
        <v>12.7</v>
      </c>
    </row>
    <row r="37" spans="1:10" ht="14.1" customHeight="1" thickBot="1">
      <c r="A37" s="148" t="s">
        <v>53</v>
      </c>
      <c r="B37" s="143"/>
      <c r="C37" s="143"/>
      <c r="D37" s="144" t="s">
        <v>37</v>
      </c>
      <c r="G37" s="27"/>
      <c r="H37" s="4" t="s">
        <v>54</v>
      </c>
      <c r="I37" s="151">
        <v>13.7</v>
      </c>
      <c r="J37" s="151">
        <v>14.5</v>
      </c>
    </row>
    <row r="38" spans="1:10" ht="14.1" customHeight="1" thickBot="1">
      <c r="A38" s="145"/>
      <c r="B38" s="143">
        <v>117.2</v>
      </c>
      <c r="C38" s="143">
        <v>126.3</v>
      </c>
      <c r="D38" s="144" t="s">
        <v>39</v>
      </c>
      <c r="G38" s="27"/>
      <c r="H38" s="4" t="s">
        <v>55</v>
      </c>
      <c r="I38" s="151">
        <v>13.7</v>
      </c>
      <c r="J38" s="151">
        <v>13.7</v>
      </c>
    </row>
    <row r="39" spans="1:10" ht="14.1" customHeight="1" thickBot="1">
      <c r="A39" s="145"/>
      <c r="B39" s="26">
        <v>117.2</v>
      </c>
      <c r="C39" s="26">
        <v>126.3</v>
      </c>
      <c r="D39" s="149" t="s">
        <v>56</v>
      </c>
      <c r="G39" s="27"/>
      <c r="H39" s="4" t="s">
        <v>57</v>
      </c>
      <c r="I39" s="151">
        <v>13.7</v>
      </c>
      <c r="J39" s="151">
        <v>13.7</v>
      </c>
    </row>
    <row r="40" spans="1:10" ht="14.1" customHeight="1" thickBot="1">
      <c r="A40" s="145"/>
      <c r="B40" s="26">
        <v>117.2</v>
      </c>
      <c r="C40" s="26">
        <v>126.3</v>
      </c>
      <c r="D40" s="149" t="s">
        <v>58</v>
      </c>
      <c r="G40" s="27"/>
      <c r="H40" s="4" t="s">
        <v>59</v>
      </c>
      <c r="I40" s="151">
        <v>13.7</v>
      </c>
      <c r="J40" s="151">
        <v>14.5</v>
      </c>
    </row>
    <row r="41" spans="1:10" ht="14.1" customHeight="1" thickBot="1">
      <c r="A41" s="4"/>
      <c r="B41" s="11">
        <v>142</v>
      </c>
      <c r="C41" s="11">
        <v>182</v>
      </c>
      <c r="D41" s="150" t="s">
        <v>60</v>
      </c>
      <c r="G41" s="27"/>
      <c r="H41" s="4" t="s">
        <v>61</v>
      </c>
      <c r="I41" s="151">
        <v>0</v>
      </c>
      <c r="J41" s="151">
        <v>0</v>
      </c>
    </row>
    <row r="42" spans="1:10" ht="14.1" customHeight="1" thickBot="1">
      <c r="A42" s="148"/>
      <c r="B42" s="143"/>
      <c r="C42" s="143"/>
      <c r="D42" s="144" t="s">
        <v>37</v>
      </c>
      <c r="G42" s="27"/>
      <c r="H42" s="4" t="s">
        <v>62</v>
      </c>
      <c r="I42" s="151">
        <v>14.3</v>
      </c>
      <c r="J42" s="151">
        <v>14.3</v>
      </c>
    </row>
    <row r="43" spans="1:10" ht="14.1" customHeight="1" thickBot="1">
      <c r="A43" s="145"/>
      <c r="B43" s="143"/>
      <c r="C43" s="143"/>
      <c r="D43" s="144" t="s">
        <v>39</v>
      </c>
      <c r="F43" s="12"/>
      <c r="G43" s="12"/>
      <c r="H43" s="4" t="s">
        <v>63</v>
      </c>
      <c r="I43" s="151">
        <v>14.3</v>
      </c>
      <c r="J43" s="151">
        <v>14.3</v>
      </c>
    </row>
    <row r="44" spans="1:10" ht="14.1" customHeight="1" thickBot="1">
      <c r="A44" s="145"/>
      <c r="B44" s="26"/>
      <c r="C44" s="26"/>
      <c r="D44" s="149"/>
      <c r="H44" s="4" t="s">
        <v>64</v>
      </c>
      <c r="I44" s="151">
        <v>12.7</v>
      </c>
      <c r="J44" s="151">
        <v>12.7</v>
      </c>
    </row>
    <row r="45" spans="1:10" ht="14.1" customHeight="1" thickBot="1">
      <c r="A45" s="145"/>
      <c r="B45" s="26"/>
      <c r="C45" s="26"/>
      <c r="D45" s="149"/>
      <c r="H45" s="4" t="s">
        <v>65</v>
      </c>
      <c r="I45" s="151">
        <v>12.7</v>
      </c>
      <c r="J45" s="151">
        <v>12.7</v>
      </c>
    </row>
    <row r="46" spans="1:10" ht="14.1" customHeight="1" thickBot="1">
      <c r="A46" s="145"/>
      <c r="B46" s="26"/>
      <c r="C46" s="26"/>
      <c r="D46" s="149"/>
      <c r="H46" s="4" t="s">
        <v>66</v>
      </c>
      <c r="I46" s="151">
        <v>12.7</v>
      </c>
      <c r="J46" s="151">
        <v>12.7</v>
      </c>
    </row>
    <row r="47" spans="1:10" ht="14.1" customHeight="1" thickBot="1">
      <c r="A47" s="4"/>
      <c r="B47" s="11"/>
      <c r="C47" s="11"/>
      <c r="D47" s="150"/>
      <c r="H47" s="4" t="s">
        <v>67</v>
      </c>
      <c r="I47" s="151">
        <v>14.3</v>
      </c>
      <c r="J47" s="151">
        <v>14.3</v>
      </c>
    </row>
    <row r="48" spans="1:10" ht="14.1" customHeight="1" thickBot="1">
      <c r="A48" s="148" t="s">
        <v>68</v>
      </c>
      <c r="B48" s="143"/>
      <c r="C48" s="143"/>
      <c r="D48" s="144" t="s">
        <v>37</v>
      </c>
      <c r="H48" s="4" t="s">
        <v>69</v>
      </c>
      <c r="I48" s="151">
        <v>24</v>
      </c>
      <c r="J48" s="151">
        <v>24</v>
      </c>
    </row>
    <row r="49" spans="1:10" ht="14.1" customHeight="1" thickBot="1">
      <c r="A49" s="145"/>
      <c r="B49" s="143">
        <v>196.3</v>
      </c>
      <c r="C49" s="143">
        <v>217.33903638151426</v>
      </c>
      <c r="D49" s="144" t="s">
        <v>39</v>
      </c>
      <c r="H49" s="4"/>
      <c r="I49" s="151"/>
      <c r="J49" s="151"/>
    </row>
    <row r="50" spans="1:10" ht="14.1" customHeight="1" thickBot="1">
      <c r="A50" s="145"/>
      <c r="B50" s="26">
        <v>101.7</v>
      </c>
      <c r="C50" s="26">
        <v>104.6</v>
      </c>
      <c r="D50" s="149" t="s">
        <v>70</v>
      </c>
      <c r="H50" s="4"/>
      <c r="I50" s="151"/>
      <c r="J50" s="151"/>
    </row>
    <row r="51" spans="1:10" ht="14.1" customHeight="1" thickBot="1">
      <c r="A51" s="145"/>
      <c r="B51" s="26">
        <v>117.2</v>
      </c>
      <c r="C51" s="26">
        <v>126.3</v>
      </c>
      <c r="D51" s="149" t="s">
        <v>71</v>
      </c>
      <c r="H51" s="4"/>
      <c r="I51" s="151"/>
      <c r="J51" s="151"/>
    </row>
    <row r="52" spans="1:10" ht="14.1" customHeight="1" thickBot="1">
      <c r="A52" s="145"/>
      <c r="B52" s="26">
        <v>101.7</v>
      </c>
      <c r="C52" s="26">
        <v>112.6</v>
      </c>
      <c r="D52" s="149" t="s">
        <v>72</v>
      </c>
      <c r="H52" s="4"/>
      <c r="I52" s="151"/>
      <c r="J52" s="151"/>
    </row>
    <row r="53" spans="1:10" ht="14.1" customHeight="1" thickBot="1">
      <c r="A53" s="145"/>
      <c r="B53" s="26">
        <v>89.7</v>
      </c>
      <c r="C53" s="26">
        <v>93.1</v>
      </c>
      <c r="D53" s="149" t="s">
        <v>73</v>
      </c>
      <c r="H53" s="4"/>
      <c r="I53" s="151"/>
      <c r="J53" s="151"/>
    </row>
    <row r="54" spans="1:10" ht="14.1" customHeight="1" thickBot="1">
      <c r="A54" s="145"/>
      <c r="B54" s="26">
        <v>90.3</v>
      </c>
      <c r="C54" s="26">
        <v>98</v>
      </c>
      <c r="D54" s="149" t="s">
        <v>74</v>
      </c>
      <c r="H54" s="4"/>
      <c r="I54" s="151"/>
      <c r="J54" s="151"/>
    </row>
    <row r="55" spans="1:10" ht="14.1" customHeight="1" thickBot="1">
      <c r="A55" s="145"/>
      <c r="B55" s="26">
        <v>89.7</v>
      </c>
      <c r="C55" s="26">
        <v>93.1</v>
      </c>
      <c r="D55" s="149" t="s">
        <v>75</v>
      </c>
      <c r="H55" s="4"/>
      <c r="I55" s="151"/>
      <c r="J55" s="151"/>
    </row>
    <row r="56" spans="1:10" ht="14.1" customHeight="1" thickBot="1">
      <c r="A56" s="145"/>
      <c r="B56" s="26"/>
      <c r="C56" s="26"/>
      <c r="D56" s="149"/>
      <c r="H56" s="4"/>
      <c r="I56" s="151"/>
      <c r="J56" s="151"/>
    </row>
    <row r="57" spans="1:10" ht="14.1" customHeight="1" thickBot="1">
      <c r="A57" s="4"/>
      <c r="B57" s="11"/>
      <c r="C57" s="11"/>
      <c r="D57" s="150"/>
      <c r="H57" s="4"/>
      <c r="I57" s="151"/>
      <c r="J57" s="151"/>
    </row>
    <row r="58" spans="1:10" ht="14.1" customHeight="1" thickBot="1">
      <c r="A58" s="148"/>
      <c r="B58" s="143"/>
      <c r="C58" s="143"/>
      <c r="D58" s="144" t="s">
        <v>37</v>
      </c>
      <c r="H58" s="4"/>
      <c r="I58" s="151"/>
      <c r="J58" s="151"/>
    </row>
    <row r="59" spans="1:10" ht="14.1" customHeight="1" thickBot="1">
      <c r="A59" s="145"/>
      <c r="B59" s="143"/>
      <c r="C59" s="143"/>
      <c r="D59" s="144" t="s">
        <v>39</v>
      </c>
      <c r="H59" s="4"/>
      <c r="I59" s="151"/>
      <c r="J59" s="151"/>
    </row>
    <row r="60" spans="1:10" ht="14.1" customHeight="1">
      <c r="A60" s="145"/>
      <c r="B60" s="26"/>
      <c r="C60" s="26"/>
      <c r="D60" s="149"/>
    </row>
    <row r="61" spans="1:10" ht="14.1" customHeight="1">
      <c r="A61" s="145"/>
      <c r="B61" s="26"/>
      <c r="C61" s="26"/>
      <c r="D61" s="149"/>
    </row>
    <row r="62" spans="1:10" ht="14.1" customHeight="1" thickBot="1">
      <c r="A62" s="4"/>
      <c r="B62" s="11"/>
      <c r="C62" s="11"/>
      <c r="D62" s="150"/>
    </row>
    <row r="63" spans="1:10" ht="14.1" customHeight="1" thickTop="1">
      <c r="A63" s="142"/>
      <c r="B63" s="143"/>
      <c r="C63" s="143"/>
      <c r="D63" s="144" t="s">
        <v>37</v>
      </c>
    </row>
    <row r="64" spans="1:10" ht="14.1" customHeight="1">
      <c r="A64" s="145"/>
      <c r="B64" s="143"/>
      <c r="C64" s="143"/>
      <c r="D64" s="144" t="s">
        <v>39</v>
      </c>
    </row>
    <row r="65" spans="1:4" ht="14.1" customHeight="1">
      <c r="A65" s="145"/>
      <c r="B65" s="26"/>
      <c r="C65" s="26"/>
      <c r="D65" s="146"/>
    </row>
    <row r="66" spans="1:4" ht="14.1" customHeight="1" thickBot="1">
      <c r="A66" s="4"/>
      <c r="B66" s="11"/>
      <c r="C66" s="11"/>
      <c r="D66" s="147"/>
    </row>
    <row r="67" spans="1:4" ht="14.1" customHeight="1" thickTop="1">
      <c r="A67" s="142"/>
      <c r="B67" s="143"/>
      <c r="C67" s="143"/>
      <c r="D67" s="144" t="s">
        <v>37</v>
      </c>
    </row>
    <row r="68" spans="1:4" ht="14.1" customHeight="1">
      <c r="A68" s="145"/>
      <c r="B68" s="143"/>
      <c r="C68" s="143"/>
      <c r="D68" s="144" t="s">
        <v>39</v>
      </c>
    </row>
    <row r="69" spans="1:4" ht="14.1" customHeight="1">
      <c r="A69" s="145"/>
      <c r="B69" s="26"/>
      <c r="C69" s="26"/>
      <c r="D69" s="146"/>
    </row>
    <row r="70" spans="1:4" ht="14.1" customHeight="1" thickBot="1">
      <c r="A70" s="4"/>
      <c r="B70" s="11"/>
      <c r="C70" s="11"/>
      <c r="D70" s="147"/>
    </row>
    <row r="71" spans="1:4" ht="14.1" customHeight="1">
      <c r="A71" s="148"/>
      <c r="B71" s="143"/>
      <c r="C71" s="143"/>
      <c r="D71" s="144" t="s">
        <v>37</v>
      </c>
    </row>
    <row r="72" spans="1:4" ht="14.1" customHeight="1">
      <c r="A72" s="145"/>
      <c r="B72" s="143"/>
      <c r="C72" s="143"/>
      <c r="D72" s="144" t="s">
        <v>39</v>
      </c>
    </row>
    <row r="73" spans="1:4" ht="14.1" customHeight="1">
      <c r="A73" s="145"/>
      <c r="B73" s="26"/>
      <c r="C73" s="26"/>
      <c r="D73" s="149"/>
    </row>
    <row r="74" spans="1:4" ht="14.1" customHeight="1">
      <c r="A74" s="145"/>
      <c r="B74" s="26"/>
      <c r="C74" s="26"/>
      <c r="D74" s="149"/>
    </row>
    <row r="75" spans="1:4" ht="14.1" customHeight="1">
      <c r="A75" s="145"/>
      <c r="B75" s="26"/>
      <c r="C75" s="26"/>
      <c r="D75" s="149"/>
    </row>
    <row r="76" spans="1:4" ht="14.1" customHeight="1" thickBot="1">
      <c r="A76" s="4"/>
      <c r="B76" s="11"/>
      <c r="C76" s="11"/>
      <c r="D76" s="150"/>
    </row>
    <row r="77" spans="1:4" ht="14.1" customHeight="1">
      <c r="A77" s="148"/>
      <c r="B77" s="143"/>
      <c r="C77" s="143"/>
      <c r="D77" s="144" t="s">
        <v>37</v>
      </c>
    </row>
    <row r="78" spans="1:4" ht="14.1" customHeight="1">
      <c r="A78" s="145"/>
      <c r="B78" s="143"/>
      <c r="C78" s="143"/>
      <c r="D78" s="144" t="s">
        <v>39</v>
      </c>
    </row>
    <row r="79" spans="1:4" ht="14.1" customHeight="1">
      <c r="A79" s="145"/>
      <c r="B79" s="26"/>
      <c r="C79" s="26"/>
      <c r="D79" s="149"/>
    </row>
    <row r="80" spans="1:4" ht="14.1" customHeight="1">
      <c r="A80" s="145"/>
      <c r="B80" s="26"/>
      <c r="C80" s="26"/>
      <c r="D80" s="149"/>
    </row>
    <row r="81" spans="1:4" ht="14.1" customHeight="1">
      <c r="A81" s="145"/>
      <c r="B81" s="26"/>
      <c r="C81" s="26"/>
      <c r="D81" s="149"/>
    </row>
    <row r="82" spans="1:4" ht="14.1" customHeight="1" thickBot="1">
      <c r="A82" s="4"/>
      <c r="B82" s="11"/>
      <c r="C82" s="11"/>
      <c r="D82" s="150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C9DE-ECEA-4C85-A32A-8851E4860233}">
  <sheetPr codeName="Sheet10">
    <tabColor theme="4"/>
  </sheetPr>
  <dimension ref="A1:BM91"/>
  <sheetViews>
    <sheetView zoomScale="25" zoomScaleNormal="25" workbookViewId="0">
      <selection activeCell="AA1" sqref="AA1"/>
    </sheetView>
  </sheetViews>
  <sheetFormatPr defaultRowHeight="14.45"/>
  <cols>
    <col min="2" max="5" width="9.28515625" customWidth="1"/>
    <col min="9" max="9" width="9.28515625" customWidth="1"/>
    <col min="14" max="14" width="9.28515625" customWidth="1"/>
    <col min="17" max="17" width="10" bestFit="1" customWidth="1"/>
    <col min="20" max="21" width="9.28515625" customWidth="1"/>
    <col min="61" max="61" width="10.7109375" bestFit="1" customWidth="1"/>
    <col min="62" max="63" width="24.5703125" bestFit="1" customWidth="1"/>
    <col min="64" max="64" width="12.7109375" bestFit="1" customWidth="1"/>
    <col min="65" max="65" width="18.28515625" bestFit="1" customWidth="1"/>
  </cols>
  <sheetData>
    <row r="1" spans="1:59">
      <c r="A1" s="14" t="s">
        <v>148</v>
      </c>
      <c r="G1" t="s">
        <v>149</v>
      </c>
      <c r="H1" s="115">
        <v>47905.288109625399</v>
      </c>
      <c r="I1" t="s">
        <v>150</v>
      </c>
      <c r="K1" t="s">
        <v>151</v>
      </c>
      <c r="L1" s="160">
        <v>5.1799999999999999E-2</v>
      </c>
      <c r="N1" s="161" t="s">
        <v>152</v>
      </c>
      <c r="O1" s="160">
        <v>0.01</v>
      </c>
      <c r="P1" s="162"/>
      <c r="Q1" t="s">
        <v>153</v>
      </c>
      <c r="R1" s="115">
        <v>45</v>
      </c>
      <c r="S1" t="s">
        <v>154</v>
      </c>
      <c r="U1" t="s">
        <v>155</v>
      </c>
      <c r="V1" s="163">
        <f>L1</f>
        <v>5.1799999999999999E-2</v>
      </c>
    </row>
    <row r="3" spans="1:59" s="21" customFormat="1" ht="15.75" customHeight="1" thickBot="1">
      <c r="A3" s="22" t="s">
        <v>156</v>
      </c>
      <c r="AE3" s="22" t="s">
        <v>157</v>
      </c>
    </row>
    <row r="4" spans="1:59" s="21" customFormat="1" ht="15.75" customHeight="1" thickBot="1">
      <c r="A4" s="1" t="s">
        <v>158</v>
      </c>
      <c r="B4" s="1">
        <v>1</v>
      </c>
      <c r="C4" s="1">
        <f>B4+1</f>
        <v>2</v>
      </c>
      <c r="D4" s="1">
        <f t="shared" ref="D4:H4" si="0">C4+1</f>
        <v>3</v>
      </c>
      <c r="E4" s="1">
        <f t="shared" si="0"/>
        <v>4</v>
      </c>
      <c r="F4" s="1">
        <f t="shared" si="0"/>
        <v>5</v>
      </c>
      <c r="G4" s="1">
        <f t="shared" si="0"/>
        <v>6</v>
      </c>
      <c r="H4" s="1">
        <f t="shared" si="0"/>
        <v>7</v>
      </c>
      <c r="I4" s="1">
        <f>B4</f>
        <v>1</v>
      </c>
      <c r="J4" s="1">
        <f t="shared" ref="J4:AC4" si="1">C4</f>
        <v>2</v>
      </c>
      <c r="K4" s="1">
        <f t="shared" si="1"/>
        <v>3</v>
      </c>
      <c r="L4" s="1">
        <f t="shared" si="1"/>
        <v>4</v>
      </c>
      <c r="M4" s="1">
        <f t="shared" si="1"/>
        <v>5</v>
      </c>
      <c r="N4" s="1">
        <f t="shared" si="1"/>
        <v>6</v>
      </c>
      <c r="O4" s="1">
        <f t="shared" si="1"/>
        <v>7</v>
      </c>
      <c r="P4" s="1">
        <f t="shared" si="1"/>
        <v>1</v>
      </c>
      <c r="Q4" s="1">
        <f t="shared" si="1"/>
        <v>2</v>
      </c>
      <c r="R4" s="1">
        <f t="shared" si="1"/>
        <v>3</v>
      </c>
      <c r="S4" s="1">
        <f t="shared" si="1"/>
        <v>4</v>
      </c>
      <c r="T4" s="1">
        <f t="shared" si="1"/>
        <v>5</v>
      </c>
      <c r="U4" s="1">
        <f t="shared" si="1"/>
        <v>6</v>
      </c>
      <c r="V4" s="1">
        <f t="shared" si="1"/>
        <v>7</v>
      </c>
      <c r="W4" s="1">
        <f t="shared" si="1"/>
        <v>1</v>
      </c>
      <c r="X4" s="1">
        <f t="shared" si="1"/>
        <v>2</v>
      </c>
      <c r="Y4" s="1">
        <f t="shared" si="1"/>
        <v>3</v>
      </c>
      <c r="Z4" s="1">
        <f t="shared" si="1"/>
        <v>4</v>
      </c>
      <c r="AA4" s="1">
        <f t="shared" si="1"/>
        <v>5</v>
      </c>
      <c r="AB4" s="1">
        <f t="shared" si="1"/>
        <v>6</v>
      </c>
      <c r="AC4" s="1">
        <f t="shared" si="1"/>
        <v>7</v>
      </c>
      <c r="AE4" s="1" t="str">
        <f>A4</f>
        <v>Option</v>
      </c>
      <c r="AF4" s="1">
        <f t="shared" ref="AF4:AF6" si="2">B4</f>
        <v>1</v>
      </c>
      <c r="AG4" s="1">
        <f t="shared" ref="AG4:AG6" si="3">C4</f>
        <v>2</v>
      </c>
      <c r="AH4" s="1">
        <f t="shared" ref="AH4:AH6" si="4">D4</f>
        <v>3</v>
      </c>
      <c r="AI4" s="1">
        <f t="shared" ref="AI4:AI6" si="5">E4</f>
        <v>4</v>
      </c>
      <c r="AJ4" s="1">
        <f t="shared" ref="AJ4:AJ6" si="6">F4</f>
        <v>5</v>
      </c>
      <c r="AK4" s="1">
        <f t="shared" ref="AK4:AK6" si="7">G4</f>
        <v>6</v>
      </c>
      <c r="AL4" s="1">
        <f t="shared" ref="AL4:AL6" si="8">H4</f>
        <v>7</v>
      </c>
      <c r="AM4" s="1">
        <f t="shared" ref="AM4:AM6" si="9">I4</f>
        <v>1</v>
      </c>
      <c r="AN4" s="1">
        <f t="shared" ref="AN4:AN6" si="10">J4</f>
        <v>2</v>
      </c>
      <c r="AO4" s="1">
        <f t="shared" ref="AO4:AO6" si="11">K4</f>
        <v>3</v>
      </c>
      <c r="AP4" s="1">
        <f t="shared" ref="AP4:AP6" si="12">L4</f>
        <v>4</v>
      </c>
      <c r="AQ4" s="1">
        <f t="shared" ref="AQ4:AQ6" si="13">M4</f>
        <v>5</v>
      </c>
      <c r="AR4" s="1">
        <f t="shared" ref="AR4:AR6" si="14">N4</f>
        <v>6</v>
      </c>
      <c r="AS4" s="1">
        <f t="shared" ref="AS4:AS6" si="15">O4</f>
        <v>7</v>
      </c>
      <c r="AT4" s="1">
        <f t="shared" ref="AT4:AT6" si="16">P4</f>
        <v>1</v>
      </c>
      <c r="AU4" s="1">
        <f t="shared" ref="AU4:AU6" si="17">Q4</f>
        <v>2</v>
      </c>
      <c r="AV4" s="1">
        <f t="shared" ref="AV4:AV6" si="18">R4</f>
        <v>3</v>
      </c>
      <c r="AW4" s="1">
        <f t="shared" ref="AW4:AW6" si="19">S4</f>
        <v>4</v>
      </c>
      <c r="AX4" s="1">
        <f t="shared" ref="AX4:AX6" si="20">T4</f>
        <v>5</v>
      </c>
      <c r="AY4" s="1">
        <f t="shared" ref="AY4:AY6" si="21">U4</f>
        <v>6</v>
      </c>
      <c r="AZ4" s="1">
        <f t="shared" ref="AZ4:AZ6" si="22">V4</f>
        <v>7</v>
      </c>
      <c r="BA4" s="1">
        <f t="shared" ref="BA4:BA6" si="23">W4</f>
        <v>1</v>
      </c>
      <c r="BB4" s="1">
        <f t="shared" ref="BB4:BB6" si="24">X4</f>
        <v>2</v>
      </c>
      <c r="BC4" s="1">
        <f t="shared" ref="BC4:BC6" si="25">Y4</f>
        <v>3</v>
      </c>
      <c r="BD4" s="1">
        <f t="shared" ref="BD4:BD6" si="26">Z4</f>
        <v>4</v>
      </c>
      <c r="BE4" s="1">
        <f t="shared" ref="BE4:BE6" si="27">AA4</f>
        <v>5</v>
      </c>
      <c r="BF4" s="1">
        <f t="shared" ref="BF4:BF6" si="28">AB4</f>
        <v>6</v>
      </c>
      <c r="BG4" s="1">
        <f t="shared" ref="BG4:BG6" si="29">AC4</f>
        <v>7</v>
      </c>
    </row>
    <row r="5" spans="1:59" s="21" customFormat="1" ht="15.75" customHeight="1" thickTop="1" thickBot="1">
      <c r="A5" s="6" t="s">
        <v>159</v>
      </c>
      <c r="B5" s="170" t="s">
        <v>29</v>
      </c>
      <c r="C5" s="171"/>
      <c r="D5" s="171"/>
      <c r="E5" s="171"/>
      <c r="F5" s="171"/>
      <c r="G5" s="171"/>
      <c r="H5" s="172"/>
      <c r="I5" s="170" t="s">
        <v>31</v>
      </c>
      <c r="J5" s="171"/>
      <c r="K5" s="171"/>
      <c r="L5" s="171"/>
      <c r="M5" s="171"/>
      <c r="N5" s="171"/>
      <c r="O5" s="172"/>
      <c r="P5" s="170" t="s">
        <v>32</v>
      </c>
      <c r="Q5" s="171"/>
      <c r="R5" s="171"/>
      <c r="S5" s="171"/>
      <c r="T5" s="171"/>
      <c r="U5" s="171"/>
      <c r="V5" s="172"/>
      <c r="W5" s="170" t="s">
        <v>33</v>
      </c>
      <c r="X5" s="171"/>
      <c r="Y5" s="171"/>
      <c r="Z5" s="171"/>
      <c r="AA5" s="171"/>
      <c r="AB5" s="171"/>
      <c r="AC5" s="172"/>
      <c r="AE5" s="6" t="str">
        <f t="shared" ref="AE5:AE16" si="30">A5</f>
        <v>FDR</v>
      </c>
      <c r="AF5" s="170" t="str">
        <f t="shared" si="2"/>
        <v>COO23</v>
      </c>
      <c r="AG5" s="171">
        <f t="shared" si="3"/>
        <v>0</v>
      </c>
      <c r="AH5" s="171">
        <f t="shared" si="4"/>
        <v>0</v>
      </c>
      <c r="AI5" s="171">
        <f t="shared" si="5"/>
        <v>0</v>
      </c>
      <c r="AJ5" s="171">
        <f t="shared" si="6"/>
        <v>0</v>
      </c>
      <c r="AK5" s="171">
        <f t="shared" si="7"/>
        <v>0</v>
      </c>
      <c r="AL5" s="172">
        <f t="shared" si="8"/>
        <v>0</v>
      </c>
      <c r="AM5" s="170" t="str">
        <f t="shared" si="9"/>
        <v>KLO13</v>
      </c>
      <c r="AN5" s="171">
        <f t="shared" si="10"/>
        <v>0</v>
      </c>
      <c r="AO5" s="171">
        <f t="shared" si="11"/>
        <v>0</v>
      </c>
      <c r="AP5" s="171">
        <f t="shared" si="12"/>
        <v>0</v>
      </c>
      <c r="AQ5" s="171">
        <f t="shared" si="13"/>
        <v>0</v>
      </c>
      <c r="AR5" s="171">
        <f t="shared" si="14"/>
        <v>0</v>
      </c>
      <c r="AS5" s="172">
        <f t="shared" si="15"/>
        <v>0</v>
      </c>
      <c r="AT5" s="170" t="str">
        <f t="shared" si="16"/>
        <v>KLO21</v>
      </c>
      <c r="AU5" s="171">
        <f t="shared" si="17"/>
        <v>0</v>
      </c>
      <c r="AV5" s="171">
        <f t="shared" si="18"/>
        <v>0</v>
      </c>
      <c r="AW5" s="171">
        <f t="shared" si="19"/>
        <v>0</v>
      </c>
      <c r="AX5" s="171">
        <f t="shared" si="20"/>
        <v>0</v>
      </c>
      <c r="AY5" s="171">
        <f t="shared" si="21"/>
        <v>0</v>
      </c>
      <c r="AZ5" s="172">
        <f t="shared" si="22"/>
        <v>0</v>
      </c>
      <c r="BA5" s="170" t="str">
        <f t="shared" si="23"/>
        <v>KLO22</v>
      </c>
      <c r="BB5" s="171">
        <f t="shared" si="24"/>
        <v>0</v>
      </c>
      <c r="BC5" s="171">
        <f t="shared" si="25"/>
        <v>0</v>
      </c>
      <c r="BD5" s="171">
        <f t="shared" si="26"/>
        <v>0</v>
      </c>
      <c r="BE5" s="171">
        <f t="shared" si="27"/>
        <v>0</v>
      </c>
      <c r="BF5" s="171">
        <f t="shared" si="28"/>
        <v>0</v>
      </c>
      <c r="BG5" s="172">
        <f t="shared" si="29"/>
        <v>0</v>
      </c>
    </row>
    <row r="6" spans="1:59" s="21" customFormat="1" ht="24.6" thickBot="1">
      <c r="A6" s="6" t="s">
        <v>160</v>
      </c>
      <c r="B6" s="158" t="s">
        <v>107</v>
      </c>
      <c r="C6" s="158"/>
      <c r="D6" s="158"/>
      <c r="E6" s="158"/>
      <c r="F6" s="158"/>
      <c r="G6" s="158"/>
      <c r="H6" s="159"/>
      <c r="I6" s="158" t="s">
        <v>107</v>
      </c>
      <c r="J6" s="158"/>
      <c r="K6" s="158"/>
      <c r="L6" s="158"/>
      <c r="M6" s="158"/>
      <c r="N6" s="158"/>
      <c r="O6" s="159"/>
      <c r="P6" s="158"/>
      <c r="Q6" s="158"/>
      <c r="R6" s="158"/>
      <c r="S6" s="158"/>
      <c r="T6" s="158"/>
      <c r="U6" s="158"/>
      <c r="V6" s="159"/>
      <c r="W6" s="158"/>
      <c r="X6" s="158"/>
      <c r="Y6" s="158"/>
      <c r="Z6" s="158"/>
      <c r="AA6" s="158"/>
      <c r="AB6" s="158"/>
      <c r="AC6" s="159"/>
      <c r="AE6" s="6" t="str">
        <f t="shared" si="30"/>
        <v>Solution Applied</v>
      </c>
      <c r="AF6" s="31" t="str">
        <f t="shared" si="2"/>
        <v>Nil</v>
      </c>
      <c r="AG6" s="31">
        <f t="shared" si="3"/>
        <v>0</v>
      </c>
      <c r="AH6" s="31">
        <f t="shared" si="4"/>
        <v>0</v>
      </c>
      <c r="AI6" s="31">
        <f t="shared" si="5"/>
        <v>0</v>
      </c>
      <c r="AJ6" s="31">
        <f t="shared" si="6"/>
        <v>0</v>
      </c>
      <c r="AK6" s="31">
        <f t="shared" si="7"/>
        <v>0</v>
      </c>
      <c r="AL6" s="32">
        <f t="shared" si="8"/>
        <v>0</v>
      </c>
      <c r="AM6" s="31" t="str">
        <f t="shared" si="9"/>
        <v>Nil</v>
      </c>
      <c r="AN6" s="31">
        <f t="shared" si="10"/>
        <v>0</v>
      </c>
      <c r="AO6" s="31">
        <f t="shared" si="11"/>
        <v>0</v>
      </c>
      <c r="AP6" s="31">
        <f t="shared" si="12"/>
        <v>0</v>
      </c>
      <c r="AQ6" s="31">
        <f t="shared" si="13"/>
        <v>0</v>
      </c>
      <c r="AR6" s="31">
        <f t="shared" si="14"/>
        <v>0</v>
      </c>
      <c r="AS6" s="32">
        <f t="shared" si="15"/>
        <v>0</v>
      </c>
      <c r="AT6" s="31">
        <f t="shared" si="16"/>
        <v>0</v>
      </c>
      <c r="AU6" s="31">
        <f t="shared" si="17"/>
        <v>0</v>
      </c>
      <c r="AV6" s="31">
        <f t="shared" si="18"/>
        <v>0</v>
      </c>
      <c r="AW6" s="31">
        <f t="shared" si="19"/>
        <v>0</v>
      </c>
      <c r="AX6" s="31">
        <f t="shared" si="20"/>
        <v>0</v>
      </c>
      <c r="AY6" s="31">
        <f t="shared" si="21"/>
        <v>0</v>
      </c>
      <c r="AZ6" s="32">
        <f t="shared" si="22"/>
        <v>0</v>
      </c>
      <c r="BA6" s="31">
        <f t="shared" si="23"/>
        <v>0</v>
      </c>
      <c r="BB6" s="31">
        <f t="shared" si="24"/>
        <v>0</v>
      </c>
      <c r="BC6" s="31">
        <f t="shared" si="25"/>
        <v>0</v>
      </c>
      <c r="BD6" s="31">
        <f t="shared" si="26"/>
        <v>0</v>
      </c>
      <c r="BE6" s="31">
        <f t="shared" si="27"/>
        <v>0</v>
      </c>
      <c r="BF6" s="31">
        <f t="shared" si="28"/>
        <v>0</v>
      </c>
      <c r="BG6" s="32">
        <f t="shared" si="29"/>
        <v>0</v>
      </c>
    </row>
    <row r="7" spans="1:59" s="21" customFormat="1" ht="15.75" customHeight="1" thickBot="1">
      <c r="A7" s="4">
        <f>'Summer 10PoE'!C1</f>
        <v>2025</v>
      </c>
      <c r="B7" s="45">
        <v>0</v>
      </c>
      <c r="C7" s="45"/>
      <c r="D7" s="45"/>
      <c r="E7" s="45"/>
      <c r="F7" s="45"/>
      <c r="G7" s="45"/>
      <c r="H7" s="45"/>
      <c r="I7" s="45">
        <v>23.983073687742166</v>
      </c>
      <c r="J7" s="45"/>
      <c r="K7" s="45"/>
      <c r="L7" s="45"/>
      <c r="M7" s="45"/>
      <c r="N7" s="45"/>
      <c r="O7" s="45"/>
      <c r="P7" s="45">
        <v>3.7685558713889273</v>
      </c>
      <c r="Q7" s="45"/>
      <c r="R7" s="45"/>
      <c r="S7" s="45"/>
      <c r="T7" s="45"/>
      <c r="U7" s="45"/>
      <c r="V7" s="45"/>
      <c r="W7" s="45">
        <v>0</v>
      </c>
      <c r="X7" s="45"/>
      <c r="Y7" s="45"/>
      <c r="Z7" s="45"/>
      <c r="AA7" s="45"/>
      <c r="AB7" s="45"/>
      <c r="AC7" s="45"/>
      <c r="AE7" s="4">
        <f t="shared" si="30"/>
        <v>2025</v>
      </c>
      <c r="AF7" s="33">
        <f>B7*$H$1/1000</f>
        <v>0</v>
      </c>
      <c r="AG7" s="33"/>
      <c r="AH7" s="33"/>
      <c r="AI7" s="33"/>
      <c r="AJ7" s="33"/>
      <c r="AK7" s="33"/>
      <c r="AL7" s="33"/>
      <c r="AM7" s="33">
        <f t="shared" ref="AM7:AM16" si="31">I7*$H$1/1000</f>
        <v>1148.9160547656645</v>
      </c>
      <c r="AN7" s="33"/>
      <c r="AO7" s="33"/>
      <c r="AP7" s="33"/>
      <c r="AQ7" s="33"/>
      <c r="AR7" s="33"/>
      <c r="AS7" s="33"/>
      <c r="AT7" s="33">
        <f t="shared" ref="AT7:AT16" si="32">P7*$H$1/1000</f>
        <v>180.53375477610697</v>
      </c>
      <c r="AU7" s="33"/>
      <c r="AV7" s="33"/>
      <c r="AW7" s="33"/>
      <c r="AX7" s="33"/>
      <c r="AY7" s="33"/>
      <c r="AZ7" s="33"/>
      <c r="BA7" s="33">
        <f t="shared" ref="BA7:BA16" si="33">W7*$H$1/1000</f>
        <v>0</v>
      </c>
      <c r="BB7" s="33"/>
      <c r="BC7" s="33"/>
      <c r="BD7" s="33"/>
      <c r="BE7" s="33"/>
      <c r="BF7" s="33"/>
      <c r="BG7" s="33"/>
    </row>
    <row r="8" spans="1:59" s="21" customFormat="1" ht="15.75" customHeight="1" thickBot="1">
      <c r="A8" s="4">
        <f>A7+1</f>
        <v>2026</v>
      </c>
      <c r="B8" s="45">
        <v>2.093002889786626</v>
      </c>
      <c r="C8" s="45">
        <f>B8</f>
        <v>2.093002889786626</v>
      </c>
      <c r="D8" s="45">
        <f>B8</f>
        <v>2.093002889786626</v>
      </c>
      <c r="E8" s="45"/>
      <c r="F8" s="45"/>
      <c r="G8" s="45"/>
      <c r="H8" s="45"/>
      <c r="I8" s="45">
        <v>31.749103928185768</v>
      </c>
      <c r="J8" s="45">
        <v>0</v>
      </c>
      <c r="K8" s="45">
        <v>0</v>
      </c>
      <c r="L8" s="45"/>
      <c r="M8" s="45"/>
      <c r="N8" s="45"/>
      <c r="O8" s="45"/>
      <c r="P8" s="45">
        <v>10.275542945743778</v>
      </c>
      <c r="Q8" s="45">
        <v>0</v>
      </c>
      <c r="R8" s="45">
        <v>0</v>
      </c>
      <c r="S8" s="45"/>
      <c r="T8" s="45"/>
      <c r="U8" s="45"/>
      <c r="V8" s="45"/>
      <c r="W8" s="45">
        <v>0.10735487080240771</v>
      </c>
      <c r="X8" s="45">
        <v>0</v>
      </c>
      <c r="Y8" s="45">
        <v>0</v>
      </c>
      <c r="Z8" s="45"/>
      <c r="AA8" s="45"/>
      <c r="AB8" s="45"/>
      <c r="AC8" s="45"/>
      <c r="AE8" s="4">
        <f t="shared" si="30"/>
        <v>2026</v>
      </c>
      <c r="AF8" s="33">
        <f t="shared" ref="AF8:AF16" si="34">B8*$H$1/1000</f>
        <v>100.26590644950684</v>
      </c>
      <c r="AG8" s="33">
        <f t="shared" ref="AG8:AG16" si="35">C8*$H$1/1000</f>
        <v>100.26590644950684</v>
      </c>
      <c r="AH8" s="33">
        <f t="shared" ref="AH8:AH16" si="36">D8*$H$1/1000</f>
        <v>100.26590644950684</v>
      </c>
      <c r="AI8" s="33">
        <f t="shared" ref="AI8:AI16" si="37">E8*$H$1/1000</f>
        <v>0</v>
      </c>
      <c r="AJ8" s="33">
        <f t="shared" ref="AJ8:AJ16" si="38">F8*$H$1/1000</f>
        <v>0</v>
      </c>
      <c r="AK8" s="33">
        <f t="shared" ref="AK8:AK16" si="39">G8*$H$1/1000</f>
        <v>0</v>
      </c>
      <c r="AL8" s="33">
        <f t="shared" ref="AL8:AL16" si="40">H8*$H$1/1000</f>
        <v>0</v>
      </c>
      <c r="AM8" s="33">
        <f t="shared" si="31"/>
        <v>1520.9499709021786</v>
      </c>
      <c r="AN8" s="33">
        <f t="shared" ref="AN8:AN16" si="41">J8*$H$1/1000</f>
        <v>0</v>
      </c>
      <c r="AO8" s="33">
        <f t="shared" ref="AO8:AO16" si="42">K8*$H$1/1000</f>
        <v>0</v>
      </c>
      <c r="AP8" s="33">
        <f t="shared" ref="AP8:AP16" si="43">L8*$H$1/1000</f>
        <v>0</v>
      </c>
      <c r="AQ8" s="33">
        <f t="shared" ref="AQ8:AQ16" si="44">M8*$H$1/1000</f>
        <v>0</v>
      </c>
      <c r="AR8" s="33">
        <f t="shared" ref="AR8:AR16" si="45">N8*$H$1/1000</f>
        <v>0</v>
      </c>
      <c r="AS8" s="33">
        <f t="shared" ref="AS8:AS16" si="46">O8*$H$1/1000</f>
        <v>0</v>
      </c>
      <c r="AT8" s="33">
        <f t="shared" si="32"/>
        <v>492.25284529868458</v>
      </c>
      <c r="AU8" s="33">
        <f t="shared" ref="AU8:AU16" si="47">Q8*$H$1/1000</f>
        <v>0</v>
      </c>
      <c r="AV8" s="33">
        <f t="shared" ref="AV8:AV16" si="48">R8*$H$1/1000</f>
        <v>0</v>
      </c>
      <c r="AW8" s="33">
        <f t="shared" ref="AW8:AW16" si="49">S8*$H$1/1000</f>
        <v>0</v>
      </c>
      <c r="AX8" s="33">
        <f t="shared" ref="AX8:AX16" si="50">T8*$H$1/1000</f>
        <v>0</v>
      </c>
      <c r="AY8" s="33">
        <f t="shared" ref="AY8:AY16" si="51">U8*$H$1/1000</f>
        <v>0</v>
      </c>
      <c r="AZ8" s="33">
        <f t="shared" ref="AZ8:AZ16" si="52">V8*$H$1/1000</f>
        <v>0</v>
      </c>
      <c r="BA8" s="33">
        <f t="shared" si="33"/>
        <v>5.1428660157609531</v>
      </c>
      <c r="BB8" s="33">
        <f t="shared" ref="BB8:BB16" si="53">X8*$H$1/1000</f>
        <v>0</v>
      </c>
      <c r="BC8" s="33">
        <f t="shared" ref="BC8:BC16" si="54">Y8*$H$1/1000</f>
        <v>0</v>
      </c>
      <c r="BD8" s="33">
        <f t="shared" ref="BD8:BD16" si="55">Z8*$H$1/1000</f>
        <v>0</v>
      </c>
      <c r="BE8" s="33">
        <f t="shared" ref="BE8:BE16" si="56">AA8*$H$1/1000</f>
        <v>0</v>
      </c>
      <c r="BF8" s="33">
        <f t="shared" ref="BF8:BF16" si="57">AB8*$H$1/1000</f>
        <v>0</v>
      </c>
      <c r="BG8" s="33">
        <f t="shared" ref="BG8:BG16" si="58">AC8*$H$1/1000</f>
        <v>0</v>
      </c>
    </row>
    <row r="9" spans="1:59" s="21" customFormat="1" ht="15.75" customHeight="1" thickBot="1">
      <c r="A9" s="4">
        <f t="shared" ref="A9:A16" si="59">A8+1</f>
        <v>2027</v>
      </c>
      <c r="B9" s="45">
        <v>11.593793299241476</v>
      </c>
      <c r="C9" s="45">
        <v>0</v>
      </c>
      <c r="D9" s="45">
        <v>0</v>
      </c>
      <c r="E9" s="45"/>
      <c r="F9" s="45"/>
      <c r="G9" s="45"/>
      <c r="H9" s="45"/>
      <c r="I9" s="45">
        <v>40.283982659590208</v>
      </c>
      <c r="J9" s="45">
        <v>0</v>
      </c>
      <c r="K9" s="45">
        <v>0</v>
      </c>
      <c r="L9" s="45"/>
      <c r="M9" s="45"/>
      <c r="N9" s="45"/>
      <c r="O9" s="45"/>
      <c r="P9" s="45">
        <v>72.438375488034794</v>
      </c>
      <c r="Q9" s="45">
        <v>0</v>
      </c>
      <c r="R9" s="45">
        <v>0</v>
      </c>
      <c r="S9" s="45"/>
      <c r="T9" s="45"/>
      <c r="U9" s="45"/>
      <c r="V9" s="45"/>
      <c r="W9" s="45">
        <v>21.049997068006334</v>
      </c>
      <c r="X9" s="45">
        <v>0</v>
      </c>
      <c r="Y9" s="45">
        <v>0</v>
      </c>
      <c r="Z9" s="45"/>
      <c r="AA9" s="45"/>
      <c r="AB9" s="45"/>
      <c r="AC9" s="45"/>
      <c r="AE9" s="4">
        <f t="shared" si="30"/>
        <v>2027</v>
      </c>
      <c r="AF9" s="33">
        <f t="shared" si="34"/>
        <v>555.40400828360737</v>
      </c>
      <c r="AG9" s="33">
        <f t="shared" si="35"/>
        <v>0</v>
      </c>
      <c r="AH9" s="33">
        <f t="shared" si="36"/>
        <v>0</v>
      </c>
      <c r="AI9" s="33">
        <f t="shared" si="37"/>
        <v>0</v>
      </c>
      <c r="AJ9" s="33">
        <f t="shared" si="38"/>
        <v>0</v>
      </c>
      <c r="AK9" s="33">
        <f t="shared" si="39"/>
        <v>0</v>
      </c>
      <c r="AL9" s="33">
        <f t="shared" si="40"/>
        <v>0</v>
      </c>
      <c r="AM9" s="33">
        <f t="shared" si="31"/>
        <v>1929.8157955108225</v>
      </c>
      <c r="AN9" s="33">
        <f t="shared" si="41"/>
        <v>0</v>
      </c>
      <c r="AO9" s="33">
        <f t="shared" si="42"/>
        <v>0</v>
      </c>
      <c r="AP9" s="33">
        <f t="shared" si="43"/>
        <v>0</v>
      </c>
      <c r="AQ9" s="33">
        <f t="shared" si="44"/>
        <v>0</v>
      </c>
      <c r="AR9" s="33">
        <f t="shared" si="45"/>
        <v>0</v>
      </c>
      <c r="AS9" s="33">
        <f t="shared" si="46"/>
        <v>0</v>
      </c>
      <c r="AT9" s="33">
        <f t="shared" si="32"/>
        <v>3470.1812479475329</v>
      </c>
      <c r="AU9" s="33">
        <f t="shared" si="47"/>
        <v>0</v>
      </c>
      <c r="AV9" s="33">
        <f t="shared" si="48"/>
        <v>0</v>
      </c>
      <c r="AW9" s="33">
        <f t="shared" si="49"/>
        <v>0</v>
      </c>
      <c r="AX9" s="33">
        <f t="shared" si="50"/>
        <v>0</v>
      </c>
      <c r="AY9" s="33">
        <f t="shared" si="51"/>
        <v>0</v>
      </c>
      <c r="AZ9" s="33">
        <f t="shared" si="52"/>
        <v>0</v>
      </c>
      <c r="BA9" s="33">
        <f t="shared" si="33"/>
        <v>1008.4061742496133</v>
      </c>
      <c r="BB9" s="33">
        <f t="shared" si="53"/>
        <v>0</v>
      </c>
      <c r="BC9" s="33">
        <f t="shared" si="54"/>
        <v>0</v>
      </c>
      <c r="BD9" s="33">
        <f t="shared" si="55"/>
        <v>0</v>
      </c>
      <c r="BE9" s="33">
        <f t="shared" si="56"/>
        <v>0</v>
      </c>
      <c r="BF9" s="33">
        <f t="shared" si="57"/>
        <v>0</v>
      </c>
      <c r="BG9" s="33">
        <f t="shared" si="58"/>
        <v>0</v>
      </c>
    </row>
    <row r="10" spans="1:59" s="21" customFormat="1" ht="15.75" customHeight="1" thickBot="1">
      <c r="A10" s="4">
        <f t="shared" si="59"/>
        <v>2028</v>
      </c>
      <c r="B10" s="45">
        <v>44.879842893243051</v>
      </c>
      <c r="C10" s="45">
        <v>0</v>
      </c>
      <c r="D10" s="45">
        <v>0</v>
      </c>
      <c r="E10" s="45"/>
      <c r="F10" s="45"/>
      <c r="G10" s="45"/>
      <c r="H10" s="45"/>
      <c r="I10" s="45">
        <v>49.355903620328377</v>
      </c>
      <c r="J10" s="45">
        <v>0</v>
      </c>
      <c r="K10" s="45">
        <v>0</v>
      </c>
      <c r="L10" s="45"/>
      <c r="M10" s="45"/>
      <c r="N10" s="45"/>
      <c r="O10" s="45"/>
      <c r="P10" s="33">
        <v>325.13031610402697</v>
      </c>
      <c r="Q10" s="45">
        <v>0</v>
      </c>
      <c r="R10" s="45">
        <v>0</v>
      </c>
      <c r="S10" s="45"/>
      <c r="T10" s="45"/>
      <c r="U10" s="45"/>
      <c r="V10" s="45"/>
      <c r="W10" s="33">
        <v>260.89765610632912</v>
      </c>
      <c r="X10" s="45">
        <v>0</v>
      </c>
      <c r="Y10" s="45">
        <v>0</v>
      </c>
      <c r="Z10" s="45"/>
      <c r="AA10" s="45"/>
      <c r="AB10" s="45"/>
      <c r="AC10" s="45"/>
      <c r="AE10" s="4">
        <f t="shared" si="30"/>
        <v>2028</v>
      </c>
      <c r="AF10" s="33">
        <f t="shared" si="34"/>
        <v>2149.9818041155322</v>
      </c>
      <c r="AG10" s="33">
        <f t="shared" si="35"/>
        <v>0</v>
      </c>
      <c r="AH10" s="33">
        <f t="shared" si="36"/>
        <v>0</v>
      </c>
      <c r="AI10" s="33">
        <f t="shared" si="37"/>
        <v>0</v>
      </c>
      <c r="AJ10" s="33">
        <f t="shared" si="38"/>
        <v>0</v>
      </c>
      <c r="AK10" s="33">
        <f t="shared" si="39"/>
        <v>0</v>
      </c>
      <c r="AL10" s="33">
        <f t="shared" si="40"/>
        <v>0</v>
      </c>
      <c r="AM10" s="33">
        <f t="shared" si="31"/>
        <v>2364.4087828427346</v>
      </c>
      <c r="AN10" s="33">
        <f t="shared" si="41"/>
        <v>0</v>
      </c>
      <c r="AO10" s="33">
        <f t="shared" si="42"/>
        <v>0</v>
      </c>
      <c r="AP10" s="33">
        <f t="shared" si="43"/>
        <v>0</v>
      </c>
      <c r="AQ10" s="33">
        <f t="shared" si="44"/>
        <v>0</v>
      </c>
      <c r="AR10" s="33">
        <f t="shared" si="45"/>
        <v>0</v>
      </c>
      <c r="AS10" s="33">
        <f t="shared" si="46"/>
        <v>0</v>
      </c>
      <c r="AT10" s="33">
        <f t="shared" si="32"/>
        <v>15575.461466136991</v>
      </c>
      <c r="AU10" s="33">
        <f t="shared" si="47"/>
        <v>0</v>
      </c>
      <c r="AV10" s="33">
        <f t="shared" si="48"/>
        <v>0</v>
      </c>
      <c r="AW10" s="33">
        <f t="shared" si="49"/>
        <v>0</v>
      </c>
      <c r="AX10" s="33">
        <f t="shared" si="50"/>
        <v>0</v>
      </c>
      <c r="AY10" s="33">
        <f t="shared" si="51"/>
        <v>0</v>
      </c>
      <c r="AZ10" s="33">
        <f t="shared" si="52"/>
        <v>0</v>
      </c>
      <c r="BA10" s="33">
        <f t="shared" si="33"/>
        <v>12498.377382899664</v>
      </c>
      <c r="BB10" s="33">
        <f t="shared" si="53"/>
        <v>0</v>
      </c>
      <c r="BC10" s="33">
        <f t="shared" si="54"/>
        <v>0</v>
      </c>
      <c r="BD10" s="33">
        <f t="shared" si="55"/>
        <v>0</v>
      </c>
      <c r="BE10" s="33">
        <f t="shared" si="56"/>
        <v>0</v>
      </c>
      <c r="BF10" s="33">
        <f t="shared" si="57"/>
        <v>0</v>
      </c>
      <c r="BG10" s="33">
        <f t="shared" si="58"/>
        <v>0</v>
      </c>
    </row>
    <row r="11" spans="1:59" s="21" customFormat="1" ht="15.75" customHeight="1" thickBot="1">
      <c r="A11" s="4">
        <f t="shared" si="59"/>
        <v>2029</v>
      </c>
      <c r="B11" s="33">
        <v>115.39703915256646</v>
      </c>
      <c r="C11" s="45">
        <v>0</v>
      </c>
      <c r="D11" s="45">
        <v>0</v>
      </c>
      <c r="E11" s="45"/>
      <c r="F11" s="45"/>
      <c r="G11" s="45"/>
      <c r="H11" s="45"/>
      <c r="I11" s="45">
        <v>55.982723472164068</v>
      </c>
      <c r="J11" s="45">
        <v>0</v>
      </c>
      <c r="K11" s="45">
        <v>0</v>
      </c>
      <c r="L11" s="45"/>
      <c r="M11" s="45"/>
      <c r="N11" s="45"/>
      <c r="O11" s="45"/>
      <c r="P11" s="33">
        <v>748.8693293452601</v>
      </c>
      <c r="Q11" s="45">
        <v>0</v>
      </c>
      <c r="R11" s="45">
        <v>0</v>
      </c>
      <c r="S11" s="45"/>
      <c r="T11" s="45"/>
      <c r="U11" s="45"/>
      <c r="V11" s="45"/>
      <c r="W11" s="33">
        <v>704.97286391716818</v>
      </c>
      <c r="X11" s="45">
        <v>0</v>
      </c>
      <c r="Y11" s="45">
        <v>0</v>
      </c>
      <c r="Z11" s="45"/>
      <c r="AA11" s="45"/>
      <c r="AB11" s="45"/>
      <c r="AC11" s="45"/>
      <c r="AE11" s="4">
        <f t="shared" si="30"/>
        <v>2029</v>
      </c>
      <c r="AF11" s="33">
        <f t="shared" si="34"/>
        <v>5528.128407601419</v>
      </c>
      <c r="AG11" s="33">
        <f t="shared" si="35"/>
        <v>0</v>
      </c>
      <c r="AH11" s="33">
        <f t="shared" si="36"/>
        <v>0</v>
      </c>
      <c r="AI11" s="33">
        <f t="shared" si="37"/>
        <v>0</v>
      </c>
      <c r="AJ11" s="33">
        <f t="shared" si="38"/>
        <v>0</v>
      </c>
      <c r="AK11" s="33">
        <f t="shared" si="39"/>
        <v>0</v>
      </c>
      <c r="AL11" s="33">
        <f t="shared" si="40"/>
        <v>0</v>
      </c>
      <c r="AM11" s="33">
        <f t="shared" si="31"/>
        <v>2681.8684970955082</v>
      </c>
      <c r="AN11" s="33">
        <f t="shared" si="41"/>
        <v>0</v>
      </c>
      <c r="AO11" s="33">
        <f t="shared" si="42"/>
        <v>0</v>
      </c>
      <c r="AP11" s="33">
        <f t="shared" si="43"/>
        <v>0</v>
      </c>
      <c r="AQ11" s="33">
        <f t="shared" si="44"/>
        <v>0</v>
      </c>
      <c r="AR11" s="33">
        <f t="shared" si="45"/>
        <v>0</v>
      </c>
      <c r="AS11" s="33">
        <f t="shared" si="46"/>
        <v>0</v>
      </c>
      <c r="AT11" s="33">
        <f t="shared" si="32"/>
        <v>35874.800978746636</v>
      </c>
      <c r="AU11" s="33">
        <f t="shared" si="47"/>
        <v>0</v>
      </c>
      <c r="AV11" s="33">
        <f t="shared" si="48"/>
        <v>0</v>
      </c>
      <c r="AW11" s="33">
        <f t="shared" si="49"/>
        <v>0</v>
      </c>
      <c r="AX11" s="33">
        <f t="shared" si="50"/>
        <v>0</v>
      </c>
      <c r="AY11" s="33">
        <f t="shared" si="51"/>
        <v>0</v>
      </c>
      <c r="AZ11" s="33">
        <f t="shared" si="52"/>
        <v>0</v>
      </c>
      <c r="BA11" s="33">
        <f t="shared" si="33"/>
        <v>33771.928155419679</v>
      </c>
      <c r="BB11" s="33">
        <f t="shared" si="53"/>
        <v>0</v>
      </c>
      <c r="BC11" s="33">
        <f t="shared" si="54"/>
        <v>0</v>
      </c>
      <c r="BD11" s="33">
        <f t="shared" si="55"/>
        <v>0</v>
      </c>
      <c r="BE11" s="33">
        <f t="shared" si="56"/>
        <v>0</v>
      </c>
      <c r="BF11" s="33">
        <f t="shared" si="57"/>
        <v>0</v>
      </c>
      <c r="BG11" s="33">
        <f t="shared" si="58"/>
        <v>0</v>
      </c>
    </row>
    <row r="12" spans="1:59" s="21" customFormat="1" ht="15.75" customHeight="1" thickBot="1">
      <c r="A12" s="4">
        <f t="shared" si="59"/>
        <v>2030</v>
      </c>
      <c r="B12" s="33">
        <v>294.71078653192103</v>
      </c>
      <c r="C12" s="45">
        <v>0</v>
      </c>
      <c r="D12" s="45">
        <v>0</v>
      </c>
      <c r="E12" s="45"/>
      <c r="F12" s="45"/>
      <c r="G12" s="45"/>
      <c r="H12" s="45"/>
      <c r="I12" s="45">
        <v>77.646200684868916</v>
      </c>
      <c r="J12" s="45">
        <v>0</v>
      </c>
      <c r="K12" s="45">
        <v>0</v>
      </c>
      <c r="L12" s="45"/>
      <c r="M12" s="45"/>
      <c r="N12" s="45"/>
      <c r="O12" s="45"/>
      <c r="P12" s="33">
        <v>1792.94189799024</v>
      </c>
      <c r="Q12" s="45">
        <v>0</v>
      </c>
      <c r="R12" s="45">
        <v>0</v>
      </c>
      <c r="S12" s="45"/>
      <c r="T12" s="45"/>
      <c r="U12" s="45"/>
      <c r="V12" s="45"/>
      <c r="W12" s="33">
        <v>1978.6230060242906</v>
      </c>
      <c r="X12" s="45">
        <v>0</v>
      </c>
      <c r="Y12" s="45">
        <v>0</v>
      </c>
      <c r="Z12" s="45"/>
      <c r="AA12" s="45"/>
      <c r="AB12" s="45"/>
      <c r="AC12" s="45"/>
      <c r="AE12" s="4">
        <f t="shared" si="30"/>
        <v>2030</v>
      </c>
      <c r="AF12" s="33">
        <f t="shared" si="34"/>
        <v>14118.205137825986</v>
      </c>
      <c r="AG12" s="33">
        <f t="shared" si="35"/>
        <v>0</v>
      </c>
      <c r="AH12" s="33">
        <f t="shared" si="36"/>
        <v>0</v>
      </c>
      <c r="AI12" s="33">
        <f t="shared" si="37"/>
        <v>0</v>
      </c>
      <c r="AJ12" s="33">
        <f t="shared" si="38"/>
        <v>0</v>
      </c>
      <c r="AK12" s="33">
        <f t="shared" si="39"/>
        <v>0</v>
      </c>
      <c r="AL12" s="33">
        <f t="shared" si="40"/>
        <v>0</v>
      </c>
      <c r="AM12" s="33">
        <f t="shared" si="31"/>
        <v>3719.663614426438</v>
      </c>
      <c r="AN12" s="33">
        <f t="shared" si="41"/>
        <v>0</v>
      </c>
      <c r="AO12" s="33">
        <f t="shared" si="42"/>
        <v>0</v>
      </c>
      <c r="AP12" s="33">
        <f t="shared" si="43"/>
        <v>0</v>
      </c>
      <c r="AQ12" s="33">
        <f t="shared" si="44"/>
        <v>0</v>
      </c>
      <c r="AR12" s="33">
        <f t="shared" si="45"/>
        <v>0</v>
      </c>
      <c r="AS12" s="33">
        <f t="shared" si="46"/>
        <v>0</v>
      </c>
      <c r="AT12" s="33">
        <f t="shared" si="32"/>
        <v>85891.39818704105</v>
      </c>
      <c r="AU12" s="33">
        <f t="shared" si="47"/>
        <v>0</v>
      </c>
      <c r="AV12" s="33">
        <f t="shared" si="48"/>
        <v>0</v>
      </c>
      <c r="AW12" s="33">
        <f t="shared" si="49"/>
        <v>0</v>
      </c>
      <c r="AX12" s="33">
        <f t="shared" si="50"/>
        <v>0</v>
      </c>
      <c r="AY12" s="33">
        <f t="shared" si="51"/>
        <v>0</v>
      </c>
      <c r="AZ12" s="33">
        <f t="shared" si="52"/>
        <v>0</v>
      </c>
      <c r="BA12" s="33">
        <f t="shared" si="33"/>
        <v>94786.505163926704</v>
      </c>
      <c r="BB12" s="33">
        <f t="shared" si="53"/>
        <v>0</v>
      </c>
      <c r="BC12" s="33">
        <f t="shared" si="54"/>
        <v>0</v>
      </c>
      <c r="BD12" s="33">
        <f t="shared" si="55"/>
        <v>0</v>
      </c>
      <c r="BE12" s="33">
        <f t="shared" si="56"/>
        <v>0</v>
      </c>
      <c r="BF12" s="33">
        <f t="shared" si="57"/>
        <v>0</v>
      </c>
      <c r="BG12" s="33">
        <f t="shared" si="58"/>
        <v>0</v>
      </c>
    </row>
    <row r="13" spans="1:59" s="21" customFormat="1" ht="15.75" customHeight="1" thickBot="1">
      <c r="A13" s="4">
        <f t="shared" si="59"/>
        <v>2031</v>
      </c>
      <c r="B13" s="33">
        <v>496.27156468779708</v>
      </c>
      <c r="C13" s="45">
        <f t="shared" ref="C13:L13" si="60">C12+C12-C10</f>
        <v>0</v>
      </c>
      <c r="D13" s="45">
        <f t="shared" si="60"/>
        <v>0</v>
      </c>
      <c r="E13" s="45">
        <f t="shared" si="60"/>
        <v>0</v>
      </c>
      <c r="F13" s="45"/>
      <c r="G13" s="45"/>
      <c r="H13" s="45"/>
      <c r="I13" s="33">
        <v>113.11615551473209</v>
      </c>
      <c r="J13" s="45">
        <f t="shared" si="60"/>
        <v>0</v>
      </c>
      <c r="K13" s="45">
        <f t="shared" si="60"/>
        <v>0</v>
      </c>
      <c r="L13" s="45">
        <f t="shared" si="60"/>
        <v>0</v>
      </c>
      <c r="M13" s="45"/>
      <c r="N13" s="45"/>
      <c r="O13" s="45"/>
      <c r="P13" s="33">
        <v>2825.1631030288454</v>
      </c>
      <c r="Q13" s="45">
        <f t="shared" ref="Q13:S14" si="61">Q12+Q12-Q11</f>
        <v>0</v>
      </c>
      <c r="R13" s="45">
        <f t="shared" si="61"/>
        <v>0</v>
      </c>
      <c r="S13" s="45">
        <f t="shared" si="61"/>
        <v>0</v>
      </c>
      <c r="T13" s="45"/>
      <c r="U13" s="45"/>
      <c r="V13" s="45"/>
      <c r="W13" s="33">
        <v>4689.4474338936216</v>
      </c>
      <c r="X13" s="45">
        <v>0</v>
      </c>
      <c r="Y13" s="45">
        <v>0</v>
      </c>
      <c r="Z13" s="45">
        <v>0</v>
      </c>
      <c r="AA13" s="45"/>
      <c r="AB13" s="45"/>
      <c r="AC13" s="45"/>
      <c r="AE13" s="4">
        <f t="shared" si="30"/>
        <v>2031</v>
      </c>
      <c r="AF13" s="33">
        <f t="shared" si="34"/>
        <v>23774.032286983514</v>
      </c>
      <c r="AG13" s="33">
        <f t="shared" si="35"/>
        <v>0</v>
      </c>
      <c r="AH13" s="33">
        <f t="shared" si="36"/>
        <v>0</v>
      </c>
      <c r="AI13" s="33">
        <f t="shared" si="37"/>
        <v>0</v>
      </c>
      <c r="AJ13" s="33">
        <f t="shared" si="38"/>
        <v>0</v>
      </c>
      <c r="AK13" s="33">
        <f t="shared" si="39"/>
        <v>0</v>
      </c>
      <c r="AL13" s="33">
        <f t="shared" si="40"/>
        <v>0</v>
      </c>
      <c r="AM13" s="33">
        <f t="shared" si="31"/>
        <v>5418.862019786432</v>
      </c>
      <c r="AN13" s="33">
        <f t="shared" si="41"/>
        <v>0</v>
      </c>
      <c r="AO13" s="33">
        <f t="shared" si="42"/>
        <v>0</v>
      </c>
      <c r="AP13" s="33">
        <f t="shared" si="43"/>
        <v>0</v>
      </c>
      <c r="AQ13" s="33">
        <f t="shared" si="44"/>
        <v>0</v>
      </c>
      <c r="AR13" s="33">
        <f t="shared" si="45"/>
        <v>0</v>
      </c>
      <c r="AS13" s="33">
        <f t="shared" si="46"/>
        <v>0</v>
      </c>
      <c r="AT13" s="33">
        <f t="shared" si="32"/>
        <v>135340.25240728015</v>
      </c>
      <c r="AU13" s="33">
        <f t="shared" si="47"/>
        <v>0</v>
      </c>
      <c r="AV13" s="33">
        <f t="shared" si="48"/>
        <v>0</v>
      </c>
      <c r="AW13" s="33">
        <f t="shared" si="49"/>
        <v>0</v>
      </c>
      <c r="AX13" s="33">
        <f t="shared" si="50"/>
        <v>0</v>
      </c>
      <c r="AY13" s="33">
        <f t="shared" si="51"/>
        <v>0</v>
      </c>
      <c r="AZ13" s="33">
        <f t="shared" si="52"/>
        <v>0</v>
      </c>
      <c r="BA13" s="33">
        <f t="shared" si="33"/>
        <v>224649.33039561746</v>
      </c>
      <c r="BB13" s="33">
        <f t="shared" si="53"/>
        <v>0</v>
      </c>
      <c r="BC13" s="33">
        <f t="shared" si="54"/>
        <v>0</v>
      </c>
      <c r="BD13" s="33">
        <f t="shared" si="55"/>
        <v>0</v>
      </c>
      <c r="BE13" s="33">
        <f t="shared" si="56"/>
        <v>0</v>
      </c>
      <c r="BF13" s="33">
        <f t="shared" si="57"/>
        <v>0</v>
      </c>
      <c r="BG13" s="33">
        <f t="shared" si="58"/>
        <v>0</v>
      </c>
    </row>
    <row r="14" spans="1:59" s="21" customFormat="1" ht="15.75" customHeight="1" thickBot="1">
      <c r="A14" s="4">
        <f t="shared" si="59"/>
        <v>2032</v>
      </c>
      <c r="B14" s="33">
        <f>B13+B13-B12</f>
        <v>697.83234284367313</v>
      </c>
      <c r="C14" s="45">
        <f>C13+C13-C12</f>
        <v>0</v>
      </c>
      <c r="D14" s="45">
        <f>D13+D13-D12</f>
        <v>0</v>
      </c>
      <c r="E14" s="45">
        <f>E13+E13-E12</f>
        <v>0</v>
      </c>
      <c r="F14" s="45"/>
      <c r="G14" s="45"/>
      <c r="H14" s="45"/>
      <c r="I14" s="33">
        <f>I13+I13-I12</f>
        <v>148.58611034459526</v>
      </c>
      <c r="J14" s="45">
        <f>J13+J13-J12</f>
        <v>0</v>
      </c>
      <c r="K14" s="45">
        <f>K13+K13-K12</f>
        <v>0</v>
      </c>
      <c r="L14" s="45">
        <f>L13+L13-L12</f>
        <v>0</v>
      </c>
      <c r="M14" s="45"/>
      <c r="N14" s="45"/>
      <c r="O14" s="45"/>
      <c r="P14" s="33">
        <f>P13+P13-P12</f>
        <v>3857.3843080674505</v>
      </c>
      <c r="Q14" s="45">
        <f t="shared" si="61"/>
        <v>0</v>
      </c>
      <c r="R14" s="45">
        <f t="shared" si="61"/>
        <v>0</v>
      </c>
      <c r="S14" s="45">
        <f t="shared" si="61"/>
        <v>0</v>
      </c>
      <c r="T14" s="45"/>
      <c r="U14" s="45"/>
      <c r="V14" s="45"/>
      <c r="W14" s="33">
        <f>W13+W13-W12</f>
        <v>7400.2718617629525</v>
      </c>
      <c r="X14" s="45">
        <f>X13+X13-X12</f>
        <v>0</v>
      </c>
      <c r="Y14" s="45">
        <f>Y13+Y13-Y12</f>
        <v>0</v>
      </c>
      <c r="Z14" s="45">
        <f>Z13+Z13-Z12</f>
        <v>0</v>
      </c>
      <c r="AA14" s="45"/>
      <c r="AB14" s="45"/>
      <c r="AC14" s="45"/>
      <c r="AE14" s="4">
        <f t="shared" si="30"/>
        <v>2032</v>
      </c>
      <c r="AF14" s="33">
        <f t="shared" si="34"/>
        <v>33429.859436141051</v>
      </c>
      <c r="AG14" s="33">
        <f t="shared" si="35"/>
        <v>0</v>
      </c>
      <c r="AH14" s="33">
        <f t="shared" si="36"/>
        <v>0</v>
      </c>
      <c r="AI14" s="33">
        <f t="shared" si="37"/>
        <v>0</v>
      </c>
      <c r="AJ14" s="33">
        <f t="shared" si="38"/>
        <v>0</v>
      </c>
      <c r="AK14" s="33">
        <f t="shared" si="39"/>
        <v>0</v>
      </c>
      <c r="AL14" s="33">
        <f t="shared" si="40"/>
        <v>0</v>
      </c>
      <c r="AM14" s="33">
        <f t="shared" si="31"/>
        <v>7118.0604251464265</v>
      </c>
      <c r="AN14" s="33">
        <f t="shared" si="41"/>
        <v>0</v>
      </c>
      <c r="AO14" s="33">
        <f t="shared" si="42"/>
        <v>0</v>
      </c>
      <c r="AP14" s="33">
        <f t="shared" si="43"/>
        <v>0</v>
      </c>
      <c r="AQ14" s="33">
        <f t="shared" si="44"/>
        <v>0</v>
      </c>
      <c r="AR14" s="33">
        <f t="shared" si="45"/>
        <v>0</v>
      </c>
      <c r="AS14" s="33">
        <f t="shared" si="46"/>
        <v>0</v>
      </c>
      <c r="AT14" s="33">
        <f t="shared" si="32"/>
        <v>184789.10662751921</v>
      </c>
      <c r="AU14" s="33">
        <f t="shared" si="47"/>
        <v>0</v>
      </c>
      <c r="AV14" s="33">
        <f t="shared" si="48"/>
        <v>0</v>
      </c>
      <c r="AW14" s="33">
        <f t="shared" si="49"/>
        <v>0</v>
      </c>
      <c r="AX14" s="33">
        <f t="shared" si="50"/>
        <v>0</v>
      </c>
      <c r="AY14" s="33">
        <f t="shared" si="51"/>
        <v>0</v>
      </c>
      <c r="AZ14" s="33">
        <f t="shared" si="52"/>
        <v>0</v>
      </c>
      <c r="BA14" s="33">
        <f t="shared" si="33"/>
        <v>354512.15562730818</v>
      </c>
      <c r="BB14" s="33">
        <f t="shared" si="53"/>
        <v>0</v>
      </c>
      <c r="BC14" s="33">
        <f t="shared" si="54"/>
        <v>0</v>
      </c>
      <c r="BD14" s="33">
        <f t="shared" si="55"/>
        <v>0</v>
      </c>
      <c r="BE14" s="33">
        <f t="shared" si="56"/>
        <v>0</v>
      </c>
      <c r="BF14" s="33">
        <f t="shared" si="57"/>
        <v>0</v>
      </c>
      <c r="BG14" s="33">
        <f t="shared" si="58"/>
        <v>0</v>
      </c>
    </row>
    <row r="15" spans="1:59" s="21" customFormat="1" ht="15.75" customHeight="1" thickBot="1">
      <c r="A15" s="4">
        <f t="shared" si="59"/>
        <v>2033</v>
      </c>
      <c r="B15" s="33">
        <f t="shared" ref="B15:E16" si="62">B14+B14-B13</f>
        <v>899.39312099954918</v>
      </c>
      <c r="C15" s="45">
        <f t="shared" si="62"/>
        <v>0</v>
      </c>
      <c r="D15" s="45">
        <f t="shared" si="62"/>
        <v>0</v>
      </c>
      <c r="E15" s="45">
        <f t="shared" si="62"/>
        <v>0</v>
      </c>
      <c r="F15" s="45"/>
      <c r="G15" s="45"/>
      <c r="H15" s="45"/>
      <c r="I15" s="33">
        <f t="shared" ref="I15:I16" si="63">I14+I14-I13</f>
        <v>184.05606517445841</v>
      </c>
      <c r="J15" s="45">
        <f t="shared" ref="J15:J16" si="64">J14+J14-J13</f>
        <v>0</v>
      </c>
      <c r="K15" s="45">
        <f t="shared" ref="K15:K16" si="65">K14+K14-K13</f>
        <v>0</v>
      </c>
      <c r="L15" s="45">
        <f t="shared" ref="L15:L16" si="66">L14+L14-L13</f>
        <v>0</v>
      </c>
      <c r="M15" s="45"/>
      <c r="N15" s="45"/>
      <c r="O15" s="45"/>
      <c r="P15" s="33">
        <f t="shared" ref="P15:P16" si="67">P14+P14-P13</f>
        <v>4889.6055131060557</v>
      </c>
      <c r="Q15" s="45">
        <f t="shared" ref="Q15:Q16" si="68">Q14+Q14-Q13</f>
        <v>0</v>
      </c>
      <c r="R15" s="45">
        <f t="shared" ref="R15:R16" si="69">R14+R14-R13</f>
        <v>0</v>
      </c>
      <c r="S15" s="45">
        <f t="shared" ref="S15:S16" si="70">S14+S14-S13</f>
        <v>0</v>
      </c>
      <c r="T15" s="45"/>
      <c r="U15" s="45"/>
      <c r="V15" s="45"/>
      <c r="W15" s="33">
        <f t="shared" ref="W15:W16" si="71">W14+W14-W13</f>
        <v>10111.096289632284</v>
      </c>
      <c r="X15" s="45">
        <f t="shared" ref="X15:X16" si="72">X14+X14-X13</f>
        <v>0</v>
      </c>
      <c r="Y15" s="45">
        <f t="shared" ref="Y15:Y16" si="73">Y14+Y14-Y13</f>
        <v>0</v>
      </c>
      <c r="Z15" s="45">
        <f t="shared" ref="Z15:Z16" si="74">Z14+Z14-Z13</f>
        <v>0</v>
      </c>
      <c r="AA15" s="45"/>
      <c r="AB15" s="45"/>
      <c r="AC15" s="45"/>
      <c r="AE15" s="4">
        <f t="shared" si="30"/>
        <v>2033</v>
      </c>
      <c r="AF15" s="33">
        <f t="shared" si="34"/>
        <v>43085.686585298579</v>
      </c>
      <c r="AG15" s="33">
        <f t="shared" si="35"/>
        <v>0</v>
      </c>
      <c r="AH15" s="33">
        <f t="shared" si="36"/>
        <v>0</v>
      </c>
      <c r="AI15" s="33">
        <f t="shared" si="37"/>
        <v>0</v>
      </c>
      <c r="AJ15" s="33">
        <f t="shared" si="38"/>
        <v>0</v>
      </c>
      <c r="AK15" s="33">
        <f t="shared" si="39"/>
        <v>0</v>
      </c>
      <c r="AL15" s="33">
        <f t="shared" si="40"/>
        <v>0</v>
      </c>
      <c r="AM15" s="33">
        <f t="shared" si="31"/>
        <v>8817.2588305064201</v>
      </c>
      <c r="AN15" s="33">
        <f t="shared" si="41"/>
        <v>0</v>
      </c>
      <c r="AO15" s="33">
        <f t="shared" si="42"/>
        <v>0</v>
      </c>
      <c r="AP15" s="33">
        <f t="shared" si="43"/>
        <v>0</v>
      </c>
      <c r="AQ15" s="33">
        <f t="shared" si="44"/>
        <v>0</v>
      </c>
      <c r="AR15" s="33">
        <f t="shared" si="45"/>
        <v>0</v>
      </c>
      <c r="AS15" s="33">
        <f t="shared" si="46"/>
        <v>0</v>
      </c>
      <c r="AT15" s="33">
        <f t="shared" si="32"/>
        <v>234237.96084775831</v>
      </c>
      <c r="AU15" s="33">
        <f t="shared" si="47"/>
        <v>0</v>
      </c>
      <c r="AV15" s="33">
        <f t="shared" si="48"/>
        <v>0</v>
      </c>
      <c r="AW15" s="33">
        <f t="shared" si="49"/>
        <v>0</v>
      </c>
      <c r="AX15" s="33">
        <f t="shared" si="50"/>
        <v>0</v>
      </c>
      <c r="AY15" s="33">
        <f t="shared" si="51"/>
        <v>0</v>
      </c>
      <c r="AZ15" s="33">
        <f t="shared" si="52"/>
        <v>0</v>
      </c>
      <c r="BA15" s="33">
        <f t="shared" si="33"/>
        <v>484374.9808589989</v>
      </c>
      <c r="BB15" s="33">
        <f t="shared" si="53"/>
        <v>0</v>
      </c>
      <c r="BC15" s="33">
        <f t="shared" si="54"/>
        <v>0</v>
      </c>
      <c r="BD15" s="33">
        <f t="shared" si="55"/>
        <v>0</v>
      </c>
      <c r="BE15" s="33">
        <f t="shared" si="56"/>
        <v>0</v>
      </c>
      <c r="BF15" s="33">
        <f t="shared" si="57"/>
        <v>0</v>
      </c>
      <c r="BG15" s="33">
        <f t="shared" si="58"/>
        <v>0</v>
      </c>
    </row>
    <row r="16" spans="1:59" s="21" customFormat="1" ht="15.75" customHeight="1" thickBot="1">
      <c r="A16" s="4">
        <f t="shared" si="59"/>
        <v>2034</v>
      </c>
      <c r="B16" s="33">
        <f t="shared" si="62"/>
        <v>1100.9538991554252</v>
      </c>
      <c r="C16" s="45">
        <f t="shared" si="62"/>
        <v>0</v>
      </c>
      <c r="D16" s="45">
        <f t="shared" si="62"/>
        <v>0</v>
      </c>
      <c r="E16" s="45">
        <f t="shared" si="62"/>
        <v>0</v>
      </c>
      <c r="F16" s="45"/>
      <c r="G16" s="45"/>
      <c r="H16" s="45"/>
      <c r="I16" s="33">
        <f t="shared" si="63"/>
        <v>219.52602000432157</v>
      </c>
      <c r="J16" s="45">
        <f t="shared" si="64"/>
        <v>0</v>
      </c>
      <c r="K16" s="45">
        <f t="shared" si="65"/>
        <v>0</v>
      </c>
      <c r="L16" s="45">
        <f t="shared" si="66"/>
        <v>0</v>
      </c>
      <c r="M16" s="45"/>
      <c r="N16" s="45"/>
      <c r="O16" s="45"/>
      <c r="P16" s="33">
        <f t="shared" si="67"/>
        <v>5921.8267181446608</v>
      </c>
      <c r="Q16" s="45">
        <f t="shared" si="68"/>
        <v>0</v>
      </c>
      <c r="R16" s="45">
        <f t="shared" si="69"/>
        <v>0</v>
      </c>
      <c r="S16" s="45">
        <f t="shared" si="70"/>
        <v>0</v>
      </c>
      <c r="T16" s="45"/>
      <c r="U16" s="45"/>
      <c r="V16" s="45"/>
      <c r="W16" s="33">
        <f t="shared" si="71"/>
        <v>12821.920717501614</v>
      </c>
      <c r="X16" s="45">
        <f t="shared" si="72"/>
        <v>0</v>
      </c>
      <c r="Y16" s="45">
        <f t="shared" si="73"/>
        <v>0</v>
      </c>
      <c r="Z16" s="45">
        <f t="shared" si="74"/>
        <v>0</v>
      </c>
      <c r="AA16" s="45"/>
      <c r="AB16" s="45"/>
      <c r="AC16" s="45"/>
      <c r="AE16" s="4">
        <f t="shared" si="30"/>
        <v>2034</v>
      </c>
      <c r="AF16" s="33">
        <f t="shared" si="34"/>
        <v>52741.513734456115</v>
      </c>
      <c r="AG16" s="33">
        <f t="shared" si="35"/>
        <v>0</v>
      </c>
      <c r="AH16" s="33">
        <f t="shared" si="36"/>
        <v>0</v>
      </c>
      <c r="AI16" s="33">
        <f t="shared" si="37"/>
        <v>0</v>
      </c>
      <c r="AJ16" s="33">
        <f t="shared" si="38"/>
        <v>0</v>
      </c>
      <c r="AK16" s="33">
        <f t="shared" si="39"/>
        <v>0</v>
      </c>
      <c r="AL16" s="33">
        <f t="shared" si="40"/>
        <v>0</v>
      </c>
      <c r="AM16" s="33">
        <f t="shared" si="31"/>
        <v>10516.457235866412</v>
      </c>
      <c r="AN16" s="33">
        <f t="shared" si="41"/>
        <v>0</v>
      </c>
      <c r="AO16" s="33">
        <f t="shared" si="42"/>
        <v>0</v>
      </c>
      <c r="AP16" s="33">
        <f t="shared" si="43"/>
        <v>0</v>
      </c>
      <c r="AQ16" s="33">
        <f t="shared" si="44"/>
        <v>0</v>
      </c>
      <c r="AR16" s="33">
        <f t="shared" si="45"/>
        <v>0</v>
      </c>
      <c r="AS16" s="33">
        <f t="shared" si="46"/>
        <v>0</v>
      </c>
      <c r="AT16" s="33">
        <f t="shared" si="32"/>
        <v>283686.81506799738</v>
      </c>
      <c r="AU16" s="33">
        <f t="shared" si="47"/>
        <v>0</v>
      </c>
      <c r="AV16" s="33">
        <f t="shared" si="48"/>
        <v>0</v>
      </c>
      <c r="AW16" s="33">
        <f t="shared" si="49"/>
        <v>0</v>
      </c>
      <c r="AX16" s="33">
        <f t="shared" si="50"/>
        <v>0</v>
      </c>
      <c r="AY16" s="33">
        <f t="shared" si="51"/>
        <v>0</v>
      </c>
      <c r="AZ16" s="33">
        <f t="shared" si="52"/>
        <v>0</v>
      </c>
      <c r="BA16" s="33">
        <f t="shared" si="33"/>
        <v>614237.80609068961</v>
      </c>
      <c r="BB16" s="33">
        <f t="shared" si="53"/>
        <v>0</v>
      </c>
      <c r="BC16" s="33">
        <f t="shared" si="54"/>
        <v>0</v>
      </c>
      <c r="BD16" s="33">
        <f t="shared" si="55"/>
        <v>0</v>
      </c>
      <c r="BE16" s="33">
        <f t="shared" si="56"/>
        <v>0</v>
      </c>
      <c r="BF16" s="33">
        <f t="shared" si="57"/>
        <v>0</v>
      </c>
      <c r="BG16" s="33">
        <f t="shared" si="58"/>
        <v>0</v>
      </c>
    </row>
    <row r="17" spans="1:59" s="21" customFormat="1" ht="15.75" customHeight="1">
      <c r="A17" s="41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E17" s="41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</row>
    <row r="18" spans="1:59" s="21" customFormat="1" ht="15.75" customHeight="1" thickBot="1">
      <c r="A18" s="22" t="s">
        <v>156</v>
      </c>
      <c r="AE18" s="22" t="s">
        <v>157</v>
      </c>
    </row>
    <row r="19" spans="1:59" s="21" customFormat="1" ht="15.75" customHeight="1" thickBot="1">
      <c r="A19" s="1" t="s">
        <v>158</v>
      </c>
      <c r="B19" s="1">
        <v>1</v>
      </c>
      <c r="C19" s="1">
        <f>B19+1</f>
        <v>2</v>
      </c>
      <c r="D19" s="1">
        <f t="shared" ref="D19" si="75">C19+1</f>
        <v>3</v>
      </c>
      <c r="E19" s="1">
        <f t="shared" ref="E19" si="76">D19+1</f>
        <v>4</v>
      </c>
      <c r="F19" s="1">
        <f t="shared" ref="F19" si="77">E19+1</f>
        <v>5</v>
      </c>
      <c r="G19" s="1">
        <f t="shared" ref="G19" si="78">F19+1</f>
        <v>6</v>
      </c>
      <c r="H19" s="1">
        <f t="shared" ref="H19" si="79">G19+1</f>
        <v>7</v>
      </c>
      <c r="I19" s="1">
        <f>B19</f>
        <v>1</v>
      </c>
      <c r="J19" s="1">
        <f t="shared" ref="J19" si="80">C19</f>
        <v>2</v>
      </c>
      <c r="K19" s="1">
        <f t="shared" ref="K19" si="81">D19</f>
        <v>3</v>
      </c>
      <c r="L19" s="1">
        <f t="shared" ref="L19" si="82">E19</f>
        <v>4</v>
      </c>
      <c r="M19" s="1">
        <f t="shared" ref="M19" si="83">F19</f>
        <v>5</v>
      </c>
      <c r="N19" s="1">
        <f t="shared" ref="N19" si="84">G19</f>
        <v>6</v>
      </c>
      <c r="O19" s="1">
        <f t="shared" ref="O19" si="85">H19</f>
        <v>7</v>
      </c>
      <c r="P19" s="1">
        <f t="shared" ref="P19" si="86">I19</f>
        <v>1</v>
      </c>
      <c r="Q19" s="1">
        <f t="shared" ref="Q19" si="87">J19</f>
        <v>2</v>
      </c>
      <c r="R19" s="1">
        <f t="shared" ref="R19" si="88">K19</f>
        <v>3</v>
      </c>
      <c r="S19" s="1">
        <f t="shared" ref="S19" si="89">L19</f>
        <v>4</v>
      </c>
      <c r="T19" s="1">
        <f t="shared" ref="T19" si="90">M19</f>
        <v>5</v>
      </c>
      <c r="U19" s="1">
        <f t="shared" ref="U19" si="91">N19</f>
        <v>6</v>
      </c>
      <c r="V19" s="1">
        <f t="shared" ref="V19" si="92">O19</f>
        <v>7</v>
      </c>
      <c r="W19" s="1">
        <f t="shared" ref="W19" si="93">P19</f>
        <v>1</v>
      </c>
      <c r="X19" s="1">
        <f t="shared" ref="X19" si="94">Q19</f>
        <v>2</v>
      </c>
      <c r="Y19" s="1">
        <f t="shared" ref="Y19" si="95">R19</f>
        <v>3</v>
      </c>
      <c r="Z19" s="1">
        <f t="shared" ref="Z19" si="96">S19</f>
        <v>4</v>
      </c>
      <c r="AA19" s="1">
        <f t="shared" ref="AA19" si="97">T19</f>
        <v>5</v>
      </c>
      <c r="AB19" s="1">
        <f t="shared" ref="AB19" si="98">U19</f>
        <v>6</v>
      </c>
      <c r="AC19" s="1">
        <f t="shared" ref="AC19" si="99">V19</f>
        <v>7</v>
      </c>
      <c r="AE19" s="1" t="str">
        <f t="shared" ref="AE19:AE31" si="100">A19</f>
        <v>Option</v>
      </c>
      <c r="AF19" s="1">
        <f t="shared" ref="AF19:AF21" si="101">B19</f>
        <v>1</v>
      </c>
      <c r="AG19" s="1">
        <f t="shared" ref="AG19:AG21" si="102">C19</f>
        <v>2</v>
      </c>
      <c r="AH19" s="1">
        <f t="shared" ref="AH19:AH21" si="103">D19</f>
        <v>3</v>
      </c>
      <c r="AI19" s="1">
        <f t="shared" ref="AI19:AI21" si="104">E19</f>
        <v>4</v>
      </c>
      <c r="AJ19" s="1">
        <f t="shared" ref="AJ19:AJ21" si="105">F19</f>
        <v>5</v>
      </c>
      <c r="AK19" s="1">
        <f t="shared" ref="AK19:AK21" si="106">G19</f>
        <v>6</v>
      </c>
      <c r="AL19" s="1">
        <f t="shared" ref="AL19:AL21" si="107">H19</f>
        <v>7</v>
      </c>
      <c r="AM19" s="1">
        <f t="shared" ref="AM19:AM21" si="108">I19</f>
        <v>1</v>
      </c>
      <c r="AN19" s="1">
        <f t="shared" ref="AN19:AN21" si="109">J19</f>
        <v>2</v>
      </c>
      <c r="AO19" s="1">
        <f t="shared" ref="AO19:AO21" si="110">K19</f>
        <v>3</v>
      </c>
      <c r="AP19" s="1">
        <f t="shared" ref="AP19:AP21" si="111">L19</f>
        <v>4</v>
      </c>
      <c r="AQ19" s="1">
        <f t="shared" ref="AQ19:AQ21" si="112">M19</f>
        <v>5</v>
      </c>
      <c r="AR19" s="1">
        <f t="shared" ref="AR19:AR21" si="113">N19</f>
        <v>6</v>
      </c>
      <c r="AS19" s="1">
        <f t="shared" ref="AS19:AS21" si="114">O19</f>
        <v>7</v>
      </c>
      <c r="AT19" s="1">
        <f t="shared" ref="AT19:AT21" si="115">P19</f>
        <v>1</v>
      </c>
      <c r="AU19" s="1">
        <f t="shared" ref="AU19:AU21" si="116">Q19</f>
        <v>2</v>
      </c>
      <c r="AV19" s="1">
        <f t="shared" ref="AV19:AV21" si="117">R19</f>
        <v>3</v>
      </c>
      <c r="AW19" s="1">
        <f t="shared" ref="AW19:AW21" si="118">S19</f>
        <v>4</v>
      </c>
      <c r="AX19" s="1">
        <f t="shared" ref="AX19:AX21" si="119">T19</f>
        <v>5</v>
      </c>
      <c r="AY19" s="1">
        <f t="shared" ref="AY19:AY21" si="120">U19</f>
        <v>6</v>
      </c>
      <c r="AZ19" s="1">
        <f t="shared" ref="AZ19:AZ21" si="121">V19</f>
        <v>7</v>
      </c>
      <c r="BA19" s="1">
        <f t="shared" ref="BA19:BA21" si="122">W19</f>
        <v>1</v>
      </c>
      <c r="BB19" s="1">
        <f t="shared" ref="BB19:BB21" si="123">X19</f>
        <v>2</v>
      </c>
      <c r="BC19" s="1">
        <f t="shared" ref="BC19:BC21" si="124">Y19</f>
        <v>3</v>
      </c>
      <c r="BD19" s="1">
        <f t="shared" ref="BD19:BD21" si="125">Z19</f>
        <v>4</v>
      </c>
      <c r="BE19" s="1">
        <f t="shared" ref="BE19:BE21" si="126">AA19</f>
        <v>5</v>
      </c>
      <c r="BF19" s="1">
        <f t="shared" ref="BF19:BF21" si="127">AB19</f>
        <v>6</v>
      </c>
      <c r="BG19" s="1">
        <f t="shared" ref="BG19:BG21" si="128">AC19</f>
        <v>7</v>
      </c>
    </row>
    <row r="20" spans="1:59" s="21" customFormat="1" ht="15.75" customHeight="1" thickTop="1" thickBot="1">
      <c r="A20" s="6" t="s">
        <v>159</v>
      </c>
      <c r="B20" s="170" t="s">
        <v>36</v>
      </c>
      <c r="C20" s="171"/>
      <c r="D20" s="171"/>
      <c r="E20" s="171"/>
      <c r="F20" s="171"/>
      <c r="G20" s="171"/>
      <c r="H20" s="172"/>
      <c r="I20" s="170" t="s">
        <v>38</v>
      </c>
      <c r="J20" s="171"/>
      <c r="K20" s="171"/>
      <c r="L20" s="171"/>
      <c r="M20" s="171"/>
      <c r="N20" s="171"/>
      <c r="O20" s="172"/>
      <c r="P20" s="170" t="s">
        <v>40</v>
      </c>
      <c r="Q20" s="171"/>
      <c r="R20" s="171"/>
      <c r="S20" s="171"/>
      <c r="T20" s="171"/>
      <c r="U20" s="171"/>
      <c r="V20" s="172"/>
      <c r="W20" s="170" t="s">
        <v>44</v>
      </c>
      <c r="X20" s="171"/>
      <c r="Y20" s="171"/>
      <c r="Z20" s="171"/>
      <c r="AA20" s="171"/>
      <c r="AB20" s="171"/>
      <c r="AC20" s="172"/>
      <c r="AE20" s="6" t="str">
        <f t="shared" si="100"/>
        <v>FDR</v>
      </c>
      <c r="AF20" s="170" t="str">
        <f t="shared" si="101"/>
        <v>KLO23</v>
      </c>
      <c r="AG20" s="171">
        <f t="shared" si="102"/>
        <v>0</v>
      </c>
      <c r="AH20" s="171">
        <f t="shared" si="103"/>
        <v>0</v>
      </c>
      <c r="AI20" s="171">
        <f t="shared" si="104"/>
        <v>0</v>
      </c>
      <c r="AJ20" s="171">
        <f t="shared" si="105"/>
        <v>0</v>
      </c>
      <c r="AK20" s="171">
        <f t="shared" si="106"/>
        <v>0</v>
      </c>
      <c r="AL20" s="172">
        <f t="shared" si="107"/>
        <v>0</v>
      </c>
      <c r="AM20" s="170" t="str">
        <f t="shared" si="108"/>
        <v>ST 11</v>
      </c>
      <c r="AN20" s="171">
        <f t="shared" si="109"/>
        <v>0</v>
      </c>
      <c r="AO20" s="171">
        <f t="shared" si="110"/>
        <v>0</v>
      </c>
      <c r="AP20" s="171">
        <f t="shared" si="111"/>
        <v>0</v>
      </c>
      <c r="AQ20" s="171">
        <f t="shared" si="112"/>
        <v>0</v>
      </c>
      <c r="AR20" s="171">
        <f t="shared" si="113"/>
        <v>0</v>
      </c>
      <c r="AS20" s="172">
        <f t="shared" si="114"/>
        <v>0</v>
      </c>
      <c r="AT20" s="170" t="str">
        <f t="shared" si="115"/>
        <v>ST 12</v>
      </c>
      <c r="AU20" s="171">
        <f t="shared" si="116"/>
        <v>0</v>
      </c>
      <c r="AV20" s="171">
        <f t="shared" si="117"/>
        <v>0</v>
      </c>
      <c r="AW20" s="171">
        <f t="shared" si="118"/>
        <v>0</v>
      </c>
      <c r="AX20" s="171">
        <f t="shared" si="119"/>
        <v>0</v>
      </c>
      <c r="AY20" s="171">
        <f t="shared" si="120"/>
        <v>0</v>
      </c>
      <c r="AZ20" s="172">
        <f t="shared" si="121"/>
        <v>0</v>
      </c>
      <c r="BA20" s="170" t="str">
        <f t="shared" si="122"/>
        <v>ST 22</v>
      </c>
      <c r="BB20" s="171">
        <f t="shared" si="123"/>
        <v>0</v>
      </c>
      <c r="BC20" s="171">
        <f t="shared" si="124"/>
        <v>0</v>
      </c>
      <c r="BD20" s="171">
        <f t="shared" si="125"/>
        <v>0</v>
      </c>
      <c r="BE20" s="171">
        <f t="shared" si="126"/>
        <v>0</v>
      </c>
      <c r="BF20" s="171">
        <f t="shared" si="127"/>
        <v>0</v>
      </c>
      <c r="BG20" s="172">
        <f t="shared" si="128"/>
        <v>0</v>
      </c>
    </row>
    <row r="21" spans="1:59" s="21" customFormat="1" ht="24.6" thickBot="1">
      <c r="A21" s="6" t="s">
        <v>160</v>
      </c>
      <c r="B21" s="158" t="s">
        <v>107</v>
      </c>
      <c r="C21" s="158"/>
      <c r="D21" s="158"/>
      <c r="E21" s="158"/>
      <c r="F21" s="158"/>
      <c r="G21" s="158"/>
      <c r="H21" s="159"/>
      <c r="I21" s="158" t="s">
        <v>107</v>
      </c>
      <c r="J21" s="158"/>
      <c r="K21" s="158"/>
      <c r="L21" s="158"/>
      <c r="M21" s="158"/>
      <c r="N21" s="158"/>
      <c r="O21" s="159"/>
      <c r="P21" s="158"/>
      <c r="Q21" s="158"/>
      <c r="R21" s="158"/>
      <c r="S21" s="158"/>
      <c r="T21" s="158"/>
      <c r="U21" s="158"/>
      <c r="V21" s="159"/>
      <c r="W21" s="158"/>
      <c r="X21" s="158"/>
      <c r="Y21" s="158"/>
      <c r="Z21" s="158"/>
      <c r="AA21" s="158"/>
      <c r="AB21" s="158"/>
      <c r="AC21" s="159"/>
      <c r="AE21" s="6" t="str">
        <f t="shared" si="100"/>
        <v>Solution Applied</v>
      </c>
      <c r="AF21" s="31" t="str">
        <f t="shared" si="101"/>
        <v>Nil</v>
      </c>
      <c r="AG21" s="31">
        <f t="shared" si="102"/>
        <v>0</v>
      </c>
      <c r="AH21" s="31">
        <f t="shared" si="103"/>
        <v>0</v>
      </c>
      <c r="AI21" s="31">
        <f t="shared" si="104"/>
        <v>0</v>
      </c>
      <c r="AJ21" s="31">
        <f t="shared" si="105"/>
        <v>0</v>
      </c>
      <c r="AK21" s="31">
        <f t="shared" si="106"/>
        <v>0</v>
      </c>
      <c r="AL21" s="32">
        <f t="shared" si="107"/>
        <v>0</v>
      </c>
      <c r="AM21" s="31" t="str">
        <f t="shared" si="108"/>
        <v>Nil</v>
      </c>
      <c r="AN21" s="31">
        <f t="shared" si="109"/>
        <v>0</v>
      </c>
      <c r="AO21" s="31">
        <f t="shared" si="110"/>
        <v>0</v>
      </c>
      <c r="AP21" s="31">
        <f t="shared" si="111"/>
        <v>0</v>
      </c>
      <c r="AQ21" s="31">
        <f t="shared" si="112"/>
        <v>0</v>
      </c>
      <c r="AR21" s="31">
        <f t="shared" si="113"/>
        <v>0</v>
      </c>
      <c r="AS21" s="32">
        <f t="shared" si="114"/>
        <v>0</v>
      </c>
      <c r="AT21" s="31">
        <f t="shared" si="115"/>
        <v>0</v>
      </c>
      <c r="AU21" s="31">
        <f t="shared" si="116"/>
        <v>0</v>
      </c>
      <c r="AV21" s="31">
        <f t="shared" si="117"/>
        <v>0</v>
      </c>
      <c r="AW21" s="31">
        <f t="shared" si="118"/>
        <v>0</v>
      </c>
      <c r="AX21" s="31">
        <f t="shared" si="119"/>
        <v>0</v>
      </c>
      <c r="AY21" s="31">
        <f t="shared" si="120"/>
        <v>0</v>
      </c>
      <c r="AZ21" s="32">
        <f t="shared" si="121"/>
        <v>0</v>
      </c>
      <c r="BA21" s="31">
        <f t="shared" si="122"/>
        <v>0</v>
      </c>
      <c r="BB21" s="31">
        <f t="shared" si="123"/>
        <v>0</v>
      </c>
      <c r="BC21" s="31">
        <f t="shared" si="124"/>
        <v>0</v>
      </c>
      <c r="BD21" s="31">
        <f t="shared" si="125"/>
        <v>0</v>
      </c>
      <c r="BE21" s="31">
        <f t="shared" si="126"/>
        <v>0</v>
      </c>
      <c r="BF21" s="31">
        <f t="shared" si="127"/>
        <v>0</v>
      </c>
      <c r="BG21" s="32">
        <f t="shared" si="128"/>
        <v>0</v>
      </c>
    </row>
    <row r="22" spans="1:59" s="21" customFormat="1" ht="15.75" customHeight="1" thickBot="1">
      <c r="A22" s="4">
        <f>A7</f>
        <v>2025</v>
      </c>
      <c r="B22" s="45">
        <v>0</v>
      </c>
      <c r="C22" s="45"/>
      <c r="D22" s="45"/>
      <c r="E22" s="45"/>
      <c r="F22" s="45"/>
      <c r="G22" s="45"/>
      <c r="H22" s="45"/>
      <c r="I22" s="45">
        <v>1.883758506465957</v>
      </c>
      <c r="J22" s="45"/>
      <c r="K22" s="45"/>
      <c r="L22" s="45"/>
      <c r="M22" s="45"/>
      <c r="N22" s="45"/>
      <c r="O22" s="45"/>
      <c r="P22" s="45">
        <v>0</v>
      </c>
      <c r="Q22" s="45"/>
      <c r="R22" s="45"/>
      <c r="S22" s="45"/>
      <c r="T22" s="45"/>
      <c r="U22" s="45"/>
      <c r="V22" s="45"/>
      <c r="W22" s="45">
        <v>0</v>
      </c>
      <c r="X22" s="45"/>
      <c r="Y22" s="45"/>
      <c r="Z22" s="45"/>
      <c r="AA22" s="45"/>
      <c r="AB22" s="45"/>
      <c r="AC22" s="45"/>
      <c r="AE22" s="4">
        <f t="shared" si="100"/>
        <v>2025</v>
      </c>
      <c r="AF22" s="33">
        <f t="shared" ref="AF22:AF31" si="129">B22*$H$1/1000</f>
        <v>0</v>
      </c>
      <c r="AG22" s="33"/>
      <c r="AH22" s="33"/>
      <c r="AI22" s="33"/>
      <c r="AJ22" s="33"/>
      <c r="AK22" s="33"/>
      <c r="AL22" s="33"/>
      <c r="AM22" s="33">
        <f t="shared" ref="AM22:AM31" si="130">I22*$H$1/1000</f>
        <v>90.241993981209305</v>
      </c>
      <c r="AN22" s="33"/>
      <c r="AO22" s="33"/>
      <c r="AP22" s="33"/>
      <c r="AQ22" s="33"/>
      <c r="AR22" s="33"/>
      <c r="AS22" s="33"/>
      <c r="AT22" s="33">
        <f t="shared" ref="AT22:AT31" si="131">P22*$H$1/1000</f>
        <v>0</v>
      </c>
      <c r="AU22" s="33"/>
      <c r="AV22" s="33"/>
      <c r="AW22" s="33"/>
      <c r="AX22" s="33"/>
      <c r="AY22" s="33"/>
      <c r="AZ22" s="33"/>
      <c r="BA22" s="33">
        <f t="shared" ref="BA22:BA31" si="132">W22*$H$1/1000</f>
        <v>0</v>
      </c>
      <c r="BB22" s="33"/>
      <c r="BC22" s="33"/>
      <c r="BD22" s="33"/>
      <c r="BE22" s="33"/>
      <c r="BF22" s="33"/>
      <c r="BG22" s="33"/>
    </row>
    <row r="23" spans="1:59" s="21" customFormat="1" ht="15.75" customHeight="1" thickBot="1">
      <c r="A23" s="4">
        <f>A22+1</f>
        <v>2026</v>
      </c>
      <c r="B23" s="45">
        <v>0</v>
      </c>
      <c r="C23" s="45">
        <v>0</v>
      </c>
      <c r="D23" s="45">
        <v>0</v>
      </c>
      <c r="E23" s="45"/>
      <c r="F23" s="45"/>
      <c r="G23" s="45"/>
      <c r="H23" s="45"/>
      <c r="I23" s="45">
        <v>13.683788100797043</v>
      </c>
      <c r="J23" s="45">
        <f>I23</f>
        <v>13.683788100797043</v>
      </c>
      <c r="K23" s="45">
        <f>I23</f>
        <v>13.683788100797043</v>
      </c>
      <c r="L23" s="45"/>
      <c r="M23" s="45"/>
      <c r="N23" s="45"/>
      <c r="O23" s="45"/>
      <c r="P23" s="45">
        <v>53.765759651194287</v>
      </c>
      <c r="Q23" s="45">
        <f>P23</f>
        <v>53.765759651194287</v>
      </c>
      <c r="R23" s="45">
        <f>P23</f>
        <v>53.765759651194287</v>
      </c>
      <c r="S23" s="45"/>
      <c r="T23" s="45"/>
      <c r="U23" s="45"/>
      <c r="V23" s="45"/>
      <c r="W23" s="45">
        <v>1.198548724272547</v>
      </c>
      <c r="X23" s="45">
        <f>W23</f>
        <v>1.198548724272547</v>
      </c>
      <c r="Y23" s="45">
        <f>W23</f>
        <v>1.198548724272547</v>
      </c>
      <c r="Z23" s="45"/>
      <c r="AA23" s="45"/>
      <c r="AB23" s="45"/>
      <c r="AC23" s="45"/>
      <c r="AE23" s="4">
        <f t="shared" si="100"/>
        <v>2026</v>
      </c>
      <c r="AF23" s="33">
        <f t="shared" si="129"/>
        <v>0</v>
      </c>
      <c r="AG23" s="33">
        <f t="shared" ref="AG23:AG31" si="133">C23*$H$1/1000</f>
        <v>0</v>
      </c>
      <c r="AH23" s="33">
        <f t="shared" ref="AH23:AH31" si="134">D23*$H$1/1000</f>
        <v>0</v>
      </c>
      <c r="AI23" s="33">
        <f t="shared" ref="AI23:AI31" si="135">E23*$H$1/1000</f>
        <v>0</v>
      </c>
      <c r="AJ23" s="33">
        <f t="shared" ref="AJ23:AJ31" si="136">F23*$H$1/1000</f>
        <v>0</v>
      </c>
      <c r="AK23" s="33">
        <f t="shared" ref="AK23:AK31" si="137">G23*$H$1/1000</f>
        <v>0</v>
      </c>
      <c r="AL23" s="33">
        <f t="shared" ref="AL23:AL31" si="138">H23*$H$1/1000</f>
        <v>0</v>
      </c>
      <c r="AM23" s="33">
        <f t="shared" si="130"/>
        <v>655.52581139974609</v>
      </c>
      <c r="AN23" s="33">
        <f t="shared" ref="AN23:AN31" si="139">J23*$H$1/1000</f>
        <v>655.52581139974609</v>
      </c>
      <c r="AO23" s="33">
        <f t="shared" ref="AO23:AO31" si="140">K23*$H$1/1000</f>
        <v>655.52581139974609</v>
      </c>
      <c r="AP23" s="33">
        <f t="shared" ref="AP23:AP31" si="141">L23*$H$1/1000</f>
        <v>0</v>
      </c>
      <c r="AQ23" s="33">
        <f t="shared" ref="AQ23:AQ31" si="142">M23*$H$1/1000</f>
        <v>0</v>
      </c>
      <c r="AR23" s="33">
        <f t="shared" ref="AR23:AR31" si="143">N23*$H$1/1000</f>
        <v>0</v>
      </c>
      <c r="AS23" s="33">
        <f t="shared" ref="AS23:AS31" si="144">O23*$H$1/1000</f>
        <v>0</v>
      </c>
      <c r="AT23" s="33">
        <f t="shared" si="131"/>
        <v>2575.6642065233345</v>
      </c>
      <c r="AU23" s="33">
        <f t="shared" ref="AU23:AU31" si="145">Q23*$H$1/1000</f>
        <v>2575.6642065233345</v>
      </c>
      <c r="AV23" s="33">
        <f t="shared" ref="AV23:AV31" si="146">R23*$H$1/1000</f>
        <v>2575.6642065233345</v>
      </c>
      <c r="AW23" s="33">
        <f t="shared" ref="AW23:AW31" si="147">S23*$H$1/1000</f>
        <v>0</v>
      </c>
      <c r="AX23" s="33">
        <f t="shared" ref="AX23:AX31" si="148">T23*$H$1/1000</f>
        <v>0</v>
      </c>
      <c r="AY23" s="33">
        <f t="shared" ref="AY23:AY31" si="149">U23*$H$1/1000</f>
        <v>0</v>
      </c>
      <c r="AZ23" s="33">
        <f t="shared" ref="AZ23:AZ31" si="150">V23*$H$1/1000</f>
        <v>0</v>
      </c>
      <c r="BA23" s="33">
        <f t="shared" si="132"/>
        <v>57.416821949700335</v>
      </c>
      <c r="BB23" s="33">
        <f t="shared" ref="BB23:BB31" si="151">X23*$H$1/1000</f>
        <v>57.416821949700335</v>
      </c>
      <c r="BC23" s="33">
        <f t="shared" ref="BC23:BC31" si="152">Y23*$H$1/1000</f>
        <v>57.416821949700335</v>
      </c>
      <c r="BD23" s="33">
        <f t="shared" ref="BD23:BD31" si="153">Z23*$H$1/1000</f>
        <v>0</v>
      </c>
      <c r="BE23" s="33">
        <f t="shared" ref="BE23:BE31" si="154">AA23*$H$1/1000</f>
        <v>0</v>
      </c>
      <c r="BF23" s="33">
        <f t="shared" ref="BF23:BF31" si="155">AB23*$H$1/1000</f>
        <v>0</v>
      </c>
      <c r="BG23" s="33">
        <f t="shared" ref="BG23:BG31" si="156">AC23*$H$1/1000</f>
        <v>0</v>
      </c>
    </row>
    <row r="24" spans="1:59" s="21" customFormat="1" ht="15.75" customHeight="1" thickBot="1">
      <c r="A24" s="4">
        <f t="shared" ref="A24:A31" si="157">A23+1</f>
        <v>2027</v>
      </c>
      <c r="B24" s="45">
        <v>0</v>
      </c>
      <c r="C24" s="45">
        <v>0</v>
      </c>
      <c r="D24" s="45">
        <v>0</v>
      </c>
      <c r="E24" s="45"/>
      <c r="F24" s="45"/>
      <c r="G24" s="45"/>
      <c r="H24" s="45"/>
      <c r="I24" s="45">
        <v>40.716196989508227</v>
      </c>
      <c r="J24" s="45">
        <v>0</v>
      </c>
      <c r="K24" s="45">
        <v>0</v>
      </c>
      <c r="L24" s="45"/>
      <c r="M24" s="45"/>
      <c r="N24" s="45"/>
      <c r="O24" s="45"/>
      <c r="P24" s="33">
        <v>2532.3231831172779</v>
      </c>
      <c r="Q24" s="45">
        <v>0</v>
      </c>
      <c r="R24" s="45">
        <v>0</v>
      </c>
      <c r="S24" s="45"/>
      <c r="T24" s="45"/>
      <c r="U24" s="45"/>
      <c r="V24" s="45"/>
      <c r="W24" s="45">
        <v>16.559522271957636</v>
      </c>
      <c r="X24" s="45">
        <v>0</v>
      </c>
      <c r="Y24" s="45">
        <v>0</v>
      </c>
      <c r="Z24" s="45"/>
      <c r="AA24" s="45"/>
      <c r="AB24" s="45"/>
      <c r="AC24" s="45"/>
      <c r="AE24" s="4">
        <f t="shared" si="100"/>
        <v>2027</v>
      </c>
      <c r="AF24" s="33">
        <f t="shared" si="129"/>
        <v>0</v>
      </c>
      <c r="AG24" s="33">
        <f t="shared" si="133"/>
        <v>0</v>
      </c>
      <c r="AH24" s="33">
        <f t="shared" si="134"/>
        <v>0</v>
      </c>
      <c r="AI24" s="33">
        <f t="shared" si="135"/>
        <v>0</v>
      </c>
      <c r="AJ24" s="33">
        <f t="shared" si="136"/>
        <v>0</v>
      </c>
      <c r="AK24" s="33">
        <f t="shared" si="137"/>
        <v>0</v>
      </c>
      <c r="AL24" s="33">
        <f t="shared" si="138"/>
        <v>0</v>
      </c>
      <c r="AM24" s="33">
        <f t="shared" si="130"/>
        <v>1950.5211475106539</v>
      </c>
      <c r="AN24" s="33">
        <f t="shared" si="139"/>
        <v>0</v>
      </c>
      <c r="AO24" s="33">
        <f t="shared" si="140"/>
        <v>0</v>
      </c>
      <c r="AP24" s="33">
        <f t="shared" si="141"/>
        <v>0</v>
      </c>
      <c r="AQ24" s="33">
        <f t="shared" si="142"/>
        <v>0</v>
      </c>
      <c r="AR24" s="33">
        <f t="shared" si="143"/>
        <v>0</v>
      </c>
      <c r="AS24" s="33">
        <f t="shared" si="144"/>
        <v>0</v>
      </c>
      <c r="AT24" s="33">
        <f t="shared" si="131"/>
        <v>121311.67167391688</v>
      </c>
      <c r="AU24" s="33">
        <f t="shared" si="145"/>
        <v>0</v>
      </c>
      <c r="AV24" s="33">
        <f t="shared" si="146"/>
        <v>0</v>
      </c>
      <c r="AW24" s="33">
        <f t="shared" si="147"/>
        <v>0</v>
      </c>
      <c r="AX24" s="33">
        <f t="shared" si="148"/>
        <v>0</v>
      </c>
      <c r="AY24" s="33">
        <f t="shared" si="149"/>
        <v>0</v>
      </c>
      <c r="AZ24" s="33">
        <f t="shared" si="150"/>
        <v>0</v>
      </c>
      <c r="BA24" s="33">
        <f t="shared" si="132"/>
        <v>793.28868539588905</v>
      </c>
      <c r="BB24" s="33">
        <f t="shared" si="151"/>
        <v>0</v>
      </c>
      <c r="BC24" s="33">
        <f t="shared" si="152"/>
        <v>0</v>
      </c>
      <c r="BD24" s="33">
        <f t="shared" si="153"/>
        <v>0</v>
      </c>
      <c r="BE24" s="33">
        <f t="shared" si="154"/>
        <v>0</v>
      </c>
      <c r="BF24" s="33">
        <f t="shared" si="155"/>
        <v>0</v>
      </c>
      <c r="BG24" s="33">
        <f t="shared" si="156"/>
        <v>0</v>
      </c>
    </row>
    <row r="25" spans="1:59" s="21" customFormat="1" ht="15.75" customHeight="1" thickBot="1">
      <c r="A25" s="4">
        <f t="shared" si="157"/>
        <v>2028</v>
      </c>
      <c r="B25" s="45">
        <v>0</v>
      </c>
      <c r="C25" s="45">
        <v>0</v>
      </c>
      <c r="D25" s="45">
        <v>0</v>
      </c>
      <c r="E25" s="45"/>
      <c r="F25" s="45"/>
      <c r="G25" s="45"/>
      <c r="H25" s="45"/>
      <c r="I25" s="45">
        <v>63.321423786564992</v>
      </c>
      <c r="J25" s="45">
        <v>0</v>
      </c>
      <c r="K25" s="45">
        <v>0</v>
      </c>
      <c r="L25" s="45"/>
      <c r="M25" s="45"/>
      <c r="N25" s="45"/>
      <c r="O25" s="45"/>
      <c r="P25" s="33">
        <v>9100.5742824444824</v>
      </c>
      <c r="Q25" s="45">
        <v>0</v>
      </c>
      <c r="R25" s="45">
        <v>0</v>
      </c>
      <c r="S25" s="45"/>
      <c r="T25" s="45"/>
      <c r="U25" s="45"/>
      <c r="V25" s="45"/>
      <c r="W25" s="45">
        <v>116.84808626750767</v>
      </c>
      <c r="X25" s="45">
        <v>0</v>
      </c>
      <c r="Y25" s="45">
        <v>0</v>
      </c>
      <c r="Z25" s="45"/>
      <c r="AA25" s="45"/>
      <c r="AB25" s="45"/>
      <c r="AC25" s="45"/>
      <c r="AE25" s="4">
        <f t="shared" si="100"/>
        <v>2028</v>
      </c>
      <c r="AF25" s="33">
        <f t="shared" si="129"/>
        <v>0</v>
      </c>
      <c r="AG25" s="33">
        <f t="shared" si="133"/>
        <v>0</v>
      </c>
      <c r="AH25" s="33">
        <f t="shared" si="134"/>
        <v>0</v>
      </c>
      <c r="AI25" s="33">
        <f t="shared" si="135"/>
        <v>0</v>
      </c>
      <c r="AJ25" s="33">
        <f t="shared" si="136"/>
        <v>0</v>
      </c>
      <c r="AK25" s="33">
        <f t="shared" si="137"/>
        <v>0</v>
      </c>
      <c r="AL25" s="33">
        <f t="shared" si="138"/>
        <v>0</v>
      </c>
      <c r="AM25" s="33">
        <f t="shared" si="130"/>
        <v>3033.4310500070828</v>
      </c>
      <c r="AN25" s="33">
        <f t="shared" si="139"/>
        <v>0</v>
      </c>
      <c r="AO25" s="33">
        <f t="shared" si="140"/>
        <v>0</v>
      </c>
      <c r="AP25" s="33">
        <f t="shared" si="141"/>
        <v>0</v>
      </c>
      <c r="AQ25" s="33">
        <f t="shared" si="142"/>
        <v>0</v>
      </c>
      <c r="AR25" s="33">
        <f t="shared" si="143"/>
        <v>0</v>
      </c>
      <c r="AS25" s="33">
        <f t="shared" si="144"/>
        <v>0</v>
      </c>
      <c r="AT25" s="33">
        <f t="shared" si="131"/>
        <v>435965.63296355034</v>
      </c>
      <c r="AU25" s="33">
        <f t="shared" si="145"/>
        <v>0</v>
      </c>
      <c r="AV25" s="33">
        <f t="shared" si="146"/>
        <v>0</v>
      </c>
      <c r="AW25" s="33">
        <f t="shared" si="147"/>
        <v>0</v>
      </c>
      <c r="AX25" s="33">
        <f t="shared" si="148"/>
        <v>0</v>
      </c>
      <c r="AY25" s="33">
        <f t="shared" si="149"/>
        <v>0</v>
      </c>
      <c r="AZ25" s="33">
        <f t="shared" si="150"/>
        <v>0</v>
      </c>
      <c r="BA25" s="33">
        <f t="shared" si="132"/>
        <v>5597.6412377033175</v>
      </c>
      <c r="BB25" s="33">
        <f t="shared" si="151"/>
        <v>0</v>
      </c>
      <c r="BC25" s="33">
        <f t="shared" si="152"/>
        <v>0</v>
      </c>
      <c r="BD25" s="33">
        <f t="shared" si="153"/>
        <v>0</v>
      </c>
      <c r="BE25" s="33">
        <f t="shared" si="154"/>
        <v>0</v>
      </c>
      <c r="BF25" s="33">
        <f t="shared" si="155"/>
        <v>0</v>
      </c>
      <c r="BG25" s="33">
        <f t="shared" si="156"/>
        <v>0</v>
      </c>
    </row>
    <row r="26" spans="1:59" s="21" customFormat="1" ht="15.75" customHeight="1" thickBot="1">
      <c r="A26" s="4">
        <f t="shared" si="157"/>
        <v>2029</v>
      </c>
      <c r="B26" s="45">
        <v>0</v>
      </c>
      <c r="C26" s="45">
        <v>0</v>
      </c>
      <c r="D26" s="45">
        <v>0</v>
      </c>
      <c r="E26" s="45"/>
      <c r="F26" s="45"/>
      <c r="G26" s="45"/>
      <c r="H26" s="45"/>
      <c r="I26" s="45">
        <v>75.896498371885741</v>
      </c>
      <c r="J26" s="45">
        <v>0</v>
      </c>
      <c r="K26" s="45">
        <v>0</v>
      </c>
      <c r="L26" s="45"/>
      <c r="M26" s="45"/>
      <c r="N26" s="45"/>
      <c r="O26" s="45"/>
      <c r="P26" s="33">
        <v>18071.602713682638</v>
      </c>
      <c r="Q26" s="45">
        <v>0</v>
      </c>
      <c r="R26" s="45">
        <v>0</v>
      </c>
      <c r="S26" s="45"/>
      <c r="T26" s="45"/>
      <c r="U26" s="45"/>
      <c r="V26" s="45"/>
      <c r="W26" s="33">
        <v>747.94147292608613</v>
      </c>
      <c r="X26" s="45">
        <v>0</v>
      </c>
      <c r="Y26" s="45">
        <v>0</v>
      </c>
      <c r="Z26" s="45"/>
      <c r="AA26" s="45"/>
      <c r="AB26" s="45"/>
      <c r="AC26" s="45"/>
      <c r="AE26" s="4">
        <f t="shared" si="100"/>
        <v>2029</v>
      </c>
      <c r="AF26" s="33">
        <f t="shared" si="129"/>
        <v>0</v>
      </c>
      <c r="AG26" s="33">
        <f t="shared" si="133"/>
        <v>0</v>
      </c>
      <c r="AH26" s="33">
        <f t="shared" si="134"/>
        <v>0</v>
      </c>
      <c r="AI26" s="33">
        <f t="shared" si="135"/>
        <v>0</v>
      </c>
      <c r="AJ26" s="33">
        <f t="shared" si="136"/>
        <v>0</v>
      </c>
      <c r="AK26" s="33">
        <f t="shared" si="137"/>
        <v>0</v>
      </c>
      <c r="AL26" s="33">
        <f t="shared" si="138"/>
        <v>0</v>
      </c>
      <c r="AM26" s="33">
        <f t="shared" si="130"/>
        <v>3635.8436210169016</v>
      </c>
      <c r="AN26" s="33">
        <f t="shared" si="139"/>
        <v>0</v>
      </c>
      <c r="AO26" s="33">
        <f t="shared" si="140"/>
        <v>0</v>
      </c>
      <c r="AP26" s="33">
        <f t="shared" si="141"/>
        <v>0</v>
      </c>
      <c r="AQ26" s="33">
        <f t="shared" si="142"/>
        <v>0</v>
      </c>
      <c r="AR26" s="33">
        <f t="shared" si="143"/>
        <v>0</v>
      </c>
      <c r="AS26" s="33">
        <f t="shared" si="144"/>
        <v>0</v>
      </c>
      <c r="AT26" s="33">
        <f t="shared" si="131"/>
        <v>865725.33460165502</v>
      </c>
      <c r="AU26" s="33">
        <f t="shared" si="145"/>
        <v>0</v>
      </c>
      <c r="AV26" s="33">
        <f t="shared" si="146"/>
        <v>0</v>
      </c>
      <c r="AW26" s="33">
        <f t="shared" si="147"/>
        <v>0</v>
      </c>
      <c r="AX26" s="33">
        <f t="shared" si="148"/>
        <v>0</v>
      </c>
      <c r="AY26" s="33">
        <f t="shared" si="149"/>
        <v>0</v>
      </c>
      <c r="AZ26" s="33">
        <f t="shared" si="150"/>
        <v>0</v>
      </c>
      <c r="BA26" s="33">
        <f t="shared" si="132"/>
        <v>35830.351749661742</v>
      </c>
      <c r="BB26" s="33">
        <f t="shared" si="151"/>
        <v>0</v>
      </c>
      <c r="BC26" s="33">
        <f t="shared" si="152"/>
        <v>0</v>
      </c>
      <c r="BD26" s="33">
        <f t="shared" si="153"/>
        <v>0</v>
      </c>
      <c r="BE26" s="33">
        <f t="shared" si="154"/>
        <v>0</v>
      </c>
      <c r="BF26" s="33">
        <f t="shared" si="155"/>
        <v>0</v>
      </c>
      <c r="BG26" s="33">
        <f t="shared" si="156"/>
        <v>0</v>
      </c>
    </row>
    <row r="27" spans="1:59" s="21" customFormat="1" ht="15.75" customHeight="1" thickBot="1">
      <c r="A27" s="4">
        <f t="shared" si="157"/>
        <v>2030</v>
      </c>
      <c r="B27" s="45">
        <v>0</v>
      </c>
      <c r="C27" s="45">
        <v>0</v>
      </c>
      <c r="D27" s="45">
        <v>0</v>
      </c>
      <c r="E27" s="45"/>
      <c r="F27" s="45"/>
      <c r="G27" s="45"/>
      <c r="H27" s="45"/>
      <c r="I27" s="45">
        <v>91.380990209773785</v>
      </c>
      <c r="J27" s="45">
        <v>0</v>
      </c>
      <c r="K27" s="45">
        <v>0</v>
      </c>
      <c r="L27" s="45"/>
      <c r="M27" s="45"/>
      <c r="N27" s="45"/>
      <c r="O27" s="45"/>
      <c r="P27" s="33">
        <v>27504.999152126635</v>
      </c>
      <c r="Q27" s="45">
        <v>0</v>
      </c>
      <c r="R27" s="45">
        <v>0</v>
      </c>
      <c r="S27" s="45"/>
      <c r="T27" s="45"/>
      <c r="U27" s="45"/>
      <c r="V27" s="45"/>
      <c r="W27" s="33">
        <v>1540.2471548334538</v>
      </c>
      <c r="X27" s="45">
        <v>0</v>
      </c>
      <c r="Y27" s="45">
        <v>0</v>
      </c>
      <c r="Z27" s="45"/>
      <c r="AA27" s="45"/>
      <c r="AB27" s="45"/>
      <c r="AC27" s="45"/>
      <c r="AE27" s="4">
        <f t="shared" si="100"/>
        <v>2030</v>
      </c>
      <c r="AF27" s="33">
        <f t="shared" si="129"/>
        <v>0</v>
      </c>
      <c r="AG27" s="33">
        <f t="shared" si="133"/>
        <v>0</v>
      </c>
      <c r="AH27" s="33">
        <f t="shared" si="134"/>
        <v>0</v>
      </c>
      <c r="AI27" s="33">
        <f t="shared" si="135"/>
        <v>0</v>
      </c>
      <c r="AJ27" s="33">
        <f t="shared" si="136"/>
        <v>0</v>
      </c>
      <c r="AK27" s="33">
        <f t="shared" si="137"/>
        <v>0</v>
      </c>
      <c r="AL27" s="33">
        <f t="shared" si="138"/>
        <v>0</v>
      </c>
      <c r="AM27" s="33">
        <f t="shared" si="130"/>
        <v>4377.6326637420707</v>
      </c>
      <c r="AN27" s="33">
        <f t="shared" si="139"/>
        <v>0</v>
      </c>
      <c r="AO27" s="33">
        <f t="shared" si="140"/>
        <v>0</v>
      </c>
      <c r="AP27" s="33">
        <f t="shared" si="141"/>
        <v>0</v>
      </c>
      <c r="AQ27" s="33">
        <f t="shared" si="142"/>
        <v>0</v>
      </c>
      <c r="AR27" s="33">
        <f t="shared" si="143"/>
        <v>0</v>
      </c>
      <c r="AS27" s="33">
        <f t="shared" si="144"/>
        <v>0</v>
      </c>
      <c r="AT27" s="33">
        <f t="shared" si="131"/>
        <v>1317634.9088376288</v>
      </c>
      <c r="AU27" s="33">
        <f t="shared" si="145"/>
        <v>0</v>
      </c>
      <c r="AV27" s="33">
        <f t="shared" si="146"/>
        <v>0</v>
      </c>
      <c r="AW27" s="33">
        <f t="shared" si="147"/>
        <v>0</v>
      </c>
      <c r="AX27" s="33">
        <f t="shared" si="148"/>
        <v>0</v>
      </c>
      <c r="AY27" s="33">
        <f t="shared" si="149"/>
        <v>0</v>
      </c>
      <c r="AZ27" s="33">
        <f t="shared" si="150"/>
        <v>0</v>
      </c>
      <c r="BA27" s="33">
        <f t="shared" si="132"/>
        <v>73785.983712327405</v>
      </c>
      <c r="BB27" s="33">
        <f t="shared" si="151"/>
        <v>0</v>
      </c>
      <c r="BC27" s="33">
        <f t="shared" si="152"/>
        <v>0</v>
      </c>
      <c r="BD27" s="33">
        <f t="shared" si="153"/>
        <v>0</v>
      </c>
      <c r="BE27" s="33">
        <f t="shared" si="154"/>
        <v>0</v>
      </c>
      <c r="BF27" s="33">
        <f t="shared" si="155"/>
        <v>0</v>
      </c>
      <c r="BG27" s="33">
        <f t="shared" si="156"/>
        <v>0</v>
      </c>
    </row>
    <row r="28" spans="1:59" s="21" customFormat="1" ht="15.75" customHeight="1" thickBot="1">
      <c r="A28" s="4">
        <f t="shared" si="157"/>
        <v>2031</v>
      </c>
      <c r="B28" s="45">
        <f>B27+B27-B25</f>
        <v>0</v>
      </c>
      <c r="C28" s="45">
        <f t="shared" ref="C28" si="158">C27+C27-C25</f>
        <v>0</v>
      </c>
      <c r="D28" s="45">
        <f t="shared" ref="D28" si="159">D27+D27-D25</f>
        <v>0</v>
      </c>
      <c r="E28" s="45">
        <f t="shared" ref="E28" si="160">E27+E27-E25</f>
        <v>0</v>
      </c>
      <c r="F28" s="45"/>
      <c r="G28" s="45"/>
      <c r="H28" s="45"/>
      <c r="I28" s="33">
        <v>101.05633199550596</v>
      </c>
      <c r="J28" s="45">
        <f t="shared" ref="J28" si="161">J27+J27-J25</f>
        <v>0</v>
      </c>
      <c r="K28" s="45">
        <f t="shared" ref="K28" si="162">K27+K27-K25</f>
        <v>0</v>
      </c>
      <c r="L28" s="45">
        <f t="shared" ref="L28" si="163">L27+L27-L25</f>
        <v>0</v>
      </c>
      <c r="M28" s="45"/>
      <c r="N28" s="45"/>
      <c r="O28" s="45"/>
      <c r="P28" s="33">
        <v>35105.689629975022</v>
      </c>
      <c r="Q28" s="45">
        <f t="shared" ref="Q28" si="164">Q27+Q27-Q25</f>
        <v>0</v>
      </c>
      <c r="R28" s="45">
        <f t="shared" ref="R28" si="165">R27+R27-R25</f>
        <v>0</v>
      </c>
      <c r="S28" s="45">
        <f t="shared" ref="S28" si="166">S27+S27-S25</f>
        <v>0</v>
      </c>
      <c r="T28" s="45"/>
      <c r="U28" s="45"/>
      <c r="V28" s="45"/>
      <c r="W28" s="33">
        <v>2714.0349064939792</v>
      </c>
      <c r="X28" s="45">
        <f t="shared" ref="X28" si="167">X27</f>
        <v>0</v>
      </c>
      <c r="Y28" s="45">
        <f t="shared" ref="Y28" si="168">Y27</f>
        <v>0</v>
      </c>
      <c r="Z28" s="45">
        <f t="shared" ref="Z28" si="169">Z27</f>
        <v>0</v>
      </c>
      <c r="AA28" s="45"/>
      <c r="AB28" s="45"/>
      <c r="AC28" s="45"/>
      <c r="AE28" s="4">
        <f t="shared" si="100"/>
        <v>2031</v>
      </c>
      <c r="AF28" s="33">
        <f t="shared" si="129"/>
        <v>0</v>
      </c>
      <c r="AG28" s="33">
        <f t="shared" si="133"/>
        <v>0</v>
      </c>
      <c r="AH28" s="33">
        <f t="shared" si="134"/>
        <v>0</v>
      </c>
      <c r="AI28" s="33">
        <f t="shared" si="135"/>
        <v>0</v>
      </c>
      <c r="AJ28" s="33">
        <f t="shared" si="136"/>
        <v>0</v>
      </c>
      <c r="AK28" s="33">
        <f t="shared" si="137"/>
        <v>0</v>
      </c>
      <c r="AL28" s="33">
        <f t="shared" si="138"/>
        <v>0</v>
      </c>
      <c r="AM28" s="33">
        <f t="shared" si="130"/>
        <v>4841.1326995466688</v>
      </c>
      <c r="AN28" s="33">
        <f t="shared" si="139"/>
        <v>0</v>
      </c>
      <c r="AO28" s="33">
        <f t="shared" si="140"/>
        <v>0</v>
      </c>
      <c r="AP28" s="33">
        <f t="shared" si="141"/>
        <v>0</v>
      </c>
      <c r="AQ28" s="33">
        <f t="shared" si="142"/>
        <v>0</v>
      </c>
      <c r="AR28" s="33">
        <f t="shared" si="143"/>
        <v>0</v>
      </c>
      <c r="AS28" s="33">
        <f t="shared" si="144"/>
        <v>0</v>
      </c>
      <c r="AT28" s="33">
        <f t="shared" si="131"/>
        <v>1681748.1760110422</v>
      </c>
      <c r="AU28" s="33">
        <f t="shared" si="145"/>
        <v>0</v>
      </c>
      <c r="AV28" s="33">
        <f t="shared" si="146"/>
        <v>0</v>
      </c>
      <c r="AW28" s="33">
        <f t="shared" si="147"/>
        <v>0</v>
      </c>
      <c r="AX28" s="33">
        <f t="shared" si="148"/>
        <v>0</v>
      </c>
      <c r="AY28" s="33">
        <f t="shared" si="149"/>
        <v>0</v>
      </c>
      <c r="AZ28" s="33">
        <f t="shared" si="150"/>
        <v>0</v>
      </c>
      <c r="BA28" s="33">
        <f t="shared" si="132"/>
        <v>130016.62413517431</v>
      </c>
      <c r="BB28" s="33">
        <f t="shared" si="151"/>
        <v>0</v>
      </c>
      <c r="BC28" s="33">
        <f t="shared" si="152"/>
        <v>0</v>
      </c>
      <c r="BD28" s="33">
        <f t="shared" si="153"/>
        <v>0</v>
      </c>
      <c r="BE28" s="33">
        <f t="shared" si="154"/>
        <v>0</v>
      </c>
      <c r="BF28" s="33">
        <f t="shared" si="155"/>
        <v>0</v>
      </c>
      <c r="BG28" s="33">
        <f t="shared" si="156"/>
        <v>0</v>
      </c>
    </row>
    <row r="29" spans="1:59" s="21" customFormat="1" ht="15.75" customHeight="1" thickBot="1">
      <c r="A29" s="4">
        <f t="shared" si="157"/>
        <v>2032</v>
      </c>
      <c r="B29" s="45">
        <f>B28+B28-B27</f>
        <v>0</v>
      </c>
      <c r="C29" s="45">
        <f>C28+C28-C27</f>
        <v>0</v>
      </c>
      <c r="D29" s="45">
        <f>D28+D28-D27</f>
        <v>0</v>
      </c>
      <c r="E29" s="45">
        <f>E28+E28-E27</f>
        <v>0</v>
      </c>
      <c r="F29" s="45"/>
      <c r="G29" s="45"/>
      <c r="H29" s="45"/>
      <c r="I29" s="33">
        <f>I28+I28-I27</f>
        <v>110.73167378123813</v>
      </c>
      <c r="J29" s="45">
        <f>J28+J28-J27</f>
        <v>0</v>
      </c>
      <c r="K29" s="45">
        <f>K28+K28-K27</f>
        <v>0</v>
      </c>
      <c r="L29" s="45">
        <f>L28+L28-L27</f>
        <v>0</v>
      </c>
      <c r="M29" s="45"/>
      <c r="N29" s="45"/>
      <c r="O29" s="45"/>
      <c r="P29" s="33">
        <f>P28+P28-P27</f>
        <v>42706.38010782341</v>
      </c>
      <c r="Q29" s="45">
        <f>Q28+Q28-Q27</f>
        <v>0</v>
      </c>
      <c r="R29" s="45">
        <f>R28+R28-R27</f>
        <v>0</v>
      </c>
      <c r="S29" s="45">
        <f>S28+S28-S27</f>
        <v>0</v>
      </c>
      <c r="T29" s="45"/>
      <c r="U29" s="45"/>
      <c r="V29" s="45"/>
      <c r="W29" s="33">
        <f>W28+W28-W27</f>
        <v>3887.8226581545046</v>
      </c>
      <c r="X29" s="45">
        <f>X28+X28-X27</f>
        <v>0</v>
      </c>
      <c r="Y29" s="45">
        <f>Y28+Y28-Y27</f>
        <v>0</v>
      </c>
      <c r="Z29" s="45">
        <f>Z28+Z28-Z27</f>
        <v>0</v>
      </c>
      <c r="AA29" s="45"/>
      <c r="AB29" s="45"/>
      <c r="AC29" s="45"/>
      <c r="AE29" s="4">
        <f t="shared" si="100"/>
        <v>2032</v>
      </c>
      <c r="AF29" s="33">
        <f t="shared" si="129"/>
        <v>0</v>
      </c>
      <c r="AG29" s="33">
        <f t="shared" si="133"/>
        <v>0</v>
      </c>
      <c r="AH29" s="33">
        <f t="shared" si="134"/>
        <v>0</v>
      </c>
      <c r="AI29" s="33">
        <f t="shared" si="135"/>
        <v>0</v>
      </c>
      <c r="AJ29" s="33">
        <f t="shared" si="136"/>
        <v>0</v>
      </c>
      <c r="AK29" s="33">
        <f t="shared" si="137"/>
        <v>0</v>
      </c>
      <c r="AL29" s="33">
        <f t="shared" si="138"/>
        <v>0</v>
      </c>
      <c r="AM29" s="33">
        <f t="shared" si="130"/>
        <v>5304.6327353512652</v>
      </c>
      <c r="AN29" s="33">
        <f t="shared" si="139"/>
        <v>0</v>
      </c>
      <c r="AO29" s="33">
        <f t="shared" si="140"/>
        <v>0</v>
      </c>
      <c r="AP29" s="33">
        <f t="shared" si="141"/>
        <v>0</v>
      </c>
      <c r="AQ29" s="33">
        <f t="shared" si="142"/>
        <v>0</v>
      </c>
      <c r="AR29" s="33">
        <f t="shared" si="143"/>
        <v>0</v>
      </c>
      <c r="AS29" s="33">
        <f t="shared" si="144"/>
        <v>0</v>
      </c>
      <c r="AT29" s="33">
        <f t="shared" si="131"/>
        <v>2045861.4431844554</v>
      </c>
      <c r="AU29" s="33">
        <f t="shared" si="145"/>
        <v>0</v>
      </c>
      <c r="AV29" s="33">
        <f t="shared" si="146"/>
        <v>0</v>
      </c>
      <c r="AW29" s="33">
        <f t="shared" si="147"/>
        <v>0</v>
      </c>
      <c r="AX29" s="33">
        <f t="shared" si="148"/>
        <v>0</v>
      </c>
      <c r="AY29" s="33">
        <f t="shared" si="149"/>
        <v>0</v>
      </c>
      <c r="AZ29" s="33">
        <f t="shared" si="150"/>
        <v>0</v>
      </c>
      <c r="BA29" s="33">
        <f t="shared" si="132"/>
        <v>186247.26455802118</v>
      </c>
      <c r="BB29" s="33">
        <f t="shared" si="151"/>
        <v>0</v>
      </c>
      <c r="BC29" s="33">
        <f t="shared" si="152"/>
        <v>0</v>
      </c>
      <c r="BD29" s="33">
        <f t="shared" si="153"/>
        <v>0</v>
      </c>
      <c r="BE29" s="33">
        <f t="shared" si="154"/>
        <v>0</v>
      </c>
      <c r="BF29" s="33">
        <f t="shared" si="155"/>
        <v>0</v>
      </c>
      <c r="BG29" s="33">
        <f t="shared" si="156"/>
        <v>0</v>
      </c>
    </row>
    <row r="30" spans="1:59" s="21" customFormat="1" ht="15.75" customHeight="1" thickBot="1">
      <c r="A30" s="4">
        <f t="shared" si="157"/>
        <v>2033</v>
      </c>
      <c r="B30" s="45">
        <f t="shared" ref="B30:B31" si="170">B29+B29-B28</f>
        <v>0</v>
      </c>
      <c r="C30" s="45">
        <f t="shared" ref="C30:C31" si="171">C29+C29-C28</f>
        <v>0</v>
      </c>
      <c r="D30" s="45">
        <f t="shared" ref="D30:D31" si="172">D29+D29-D28</f>
        <v>0</v>
      </c>
      <c r="E30" s="45">
        <f t="shared" ref="E30:E31" si="173">E29+E29-E28</f>
        <v>0</v>
      </c>
      <c r="F30" s="45"/>
      <c r="G30" s="45"/>
      <c r="H30" s="45"/>
      <c r="I30" s="33">
        <f t="shared" ref="I30:I31" si="174">I29+I29-I28</f>
        <v>120.4070155669703</v>
      </c>
      <c r="J30" s="45">
        <f t="shared" ref="J30:J31" si="175">J29+J29-J28</f>
        <v>0</v>
      </c>
      <c r="K30" s="45">
        <f t="shared" ref="K30:K31" si="176">K29+K29-K28</f>
        <v>0</v>
      </c>
      <c r="L30" s="45">
        <f t="shared" ref="L30:L31" si="177">L29+L29-L28</f>
        <v>0</v>
      </c>
      <c r="M30" s="45"/>
      <c r="N30" s="45"/>
      <c r="O30" s="45"/>
      <c r="P30" s="33">
        <f t="shared" ref="P30:P31" si="178">P29+P29-P28</f>
        <v>50307.070585671798</v>
      </c>
      <c r="Q30" s="45">
        <f t="shared" ref="Q30:Q31" si="179">Q29+Q29-Q28</f>
        <v>0</v>
      </c>
      <c r="R30" s="45">
        <f t="shared" ref="R30:R31" si="180">R29+R29-R28</f>
        <v>0</v>
      </c>
      <c r="S30" s="45">
        <f t="shared" ref="S30:S31" si="181">S29+S29-S28</f>
        <v>0</v>
      </c>
      <c r="T30" s="45"/>
      <c r="U30" s="45"/>
      <c r="V30" s="45"/>
      <c r="W30" s="33">
        <f t="shared" ref="W30:W31" si="182">W29+W29-W28</f>
        <v>5061.6104098150299</v>
      </c>
      <c r="X30" s="45">
        <f t="shared" ref="X30:X31" si="183">X29+X29-X28</f>
        <v>0</v>
      </c>
      <c r="Y30" s="45">
        <f t="shared" ref="Y30:Y31" si="184">Y29+Y29-Y28</f>
        <v>0</v>
      </c>
      <c r="Z30" s="45">
        <f t="shared" ref="Z30:Z31" si="185">Z29+Z29-Z28</f>
        <v>0</v>
      </c>
      <c r="AA30" s="45"/>
      <c r="AB30" s="45"/>
      <c r="AC30" s="45"/>
      <c r="AE30" s="4">
        <f t="shared" si="100"/>
        <v>2033</v>
      </c>
      <c r="AF30" s="33">
        <f t="shared" si="129"/>
        <v>0</v>
      </c>
      <c r="AG30" s="33">
        <f t="shared" si="133"/>
        <v>0</v>
      </c>
      <c r="AH30" s="33">
        <f t="shared" si="134"/>
        <v>0</v>
      </c>
      <c r="AI30" s="33">
        <f t="shared" si="135"/>
        <v>0</v>
      </c>
      <c r="AJ30" s="33">
        <f t="shared" si="136"/>
        <v>0</v>
      </c>
      <c r="AK30" s="33">
        <f t="shared" si="137"/>
        <v>0</v>
      </c>
      <c r="AL30" s="33">
        <f t="shared" si="138"/>
        <v>0</v>
      </c>
      <c r="AM30" s="33">
        <f t="shared" si="130"/>
        <v>5768.1327711558633</v>
      </c>
      <c r="AN30" s="33">
        <f t="shared" si="139"/>
        <v>0</v>
      </c>
      <c r="AO30" s="33">
        <f t="shared" si="140"/>
        <v>0</v>
      </c>
      <c r="AP30" s="33">
        <f t="shared" si="141"/>
        <v>0</v>
      </c>
      <c r="AQ30" s="33">
        <f t="shared" si="142"/>
        <v>0</v>
      </c>
      <c r="AR30" s="33">
        <f t="shared" si="143"/>
        <v>0</v>
      </c>
      <c r="AS30" s="33">
        <f t="shared" si="144"/>
        <v>0</v>
      </c>
      <c r="AT30" s="33">
        <f t="shared" si="131"/>
        <v>2409974.7103578686</v>
      </c>
      <c r="AU30" s="33">
        <f t="shared" si="145"/>
        <v>0</v>
      </c>
      <c r="AV30" s="33">
        <f t="shared" si="146"/>
        <v>0</v>
      </c>
      <c r="AW30" s="33">
        <f t="shared" si="147"/>
        <v>0</v>
      </c>
      <c r="AX30" s="33">
        <f t="shared" si="148"/>
        <v>0</v>
      </c>
      <c r="AY30" s="33">
        <f t="shared" si="149"/>
        <v>0</v>
      </c>
      <c r="AZ30" s="33">
        <f t="shared" si="150"/>
        <v>0</v>
      </c>
      <c r="BA30" s="33">
        <f t="shared" si="132"/>
        <v>242477.9049808681</v>
      </c>
      <c r="BB30" s="33">
        <f t="shared" si="151"/>
        <v>0</v>
      </c>
      <c r="BC30" s="33">
        <f t="shared" si="152"/>
        <v>0</v>
      </c>
      <c r="BD30" s="33">
        <f t="shared" si="153"/>
        <v>0</v>
      </c>
      <c r="BE30" s="33">
        <f t="shared" si="154"/>
        <v>0</v>
      </c>
      <c r="BF30" s="33">
        <f t="shared" si="155"/>
        <v>0</v>
      </c>
      <c r="BG30" s="33">
        <f t="shared" si="156"/>
        <v>0</v>
      </c>
    </row>
    <row r="31" spans="1:59" s="21" customFormat="1" ht="15.75" customHeight="1" thickBot="1">
      <c r="A31" s="4">
        <f t="shared" si="157"/>
        <v>2034</v>
      </c>
      <c r="B31" s="45">
        <f t="shared" si="170"/>
        <v>0</v>
      </c>
      <c r="C31" s="45">
        <f t="shared" si="171"/>
        <v>0</v>
      </c>
      <c r="D31" s="45">
        <f t="shared" si="172"/>
        <v>0</v>
      </c>
      <c r="E31" s="45">
        <f t="shared" si="173"/>
        <v>0</v>
      </c>
      <c r="F31" s="45"/>
      <c r="G31" s="45"/>
      <c r="H31" s="45"/>
      <c r="I31" s="33">
        <f t="shared" si="174"/>
        <v>130.08235735270247</v>
      </c>
      <c r="J31" s="45">
        <f t="shared" si="175"/>
        <v>0</v>
      </c>
      <c r="K31" s="45">
        <f t="shared" si="176"/>
        <v>0</v>
      </c>
      <c r="L31" s="45">
        <f t="shared" si="177"/>
        <v>0</v>
      </c>
      <c r="M31" s="45"/>
      <c r="N31" s="45"/>
      <c r="O31" s="45"/>
      <c r="P31" s="33">
        <f t="shared" si="178"/>
        <v>57907.761063520185</v>
      </c>
      <c r="Q31" s="45">
        <f t="shared" si="179"/>
        <v>0</v>
      </c>
      <c r="R31" s="45">
        <f t="shared" si="180"/>
        <v>0</v>
      </c>
      <c r="S31" s="45">
        <f t="shared" si="181"/>
        <v>0</v>
      </c>
      <c r="T31" s="45"/>
      <c r="U31" s="45"/>
      <c r="V31" s="45"/>
      <c r="W31" s="33">
        <f t="shared" si="182"/>
        <v>6235.3981614755558</v>
      </c>
      <c r="X31" s="45">
        <f t="shared" si="183"/>
        <v>0</v>
      </c>
      <c r="Y31" s="45">
        <f t="shared" si="184"/>
        <v>0</v>
      </c>
      <c r="Z31" s="45">
        <f t="shared" si="185"/>
        <v>0</v>
      </c>
      <c r="AA31" s="45"/>
      <c r="AB31" s="45"/>
      <c r="AC31" s="45"/>
      <c r="AE31" s="4">
        <f t="shared" si="100"/>
        <v>2034</v>
      </c>
      <c r="AF31" s="33">
        <f t="shared" si="129"/>
        <v>0</v>
      </c>
      <c r="AG31" s="33">
        <f t="shared" si="133"/>
        <v>0</v>
      </c>
      <c r="AH31" s="33">
        <f t="shared" si="134"/>
        <v>0</v>
      </c>
      <c r="AI31" s="33">
        <f t="shared" si="135"/>
        <v>0</v>
      </c>
      <c r="AJ31" s="33">
        <f t="shared" si="136"/>
        <v>0</v>
      </c>
      <c r="AK31" s="33">
        <f t="shared" si="137"/>
        <v>0</v>
      </c>
      <c r="AL31" s="33">
        <f t="shared" si="138"/>
        <v>0</v>
      </c>
      <c r="AM31" s="33">
        <f t="shared" si="130"/>
        <v>6231.6328069604597</v>
      </c>
      <c r="AN31" s="33">
        <f t="shared" si="139"/>
        <v>0</v>
      </c>
      <c r="AO31" s="33">
        <f t="shared" si="140"/>
        <v>0</v>
      </c>
      <c r="AP31" s="33">
        <f t="shared" si="141"/>
        <v>0</v>
      </c>
      <c r="AQ31" s="33">
        <f t="shared" si="142"/>
        <v>0</v>
      </c>
      <c r="AR31" s="33">
        <f t="shared" si="143"/>
        <v>0</v>
      </c>
      <c r="AS31" s="33">
        <f t="shared" si="144"/>
        <v>0</v>
      </c>
      <c r="AT31" s="33">
        <f t="shared" si="131"/>
        <v>2774087.9775312818</v>
      </c>
      <c r="AU31" s="33">
        <f t="shared" si="145"/>
        <v>0</v>
      </c>
      <c r="AV31" s="33">
        <f t="shared" si="146"/>
        <v>0</v>
      </c>
      <c r="AW31" s="33">
        <f t="shared" si="147"/>
        <v>0</v>
      </c>
      <c r="AX31" s="33">
        <f t="shared" si="148"/>
        <v>0</v>
      </c>
      <c r="AY31" s="33">
        <f t="shared" si="149"/>
        <v>0</v>
      </c>
      <c r="AZ31" s="33">
        <f t="shared" si="150"/>
        <v>0</v>
      </c>
      <c r="BA31" s="33">
        <f t="shared" si="132"/>
        <v>298708.54540371499</v>
      </c>
      <c r="BB31" s="33">
        <f t="shared" si="151"/>
        <v>0</v>
      </c>
      <c r="BC31" s="33">
        <f t="shared" si="152"/>
        <v>0</v>
      </c>
      <c r="BD31" s="33">
        <f t="shared" si="153"/>
        <v>0</v>
      </c>
      <c r="BE31" s="33">
        <f t="shared" si="154"/>
        <v>0</v>
      </c>
      <c r="BF31" s="33">
        <f t="shared" si="155"/>
        <v>0</v>
      </c>
      <c r="BG31" s="33">
        <f t="shared" si="156"/>
        <v>0</v>
      </c>
    </row>
    <row r="32" spans="1:59" s="21" customFormat="1" ht="15.75" customHeight="1">
      <c r="A32" s="41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E32" s="41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</row>
    <row r="33" spans="1:59" s="21" customFormat="1" ht="15.75" customHeight="1" thickBot="1">
      <c r="A33" s="22" t="s">
        <v>156</v>
      </c>
      <c r="AE33" s="22" t="s">
        <v>157</v>
      </c>
    </row>
    <row r="34" spans="1:59" s="21" customFormat="1" ht="15.75" customHeight="1" thickBot="1">
      <c r="A34" s="1" t="s">
        <v>158</v>
      </c>
      <c r="B34" s="1">
        <v>1</v>
      </c>
      <c r="C34" s="1">
        <f>B34+1</f>
        <v>2</v>
      </c>
      <c r="D34" s="1">
        <f t="shared" ref="D34" si="186">C34+1</f>
        <v>3</v>
      </c>
      <c r="E34" s="1">
        <f t="shared" ref="E34" si="187">D34+1</f>
        <v>4</v>
      </c>
      <c r="F34" s="1">
        <f t="shared" ref="F34" si="188">E34+1</f>
        <v>5</v>
      </c>
      <c r="G34" s="1">
        <f t="shared" ref="G34" si="189">F34+1</f>
        <v>6</v>
      </c>
      <c r="H34" s="1">
        <f t="shared" ref="H34" si="190">G34+1</f>
        <v>7</v>
      </c>
      <c r="I34" s="1">
        <f>B34</f>
        <v>1</v>
      </c>
      <c r="J34" s="1">
        <f t="shared" ref="J34" si="191">C34</f>
        <v>2</v>
      </c>
      <c r="K34" s="1">
        <f t="shared" ref="K34" si="192">D34</f>
        <v>3</v>
      </c>
      <c r="L34" s="1">
        <f t="shared" ref="L34" si="193">E34</f>
        <v>4</v>
      </c>
      <c r="M34" s="1">
        <f t="shared" ref="M34" si="194">F34</f>
        <v>5</v>
      </c>
      <c r="N34" s="1">
        <f t="shared" ref="N34" si="195">G34</f>
        <v>6</v>
      </c>
      <c r="O34" s="1">
        <f t="shared" ref="O34" si="196">H34</f>
        <v>7</v>
      </c>
      <c r="P34" s="1">
        <f t="shared" ref="P34" si="197">I34</f>
        <v>1</v>
      </c>
      <c r="Q34" s="1">
        <f t="shared" ref="Q34" si="198">J34</f>
        <v>2</v>
      </c>
      <c r="R34" s="1">
        <f t="shared" ref="R34" si="199">K34</f>
        <v>3</v>
      </c>
      <c r="S34" s="1">
        <f t="shared" ref="S34" si="200">L34</f>
        <v>4</v>
      </c>
      <c r="T34" s="1">
        <f t="shared" ref="T34" si="201">M34</f>
        <v>5</v>
      </c>
      <c r="U34" s="1">
        <f t="shared" ref="U34" si="202">N34</f>
        <v>6</v>
      </c>
      <c r="V34" s="1">
        <f t="shared" ref="V34" si="203">O34</f>
        <v>7</v>
      </c>
      <c r="W34" s="1">
        <f t="shared" ref="W34" si="204">P34</f>
        <v>1</v>
      </c>
      <c r="X34" s="1">
        <f t="shared" ref="X34" si="205">Q34</f>
        <v>2</v>
      </c>
      <c r="Y34" s="1">
        <f t="shared" ref="Y34" si="206">R34</f>
        <v>3</v>
      </c>
      <c r="Z34" s="1">
        <f t="shared" ref="Z34" si="207">S34</f>
        <v>4</v>
      </c>
      <c r="AA34" s="1">
        <f t="shared" ref="AA34" si="208">T34</f>
        <v>5</v>
      </c>
      <c r="AB34" s="1">
        <f t="shared" ref="AB34" si="209">U34</f>
        <v>6</v>
      </c>
      <c r="AC34" s="1">
        <f t="shared" ref="AC34" si="210">V34</f>
        <v>7</v>
      </c>
      <c r="AE34" s="1" t="str">
        <f t="shared" ref="AE34:AE46" si="211">A34</f>
        <v>Option</v>
      </c>
      <c r="AF34" s="1">
        <f t="shared" ref="AF34:AF36" si="212">B34</f>
        <v>1</v>
      </c>
      <c r="AG34" s="1">
        <f t="shared" ref="AG34:AG36" si="213">C34</f>
        <v>2</v>
      </c>
      <c r="AH34" s="1">
        <f t="shared" ref="AH34:AH36" si="214">D34</f>
        <v>3</v>
      </c>
      <c r="AI34" s="1">
        <f t="shared" ref="AI34:AI36" si="215">E34</f>
        <v>4</v>
      </c>
      <c r="AJ34" s="1">
        <f t="shared" ref="AJ34:AJ36" si="216">F34</f>
        <v>5</v>
      </c>
      <c r="AK34" s="1">
        <f t="shared" ref="AK34:AK36" si="217">G34</f>
        <v>6</v>
      </c>
      <c r="AL34" s="1">
        <f t="shared" ref="AL34:AL36" si="218">H34</f>
        <v>7</v>
      </c>
      <c r="AM34" s="1">
        <f t="shared" ref="AM34:AM36" si="219">I34</f>
        <v>1</v>
      </c>
      <c r="AN34" s="1">
        <f t="shared" ref="AN34:AN36" si="220">J34</f>
        <v>2</v>
      </c>
      <c r="AO34" s="1">
        <f t="shared" ref="AO34:AO36" si="221">K34</f>
        <v>3</v>
      </c>
      <c r="AP34" s="1">
        <f t="shared" ref="AP34:AP36" si="222">L34</f>
        <v>4</v>
      </c>
      <c r="AQ34" s="1">
        <f t="shared" ref="AQ34:AQ36" si="223">M34</f>
        <v>5</v>
      </c>
      <c r="AR34" s="1">
        <f t="shared" ref="AR34:AR36" si="224">N34</f>
        <v>6</v>
      </c>
      <c r="AS34" s="1">
        <f t="shared" ref="AS34:AS36" si="225">O34</f>
        <v>7</v>
      </c>
      <c r="AT34" s="1">
        <f t="shared" ref="AT34:AT36" si="226">P34</f>
        <v>1</v>
      </c>
      <c r="AU34" s="1">
        <f t="shared" ref="AU34:AU36" si="227">Q34</f>
        <v>2</v>
      </c>
      <c r="AV34" s="1">
        <f t="shared" ref="AV34:AV36" si="228">R34</f>
        <v>3</v>
      </c>
      <c r="AW34" s="1">
        <f t="shared" ref="AW34:AW36" si="229">S34</f>
        <v>4</v>
      </c>
      <c r="AX34" s="1">
        <f t="shared" ref="AX34:AX36" si="230">T34</f>
        <v>5</v>
      </c>
      <c r="AY34" s="1">
        <f t="shared" ref="AY34:AY36" si="231">U34</f>
        <v>6</v>
      </c>
      <c r="AZ34" s="1">
        <f t="shared" ref="AZ34:AZ36" si="232">V34</f>
        <v>7</v>
      </c>
      <c r="BA34" s="1">
        <f t="shared" ref="BA34:BA36" si="233">W34</f>
        <v>1</v>
      </c>
      <c r="BB34" s="1">
        <f t="shared" ref="BB34:BB36" si="234">X34</f>
        <v>2</v>
      </c>
      <c r="BC34" s="1">
        <f t="shared" ref="BC34:BC36" si="235">Y34</f>
        <v>3</v>
      </c>
      <c r="BD34" s="1">
        <f t="shared" ref="BD34:BD36" si="236">Z34</f>
        <v>4</v>
      </c>
      <c r="BE34" s="1">
        <f t="shared" ref="BE34:BE36" si="237">AA34</f>
        <v>5</v>
      </c>
      <c r="BF34" s="1">
        <f t="shared" ref="BF34:BF36" si="238">AB34</f>
        <v>6</v>
      </c>
      <c r="BG34" s="1">
        <f t="shared" ref="BG34:BG36" si="239">AC34</f>
        <v>7</v>
      </c>
    </row>
    <row r="35" spans="1:59" s="21" customFormat="1" ht="15.75" customHeight="1" thickTop="1" thickBot="1">
      <c r="A35" s="6" t="s">
        <v>159</v>
      </c>
      <c r="B35" s="170" t="s">
        <v>48</v>
      </c>
      <c r="C35" s="171"/>
      <c r="D35" s="171"/>
      <c r="E35" s="171"/>
      <c r="F35" s="171"/>
      <c r="G35" s="171"/>
      <c r="H35" s="172"/>
      <c r="I35" s="170" t="s">
        <v>49</v>
      </c>
      <c r="J35" s="171"/>
      <c r="K35" s="171"/>
      <c r="L35" s="171"/>
      <c r="M35" s="171"/>
      <c r="N35" s="171"/>
      <c r="O35" s="172"/>
      <c r="P35" s="170" t="s">
        <v>50</v>
      </c>
      <c r="Q35" s="171"/>
      <c r="R35" s="171"/>
      <c r="S35" s="171"/>
      <c r="T35" s="171"/>
      <c r="U35" s="171"/>
      <c r="V35" s="172"/>
      <c r="W35" s="170"/>
      <c r="X35" s="171"/>
      <c r="Y35" s="171"/>
      <c r="Z35" s="171"/>
      <c r="AA35" s="171"/>
      <c r="AB35" s="171"/>
      <c r="AC35" s="172"/>
      <c r="AE35" s="6" t="str">
        <f t="shared" si="211"/>
        <v>FDR</v>
      </c>
      <c r="AF35" s="170" t="str">
        <f t="shared" si="212"/>
        <v>ST 32</v>
      </c>
      <c r="AG35" s="171">
        <f t="shared" si="213"/>
        <v>0</v>
      </c>
      <c r="AH35" s="171">
        <f t="shared" si="214"/>
        <v>0</v>
      </c>
      <c r="AI35" s="171">
        <f t="shared" si="215"/>
        <v>0</v>
      </c>
      <c r="AJ35" s="171">
        <f t="shared" si="216"/>
        <v>0</v>
      </c>
      <c r="AK35" s="171">
        <f t="shared" si="217"/>
        <v>0</v>
      </c>
      <c r="AL35" s="172">
        <f t="shared" si="218"/>
        <v>0</v>
      </c>
      <c r="AM35" s="170" t="str">
        <f t="shared" si="219"/>
        <v>ST 33</v>
      </c>
      <c r="AN35" s="171">
        <f t="shared" si="220"/>
        <v>0</v>
      </c>
      <c r="AO35" s="171">
        <f t="shared" si="221"/>
        <v>0</v>
      </c>
      <c r="AP35" s="171">
        <f t="shared" si="222"/>
        <v>0</v>
      </c>
      <c r="AQ35" s="171">
        <f t="shared" si="223"/>
        <v>0</v>
      </c>
      <c r="AR35" s="171">
        <f t="shared" si="224"/>
        <v>0</v>
      </c>
      <c r="AS35" s="172">
        <f t="shared" si="225"/>
        <v>0</v>
      </c>
      <c r="AT35" s="170" t="str">
        <f t="shared" si="226"/>
        <v>ST 34</v>
      </c>
      <c r="AU35" s="171">
        <f t="shared" si="227"/>
        <v>0</v>
      </c>
      <c r="AV35" s="171">
        <f t="shared" si="228"/>
        <v>0</v>
      </c>
      <c r="AW35" s="171">
        <f t="shared" si="229"/>
        <v>0</v>
      </c>
      <c r="AX35" s="171">
        <f t="shared" si="230"/>
        <v>0</v>
      </c>
      <c r="AY35" s="171">
        <f t="shared" si="231"/>
        <v>0</v>
      </c>
      <c r="AZ35" s="172">
        <f t="shared" si="232"/>
        <v>0</v>
      </c>
      <c r="BA35" s="170">
        <f t="shared" si="233"/>
        <v>0</v>
      </c>
      <c r="BB35" s="171">
        <f t="shared" si="234"/>
        <v>0</v>
      </c>
      <c r="BC35" s="171">
        <f t="shared" si="235"/>
        <v>0</v>
      </c>
      <c r="BD35" s="171">
        <f t="shared" si="236"/>
        <v>0</v>
      </c>
      <c r="BE35" s="171">
        <f t="shared" si="237"/>
        <v>0</v>
      </c>
      <c r="BF35" s="171">
        <f t="shared" si="238"/>
        <v>0</v>
      </c>
      <c r="BG35" s="172">
        <f t="shared" si="239"/>
        <v>0</v>
      </c>
    </row>
    <row r="36" spans="1:59" s="21" customFormat="1" ht="24.6" thickBot="1">
      <c r="A36" s="6" t="s">
        <v>160</v>
      </c>
      <c r="B36" s="158" t="s">
        <v>107</v>
      </c>
      <c r="C36" s="158"/>
      <c r="D36" s="158"/>
      <c r="E36" s="158"/>
      <c r="F36" s="158"/>
      <c r="G36" s="158"/>
      <c r="H36" s="159"/>
      <c r="I36" s="158" t="s">
        <v>107</v>
      </c>
      <c r="J36" s="158"/>
      <c r="K36" s="158"/>
      <c r="L36" s="158"/>
      <c r="M36" s="158"/>
      <c r="N36" s="158"/>
      <c r="O36" s="159"/>
      <c r="P36" s="158" t="s">
        <v>107</v>
      </c>
      <c r="Q36" s="158"/>
      <c r="R36" s="158"/>
      <c r="S36" s="158"/>
      <c r="T36" s="158"/>
      <c r="U36" s="158"/>
      <c r="V36" s="159"/>
      <c r="W36" s="158" t="s">
        <v>107</v>
      </c>
      <c r="X36" s="158"/>
      <c r="Y36" s="158"/>
      <c r="Z36" s="158"/>
      <c r="AA36" s="158"/>
      <c r="AB36" s="158"/>
      <c r="AC36" s="159"/>
      <c r="AE36" s="6" t="str">
        <f t="shared" si="211"/>
        <v>Solution Applied</v>
      </c>
      <c r="AF36" s="31" t="str">
        <f t="shared" si="212"/>
        <v>Nil</v>
      </c>
      <c r="AG36" s="31">
        <f t="shared" si="213"/>
        <v>0</v>
      </c>
      <c r="AH36" s="31">
        <f t="shared" si="214"/>
        <v>0</v>
      </c>
      <c r="AI36" s="31">
        <f t="shared" si="215"/>
        <v>0</v>
      </c>
      <c r="AJ36" s="31">
        <f t="shared" si="216"/>
        <v>0</v>
      </c>
      <c r="AK36" s="31">
        <f t="shared" si="217"/>
        <v>0</v>
      </c>
      <c r="AL36" s="32">
        <f t="shared" si="218"/>
        <v>0</v>
      </c>
      <c r="AM36" s="31" t="str">
        <f t="shared" si="219"/>
        <v>Nil</v>
      </c>
      <c r="AN36" s="31">
        <f t="shared" si="220"/>
        <v>0</v>
      </c>
      <c r="AO36" s="31">
        <f t="shared" si="221"/>
        <v>0</v>
      </c>
      <c r="AP36" s="31">
        <f t="shared" si="222"/>
        <v>0</v>
      </c>
      <c r="AQ36" s="31">
        <f t="shared" si="223"/>
        <v>0</v>
      </c>
      <c r="AR36" s="31">
        <f t="shared" si="224"/>
        <v>0</v>
      </c>
      <c r="AS36" s="32">
        <f t="shared" si="225"/>
        <v>0</v>
      </c>
      <c r="AT36" s="31" t="str">
        <f t="shared" si="226"/>
        <v>Nil</v>
      </c>
      <c r="AU36" s="31">
        <f t="shared" si="227"/>
        <v>0</v>
      </c>
      <c r="AV36" s="31">
        <f t="shared" si="228"/>
        <v>0</v>
      </c>
      <c r="AW36" s="31">
        <f t="shared" si="229"/>
        <v>0</v>
      </c>
      <c r="AX36" s="31">
        <f t="shared" si="230"/>
        <v>0</v>
      </c>
      <c r="AY36" s="31">
        <f t="shared" si="231"/>
        <v>0</v>
      </c>
      <c r="AZ36" s="32">
        <f t="shared" si="232"/>
        <v>0</v>
      </c>
      <c r="BA36" s="31" t="str">
        <f t="shared" si="233"/>
        <v>Nil</v>
      </c>
      <c r="BB36" s="31">
        <f t="shared" si="234"/>
        <v>0</v>
      </c>
      <c r="BC36" s="31">
        <f t="shared" si="235"/>
        <v>0</v>
      </c>
      <c r="BD36" s="31">
        <f t="shared" si="236"/>
        <v>0</v>
      </c>
      <c r="BE36" s="31">
        <f t="shared" si="237"/>
        <v>0</v>
      </c>
      <c r="BF36" s="31">
        <f t="shared" si="238"/>
        <v>0</v>
      </c>
      <c r="BG36" s="32">
        <f t="shared" si="239"/>
        <v>0</v>
      </c>
    </row>
    <row r="37" spans="1:59" s="21" customFormat="1" ht="15.75" customHeight="1" thickBot="1">
      <c r="A37" s="4">
        <f>A7</f>
        <v>2025</v>
      </c>
      <c r="B37" s="45">
        <v>0</v>
      </c>
      <c r="C37" s="45"/>
      <c r="D37" s="45"/>
      <c r="E37" s="45"/>
      <c r="F37" s="45"/>
      <c r="G37" s="45"/>
      <c r="H37" s="45"/>
      <c r="I37" s="45">
        <v>0</v>
      </c>
      <c r="J37" s="45"/>
      <c r="K37" s="45"/>
      <c r="L37" s="45"/>
      <c r="M37" s="45"/>
      <c r="N37" s="45"/>
      <c r="O37" s="45"/>
      <c r="P37" s="45">
        <v>1.8796088367878381E-5</v>
      </c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E37" s="4">
        <f t="shared" si="211"/>
        <v>2025</v>
      </c>
      <c r="AF37" s="33">
        <f t="shared" ref="AF37:AF46" si="240">B37*$H$1/1000</f>
        <v>0</v>
      </c>
      <c r="AG37" s="33"/>
      <c r="AH37" s="33"/>
      <c r="AI37" s="33"/>
      <c r="AJ37" s="33"/>
      <c r="AK37" s="33"/>
      <c r="AL37" s="33"/>
      <c r="AM37" s="33">
        <f t="shared" ref="AM37:AM46" si="241">I37*$H$1/1000</f>
        <v>0</v>
      </c>
      <c r="AN37" s="33"/>
      <c r="AO37" s="33"/>
      <c r="AP37" s="33"/>
      <c r="AQ37" s="33"/>
      <c r="AR37" s="33"/>
      <c r="AS37" s="33"/>
      <c r="AT37" s="33">
        <f t="shared" ref="AT37:AT46" si="242">P37*$H$1/1000</f>
        <v>9.0043202859719249E-4</v>
      </c>
      <c r="AU37" s="33"/>
      <c r="AV37" s="33"/>
      <c r="AW37" s="33"/>
      <c r="AX37" s="33"/>
      <c r="AY37" s="33"/>
      <c r="AZ37" s="33"/>
      <c r="BA37" s="33">
        <f t="shared" ref="BA37:BA46" si="243">W37*$H$1/1000</f>
        <v>0</v>
      </c>
      <c r="BB37" s="33"/>
      <c r="BC37" s="33"/>
      <c r="BD37" s="33"/>
      <c r="BE37" s="33"/>
      <c r="BF37" s="33"/>
      <c r="BG37" s="33"/>
    </row>
    <row r="38" spans="1:59" s="21" customFormat="1" ht="15.75" customHeight="1" thickBot="1">
      <c r="A38" s="4">
        <f>A37+1</f>
        <v>2026</v>
      </c>
      <c r="B38" s="45">
        <v>0</v>
      </c>
      <c r="C38" s="45">
        <f>B38</f>
        <v>0</v>
      </c>
      <c r="D38" s="45">
        <f>B38</f>
        <v>0</v>
      </c>
      <c r="E38" s="45"/>
      <c r="F38" s="45"/>
      <c r="G38" s="45"/>
      <c r="H38" s="45"/>
      <c r="I38" s="45">
        <v>1.8047276217784968E-2</v>
      </c>
      <c r="J38" s="45">
        <f>I38</f>
        <v>1.8047276217784968E-2</v>
      </c>
      <c r="K38" s="45">
        <f>I38</f>
        <v>1.8047276217784968E-2</v>
      </c>
      <c r="L38" s="45"/>
      <c r="M38" s="45"/>
      <c r="N38" s="45"/>
      <c r="O38" s="45"/>
      <c r="P38" s="45">
        <v>0.23678926034313255</v>
      </c>
      <c r="Q38" s="45">
        <v>0</v>
      </c>
      <c r="R38" s="45">
        <v>0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E38" s="4">
        <f t="shared" si="211"/>
        <v>2026</v>
      </c>
      <c r="AF38" s="33">
        <f t="shared" si="240"/>
        <v>0</v>
      </c>
      <c r="AG38" s="33">
        <f t="shared" ref="AG38:AG46" si="244">C38*$H$1/1000</f>
        <v>0</v>
      </c>
      <c r="AH38" s="33">
        <f t="shared" ref="AH38:AH46" si="245">D38*$H$1/1000</f>
        <v>0</v>
      </c>
      <c r="AI38" s="33">
        <f t="shared" ref="AI38:AI46" si="246">E38*$H$1/1000</f>
        <v>0</v>
      </c>
      <c r="AJ38" s="33">
        <f t="shared" ref="AJ38:AJ46" si="247">F38*$H$1/1000</f>
        <v>0</v>
      </c>
      <c r="AK38" s="33">
        <f t="shared" ref="AK38:AK46" si="248">G38*$H$1/1000</f>
        <v>0</v>
      </c>
      <c r="AL38" s="33">
        <f t="shared" ref="AL38:AL46" si="249">H38*$H$1/1000</f>
        <v>0</v>
      </c>
      <c r="AM38" s="33">
        <f t="shared" si="241"/>
        <v>0.86455996680697944</v>
      </c>
      <c r="AN38" s="33">
        <f t="shared" ref="AN38:AN46" si="250">J38*$H$1/1000</f>
        <v>0.86455996680697944</v>
      </c>
      <c r="AO38" s="33">
        <f t="shared" ref="AO38:AO46" si="251">K38*$H$1/1000</f>
        <v>0.86455996680697944</v>
      </c>
      <c r="AP38" s="33">
        <f t="shared" ref="AP38:AP46" si="252">L38*$H$1/1000</f>
        <v>0</v>
      </c>
      <c r="AQ38" s="33">
        <f t="shared" ref="AQ38:AQ46" si="253">M38*$H$1/1000</f>
        <v>0</v>
      </c>
      <c r="AR38" s="33">
        <f t="shared" ref="AR38:AR46" si="254">N38*$H$1/1000</f>
        <v>0</v>
      </c>
      <c r="AS38" s="33">
        <f t="shared" ref="AS38:AS46" si="255">O38*$H$1/1000</f>
        <v>0</v>
      </c>
      <c r="AT38" s="33">
        <f t="shared" si="242"/>
        <v>11.34345773800286</v>
      </c>
      <c r="AU38" s="33">
        <f t="shared" ref="AU38:AU46" si="256">Q38*$H$1/1000</f>
        <v>0</v>
      </c>
      <c r="AV38" s="33">
        <f t="shared" ref="AV38:AV46" si="257">R38*$H$1/1000</f>
        <v>0</v>
      </c>
      <c r="AW38" s="33">
        <f t="shared" ref="AW38:AW46" si="258">S38*$H$1/1000</f>
        <v>0</v>
      </c>
      <c r="AX38" s="33">
        <f t="shared" ref="AX38:AX46" si="259">T38*$H$1/1000</f>
        <v>0</v>
      </c>
      <c r="AY38" s="33">
        <f t="shared" ref="AY38:AY46" si="260">U38*$H$1/1000</f>
        <v>0</v>
      </c>
      <c r="AZ38" s="33">
        <f t="shared" ref="AZ38:AZ46" si="261">V38*$H$1/1000</f>
        <v>0</v>
      </c>
      <c r="BA38" s="33">
        <f t="shared" si="243"/>
        <v>0</v>
      </c>
      <c r="BB38" s="33">
        <f t="shared" ref="BB38:BB46" si="262">X38*$H$1/1000</f>
        <v>0</v>
      </c>
      <c r="BC38" s="33">
        <f t="shared" ref="BC38:BC46" si="263">Y38*$H$1/1000</f>
        <v>0</v>
      </c>
      <c r="BD38" s="33">
        <f t="shared" ref="BD38:BD46" si="264">Z38*$H$1/1000</f>
        <v>0</v>
      </c>
      <c r="BE38" s="33">
        <f t="shared" ref="BE38:BE46" si="265">AA38*$H$1/1000</f>
        <v>0</v>
      </c>
      <c r="BF38" s="33">
        <f t="shared" ref="BF38:BF46" si="266">AB38*$H$1/1000</f>
        <v>0</v>
      </c>
      <c r="BG38" s="33">
        <f t="shared" ref="BG38:BG46" si="267">AC38*$H$1/1000</f>
        <v>0</v>
      </c>
    </row>
    <row r="39" spans="1:59" s="21" customFormat="1" ht="15.75" customHeight="1" thickBot="1">
      <c r="A39" s="4">
        <f t="shared" ref="A39:A46" si="268">A38+1</f>
        <v>2027</v>
      </c>
      <c r="B39" s="45">
        <v>0</v>
      </c>
      <c r="C39" s="45">
        <f>B39</f>
        <v>0</v>
      </c>
      <c r="D39" s="45">
        <f>B39</f>
        <v>0</v>
      </c>
      <c r="E39" s="45"/>
      <c r="F39" s="45"/>
      <c r="G39" s="45"/>
      <c r="H39" s="45"/>
      <c r="I39" s="45">
        <v>2.8928081980154721</v>
      </c>
      <c r="J39" s="45">
        <v>0</v>
      </c>
      <c r="K39" s="45">
        <v>0</v>
      </c>
      <c r="L39" s="45"/>
      <c r="M39" s="45"/>
      <c r="N39" s="45"/>
      <c r="O39" s="45"/>
      <c r="P39" s="45">
        <v>1.9324660502796305</v>
      </c>
      <c r="Q39" s="45">
        <v>0</v>
      </c>
      <c r="R39" s="45">
        <v>0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E39" s="4">
        <f t="shared" si="211"/>
        <v>2027</v>
      </c>
      <c r="AF39" s="33">
        <f t="shared" si="240"/>
        <v>0</v>
      </c>
      <c r="AG39" s="33">
        <f t="shared" si="244"/>
        <v>0</v>
      </c>
      <c r="AH39" s="33">
        <f t="shared" si="245"/>
        <v>0</v>
      </c>
      <c r="AI39" s="33">
        <f t="shared" si="246"/>
        <v>0</v>
      </c>
      <c r="AJ39" s="33">
        <f t="shared" si="247"/>
        <v>0</v>
      </c>
      <c r="AK39" s="33">
        <f t="shared" si="248"/>
        <v>0</v>
      </c>
      <c r="AL39" s="33">
        <f t="shared" si="249"/>
        <v>0</v>
      </c>
      <c r="AM39" s="33">
        <f t="shared" si="241"/>
        <v>138.58081017181746</v>
      </c>
      <c r="AN39" s="33">
        <f t="shared" si="250"/>
        <v>0</v>
      </c>
      <c r="AO39" s="33">
        <f t="shared" si="251"/>
        <v>0</v>
      </c>
      <c r="AP39" s="33">
        <f t="shared" si="252"/>
        <v>0</v>
      </c>
      <c r="AQ39" s="33">
        <f t="shared" si="253"/>
        <v>0</v>
      </c>
      <c r="AR39" s="33">
        <f t="shared" si="254"/>
        <v>0</v>
      </c>
      <c r="AS39" s="33">
        <f t="shared" si="255"/>
        <v>0</v>
      </c>
      <c r="AT39" s="33">
        <f t="shared" si="242"/>
        <v>92.57534290071554</v>
      </c>
      <c r="AU39" s="33">
        <f t="shared" si="256"/>
        <v>0</v>
      </c>
      <c r="AV39" s="33">
        <f t="shared" si="257"/>
        <v>0</v>
      </c>
      <c r="AW39" s="33">
        <f t="shared" si="258"/>
        <v>0</v>
      </c>
      <c r="AX39" s="33">
        <f t="shared" si="259"/>
        <v>0</v>
      </c>
      <c r="AY39" s="33">
        <f t="shared" si="260"/>
        <v>0</v>
      </c>
      <c r="AZ39" s="33">
        <f t="shared" si="261"/>
        <v>0</v>
      </c>
      <c r="BA39" s="33">
        <f t="shared" si="243"/>
        <v>0</v>
      </c>
      <c r="BB39" s="33">
        <f t="shared" si="262"/>
        <v>0</v>
      </c>
      <c r="BC39" s="33">
        <f t="shared" si="263"/>
        <v>0</v>
      </c>
      <c r="BD39" s="33">
        <f t="shared" si="264"/>
        <v>0</v>
      </c>
      <c r="BE39" s="33">
        <f t="shared" si="265"/>
        <v>0</v>
      </c>
      <c r="BF39" s="33">
        <f t="shared" si="266"/>
        <v>0</v>
      </c>
      <c r="BG39" s="33">
        <f t="shared" si="267"/>
        <v>0</v>
      </c>
    </row>
    <row r="40" spans="1:59" s="21" customFormat="1" ht="15.75" customHeight="1" thickBot="1">
      <c r="A40" s="4">
        <f t="shared" si="268"/>
        <v>2028</v>
      </c>
      <c r="B40" s="45">
        <v>1.4917085065328449E-2</v>
      </c>
      <c r="C40" s="45">
        <v>0</v>
      </c>
      <c r="D40" s="45">
        <v>0</v>
      </c>
      <c r="E40" s="45"/>
      <c r="F40" s="45"/>
      <c r="G40" s="45"/>
      <c r="H40" s="45"/>
      <c r="I40" s="45">
        <v>7.905985422607527</v>
      </c>
      <c r="J40" s="45">
        <v>0</v>
      </c>
      <c r="K40" s="45">
        <v>0</v>
      </c>
      <c r="L40" s="45"/>
      <c r="M40" s="45"/>
      <c r="N40" s="45"/>
      <c r="O40" s="45"/>
      <c r="P40" s="45">
        <v>3.2671106006001143</v>
      </c>
      <c r="Q40" s="45">
        <v>0</v>
      </c>
      <c r="R40" s="45">
        <v>0</v>
      </c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E40" s="4">
        <f t="shared" si="211"/>
        <v>2028</v>
      </c>
      <c r="AF40" s="33">
        <f t="shared" si="240"/>
        <v>0.71460725781034951</v>
      </c>
      <c r="AG40" s="33">
        <f t="shared" si="244"/>
        <v>0</v>
      </c>
      <c r="AH40" s="33">
        <f t="shared" si="245"/>
        <v>0</v>
      </c>
      <c r="AI40" s="33">
        <f t="shared" si="246"/>
        <v>0</v>
      </c>
      <c r="AJ40" s="33">
        <f t="shared" si="247"/>
        <v>0</v>
      </c>
      <c r="AK40" s="33">
        <f t="shared" si="248"/>
        <v>0</v>
      </c>
      <c r="AL40" s="33">
        <f t="shared" si="249"/>
        <v>0</v>
      </c>
      <c r="AM40" s="33">
        <f t="shared" si="241"/>
        <v>378.73850946051209</v>
      </c>
      <c r="AN40" s="33">
        <f t="shared" si="250"/>
        <v>0</v>
      </c>
      <c r="AO40" s="33">
        <f t="shared" si="251"/>
        <v>0</v>
      </c>
      <c r="AP40" s="33">
        <f t="shared" si="252"/>
        <v>0</v>
      </c>
      <c r="AQ40" s="33">
        <f t="shared" si="253"/>
        <v>0</v>
      </c>
      <c r="AR40" s="33">
        <f t="shared" si="254"/>
        <v>0</v>
      </c>
      <c r="AS40" s="33">
        <f t="shared" si="255"/>
        <v>0</v>
      </c>
      <c r="AT40" s="33">
        <f>P40*$H$1/1000</f>
        <v>156.51187460775975</v>
      </c>
      <c r="AU40" s="33">
        <f t="shared" si="256"/>
        <v>0</v>
      </c>
      <c r="AV40" s="33">
        <f t="shared" si="257"/>
        <v>0</v>
      </c>
      <c r="AW40" s="33">
        <f t="shared" si="258"/>
        <v>0</v>
      </c>
      <c r="AX40" s="33">
        <f t="shared" si="259"/>
        <v>0</v>
      </c>
      <c r="AY40" s="33">
        <f t="shared" si="260"/>
        <v>0</v>
      </c>
      <c r="AZ40" s="33">
        <f t="shared" si="261"/>
        <v>0</v>
      </c>
      <c r="BA40" s="33">
        <f t="shared" si="243"/>
        <v>0</v>
      </c>
      <c r="BB40" s="33">
        <f t="shared" si="262"/>
        <v>0</v>
      </c>
      <c r="BC40" s="33">
        <f t="shared" si="263"/>
        <v>0</v>
      </c>
      <c r="BD40" s="33">
        <f t="shared" si="264"/>
        <v>0</v>
      </c>
      <c r="BE40" s="33">
        <f t="shared" si="265"/>
        <v>0</v>
      </c>
      <c r="BF40" s="33">
        <f t="shared" si="266"/>
        <v>0</v>
      </c>
      <c r="BG40" s="33">
        <f t="shared" si="267"/>
        <v>0</v>
      </c>
    </row>
    <row r="41" spans="1:59" s="21" customFormat="1" ht="15.75" customHeight="1" thickBot="1">
      <c r="A41" s="4">
        <f t="shared" si="268"/>
        <v>2029</v>
      </c>
      <c r="B41" s="45">
        <v>4.4754889141464811E-2</v>
      </c>
      <c r="C41" s="45">
        <v>0</v>
      </c>
      <c r="D41" s="45">
        <v>0</v>
      </c>
      <c r="E41" s="45"/>
      <c r="F41" s="45"/>
      <c r="G41" s="45"/>
      <c r="H41" s="45"/>
      <c r="I41" s="45">
        <v>10.480489946071451</v>
      </c>
      <c r="J41" s="45">
        <v>0</v>
      </c>
      <c r="K41" s="45">
        <v>0</v>
      </c>
      <c r="L41" s="45"/>
      <c r="M41" s="45"/>
      <c r="N41" s="45"/>
      <c r="O41" s="45"/>
      <c r="P41" s="45">
        <v>3.8131145586834769</v>
      </c>
      <c r="Q41" s="45">
        <f>0</f>
        <v>0</v>
      </c>
      <c r="R41" s="45">
        <v>0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E41" s="4">
        <f t="shared" si="211"/>
        <v>2029</v>
      </c>
      <c r="AF41" s="33">
        <f t="shared" si="240"/>
        <v>2.1439958586362171</v>
      </c>
      <c r="AG41" s="33">
        <f t="shared" si="244"/>
        <v>0</v>
      </c>
      <c r="AH41" s="33">
        <f t="shared" si="245"/>
        <v>0</v>
      </c>
      <c r="AI41" s="33">
        <f t="shared" si="246"/>
        <v>0</v>
      </c>
      <c r="AJ41" s="33">
        <f t="shared" si="247"/>
        <v>0</v>
      </c>
      <c r="AK41" s="33">
        <f t="shared" si="248"/>
        <v>0</v>
      </c>
      <c r="AL41" s="33">
        <f t="shared" si="249"/>
        <v>0</v>
      </c>
      <c r="AM41" s="33">
        <f t="shared" si="241"/>
        <v>502.07089039658524</v>
      </c>
      <c r="AN41" s="33">
        <f t="shared" si="250"/>
        <v>0</v>
      </c>
      <c r="AO41" s="33">
        <f t="shared" si="251"/>
        <v>0</v>
      </c>
      <c r="AP41" s="33">
        <f t="shared" si="252"/>
        <v>0</v>
      </c>
      <c r="AQ41" s="33">
        <f t="shared" si="253"/>
        <v>0</v>
      </c>
      <c r="AR41" s="33">
        <f t="shared" si="254"/>
        <v>0</v>
      </c>
      <c r="AS41" s="33">
        <f t="shared" si="255"/>
        <v>0</v>
      </c>
      <c r="AT41" s="33">
        <f t="shared" si="242"/>
        <v>182.66835152873907</v>
      </c>
      <c r="AU41" s="33">
        <f t="shared" si="256"/>
        <v>0</v>
      </c>
      <c r="AV41" s="33">
        <f t="shared" si="257"/>
        <v>0</v>
      </c>
      <c r="AW41" s="33">
        <f t="shared" si="258"/>
        <v>0</v>
      </c>
      <c r="AX41" s="33">
        <f t="shared" si="259"/>
        <v>0</v>
      </c>
      <c r="AY41" s="33">
        <f t="shared" si="260"/>
        <v>0</v>
      </c>
      <c r="AZ41" s="33">
        <f t="shared" si="261"/>
        <v>0</v>
      </c>
      <c r="BA41" s="33">
        <f t="shared" si="243"/>
        <v>0</v>
      </c>
      <c r="BB41" s="33">
        <f t="shared" si="262"/>
        <v>0</v>
      </c>
      <c r="BC41" s="33">
        <f t="shared" si="263"/>
        <v>0</v>
      </c>
      <c r="BD41" s="33">
        <f t="shared" si="264"/>
        <v>0</v>
      </c>
      <c r="BE41" s="33">
        <f t="shared" si="265"/>
        <v>0</v>
      </c>
      <c r="BF41" s="33">
        <f t="shared" si="266"/>
        <v>0</v>
      </c>
      <c r="BG41" s="33">
        <f t="shared" si="267"/>
        <v>0</v>
      </c>
    </row>
    <row r="42" spans="1:59" s="21" customFormat="1" ht="15.75" customHeight="1" thickBot="1">
      <c r="A42" s="4">
        <f t="shared" si="268"/>
        <v>2030</v>
      </c>
      <c r="B42" s="45">
        <v>0.44130261129482307</v>
      </c>
      <c r="C42" s="45">
        <v>0</v>
      </c>
      <c r="D42" s="45">
        <v>0</v>
      </c>
      <c r="E42" s="45"/>
      <c r="F42" s="45"/>
      <c r="G42" s="45"/>
      <c r="H42" s="45"/>
      <c r="I42" s="45">
        <v>14.991199747925535</v>
      </c>
      <c r="J42" s="45">
        <v>0</v>
      </c>
      <c r="K42" s="45">
        <v>0</v>
      </c>
      <c r="L42" s="45"/>
      <c r="M42" s="45"/>
      <c r="N42" s="45"/>
      <c r="O42" s="45"/>
      <c r="P42" s="45">
        <v>4.8066734403053317</v>
      </c>
      <c r="Q42" s="45">
        <v>0</v>
      </c>
      <c r="R42" s="45">
        <v>0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E42" s="4">
        <f t="shared" si="211"/>
        <v>2030</v>
      </c>
      <c r="AF42" s="33">
        <f t="shared" si="240"/>
        <v>21.140728737608526</v>
      </c>
      <c r="AG42" s="33">
        <f t="shared" si="244"/>
        <v>0</v>
      </c>
      <c r="AH42" s="33">
        <f t="shared" si="245"/>
        <v>0</v>
      </c>
      <c r="AI42" s="33">
        <f t="shared" si="246"/>
        <v>0</v>
      </c>
      <c r="AJ42" s="33">
        <f t="shared" si="247"/>
        <v>0</v>
      </c>
      <c r="AK42" s="33">
        <f t="shared" si="248"/>
        <v>0</v>
      </c>
      <c r="AL42" s="33">
        <f t="shared" si="249"/>
        <v>0</v>
      </c>
      <c r="AM42" s="33">
        <f t="shared" si="241"/>
        <v>718.15774303331648</v>
      </c>
      <c r="AN42" s="33">
        <f t="shared" si="250"/>
        <v>0</v>
      </c>
      <c r="AO42" s="33">
        <f t="shared" si="251"/>
        <v>0</v>
      </c>
      <c r="AP42" s="33">
        <f t="shared" si="252"/>
        <v>0</v>
      </c>
      <c r="AQ42" s="33">
        <f t="shared" si="253"/>
        <v>0</v>
      </c>
      <c r="AR42" s="33">
        <f t="shared" si="254"/>
        <v>0</v>
      </c>
      <c r="AS42" s="33">
        <f t="shared" si="255"/>
        <v>0</v>
      </c>
      <c r="AT42" s="33">
        <f t="shared" si="242"/>
        <v>230.26507600671124</v>
      </c>
      <c r="AU42" s="33">
        <f t="shared" si="256"/>
        <v>0</v>
      </c>
      <c r="AV42" s="33">
        <f t="shared" si="257"/>
        <v>0</v>
      </c>
      <c r="AW42" s="33">
        <f t="shared" si="258"/>
        <v>0</v>
      </c>
      <c r="AX42" s="33">
        <f t="shared" si="259"/>
        <v>0</v>
      </c>
      <c r="AY42" s="33">
        <f t="shared" si="260"/>
        <v>0</v>
      </c>
      <c r="AZ42" s="33">
        <f t="shared" si="261"/>
        <v>0</v>
      </c>
      <c r="BA42" s="33">
        <f t="shared" si="243"/>
        <v>0</v>
      </c>
      <c r="BB42" s="33">
        <f t="shared" si="262"/>
        <v>0</v>
      </c>
      <c r="BC42" s="33">
        <f t="shared" si="263"/>
        <v>0</v>
      </c>
      <c r="BD42" s="33">
        <f t="shared" si="264"/>
        <v>0</v>
      </c>
      <c r="BE42" s="33">
        <f t="shared" si="265"/>
        <v>0</v>
      </c>
      <c r="BF42" s="33">
        <f t="shared" si="266"/>
        <v>0</v>
      </c>
      <c r="BG42" s="33">
        <f t="shared" si="267"/>
        <v>0</v>
      </c>
    </row>
    <row r="43" spans="1:59" s="21" customFormat="1" ht="15.75" customHeight="1" thickBot="1">
      <c r="A43" s="4">
        <f t="shared" si="268"/>
        <v>2031</v>
      </c>
      <c r="B43" s="45">
        <v>2.0308942733194408</v>
      </c>
      <c r="C43" s="45">
        <f t="shared" ref="C43" si="269">C42+C42-C40</f>
        <v>0</v>
      </c>
      <c r="D43" s="45">
        <f t="shared" ref="D43" si="270">D42+D42-D40</f>
        <v>0</v>
      </c>
      <c r="E43" s="45">
        <f t="shared" ref="E43" si="271">E42+E42-E40</f>
        <v>0</v>
      </c>
      <c r="F43" s="45">
        <f t="shared" ref="F43:F46" si="272">F42+F42-F40</f>
        <v>0</v>
      </c>
      <c r="G43" s="45"/>
      <c r="H43" s="45"/>
      <c r="I43" s="45">
        <v>20.373047667591536</v>
      </c>
      <c r="J43" s="45">
        <f t="shared" ref="J43" si="273">J42+J42-J40</f>
        <v>0</v>
      </c>
      <c r="K43" s="45">
        <f t="shared" ref="K43" si="274">K42+K42-K40</f>
        <v>0</v>
      </c>
      <c r="L43" s="45">
        <f t="shared" ref="L43" si="275">L42+L42-L40</f>
        <v>0</v>
      </c>
      <c r="M43" s="45">
        <f t="shared" ref="M43:M46" si="276">M42+M42-M40</f>
        <v>0</v>
      </c>
      <c r="N43" s="45"/>
      <c r="O43" s="45"/>
      <c r="P43" s="45">
        <v>6.1333392497698904</v>
      </c>
      <c r="Q43" s="45">
        <f t="shared" ref="Q43:S43" si="277">Q42+Q42-Q40</f>
        <v>0</v>
      </c>
      <c r="R43" s="45">
        <f t="shared" si="277"/>
        <v>0</v>
      </c>
      <c r="S43" s="45">
        <f t="shared" si="277"/>
        <v>0</v>
      </c>
      <c r="T43" s="45"/>
      <c r="U43" s="45"/>
      <c r="V43" s="45"/>
      <c r="W43" s="45">
        <f t="shared" ref="W43" si="278">W42+W42-W40</f>
        <v>0</v>
      </c>
      <c r="X43" s="45">
        <f t="shared" ref="X43" si="279">X42+X42-X40</f>
        <v>0</v>
      </c>
      <c r="Y43" s="45">
        <f t="shared" ref="Y43" si="280">Y42+Y42-Y40</f>
        <v>0</v>
      </c>
      <c r="Z43" s="45">
        <f t="shared" ref="Z43" si="281">Z42+Z42-Z40</f>
        <v>0</v>
      </c>
      <c r="AA43" s="45"/>
      <c r="AB43" s="45"/>
      <c r="AC43" s="45"/>
      <c r="AE43" s="4">
        <f t="shared" si="211"/>
        <v>2031</v>
      </c>
      <c r="AF43" s="33">
        <f t="shared" si="240"/>
        <v>97.290575283556123</v>
      </c>
      <c r="AG43" s="33">
        <f t="shared" si="244"/>
        <v>0</v>
      </c>
      <c r="AH43" s="33">
        <f t="shared" si="245"/>
        <v>0</v>
      </c>
      <c r="AI43" s="33">
        <f t="shared" si="246"/>
        <v>0</v>
      </c>
      <c r="AJ43" s="33">
        <f t="shared" si="247"/>
        <v>0</v>
      </c>
      <c r="AK43" s="33">
        <f t="shared" si="248"/>
        <v>0</v>
      </c>
      <c r="AL43" s="33">
        <f t="shared" si="249"/>
        <v>0</v>
      </c>
      <c r="AM43" s="33">
        <f t="shared" si="241"/>
        <v>975.97671818710421</v>
      </c>
      <c r="AN43" s="33">
        <f t="shared" si="250"/>
        <v>0</v>
      </c>
      <c r="AO43" s="33">
        <f t="shared" si="251"/>
        <v>0</v>
      </c>
      <c r="AP43" s="33">
        <f t="shared" si="252"/>
        <v>0</v>
      </c>
      <c r="AQ43" s="33">
        <f t="shared" si="253"/>
        <v>0</v>
      </c>
      <c r="AR43" s="33">
        <f t="shared" si="254"/>
        <v>0</v>
      </c>
      <c r="AS43" s="33">
        <f t="shared" si="255"/>
        <v>0</v>
      </c>
      <c r="AT43" s="33">
        <f t="shared" si="242"/>
        <v>293.81938383430025</v>
      </c>
      <c r="AU43" s="33">
        <f t="shared" si="256"/>
        <v>0</v>
      </c>
      <c r="AV43" s="33">
        <f t="shared" si="257"/>
        <v>0</v>
      </c>
      <c r="AW43" s="33">
        <f t="shared" si="258"/>
        <v>0</v>
      </c>
      <c r="AX43" s="33">
        <f t="shared" si="259"/>
        <v>0</v>
      </c>
      <c r="AY43" s="33">
        <f t="shared" si="260"/>
        <v>0</v>
      </c>
      <c r="AZ43" s="33">
        <f t="shared" si="261"/>
        <v>0</v>
      </c>
      <c r="BA43" s="33">
        <f t="shared" si="243"/>
        <v>0</v>
      </c>
      <c r="BB43" s="33">
        <f t="shared" si="262"/>
        <v>0</v>
      </c>
      <c r="BC43" s="33">
        <f t="shared" si="263"/>
        <v>0</v>
      </c>
      <c r="BD43" s="33">
        <f t="shared" si="264"/>
        <v>0</v>
      </c>
      <c r="BE43" s="33">
        <f t="shared" si="265"/>
        <v>0</v>
      </c>
      <c r="BF43" s="33">
        <f t="shared" si="266"/>
        <v>0</v>
      </c>
      <c r="BG43" s="33">
        <f t="shared" si="267"/>
        <v>0</v>
      </c>
    </row>
    <row r="44" spans="1:59" s="21" customFormat="1" ht="15.75" customHeight="1" thickBot="1">
      <c r="A44" s="4">
        <f t="shared" si="268"/>
        <v>2032</v>
      </c>
      <c r="B44" s="45">
        <f>B43+B43-B42</f>
        <v>3.6204859353440586</v>
      </c>
      <c r="C44" s="45">
        <f>C43+C43-C42</f>
        <v>0</v>
      </c>
      <c r="D44" s="45">
        <f>D43+D43-D42</f>
        <v>0</v>
      </c>
      <c r="E44" s="45">
        <f>E43+E43-E42</f>
        <v>0</v>
      </c>
      <c r="F44" s="45">
        <f t="shared" si="272"/>
        <v>0</v>
      </c>
      <c r="G44" s="45"/>
      <c r="H44" s="45"/>
      <c r="I44" s="45">
        <f>I43+I43-I42</f>
        <v>25.754895587257536</v>
      </c>
      <c r="J44" s="45">
        <f>J43+J43-J42</f>
        <v>0</v>
      </c>
      <c r="K44" s="45">
        <f>K43+K43-K42</f>
        <v>0</v>
      </c>
      <c r="L44" s="45">
        <f>L43+L43-L42</f>
        <v>0</v>
      </c>
      <c r="M44" s="45">
        <f t="shared" si="276"/>
        <v>0</v>
      </c>
      <c r="N44" s="45"/>
      <c r="O44" s="45"/>
      <c r="P44" s="45">
        <f>P43+P43-P42</f>
        <v>7.4600050592344491</v>
      </c>
      <c r="Q44" s="45">
        <f>Q43+Q43-Q42</f>
        <v>0</v>
      </c>
      <c r="R44" s="45">
        <f>R43+R43-R42</f>
        <v>0</v>
      </c>
      <c r="S44" s="45">
        <f>S43+S43-S42</f>
        <v>0</v>
      </c>
      <c r="T44" s="45"/>
      <c r="U44" s="45"/>
      <c r="V44" s="45"/>
      <c r="W44" s="45">
        <f>W43+W43-W42</f>
        <v>0</v>
      </c>
      <c r="X44" s="45">
        <f>X43+X43-X42</f>
        <v>0</v>
      </c>
      <c r="Y44" s="45">
        <f>Y43+Y43-Y42</f>
        <v>0</v>
      </c>
      <c r="Z44" s="45">
        <f>Z43+Z43-Z42</f>
        <v>0</v>
      </c>
      <c r="AA44" s="45"/>
      <c r="AB44" s="45"/>
      <c r="AC44" s="45"/>
      <c r="AE44" s="4">
        <f t="shared" si="211"/>
        <v>2032</v>
      </c>
      <c r="AF44" s="33">
        <f t="shared" si="240"/>
        <v>173.44042182950372</v>
      </c>
      <c r="AG44" s="33">
        <f t="shared" si="244"/>
        <v>0</v>
      </c>
      <c r="AH44" s="33">
        <f t="shared" si="245"/>
        <v>0</v>
      </c>
      <c r="AI44" s="33">
        <f t="shared" si="246"/>
        <v>0</v>
      </c>
      <c r="AJ44" s="33">
        <f t="shared" si="247"/>
        <v>0</v>
      </c>
      <c r="AK44" s="33">
        <f t="shared" si="248"/>
        <v>0</v>
      </c>
      <c r="AL44" s="33">
        <f t="shared" si="249"/>
        <v>0</v>
      </c>
      <c r="AM44" s="33">
        <f t="shared" si="241"/>
        <v>1233.7956933408923</v>
      </c>
      <c r="AN44" s="33">
        <f t="shared" si="250"/>
        <v>0</v>
      </c>
      <c r="AO44" s="33">
        <f t="shared" si="251"/>
        <v>0</v>
      </c>
      <c r="AP44" s="33">
        <f t="shared" si="252"/>
        <v>0</v>
      </c>
      <c r="AQ44" s="33">
        <f t="shared" si="253"/>
        <v>0</v>
      </c>
      <c r="AR44" s="33">
        <f t="shared" si="254"/>
        <v>0</v>
      </c>
      <c r="AS44" s="33">
        <f t="shared" si="255"/>
        <v>0</v>
      </c>
      <c r="AT44" s="33">
        <f t="shared" si="242"/>
        <v>357.37369166188938</v>
      </c>
      <c r="AU44" s="33">
        <f t="shared" si="256"/>
        <v>0</v>
      </c>
      <c r="AV44" s="33">
        <f t="shared" si="257"/>
        <v>0</v>
      </c>
      <c r="AW44" s="33">
        <f t="shared" si="258"/>
        <v>0</v>
      </c>
      <c r="AX44" s="33">
        <f t="shared" si="259"/>
        <v>0</v>
      </c>
      <c r="AY44" s="33">
        <f t="shared" si="260"/>
        <v>0</v>
      </c>
      <c r="AZ44" s="33">
        <f t="shared" si="261"/>
        <v>0</v>
      </c>
      <c r="BA44" s="33">
        <f t="shared" si="243"/>
        <v>0</v>
      </c>
      <c r="BB44" s="33">
        <f t="shared" si="262"/>
        <v>0</v>
      </c>
      <c r="BC44" s="33">
        <f t="shared" si="263"/>
        <v>0</v>
      </c>
      <c r="BD44" s="33">
        <f t="shared" si="264"/>
        <v>0</v>
      </c>
      <c r="BE44" s="33">
        <f t="shared" si="265"/>
        <v>0</v>
      </c>
      <c r="BF44" s="33">
        <f t="shared" si="266"/>
        <v>0</v>
      </c>
      <c r="BG44" s="33">
        <f t="shared" si="267"/>
        <v>0</v>
      </c>
    </row>
    <row r="45" spans="1:59" s="21" customFormat="1" ht="15.75" customHeight="1" thickBot="1">
      <c r="A45" s="4">
        <f t="shared" si="268"/>
        <v>2033</v>
      </c>
      <c r="B45" s="45">
        <f t="shared" ref="B45:B46" si="282">B44+B44-B43</f>
        <v>5.2100775973686764</v>
      </c>
      <c r="C45" s="45">
        <f t="shared" ref="C45:C46" si="283">C44+C44-C43</f>
        <v>0</v>
      </c>
      <c r="D45" s="45">
        <f t="shared" ref="D45:D46" si="284">D44+D44-D43</f>
        <v>0</v>
      </c>
      <c r="E45" s="45">
        <f t="shared" ref="E45:E46" si="285">E44+E44-E43</f>
        <v>0</v>
      </c>
      <c r="F45" s="45">
        <f t="shared" si="272"/>
        <v>0</v>
      </c>
      <c r="G45" s="45"/>
      <c r="H45" s="45"/>
      <c r="I45" s="45">
        <f t="shared" ref="I45:I46" si="286">I44+I44-I43</f>
        <v>31.136743506923537</v>
      </c>
      <c r="J45" s="45">
        <f t="shared" ref="J45:J46" si="287">J44+J44-J43</f>
        <v>0</v>
      </c>
      <c r="K45" s="45">
        <f t="shared" ref="K45:K46" si="288">K44+K44-K43</f>
        <v>0</v>
      </c>
      <c r="L45" s="45">
        <f t="shared" ref="L45:L46" si="289">L44+L44-L43</f>
        <v>0</v>
      </c>
      <c r="M45" s="45">
        <f t="shared" si="276"/>
        <v>0</v>
      </c>
      <c r="N45" s="45"/>
      <c r="O45" s="45"/>
      <c r="P45" s="45">
        <f t="shared" ref="P45:P46" si="290">P44+P44-P43</f>
        <v>8.7866708686990087</v>
      </c>
      <c r="Q45" s="45">
        <f t="shared" ref="Q45:Q46" si="291">Q44+Q44-Q43</f>
        <v>0</v>
      </c>
      <c r="R45" s="45">
        <f t="shared" ref="R45:R46" si="292">R44+R44-R43</f>
        <v>0</v>
      </c>
      <c r="S45" s="45">
        <f t="shared" ref="S45:S46" si="293">S44+S44-S43</f>
        <v>0</v>
      </c>
      <c r="T45" s="45"/>
      <c r="U45" s="45"/>
      <c r="V45" s="45"/>
      <c r="W45" s="45">
        <f t="shared" ref="W45:W46" si="294">W44+W44-W43</f>
        <v>0</v>
      </c>
      <c r="X45" s="45">
        <f t="shared" ref="X45:X46" si="295">X44+X44-X43</f>
        <v>0</v>
      </c>
      <c r="Y45" s="45">
        <f t="shared" ref="Y45:Y46" si="296">Y44+Y44-Y43</f>
        <v>0</v>
      </c>
      <c r="Z45" s="45">
        <f t="shared" ref="Z45:Z46" si="297">Z44+Z44-Z43</f>
        <v>0</v>
      </c>
      <c r="AA45" s="45"/>
      <c r="AB45" s="45"/>
      <c r="AC45" s="45"/>
      <c r="AE45" s="4">
        <f t="shared" si="211"/>
        <v>2033</v>
      </c>
      <c r="AF45" s="33">
        <f t="shared" si="240"/>
        <v>249.59026837545133</v>
      </c>
      <c r="AG45" s="33">
        <f t="shared" si="244"/>
        <v>0</v>
      </c>
      <c r="AH45" s="33">
        <f t="shared" si="245"/>
        <v>0</v>
      </c>
      <c r="AI45" s="33">
        <f t="shared" si="246"/>
        <v>0</v>
      </c>
      <c r="AJ45" s="33">
        <f t="shared" si="247"/>
        <v>0</v>
      </c>
      <c r="AK45" s="33">
        <f t="shared" si="248"/>
        <v>0</v>
      </c>
      <c r="AL45" s="33">
        <f t="shared" si="249"/>
        <v>0</v>
      </c>
      <c r="AM45" s="33">
        <f t="shared" si="241"/>
        <v>1491.61466849468</v>
      </c>
      <c r="AN45" s="33">
        <f t="shared" si="250"/>
        <v>0</v>
      </c>
      <c r="AO45" s="33">
        <f t="shared" si="251"/>
        <v>0</v>
      </c>
      <c r="AP45" s="33">
        <f t="shared" si="252"/>
        <v>0</v>
      </c>
      <c r="AQ45" s="33">
        <f t="shared" si="253"/>
        <v>0</v>
      </c>
      <c r="AR45" s="33">
        <f t="shared" si="254"/>
        <v>0</v>
      </c>
      <c r="AS45" s="33">
        <f t="shared" si="255"/>
        <v>0</v>
      </c>
      <c r="AT45" s="33">
        <f t="shared" si="242"/>
        <v>420.92799948947845</v>
      </c>
      <c r="AU45" s="33">
        <f t="shared" si="256"/>
        <v>0</v>
      </c>
      <c r="AV45" s="33">
        <f t="shared" si="257"/>
        <v>0</v>
      </c>
      <c r="AW45" s="33">
        <f t="shared" si="258"/>
        <v>0</v>
      </c>
      <c r="AX45" s="33">
        <f t="shared" si="259"/>
        <v>0</v>
      </c>
      <c r="AY45" s="33">
        <f t="shared" si="260"/>
        <v>0</v>
      </c>
      <c r="AZ45" s="33">
        <f t="shared" si="261"/>
        <v>0</v>
      </c>
      <c r="BA45" s="33">
        <f t="shared" si="243"/>
        <v>0</v>
      </c>
      <c r="BB45" s="33">
        <f t="shared" si="262"/>
        <v>0</v>
      </c>
      <c r="BC45" s="33">
        <f t="shared" si="263"/>
        <v>0</v>
      </c>
      <c r="BD45" s="33">
        <f t="shared" si="264"/>
        <v>0</v>
      </c>
      <c r="BE45" s="33">
        <f t="shared" si="265"/>
        <v>0</v>
      </c>
      <c r="BF45" s="33">
        <f t="shared" si="266"/>
        <v>0</v>
      </c>
      <c r="BG45" s="33">
        <f t="shared" si="267"/>
        <v>0</v>
      </c>
    </row>
    <row r="46" spans="1:59" s="21" customFormat="1" ht="15.75" customHeight="1" thickBot="1">
      <c r="A46" s="4">
        <f t="shared" si="268"/>
        <v>2034</v>
      </c>
      <c r="B46" s="45">
        <f t="shared" si="282"/>
        <v>6.7996692593932941</v>
      </c>
      <c r="C46" s="45">
        <f t="shared" si="283"/>
        <v>0</v>
      </c>
      <c r="D46" s="45">
        <f t="shared" si="284"/>
        <v>0</v>
      </c>
      <c r="E46" s="45">
        <f t="shared" si="285"/>
        <v>0</v>
      </c>
      <c r="F46" s="45">
        <f t="shared" si="272"/>
        <v>0</v>
      </c>
      <c r="G46" s="45"/>
      <c r="H46" s="45"/>
      <c r="I46" s="45">
        <f t="shared" si="286"/>
        <v>36.518591426589538</v>
      </c>
      <c r="J46" s="45">
        <f t="shared" si="287"/>
        <v>0</v>
      </c>
      <c r="K46" s="45">
        <f t="shared" si="288"/>
        <v>0</v>
      </c>
      <c r="L46" s="45">
        <f t="shared" si="289"/>
        <v>0</v>
      </c>
      <c r="M46" s="45">
        <f t="shared" si="276"/>
        <v>0</v>
      </c>
      <c r="N46" s="45"/>
      <c r="O46" s="45"/>
      <c r="P46" s="45">
        <f t="shared" si="290"/>
        <v>10.113336678163568</v>
      </c>
      <c r="Q46" s="45">
        <f t="shared" si="291"/>
        <v>0</v>
      </c>
      <c r="R46" s="45">
        <f t="shared" si="292"/>
        <v>0</v>
      </c>
      <c r="S46" s="45">
        <f t="shared" si="293"/>
        <v>0</v>
      </c>
      <c r="T46" s="45"/>
      <c r="U46" s="45"/>
      <c r="V46" s="45"/>
      <c r="W46" s="45">
        <f t="shared" si="294"/>
        <v>0</v>
      </c>
      <c r="X46" s="45">
        <f t="shared" si="295"/>
        <v>0</v>
      </c>
      <c r="Y46" s="45">
        <f t="shared" si="296"/>
        <v>0</v>
      </c>
      <c r="Z46" s="45">
        <f t="shared" si="297"/>
        <v>0</v>
      </c>
      <c r="AA46" s="45"/>
      <c r="AB46" s="45"/>
      <c r="AC46" s="45"/>
      <c r="AE46" s="4">
        <f t="shared" si="211"/>
        <v>2034</v>
      </c>
      <c r="AF46" s="33">
        <f t="shared" si="240"/>
        <v>325.74011492139891</v>
      </c>
      <c r="AG46" s="33">
        <f t="shared" si="244"/>
        <v>0</v>
      </c>
      <c r="AH46" s="33">
        <f t="shared" si="245"/>
        <v>0</v>
      </c>
      <c r="AI46" s="33">
        <f t="shared" si="246"/>
        <v>0</v>
      </c>
      <c r="AJ46" s="33">
        <f t="shared" si="247"/>
        <v>0</v>
      </c>
      <c r="AK46" s="33">
        <f t="shared" si="248"/>
        <v>0</v>
      </c>
      <c r="AL46" s="33">
        <f t="shared" si="249"/>
        <v>0</v>
      </c>
      <c r="AM46" s="33">
        <f t="shared" si="241"/>
        <v>1749.4336436484678</v>
      </c>
      <c r="AN46" s="33">
        <f t="shared" si="250"/>
        <v>0</v>
      </c>
      <c r="AO46" s="33">
        <f t="shared" si="251"/>
        <v>0</v>
      </c>
      <c r="AP46" s="33">
        <f t="shared" si="252"/>
        <v>0</v>
      </c>
      <c r="AQ46" s="33">
        <f t="shared" si="253"/>
        <v>0</v>
      </c>
      <c r="AR46" s="33">
        <f t="shared" si="254"/>
        <v>0</v>
      </c>
      <c r="AS46" s="33">
        <f t="shared" si="255"/>
        <v>0</v>
      </c>
      <c r="AT46" s="33">
        <f t="shared" si="242"/>
        <v>484.48230731706764</v>
      </c>
      <c r="AU46" s="33">
        <f t="shared" si="256"/>
        <v>0</v>
      </c>
      <c r="AV46" s="33">
        <f t="shared" si="257"/>
        <v>0</v>
      </c>
      <c r="AW46" s="33">
        <f t="shared" si="258"/>
        <v>0</v>
      </c>
      <c r="AX46" s="33">
        <f t="shared" si="259"/>
        <v>0</v>
      </c>
      <c r="AY46" s="33">
        <f t="shared" si="260"/>
        <v>0</v>
      </c>
      <c r="AZ46" s="33">
        <f t="shared" si="261"/>
        <v>0</v>
      </c>
      <c r="BA46" s="33">
        <f t="shared" si="243"/>
        <v>0</v>
      </c>
      <c r="BB46" s="33">
        <f t="shared" si="262"/>
        <v>0</v>
      </c>
      <c r="BC46" s="33">
        <f t="shared" si="263"/>
        <v>0</v>
      </c>
      <c r="BD46" s="33">
        <f t="shared" si="264"/>
        <v>0</v>
      </c>
      <c r="BE46" s="33">
        <f t="shared" si="265"/>
        <v>0</v>
      </c>
      <c r="BF46" s="33">
        <f t="shared" si="266"/>
        <v>0</v>
      </c>
      <c r="BG46" s="33">
        <f t="shared" si="267"/>
        <v>0</v>
      </c>
    </row>
    <row r="47" spans="1:59" s="21" customFormat="1" ht="15.75" customHeight="1">
      <c r="A47" s="41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E47" s="41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</row>
    <row r="48" spans="1:59" s="21" customFormat="1" ht="15.75" customHeight="1" thickBot="1">
      <c r="A48" s="22" t="s">
        <v>161</v>
      </c>
      <c r="AE48" s="22" t="s">
        <v>162</v>
      </c>
    </row>
    <row r="49" spans="1:65" s="21" customFormat="1" ht="15.75" customHeight="1" thickBot="1">
      <c r="A49" s="1" t="s">
        <v>158</v>
      </c>
      <c r="B49" s="1">
        <f>B4</f>
        <v>1</v>
      </c>
      <c r="C49" s="1">
        <f t="shared" ref="C49:AC49" si="298">C4</f>
        <v>2</v>
      </c>
      <c r="D49" s="1">
        <f t="shared" si="298"/>
        <v>3</v>
      </c>
      <c r="E49" s="1">
        <f t="shared" si="298"/>
        <v>4</v>
      </c>
      <c r="F49" s="1">
        <f t="shared" si="298"/>
        <v>5</v>
      </c>
      <c r="G49" s="1">
        <f t="shared" si="298"/>
        <v>6</v>
      </c>
      <c r="H49" s="1">
        <f t="shared" si="298"/>
        <v>7</v>
      </c>
      <c r="I49" s="1">
        <f t="shared" si="298"/>
        <v>1</v>
      </c>
      <c r="J49" s="1">
        <f t="shared" si="298"/>
        <v>2</v>
      </c>
      <c r="K49" s="1">
        <f t="shared" si="298"/>
        <v>3</v>
      </c>
      <c r="L49" s="1">
        <f t="shared" si="298"/>
        <v>4</v>
      </c>
      <c r="M49" s="1">
        <f t="shared" si="298"/>
        <v>5</v>
      </c>
      <c r="N49" s="1">
        <f t="shared" si="298"/>
        <v>6</v>
      </c>
      <c r="O49" s="1">
        <f t="shared" si="298"/>
        <v>7</v>
      </c>
      <c r="P49" s="1">
        <f t="shared" si="298"/>
        <v>1</v>
      </c>
      <c r="Q49" s="1">
        <f t="shared" si="298"/>
        <v>2</v>
      </c>
      <c r="R49" s="1">
        <f t="shared" si="298"/>
        <v>3</v>
      </c>
      <c r="S49" s="1">
        <f t="shared" si="298"/>
        <v>4</v>
      </c>
      <c r="T49" s="1">
        <f t="shared" si="298"/>
        <v>5</v>
      </c>
      <c r="U49" s="1">
        <f t="shared" si="298"/>
        <v>6</v>
      </c>
      <c r="V49" s="1">
        <f t="shared" si="298"/>
        <v>7</v>
      </c>
      <c r="W49" s="1">
        <f t="shared" si="298"/>
        <v>1</v>
      </c>
      <c r="X49" s="1">
        <f t="shared" si="298"/>
        <v>2</v>
      </c>
      <c r="Y49" s="1">
        <f t="shared" si="298"/>
        <v>3</v>
      </c>
      <c r="Z49" s="1">
        <f t="shared" si="298"/>
        <v>4</v>
      </c>
      <c r="AA49" s="1">
        <f t="shared" si="298"/>
        <v>5</v>
      </c>
      <c r="AB49" s="1">
        <f t="shared" si="298"/>
        <v>6</v>
      </c>
      <c r="AC49" s="1">
        <f t="shared" si="298"/>
        <v>7</v>
      </c>
      <c r="AE49" s="1" t="str">
        <f t="shared" ref="AE49:AE61" si="299">A49</f>
        <v>Option</v>
      </c>
      <c r="AF49" s="1">
        <f t="shared" ref="AF49:AF51" si="300">B49</f>
        <v>1</v>
      </c>
      <c r="AG49" s="1">
        <f t="shared" ref="AG49:AG51" si="301">C49</f>
        <v>2</v>
      </c>
      <c r="AH49" s="1">
        <f t="shared" ref="AH49:AH51" si="302">D49</f>
        <v>3</v>
      </c>
      <c r="AI49" s="1">
        <f t="shared" ref="AI49:AI51" si="303">E49</f>
        <v>4</v>
      </c>
      <c r="AJ49" s="1">
        <f t="shared" ref="AJ49:AJ51" si="304">F49</f>
        <v>5</v>
      </c>
      <c r="AK49" s="1">
        <f t="shared" ref="AK49:AK51" si="305">G49</f>
        <v>6</v>
      </c>
      <c r="AL49" s="1">
        <f t="shared" ref="AL49:AL51" si="306">H49</f>
        <v>7</v>
      </c>
      <c r="AM49" s="1">
        <f t="shared" ref="AM49:AM51" si="307">I49</f>
        <v>1</v>
      </c>
      <c r="AN49" s="1">
        <f t="shared" ref="AN49:AN51" si="308">J49</f>
        <v>2</v>
      </c>
      <c r="AO49" s="1">
        <f t="shared" ref="AO49:AO51" si="309">K49</f>
        <v>3</v>
      </c>
      <c r="AP49" s="1">
        <f t="shared" ref="AP49:AP51" si="310">L49</f>
        <v>4</v>
      </c>
      <c r="AQ49" s="1">
        <f t="shared" ref="AQ49:AQ51" si="311">M49</f>
        <v>5</v>
      </c>
      <c r="AR49" s="1">
        <f t="shared" ref="AR49:AR51" si="312">N49</f>
        <v>6</v>
      </c>
      <c r="AS49" s="1">
        <f t="shared" ref="AS49:AS51" si="313">O49</f>
        <v>7</v>
      </c>
      <c r="AT49" s="1">
        <f t="shared" ref="AT49:AT51" si="314">P49</f>
        <v>1</v>
      </c>
      <c r="AU49" s="1">
        <f t="shared" ref="AU49:AU51" si="315">Q49</f>
        <v>2</v>
      </c>
      <c r="AV49" s="1">
        <f t="shared" ref="AV49:AV51" si="316">R49</f>
        <v>3</v>
      </c>
      <c r="AW49" s="1">
        <f t="shared" ref="AW49:AW51" si="317">S49</f>
        <v>4</v>
      </c>
      <c r="AX49" s="1">
        <f t="shared" ref="AX49:AX51" si="318">T49</f>
        <v>5</v>
      </c>
      <c r="AY49" s="1">
        <f t="shared" ref="AY49:AY51" si="319">U49</f>
        <v>6</v>
      </c>
      <c r="AZ49" s="1">
        <f t="shared" ref="AZ49:AZ51" si="320">V49</f>
        <v>7</v>
      </c>
      <c r="BA49" s="1">
        <f t="shared" ref="BA49:BA51" si="321">W49</f>
        <v>1</v>
      </c>
      <c r="BB49" s="1">
        <f t="shared" ref="BB49:BB51" si="322">X49</f>
        <v>2</v>
      </c>
      <c r="BC49" s="1">
        <f t="shared" ref="BC49:BC51" si="323">Y49</f>
        <v>3</v>
      </c>
      <c r="BD49" s="1">
        <f t="shared" ref="BD49:BD51" si="324">Z49</f>
        <v>4</v>
      </c>
      <c r="BE49" s="1">
        <f t="shared" ref="BE49:BE51" si="325">AA49</f>
        <v>5</v>
      </c>
      <c r="BF49" s="1">
        <f t="shared" ref="BF49:BF51" si="326">AB49</f>
        <v>6</v>
      </c>
      <c r="BG49" s="1">
        <f t="shared" ref="BG49:BG51" si="327">AC49</f>
        <v>7</v>
      </c>
    </row>
    <row r="50" spans="1:65" s="21" customFormat="1" ht="15.75" customHeight="1" thickTop="1" thickBot="1">
      <c r="A50" s="6" t="s">
        <v>163</v>
      </c>
      <c r="B50" s="170" t="s">
        <v>8</v>
      </c>
      <c r="C50" s="171"/>
      <c r="D50" s="171"/>
      <c r="E50" s="171"/>
      <c r="F50" s="171"/>
      <c r="G50" s="171"/>
      <c r="H50" s="172"/>
      <c r="I50" s="170" t="s">
        <v>14</v>
      </c>
      <c r="J50" s="171"/>
      <c r="K50" s="171"/>
      <c r="L50" s="171"/>
      <c r="M50" s="171"/>
      <c r="N50" s="171"/>
      <c r="O50" s="172"/>
      <c r="P50" s="170" t="s">
        <v>164</v>
      </c>
      <c r="Q50" s="171"/>
      <c r="R50" s="171"/>
      <c r="S50" s="171"/>
      <c r="T50" s="171"/>
      <c r="U50" s="171"/>
      <c r="V50" s="172"/>
      <c r="W50" s="170" t="s">
        <v>165</v>
      </c>
      <c r="X50" s="171"/>
      <c r="Y50" s="171"/>
      <c r="Z50" s="171"/>
      <c r="AA50" s="171"/>
      <c r="AB50" s="171"/>
      <c r="AC50" s="172"/>
      <c r="AE50" s="6" t="str">
        <f t="shared" si="299"/>
        <v>ZSS</v>
      </c>
      <c r="AF50" s="170" t="str">
        <f t="shared" si="300"/>
        <v>ST</v>
      </c>
      <c r="AG50" s="171">
        <f t="shared" si="301"/>
        <v>0</v>
      </c>
      <c r="AH50" s="171">
        <f t="shared" si="302"/>
        <v>0</v>
      </c>
      <c r="AI50" s="171">
        <f t="shared" si="303"/>
        <v>0</v>
      </c>
      <c r="AJ50" s="171">
        <f t="shared" si="304"/>
        <v>0</v>
      </c>
      <c r="AK50" s="171">
        <f t="shared" si="305"/>
        <v>0</v>
      </c>
      <c r="AL50" s="172">
        <f t="shared" si="306"/>
        <v>0</v>
      </c>
      <c r="AM50" s="170" t="str">
        <f t="shared" si="307"/>
        <v>COO</v>
      </c>
      <c r="AN50" s="171">
        <f t="shared" si="308"/>
        <v>0</v>
      </c>
      <c r="AO50" s="171">
        <f t="shared" si="309"/>
        <v>0</v>
      </c>
      <c r="AP50" s="171">
        <f t="shared" si="310"/>
        <v>0</v>
      </c>
      <c r="AQ50" s="171">
        <f t="shared" si="311"/>
        <v>0</v>
      </c>
      <c r="AR50" s="171">
        <f t="shared" si="312"/>
        <v>0</v>
      </c>
      <c r="AS50" s="172">
        <f t="shared" si="313"/>
        <v>0</v>
      </c>
      <c r="AT50" s="170" t="str">
        <f t="shared" si="314"/>
        <v>COO Bus No.1 REFCL</v>
      </c>
      <c r="AU50" s="171">
        <f t="shared" si="315"/>
        <v>0</v>
      </c>
      <c r="AV50" s="171">
        <f t="shared" si="316"/>
        <v>0</v>
      </c>
      <c r="AW50" s="171">
        <f t="shared" si="317"/>
        <v>0</v>
      </c>
      <c r="AX50" s="171">
        <f t="shared" si="318"/>
        <v>0</v>
      </c>
      <c r="AY50" s="171">
        <f t="shared" si="319"/>
        <v>0</v>
      </c>
      <c r="AZ50" s="172">
        <f t="shared" si="320"/>
        <v>0</v>
      </c>
      <c r="BA50" s="170" t="str">
        <f t="shared" si="321"/>
        <v>COO Bus No.2 REFCL</v>
      </c>
      <c r="BB50" s="171">
        <f t="shared" si="322"/>
        <v>0</v>
      </c>
      <c r="BC50" s="171">
        <f t="shared" si="323"/>
        <v>0</v>
      </c>
      <c r="BD50" s="171">
        <f t="shared" si="324"/>
        <v>0</v>
      </c>
      <c r="BE50" s="171">
        <f t="shared" si="325"/>
        <v>0</v>
      </c>
      <c r="BF50" s="171">
        <f t="shared" si="326"/>
        <v>0</v>
      </c>
      <c r="BG50" s="172">
        <f t="shared" si="327"/>
        <v>0</v>
      </c>
      <c r="BJ50" s="79" t="s">
        <v>166</v>
      </c>
      <c r="BK50" s="79" t="s">
        <v>167</v>
      </c>
      <c r="BL50" s="21" t="s">
        <v>168</v>
      </c>
      <c r="BM50" s="21" t="s">
        <v>169</v>
      </c>
    </row>
    <row r="51" spans="1:65" s="21" customFormat="1" ht="24.75" customHeight="1" thickBot="1">
      <c r="A51" s="6" t="s">
        <v>160</v>
      </c>
      <c r="B51" s="158" t="s">
        <v>170</v>
      </c>
      <c r="C51" s="158"/>
      <c r="D51" s="158"/>
      <c r="E51" s="158"/>
      <c r="F51" s="158"/>
      <c r="G51" s="158"/>
      <c r="H51" s="158"/>
      <c r="I51" s="158" t="s">
        <v>107</v>
      </c>
      <c r="J51" s="158"/>
      <c r="K51" s="158"/>
      <c r="L51" s="158"/>
      <c r="M51" s="158"/>
      <c r="N51" s="158"/>
      <c r="O51" s="158"/>
      <c r="P51" s="158" t="s">
        <v>107</v>
      </c>
      <c r="Q51" s="158"/>
      <c r="R51" s="158"/>
      <c r="S51" s="158"/>
      <c r="T51" s="158"/>
      <c r="U51" s="158"/>
      <c r="V51" s="159"/>
      <c r="W51" s="158" t="s">
        <v>107</v>
      </c>
      <c r="X51" s="158"/>
      <c r="Y51" s="158"/>
      <c r="Z51" s="158"/>
      <c r="AA51" s="158"/>
      <c r="AB51" s="158"/>
      <c r="AC51" s="159"/>
      <c r="AE51" s="6" t="str">
        <f t="shared" si="299"/>
        <v>Solution Applied</v>
      </c>
      <c r="AF51" s="31" t="str">
        <f t="shared" si="300"/>
        <v>xfers to BD</v>
      </c>
      <c r="AG51" s="31">
        <f t="shared" si="301"/>
        <v>0</v>
      </c>
      <c r="AH51" s="31">
        <f t="shared" si="302"/>
        <v>0</v>
      </c>
      <c r="AI51" s="31">
        <f t="shared" si="303"/>
        <v>0</v>
      </c>
      <c r="AJ51" s="31">
        <f t="shared" si="304"/>
        <v>0</v>
      </c>
      <c r="AK51" s="31">
        <f t="shared" si="305"/>
        <v>0</v>
      </c>
      <c r="AL51" s="31">
        <f t="shared" si="306"/>
        <v>0</v>
      </c>
      <c r="AM51" s="31" t="str">
        <f t="shared" si="307"/>
        <v>Nil</v>
      </c>
      <c r="AN51" s="31">
        <f t="shared" si="308"/>
        <v>0</v>
      </c>
      <c r="AO51" s="31">
        <f t="shared" si="309"/>
        <v>0</v>
      </c>
      <c r="AP51" s="31">
        <f t="shared" si="310"/>
        <v>0</v>
      </c>
      <c r="AQ51" s="31">
        <f t="shared" si="311"/>
        <v>0</v>
      </c>
      <c r="AR51" s="31">
        <f t="shared" si="312"/>
        <v>0</v>
      </c>
      <c r="AS51" s="31">
        <f t="shared" si="313"/>
        <v>0</v>
      </c>
      <c r="AT51" s="31" t="str">
        <f t="shared" si="314"/>
        <v>Nil</v>
      </c>
      <c r="AU51" s="31">
        <f t="shared" si="315"/>
        <v>0</v>
      </c>
      <c r="AV51" s="31">
        <f t="shared" si="316"/>
        <v>0</v>
      </c>
      <c r="AW51" s="31">
        <f t="shared" si="317"/>
        <v>0</v>
      </c>
      <c r="AX51" s="31">
        <f t="shared" si="318"/>
        <v>0</v>
      </c>
      <c r="AY51" s="31">
        <f t="shared" si="319"/>
        <v>0</v>
      </c>
      <c r="AZ51" s="32">
        <f t="shared" si="320"/>
        <v>0</v>
      </c>
      <c r="BA51" s="31" t="str">
        <f t="shared" si="321"/>
        <v>Nil</v>
      </c>
      <c r="BB51" s="31">
        <f t="shared" si="322"/>
        <v>0</v>
      </c>
      <c r="BC51" s="31">
        <f t="shared" si="323"/>
        <v>0</v>
      </c>
      <c r="BD51" s="31">
        <f t="shared" si="324"/>
        <v>0</v>
      </c>
      <c r="BE51" s="31">
        <f t="shared" si="325"/>
        <v>0</v>
      </c>
      <c r="BF51" s="31">
        <f t="shared" si="326"/>
        <v>0</v>
      </c>
      <c r="BG51" s="32">
        <f t="shared" si="327"/>
        <v>0</v>
      </c>
      <c r="BI51"/>
    </row>
    <row r="52" spans="1:65" s="21" customFormat="1" ht="15.75" customHeight="1" thickBot="1">
      <c r="A52" s="4">
        <f>A7</f>
        <v>2025</v>
      </c>
      <c r="B52" s="45">
        <v>0</v>
      </c>
      <c r="C52" s="45"/>
      <c r="D52" s="45"/>
      <c r="E52" s="45"/>
      <c r="F52" s="45"/>
      <c r="G52" s="45"/>
      <c r="H52" s="45"/>
      <c r="I52" s="45">
        <v>0.48827996968425635</v>
      </c>
      <c r="J52" s="45"/>
      <c r="K52" s="45"/>
      <c r="L52" s="45"/>
      <c r="M52" s="45"/>
      <c r="N52" s="45"/>
      <c r="O52" s="45"/>
      <c r="P52" s="45">
        <v>0</v>
      </c>
      <c r="Q52" s="45"/>
      <c r="R52" s="45"/>
      <c r="S52" s="45"/>
      <c r="T52" s="45"/>
      <c r="U52" s="45"/>
      <c r="V52" s="45"/>
      <c r="W52" s="45">
        <v>0</v>
      </c>
      <c r="X52" s="45"/>
      <c r="Y52" s="45"/>
      <c r="Z52" s="45"/>
      <c r="AA52" s="45"/>
      <c r="AB52" s="45"/>
      <c r="AC52" s="45"/>
      <c r="AE52" s="4">
        <f t="shared" si="299"/>
        <v>2025</v>
      </c>
      <c r="AF52" s="33">
        <f t="shared" ref="AF52:AF61" si="328">B52*$H$1/1000</f>
        <v>0</v>
      </c>
      <c r="AG52" s="33"/>
      <c r="AH52" s="33"/>
      <c r="AI52" s="33"/>
      <c r="AJ52" s="33"/>
      <c r="AK52" s="33"/>
      <c r="AL52" s="33"/>
      <c r="AM52" s="33">
        <f t="shared" ref="AM52:AM61" si="329">I52*$H$1/1000</f>
        <v>23.391192625883459</v>
      </c>
      <c r="AN52" s="33"/>
      <c r="AO52" s="33"/>
      <c r="AP52" s="33"/>
      <c r="AQ52" s="33"/>
      <c r="AR52" s="33"/>
      <c r="AS52" s="33"/>
      <c r="AT52" s="33">
        <f t="shared" ref="AT52:AT61" si="330">P52*$H$1/1000</f>
        <v>0</v>
      </c>
      <c r="AU52" s="33"/>
      <c r="AV52" s="33"/>
      <c r="AW52" s="33"/>
      <c r="AX52" s="33"/>
      <c r="AY52" s="33"/>
      <c r="AZ52" s="33"/>
      <c r="BA52" s="33">
        <f t="shared" ref="BA52:BA61" si="331">W52*$H$1/1000</f>
        <v>0</v>
      </c>
      <c r="BB52" s="33"/>
      <c r="BC52" s="33"/>
      <c r="BD52" s="33"/>
      <c r="BE52" s="33"/>
      <c r="BF52" s="33"/>
      <c r="BG52" s="33"/>
      <c r="BI52" s="46"/>
      <c r="BJ52" s="46">
        <f>AT52+(AF7+AM52)/2</f>
        <v>11.69559631294173</v>
      </c>
      <c r="BK52" s="46">
        <f>BA52+(AF7+AM52)/2</f>
        <v>11.69559631294173</v>
      </c>
      <c r="BL52" s="46">
        <f>AM7+AT7</f>
        <v>1329.4498095417714</v>
      </c>
      <c r="BM52" s="46">
        <f>AF52+AM37+AF37+AM22+AT22+BA22+BA7</f>
        <v>90.241993981209305</v>
      </c>
    </row>
    <row r="53" spans="1:65" s="21" customFormat="1" ht="15.75" customHeight="1" thickBot="1">
      <c r="A53" s="4">
        <f>A52+1</f>
        <v>2026</v>
      </c>
      <c r="B53" s="45">
        <v>0</v>
      </c>
      <c r="C53" s="45">
        <f>B53</f>
        <v>0</v>
      </c>
      <c r="D53" s="45">
        <f>B53</f>
        <v>0</v>
      </c>
      <c r="E53" s="45"/>
      <c r="F53" s="45"/>
      <c r="G53" s="45"/>
      <c r="H53" s="45"/>
      <c r="I53" s="45">
        <v>0.74081048361380064</v>
      </c>
      <c r="J53" s="45">
        <f>I53</f>
        <v>0.74081048361380064</v>
      </c>
      <c r="K53" s="45">
        <f>I53</f>
        <v>0.74081048361380064</v>
      </c>
      <c r="L53" s="45"/>
      <c r="M53" s="45"/>
      <c r="N53" s="45"/>
      <c r="O53" s="45"/>
      <c r="P53" s="45">
        <v>0</v>
      </c>
      <c r="Q53" s="45">
        <f>P53</f>
        <v>0</v>
      </c>
      <c r="R53" s="45">
        <f>P53</f>
        <v>0</v>
      </c>
      <c r="S53" s="45"/>
      <c r="T53" s="45"/>
      <c r="U53" s="45"/>
      <c r="V53" s="45"/>
      <c r="W53" s="45">
        <v>0</v>
      </c>
      <c r="X53" s="45">
        <f>W53</f>
        <v>0</v>
      </c>
      <c r="Y53" s="45">
        <f>W53</f>
        <v>0</v>
      </c>
      <c r="Z53" s="45"/>
      <c r="AA53" s="45"/>
      <c r="AB53" s="45"/>
      <c r="AC53" s="45"/>
      <c r="AE53" s="4">
        <f t="shared" si="299"/>
        <v>2026</v>
      </c>
      <c r="AF53" s="33">
        <f t="shared" si="328"/>
        <v>0</v>
      </c>
      <c r="AG53" s="33">
        <f t="shared" ref="AG53:AG61" si="332">C53*$H$1/1000</f>
        <v>0</v>
      </c>
      <c r="AH53" s="33">
        <f t="shared" ref="AH53:AH61" si="333">D53*$H$1/1000</f>
        <v>0</v>
      </c>
      <c r="AI53" s="33">
        <f t="shared" ref="AI53:AI61" si="334">E53*$H$1/1000</f>
        <v>0</v>
      </c>
      <c r="AJ53" s="33">
        <f t="shared" ref="AJ53:AJ61" si="335">F53*$H$1/1000</f>
        <v>0</v>
      </c>
      <c r="AK53" s="33">
        <f t="shared" ref="AK53:AK61" si="336">G53*$H$1/1000</f>
        <v>0</v>
      </c>
      <c r="AL53" s="33">
        <f t="shared" ref="AL53:AL61" si="337">H53*$H$1/1000</f>
        <v>0</v>
      </c>
      <c r="AM53" s="33">
        <f t="shared" si="329"/>
        <v>35.488739652150052</v>
      </c>
      <c r="AN53" s="33">
        <f t="shared" ref="AN53:AN61" si="338">J53*$H$1/1000</f>
        <v>35.488739652150052</v>
      </c>
      <c r="AO53" s="33">
        <f t="shared" ref="AO53:AO61" si="339">K53*$H$1/1000</f>
        <v>35.488739652150052</v>
      </c>
      <c r="AP53" s="33">
        <f t="shared" ref="AP53:AP61" si="340">L53*$H$1/1000</f>
        <v>0</v>
      </c>
      <c r="AQ53" s="33">
        <f t="shared" ref="AQ53:AQ61" si="341">M53*$H$1/1000</f>
        <v>0</v>
      </c>
      <c r="AR53" s="33">
        <f t="shared" ref="AR53:AR61" si="342">N53*$H$1/1000</f>
        <v>0</v>
      </c>
      <c r="AS53" s="33">
        <f t="shared" ref="AS53:AS61" si="343">O53*$H$1/1000</f>
        <v>0</v>
      </c>
      <c r="AT53" s="33">
        <f t="shared" si="330"/>
        <v>0</v>
      </c>
      <c r="AU53" s="33">
        <f t="shared" ref="AU53:AU61" si="344">Q53*$H$1/1000</f>
        <v>0</v>
      </c>
      <c r="AV53" s="33">
        <f t="shared" ref="AV53:AV61" si="345">R53*$H$1/1000</f>
        <v>0</v>
      </c>
      <c r="AW53" s="33">
        <f t="shared" ref="AW53:AW61" si="346">S53*$H$1/1000</f>
        <v>0</v>
      </c>
      <c r="AX53" s="33">
        <f t="shared" ref="AX53:AX61" si="347">T53*$H$1/1000</f>
        <v>0</v>
      </c>
      <c r="AY53" s="33">
        <f t="shared" ref="AY53:AY61" si="348">U53*$H$1/1000</f>
        <v>0</v>
      </c>
      <c r="AZ53" s="33">
        <f t="shared" ref="AZ53:AZ61" si="349">V53*$H$1/1000</f>
        <v>0</v>
      </c>
      <c r="BA53" s="33">
        <f t="shared" si="331"/>
        <v>0</v>
      </c>
      <c r="BB53" s="33">
        <f t="shared" ref="BB53:BB61" si="350">X53*$H$1/1000</f>
        <v>0</v>
      </c>
      <c r="BC53" s="33">
        <f t="shared" ref="BC53:BC61" si="351">Y53*$H$1/1000</f>
        <v>0</v>
      </c>
      <c r="BD53" s="33">
        <f t="shared" ref="BD53:BD61" si="352">Z53*$H$1/1000</f>
        <v>0</v>
      </c>
      <c r="BE53" s="33">
        <f t="shared" ref="BE53:BE61" si="353">AA53*$H$1/1000</f>
        <v>0</v>
      </c>
      <c r="BF53" s="33">
        <f t="shared" ref="BF53:BF61" si="354">AB53*$H$1/1000</f>
        <v>0</v>
      </c>
      <c r="BG53" s="33">
        <f t="shared" ref="BG53:BG61" si="355">AC53*$H$1/1000</f>
        <v>0</v>
      </c>
      <c r="BI53" s="46"/>
      <c r="BJ53" s="46">
        <f t="shared" ref="BJ53:BJ61" si="356">AT53+(AF8+AM53)/2</f>
        <v>67.877323050828451</v>
      </c>
      <c r="BK53" s="46">
        <f t="shared" ref="BK53:BK61" si="357">BA53+(AF8+AM53)/2</f>
        <v>67.877323050828451</v>
      </c>
      <c r="BL53" s="46">
        <f t="shared" ref="BL53:BL61" si="358">AM8+AT8</f>
        <v>2013.2028162008633</v>
      </c>
      <c r="BM53" s="46">
        <f t="shared" ref="BM53:BM61" si="359">AF53+AM38+AF38+AM23+AT23+BA23+BA8</f>
        <v>3294.614265855349</v>
      </c>
    </row>
    <row r="54" spans="1:65" s="21" customFormat="1" ht="15.75" customHeight="1" thickBot="1">
      <c r="A54" s="4">
        <f t="shared" ref="A54:A61" si="360">A53+1</f>
        <v>2027</v>
      </c>
      <c r="B54" s="45">
        <v>4.5494141029239918E-2</v>
      </c>
      <c r="C54" s="45">
        <f>B54</f>
        <v>4.5494141029239918E-2</v>
      </c>
      <c r="D54" s="45">
        <f>B54</f>
        <v>4.5494141029239918E-2</v>
      </c>
      <c r="E54" s="45"/>
      <c r="F54" s="45"/>
      <c r="G54" s="45"/>
      <c r="H54" s="45"/>
      <c r="I54" s="45">
        <v>1.5234378463962668</v>
      </c>
      <c r="J54" s="45">
        <v>6.6122640016496287E-2</v>
      </c>
      <c r="K54" s="45">
        <v>1.2989220166993937E-2</v>
      </c>
      <c r="L54" s="45"/>
      <c r="M54" s="45"/>
      <c r="N54" s="45"/>
      <c r="O54" s="45"/>
      <c r="P54" s="45">
        <v>0</v>
      </c>
      <c r="Q54" s="45">
        <v>0</v>
      </c>
      <c r="R54" s="45">
        <v>0</v>
      </c>
      <c r="S54" s="45"/>
      <c r="T54" s="45"/>
      <c r="U54" s="45"/>
      <c r="V54" s="45"/>
      <c r="W54" s="45">
        <v>0</v>
      </c>
      <c r="X54" s="45">
        <v>0</v>
      </c>
      <c r="Y54" s="45">
        <v>0</v>
      </c>
      <c r="Z54" s="45"/>
      <c r="AA54" s="45"/>
      <c r="AB54" s="45"/>
      <c r="AC54" s="45"/>
      <c r="AE54" s="4">
        <f t="shared" si="299"/>
        <v>2027</v>
      </c>
      <c r="AF54" s="33">
        <f t="shared" si="328"/>
        <v>2.179409933305668</v>
      </c>
      <c r="AG54" s="33">
        <f t="shared" si="332"/>
        <v>2.179409933305668</v>
      </c>
      <c r="AH54" s="33">
        <f t="shared" si="333"/>
        <v>2.179409933305668</v>
      </c>
      <c r="AI54" s="33">
        <f t="shared" si="334"/>
        <v>0</v>
      </c>
      <c r="AJ54" s="33">
        <f t="shared" si="335"/>
        <v>0</v>
      </c>
      <c r="AK54" s="33">
        <f t="shared" si="336"/>
        <v>0</v>
      </c>
      <c r="AL54" s="33">
        <f t="shared" si="337"/>
        <v>0</v>
      </c>
      <c r="AM54" s="33">
        <f t="shared" si="329"/>
        <v>72.980728948720412</v>
      </c>
      <c r="AN54" s="33">
        <f t="shared" si="338"/>
        <v>3.1676241205592999</v>
      </c>
      <c r="AO54" s="33">
        <f t="shared" si="339"/>
        <v>0.62225233441920114</v>
      </c>
      <c r="AP54" s="33">
        <f t="shared" si="340"/>
        <v>0</v>
      </c>
      <c r="AQ54" s="33">
        <f t="shared" si="341"/>
        <v>0</v>
      </c>
      <c r="AR54" s="33">
        <f t="shared" si="342"/>
        <v>0</v>
      </c>
      <c r="AS54" s="33">
        <f t="shared" si="343"/>
        <v>0</v>
      </c>
      <c r="AT54" s="33">
        <f t="shared" si="330"/>
        <v>0</v>
      </c>
      <c r="AU54" s="33">
        <f t="shared" si="344"/>
        <v>0</v>
      </c>
      <c r="AV54" s="33">
        <f t="shared" si="345"/>
        <v>0</v>
      </c>
      <c r="AW54" s="33">
        <f t="shared" si="346"/>
        <v>0</v>
      </c>
      <c r="AX54" s="33">
        <f t="shared" si="347"/>
        <v>0</v>
      </c>
      <c r="AY54" s="33">
        <f t="shared" si="348"/>
        <v>0</v>
      </c>
      <c r="AZ54" s="33">
        <f t="shared" si="349"/>
        <v>0</v>
      </c>
      <c r="BA54" s="33">
        <f t="shared" si="331"/>
        <v>0</v>
      </c>
      <c r="BB54" s="33">
        <f t="shared" si="350"/>
        <v>0</v>
      </c>
      <c r="BC54" s="33">
        <f t="shared" si="351"/>
        <v>0</v>
      </c>
      <c r="BD54" s="33">
        <f t="shared" si="352"/>
        <v>0</v>
      </c>
      <c r="BE54" s="33">
        <f t="shared" si="353"/>
        <v>0</v>
      </c>
      <c r="BF54" s="33">
        <f t="shared" si="354"/>
        <v>0</v>
      </c>
      <c r="BG54" s="33">
        <f t="shared" si="355"/>
        <v>0</v>
      </c>
      <c r="BI54" s="46"/>
      <c r="BJ54" s="46">
        <f t="shared" si="356"/>
        <v>314.19236861616389</v>
      </c>
      <c r="BK54" s="46">
        <f t="shared" si="357"/>
        <v>314.19236861616389</v>
      </c>
      <c r="BL54" s="46">
        <f t="shared" si="358"/>
        <v>5399.9970434583556</v>
      </c>
      <c r="BM54" s="46">
        <f t="shared" si="359"/>
        <v>125204.64790117816</v>
      </c>
    </row>
    <row r="55" spans="1:65" s="21" customFormat="1" ht="15.75" customHeight="1" thickBot="1">
      <c r="A55" s="4">
        <f t="shared" si="360"/>
        <v>2028</v>
      </c>
      <c r="B55" s="45">
        <v>0.29417380535723481</v>
      </c>
      <c r="C55" s="45">
        <v>0</v>
      </c>
      <c r="D55" s="45">
        <v>0</v>
      </c>
      <c r="E55" s="45"/>
      <c r="F55" s="45"/>
      <c r="G55" s="45"/>
      <c r="H55" s="45"/>
      <c r="I55" s="45">
        <v>2.0873563103709927</v>
      </c>
      <c r="J55" s="45">
        <v>0.16932447593021352</v>
      </c>
      <c r="K55" s="45">
        <v>6.4855302080881277E-2</v>
      </c>
      <c r="L55" s="45"/>
      <c r="M55" s="45"/>
      <c r="N55" s="45"/>
      <c r="O55" s="45"/>
      <c r="P55" s="45">
        <v>7.8824367514865781E-2</v>
      </c>
      <c r="Q55" s="45">
        <v>0</v>
      </c>
      <c r="R55" s="45">
        <v>0</v>
      </c>
      <c r="S55" s="45"/>
      <c r="T55" s="45"/>
      <c r="U55" s="45"/>
      <c r="V55" s="45"/>
      <c r="W55" s="45">
        <v>0.53053923777062739</v>
      </c>
      <c r="X55" s="45">
        <v>0</v>
      </c>
      <c r="Y55" s="45">
        <v>0</v>
      </c>
      <c r="Z55" s="45"/>
      <c r="AA55" s="45"/>
      <c r="AB55" s="45"/>
      <c r="AC55" s="45"/>
      <c r="AE55" s="4">
        <f t="shared" si="299"/>
        <v>2028</v>
      </c>
      <c r="AF55" s="33">
        <f t="shared" si="328"/>
        <v>14.092480899943197</v>
      </c>
      <c r="AG55" s="33">
        <f t="shared" si="332"/>
        <v>0</v>
      </c>
      <c r="AH55" s="33">
        <f t="shared" si="333"/>
        <v>0</v>
      </c>
      <c r="AI55" s="33">
        <f t="shared" si="334"/>
        <v>0</v>
      </c>
      <c r="AJ55" s="33">
        <f t="shared" si="335"/>
        <v>0</v>
      </c>
      <c r="AK55" s="33">
        <f t="shared" si="336"/>
        <v>0</v>
      </c>
      <c r="AL55" s="33">
        <f t="shared" si="337"/>
        <v>0</v>
      </c>
      <c r="AM55" s="33">
        <f t="shared" si="329"/>
        <v>99.995405435767054</v>
      </c>
      <c r="AN55" s="33">
        <f t="shared" si="338"/>
        <v>8.1115378034482095</v>
      </c>
      <c r="AO55" s="33">
        <f t="shared" si="339"/>
        <v>3.1069119316214051</v>
      </c>
      <c r="AP55" s="33">
        <f t="shared" si="340"/>
        <v>0</v>
      </c>
      <c r="AQ55" s="33">
        <f t="shared" si="341"/>
        <v>0</v>
      </c>
      <c r="AR55" s="33">
        <f t="shared" si="342"/>
        <v>0</v>
      </c>
      <c r="AS55" s="33">
        <f t="shared" si="343"/>
        <v>0</v>
      </c>
      <c r="AT55" s="33">
        <f t="shared" si="330"/>
        <v>3.7761040358586424</v>
      </c>
      <c r="AU55" s="33">
        <f t="shared" si="344"/>
        <v>0</v>
      </c>
      <c r="AV55" s="33">
        <f t="shared" si="345"/>
        <v>0</v>
      </c>
      <c r="AW55" s="33">
        <f t="shared" si="346"/>
        <v>0</v>
      </c>
      <c r="AX55" s="33">
        <f t="shared" si="347"/>
        <v>0</v>
      </c>
      <c r="AY55" s="33">
        <f t="shared" si="348"/>
        <v>0</v>
      </c>
      <c r="AZ55" s="33">
        <f t="shared" si="349"/>
        <v>0</v>
      </c>
      <c r="BA55" s="33">
        <f t="shared" si="331"/>
        <v>25.415635038862959</v>
      </c>
      <c r="BB55" s="33">
        <f t="shared" si="350"/>
        <v>0</v>
      </c>
      <c r="BC55" s="33">
        <f t="shared" si="351"/>
        <v>0</v>
      </c>
      <c r="BD55" s="33">
        <f t="shared" si="352"/>
        <v>0</v>
      </c>
      <c r="BE55" s="33">
        <f t="shared" si="353"/>
        <v>0</v>
      </c>
      <c r="BF55" s="33">
        <f t="shared" si="354"/>
        <v>0</v>
      </c>
      <c r="BG55" s="33">
        <f t="shared" si="355"/>
        <v>0</v>
      </c>
      <c r="BI55" s="46"/>
      <c r="BJ55" s="46">
        <f t="shared" si="356"/>
        <v>1128.7647088115084</v>
      </c>
      <c r="BK55" s="46">
        <f t="shared" si="357"/>
        <v>1150.4042398145127</v>
      </c>
      <c r="BL55" s="46">
        <f t="shared" si="358"/>
        <v>17939.870248979725</v>
      </c>
      <c r="BM55" s="46">
        <f t="shared" si="359"/>
        <v>457488.62823177862</v>
      </c>
    </row>
    <row r="56" spans="1:65" s="21" customFormat="1" ht="15.75" customHeight="1" thickBot="1">
      <c r="A56" s="4">
        <f t="shared" si="360"/>
        <v>2029</v>
      </c>
      <c r="B56" s="45">
        <v>0.73854344772475056</v>
      </c>
      <c r="C56" s="45">
        <v>0</v>
      </c>
      <c r="D56" s="45">
        <v>0</v>
      </c>
      <c r="E56" s="45"/>
      <c r="F56" s="45"/>
      <c r="G56" s="45"/>
      <c r="H56" s="45"/>
      <c r="I56" s="45">
        <v>2.6889641707486138</v>
      </c>
      <c r="J56" s="45">
        <v>0.39545381767415733</v>
      </c>
      <c r="K56" s="45">
        <v>0.18900396586926729</v>
      </c>
      <c r="L56" s="45"/>
      <c r="M56" s="45"/>
      <c r="N56" s="45"/>
      <c r="O56" s="45"/>
      <c r="P56" s="45">
        <v>0.2372263817406059</v>
      </c>
      <c r="Q56" s="45">
        <v>0</v>
      </c>
      <c r="R56" s="45">
        <v>0</v>
      </c>
      <c r="S56" s="45"/>
      <c r="T56" s="45"/>
      <c r="U56" s="45"/>
      <c r="V56" s="45"/>
      <c r="W56" s="45">
        <v>1.4307529704177235</v>
      </c>
      <c r="X56" s="45">
        <v>0</v>
      </c>
      <c r="Y56" s="45">
        <v>0</v>
      </c>
      <c r="Z56" s="45"/>
      <c r="AA56" s="45"/>
      <c r="AB56" s="45"/>
      <c r="AC56" s="45"/>
      <c r="AE56" s="4">
        <f t="shared" si="299"/>
        <v>2029</v>
      </c>
      <c r="AF56" s="33">
        <f t="shared" si="328"/>
        <v>35.380136644730243</v>
      </c>
      <c r="AG56" s="33">
        <f t="shared" si="332"/>
        <v>0</v>
      </c>
      <c r="AH56" s="33">
        <f t="shared" si="333"/>
        <v>0</v>
      </c>
      <c r="AI56" s="33">
        <f t="shared" si="334"/>
        <v>0</v>
      </c>
      <c r="AJ56" s="33">
        <f t="shared" si="335"/>
        <v>0</v>
      </c>
      <c r="AK56" s="33">
        <f t="shared" si="336"/>
        <v>0</v>
      </c>
      <c r="AL56" s="33">
        <f t="shared" si="337"/>
        <v>0</v>
      </c>
      <c r="AM56" s="33">
        <f t="shared" si="329"/>
        <v>128.81560331617229</v>
      </c>
      <c r="AN56" s="33">
        <f t="shared" si="338"/>
        <v>18.944329069731779</v>
      </c>
      <c r="AO56" s="33">
        <f t="shared" si="339"/>
        <v>9.0542894388290556</v>
      </c>
      <c r="AP56" s="33">
        <f t="shared" si="340"/>
        <v>0</v>
      </c>
      <c r="AQ56" s="33">
        <f t="shared" si="341"/>
        <v>0</v>
      </c>
      <c r="AR56" s="33">
        <f t="shared" si="342"/>
        <v>0</v>
      </c>
      <c r="AS56" s="33">
        <f t="shared" si="343"/>
        <v>0</v>
      </c>
      <c r="AT56" s="33">
        <f t="shared" si="330"/>
        <v>11.364398164487705</v>
      </c>
      <c r="AU56" s="33">
        <f t="shared" si="344"/>
        <v>0</v>
      </c>
      <c r="AV56" s="33">
        <f t="shared" si="345"/>
        <v>0</v>
      </c>
      <c r="AW56" s="33">
        <f t="shared" si="346"/>
        <v>0</v>
      </c>
      <c r="AX56" s="33">
        <f t="shared" si="347"/>
        <v>0</v>
      </c>
      <c r="AY56" s="33">
        <f t="shared" si="348"/>
        <v>0</v>
      </c>
      <c r="AZ56" s="33">
        <f t="shared" si="349"/>
        <v>0</v>
      </c>
      <c r="BA56" s="33">
        <f t="shared" si="331"/>
        <v>68.540633261563386</v>
      </c>
      <c r="BB56" s="33">
        <f t="shared" si="350"/>
        <v>0</v>
      </c>
      <c r="BC56" s="33">
        <f t="shared" si="351"/>
        <v>0</v>
      </c>
      <c r="BD56" s="33">
        <f t="shared" si="352"/>
        <v>0</v>
      </c>
      <c r="BE56" s="33">
        <f t="shared" si="353"/>
        <v>0</v>
      </c>
      <c r="BF56" s="33">
        <f t="shared" si="354"/>
        <v>0</v>
      </c>
      <c r="BG56" s="33">
        <f t="shared" si="355"/>
        <v>0</v>
      </c>
      <c r="BI56" s="46"/>
      <c r="BJ56" s="46">
        <f t="shared" si="356"/>
        <v>2839.8364036232833</v>
      </c>
      <c r="BK56" s="46">
        <f t="shared" si="357"/>
        <v>2897.0126387203591</v>
      </c>
      <c r="BL56" s="46">
        <f t="shared" si="358"/>
        <v>38556.669475842144</v>
      </c>
      <c r="BM56" s="46">
        <f t="shared" si="359"/>
        <v>939503.05315065326</v>
      </c>
    </row>
    <row r="57" spans="1:65" s="21" customFormat="1" ht="15.75" customHeight="1" thickBot="1">
      <c r="A57" s="4">
        <f t="shared" si="360"/>
        <v>2030</v>
      </c>
      <c r="B57" s="45">
        <v>1.6161455556736863</v>
      </c>
      <c r="C57" s="45">
        <v>0</v>
      </c>
      <c r="D57" s="45">
        <v>0</v>
      </c>
      <c r="E57" s="45"/>
      <c r="F57" s="45"/>
      <c r="G57" s="45"/>
      <c r="H57" s="45"/>
      <c r="I57" s="45">
        <v>4.6690457106845429</v>
      </c>
      <c r="J57" s="45">
        <v>0.73038378430380857</v>
      </c>
      <c r="K57" s="45">
        <v>0.41090221451161379</v>
      </c>
      <c r="L57" s="45"/>
      <c r="M57" s="45"/>
      <c r="N57" s="45"/>
      <c r="O57" s="45"/>
      <c r="P57" s="45">
        <v>0.53729762595630515</v>
      </c>
      <c r="Q57" s="45">
        <v>0</v>
      </c>
      <c r="R57" s="45">
        <v>0</v>
      </c>
      <c r="S57" s="45"/>
      <c r="T57" s="45"/>
      <c r="U57" s="45"/>
      <c r="V57" s="45"/>
      <c r="W57" s="45">
        <v>3.0835448157526413</v>
      </c>
      <c r="X57" s="45">
        <v>0</v>
      </c>
      <c r="Y57" s="45">
        <v>0</v>
      </c>
      <c r="Z57" s="45"/>
      <c r="AA57" s="45"/>
      <c r="AB57" s="45"/>
      <c r="AC57" s="45"/>
      <c r="AE57" s="4">
        <f t="shared" si="299"/>
        <v>2030</v>
      </c>
      <c r="AF57" s="33">
        <f t="shared" si="328"/>
        <v>77.421918471638577</v>
      </c>
      <c r="AG57" s="33">
        <f t="shared" si="332"/>
        <v>0</v>
      </c>
      <c r="AH57" s="33">
        <f t="shared" si="333"/>
        <v>0</v>
      </c>
      <c r="AI57" s="33">
        <f t="shared" si="334"/>
        <v>0</v>
      </c>
      <c r="AJ57" s="33">
        <f t="shared" si="335"/>
        <v>0</v>
      </c>
      <c r="AK57" s="33">
        <f t="shared" si="336"/>
        <v>0</v>
      </c>
      <c r="AL57" s="33">
        <f t="shared" si="337"/>
        <v>0</v>
      </c>
      <c r="AM57" s="33">
        <f t="shared" si="329"/>
        <v>223.67197996735368</v>
      </c>
      <c r="AN57" s="33">
        <f t="shared" si="338"/>
        <v>34.989245617672445</v>
      </c>
      <c r="AO57" s="33">
        <f t="shared" si="339"/>
        <v>19.68438897106196</v>
      </c>
      <c r="AP57" s="33">
        <f t="shared" si="340"/>
        <v>0</v>
      </c>
      <c r="AQ57" s="33">
        <f t="shared" si="341"/>
        <v>0</v>
      </c>
      <c r="AR57" s="33">
        <f t="shared" si="342"/>
        <v>0</v>
      </c>
      <c r="AS57" s="33">
        <f t="shared" si="343"/>
        <v>0</v>
      </c>
      <c r="AT57" s="33">
        <f t="shared" si="330"/>
        <v>25.739397572054539</v>
      </c>
      <c r="AU57" s="33">
        <f t="shared" si="344"/>
        <v>0</v>
      </c>
      <c r="AV57" s="33">
        <f t="shared" si="345"/>
        <v>0</v>
      </c>
      <c r="AW57" s="33">
        <f t="shared" si="346"/>
        <v>0</v>
      </c>
      <c r="AX57" s="33">
        <f t="shared" si="347"/>
        <v>0</v>
      </c>
      <c r="AY57" s="33">
        <f t="shared" si="348"/>
        <v>0</v>
      </c>
      <c r="AZ57" s="33">
        <f t="shared" si="349"/>
        <v>0</v>
      </c>
      <c r="BA57" s="33">
        <f t="shared" si="331"/>
        <v>147.71810279757204</v>
      </c>
      <c r="BB57" s="33">
        <f t="shared" si="350"/>
        <v>0</v>
      </c>
      <c r="BC57" s="33">
        <f t="shared" si="351"/>
        <v>0</v>
      </c>
      <c r="BD57" s="33">
        <f t="shared" si="352"/>
        <v>0</v>
      </c>
      <c r="BE57" s="33">
        <f t="shared" si="353"/>
        <v>0</v>
      </c>
      <c r="BF57" s="33">
        <f t="shared" si="354"/>
        <v>0</v>
      </c>
      <c r="BG57" s="33">
        <f t="shared" si="355"/>
        <v>0</v>
      </c>
      <c r="BI57" s="46"/>
      <c r="BJ57" s="46">
        <f t="shared" si="356"/>
        <v>7196.677956468724</v>
      </c>
      <c r="BK57" s="46">
        <f t="shared" si="357"/>
        <v>7318.6566616942418</v>
      </c>
      <c r="BL57" s="46">
        <f t="shared" si="358"/>
        <v>89611.061801467484</v>
      </c>
      <c r="BM57" s="46">
        <f t="shared" si="359"/>
        <v>1491401.7507678675</v>
      </c>
    </row>
    <row r="58" spans="1:65" s="21" customFormat="1" ht="15.75" customHeight="1" thickBot="1">
      <c r="A58" s="4">
        <f t="shared" si="360"/>
        <v>2031</v>
      </c>
      <c r="B58" s="45">
        <v>5.2266563006913129</v>
      </c>
      <c r="C58" s="45">
        <v>0</v>
      </c>
      <c r="D58" s="45">
        <v>0</v>
      </c>
      <c r="E58" s="45"/>
      <c r="F58" s="45"/>
      <c r="G58" s="45"/>
      <c r="H58" s="45"/>
      <c r="I58" s="45">
        <v>7.5746624210077353</v>
      </c>
      <c r="J58" s="45">
        <v>1.2254931789075632</v>
      </c>
      <c r="K58" s="45">
        <v>0.81184299609743804</v>
      </c>
      <c r="L58" s="45"/>
      <c r="M58" s="45"/>
      <c r="N58" s="45"/>
      <c r="O58" s="45"/>
      <c r="P58" s="45">
        <v>0.84567832047424862</v>
      </c>
      <c r="Q58" s="45">
        <v>0</v>
      </c>
      <c r="R58" s="45">
        <v>0</v>
      </c>
      <c r="S58" s="45"/>
      <c r="T58" s="45"/>
      <c r="U58" s="45"/>
      <c r="V58" s="45"/>
      <c r="W58" s="45">
        <v>6.1535278163653508</v>
      </c>
      <c r="X58" s="45">
        <v>0</v>
      </c>
      <c r="Y58" s="45">
        <v>0</v>
      </c>
      <c r="Z58" s="45"/>
      <c r="AA58" s="45"/>
      <c r="AB58" s="45"/>
      <c r="AC58" s="45"/>
      <c r="AE58" s="4">
        <f t="shared" si="299"/>
        <v>2031</v>
      </c>
      <c r="AF58" s="33">
        <f t="shared" si="328"/>
        <v>250.38447593460623</v>
      </c>
      <c r="AG58" s="33">
        <f t="shared" si="332"/>
        <v>0</v>
      </c>
      <c r="AH58" s="33">
        <f t="shared" si="333"/>
        <v>0</v>
      </c>
      <c r="AI58" s="33">
        <f t="shared" si="334"/>
        <v>0</v>
      </c>
      <c r="AJ58" s="33">
        <f t="shared" si="335"/>
        <v>0</v>
      </c>
      <c r="AK58" s="33">
        <f t="shared" si="336"/>
        <v>0</v>
      </c>
      <c r="AL58" s="33">
        <f t="shared" si="337"/>
        <v>0</v>
      </c>
      <c r="AM58" s="33">
        <f t="shared" si="329"/>
        <v>362.86638561152819</v>
      </c>
      <c r="AN58" s="33">
        <f t="shared" si="338"/>
        <v>58.707603811947521</v>
      </c>
      <c r="AO58" s="33">
        <f t="shared" si="339"/>
        <v>38.891572627829255</v>
      </c>
      <c r="AP58" s="33">
        <f t="shared" si="340"/>
        <v>0</v>
      </c>
      <c r="AQ58" s="33">
        <f t="shared" si="341"/>
        <v>0</v>
      </c>
      <c r="AR58" s="33">
        <f t="shared" si="342"/>
        <v>0</v>
      </c>
      <c r="AS58" s="33">
        <f t="shared" si="343"/>
        <v>0</v>
      </c>
      <c r="AT58" s="33">
        <f t="shared" si="330"/>
        <v>40.512463590383</v>
      </c>
      <c r="AU58" s="33">
        <f t="shared" si="344"/>
        <v>0</v>
      </c>
      <c r="AV58" s="33">
        <f t="shared" si="345"/>
        <v>0</v>
      </c>
      <c r="AW58" s="33">
        <f t="shared" si="346"/>
        <v>0</v>
      </c>
      <c r="AX58" s="33">
        <f t="shared" si="347"/>
        <v>0</v>
      </c>
      <c r="AY58" s="33">
        <f t="shared" si="348"/>
        <v>0</v>
      </c>
      <c r="AZ58" s="33">
        <f t="shared" si="349"/>
        <v>0</v>
      </c>
      <c r="BA58" s="33">
        <f t="shared" si="331"/>
        <v>294.78652293357618</v>
      </c>
      <c r="BB58" s="33">
        <f t="shared" si="350"/>
        <v>0</v>
      </c>
      <c r="BC58" s="33">
        <f t="shared" si="351"/>
        <v>0</v>
      </c>
      <c r="BD58" s="33">
        <f t="shared" si="352"/>
        <v>0</v>
      </c>
      <c r="BE58" s="33">
        <f t="shared" si="353"/>
        <v>0</v>
      </c>
      <c r="BF58" s="33">
        <f t="shared" si="354"/>
        <v>0</v>
      </c>
      <c r="BG58" s="33">
        <f t="shared" si="355"/>
        <v>0</v>
      </c>
      <c r="BI58" s="46"/>
      <c r="BJ58" s="46">
        <f t="shared" si="356"/>
        <v>12108.961799887904</v>
      </c>
      <c r="BK58" s="46">
        <f t="shared" si="357"/>
        <v>12363.235859231097</v>
      </c>
      <c r="BL58" s="46">
        <f t="shared" si="358"/>
        <v>140759.11442706658</v>
      </c>
      <c r="BM58" s="46">
        <f t="shared" si="359"/>
        <v>2042578.9150107859</v>
      </c>
    </row>
    <row r="59" spans="1:65" s="21" customFormat="1" ht="15.75" customHeight="1" thickBot="1">
      <c r="A59" s="4">
        <f t="shared" si="360"/>
        <v>2032</v>
      </c>
      <c r="B59" s="45">
        <v>19.246786130659856</v>
      </c>
      <c r="C59" s="45">
        <v>0</v>
      </c>
      <c r="D59" s="45">
        <v>0</v>
      </c>
      <c r="E59" s="45"/>
      <c r="F59" s="45"/>
      <c r="G59" s="45"/>
      <c r="H59" s="45"/>
      <c r="I59" s="45">
        <v>11.991579794521291</v>
      </c>
      <c r="J59" s="45">
        <v>1.9801066608649105</v>
      </c>
      <c r="K59" s="45">
        <v>1.4441935897462352</v>
      </c>
      <c r="L59" s="45"/>
      <c r="M59" s="45"/>
      <c r="N59" s="45"/>
      <c r="O59" s="45"/>
      <c r="P59" s="45">
        <v>1.2803528277577561</v>
      </c>
      <c r="Q59" s="45">
        <v>0</v>
      </c>
      <c r="R59" s="45">
        <v>0</v>
      </c>
      <c r="S59" s="45"/>
      <c r="T59" s="45"/>
      <c r="U59" s="45"/>
      <c r="V59" s="45"/>
      <c r="W59" s="45">
        <v>11.852874007366445</v>
      </c>
      <c r="X59" s="45">
        <v>0</v>
      </c>
      <c r="Y59" s="45">
        <v>0</v>
      </c>
      <c r="Z59" s="45"/>
      <c r="AA59" s="45"/>
      <c r="AB59" s="45"/>
      <c r="AC59" s="45"/>
      <c r="AE59" s="4">
        <f t="shared" si="299"/>
        <v>2032</v>
      </c>
      <c r="AF59" s="33">
        <f t="shared" si="328"/>
        <v>922.02283477360265</v>
      </c>
      <c r="AG59" s="33">
        <f t="shared" si="332"/>
        <v>0</v>
      </c>
      <c r="AH59" s="33">
        <f t="shared" si="333"/>
        <v>0</v>
      </c>
      <c r="AI59" s="33">
        <f t="shared" si="334"/>
        <v>0</v>
      </c>
      <c r="AJ59" s="33">
        <f t="shared" si="335"/>
        <v>0</v>
      </c>
      <c r="AK59" s="33">
        <f t="shared" si="336"/>
        <v>0</v>
      </c>
      <c r="AL59" s="33">
        <f t="shared" si="337"/>
        <v>0</v>
      </c>
      <c r="AM59" s="33">
        <f t="shared" si="329"/>
        <v>574.46008494610498</v>
      </c>
      <c r="AN59" s="33">
        <f t="shared" si="338"/>
        <v>94.857580076521842</v>
      </c>
      <c r="AO59" s="33">
        <f t="shared" si="339"/>
        <v>69.18451000286754</v>
      </c>
      <c r="AP59" s="33">
        <f t="shared" si="340"/>
        <v>0</v>
      </c>
      <c r="AQ59" s="33">
        <f t="shared" si="341"/>
        <v>0</v>
      </c>
      <c r="AR59" s="33">
        <f t="shared" si="342"/>
        <v>0</v>
      </c>
      <c r="AS59" s="33">
        <f t="shared" si="343"/>
        <v>0</v>
      </c>
      <c r="AT59" s="33">
        <f t="shared" si="330"/>
        <v>61.335671095708889</v>
      </c>
      <c r="AU59" s="33">
        <f t="shared" si="344"/>
        <v>0</v>
      </c>
      <c r="AV59" s="33">
        <f t="shared" si="345"/>
        <v>0</v>
      </c>
      <c r="AW59" s="33">
        <f t="shared" si="346"/>
        <v>0</v>
      </c>
      <c r="AX59" s="33">
        <f t="shared" si="347"/>
        <v>0</v>
      </c>
      <c r="AY59" s="33">
        <f t="shared" si="348"/>
        <v>0</v>
      </c>
      <c r="AZ59" s="33">
        <f t="shared" si="349"/>
        <v>0</v>
      </c>
      <c r="BA59" s="33">
        <f t="shared" si="331"/>
        <v>567.81534424997972</v>
      </c>
      <c r="BB59" s="33">
        <f t="shared" si="350"/>
        <v>0</v>
      </c>
      <c r="BC59" s="33">
        <f t="shared" si="351"/>
        <v>0</v>
      </c>
      <c r="BD59" s="33">
        <f t="shared" si="352"/>
        <v>0</v>
      </c>
      <c r="BE59" s="33">
        <f t="shared" si="353"/>
        <v>0</v>
      </c>
      <c r="BF59" s="33">
        <f t="shared" si="354"/>
        <v>0</v>
      </c>
      <c r="BG59" s="33">
        <f t="shared" si="355"/>
        <v>0</v>
      </c>
      <c r="BI59" s="46"/>
      <c r="BJ59" s="46">
        <f t="shared" si="356"/>
        <v>17063.495431639287</v>
      </c>
      <c r="BK59" s="46">
        <f t="shared" si="357"/>
        <v>17569.975104793557</v>
      </c>
      <c r="BL59" s="46">
        <f t="shared" si="358"/>
        <v>191907.16705266564</v>
      </c>
      <c r="BM59" s="46">
        <f t="shared" si="359"/>
        <v>2594254.7550550802</v>
      </c>
    </row>
    <row r="60" spans="1:65" s="21" customFormat="1" ht="15.75" customHeight="1" thickBot="1">
      <c r="A60" s="4">
        <f t="shared" si="360"/>
        <v>2033</v>
      </c>
      <c r="B60" s="45">
        <v>67.719349824130845</v>
      </c>
      <c r="C60" s="45">
        <v>0</v>
      </c>
      <c r="D60" s="45">
        <v>0</v>
      </c>
      <c r="E60" s="45"/>
      <c r="F60" s="45"/>
      <c r="G60" s="45"/>
      <c r="H60" s="45"/>
      <c r="I60" s="45">
        <v>17.693923438154833</v>
      </c>
      <c r="J60" s="45">
        <v>3.05519525739793</v>
      </c>
      <c r="K60" s="45">
        <v>2.3955747670354381</v>
      </c>
      <c r="L60" s="45"/>
      <c r="M60" s="45"/>
      <c r="N60" s="45"/>
      <c r="O60" s="45"/>
      <c r="P60" s="45">
        <v>2.0781686324341289</v>
      </c>
      <c r="Q60" s="45">
        <v>0</v>
      </c>
      <c r="R60" s="45">
        <v>0</v>
      </c>
      <c r="S60" s="45"/>
      <c r="T60" s="45"/>
      <c r="U60" s="45"/>
      <c r="V60" s="45"/>
      <c r="W60" s="45">
        <v>20.56444216277114</v>
      </c>
      <c r="X60" s="45">
        <v>0</v>
      </c>
      <c r="Y60" s="45">
        <v>0</v>
      </c>
      <c r="Z60" s="45"/>
      <c r="AA60" s="45"/>
      <c r="AB60" s="45"/>
      <c r="AC60" s="45"/>
      <c r="AE60" s="4">
        <f t="shared" si="299"/>
        <v>2033</v>
      </c>
      <c r="AF60" s="33">
        <f t="shared" si="328"/>
        <v>3244.1149639214982</v>
      </c>
      <c r="AG60" s="33">
        <f t="shared" si="332"/>
        <v>0</v>
      </c>
      <c r="AH60" s="33">
        <f t="shared" si="333"/>
        <v>0</v>
      </c>
      <c r="AI60" s="33">
        <f t="shared" si="334"/>
        <v>0</v>
      </c>
      <c r="AJ60" s="33">
        <f t="shared" si="335"/>
        <v>0</v>
      </c>
      <c r="AK60" s="33">
        <f t="shared" si="336"/>
        <v>0</v>
      </c>
      <c r="AL60" s="33">
        <f t="shared" si="337"/>
        <v>0</v>
      </c>
      <c r="AM60" s="33">
        <f t="shared" si="329"/>
        <v>847.63250009446085</v>
      </c>
      <c r="AN60" s="33">
        <f t="shared" si="338"/>
        <v>146.36000903680898</v>
      </c>
      <c r="AO60" s="33">
        <f t="shared" si="339"/>
        <v>114.7606994029814</v>
      </c>
      <c r="AP60" s="33">
        <f t="shared" si="340"/>
        <v>0</v>
      </c>
      <c r="AQ60" s="33">
        <f t="shared" si="341"/>
        <v>0</v>
      </c>
      <c r="AR60" s="33">
        <f t="shared" si="342"/>
        <v>0</v>
      </c>
      <c r="AS60" s="33">
        <f t="shared" si="343"/>
        <v>0</v>
      </c>
      <c r="AT60" s="33">
        <f t="shared" si="330"/>
        <v>99.555267077143142</v>
      </c>
      <c r="AU60" s="33">
        <f t="shared" si="344"/>
        <v>0</v>
      </c>
      <c r="AV60" s="33">
        <f t="shared" si="345"/>
        <v>0</v>
      </c>
      <c r="AW60" s="33">
        <f t="shared" si="346"/>
        <v>0</v>
      </c>
      <c r="AX60" s="33">
        <f t="shared" si="347"/>
        <v>0</v>
      </c>
      <c r="AY60" s="33">
        <f t="shared" si="348"/>
        <v>0</v>
      </c>
      <c r="AZ60" s="33">
        <f t="shared" si="349"/>
        <v>0</v>
      </c>
      <c r="BA60" s="33">
        <f t="shared" si="331"/>
        <v>985.14552662127949</v>
      </c>
      <c r="BB60" s="33">
        <f t="shared" si="350"/>
        <v>0</v>
      </c>
      <c r="BC60" s="33">
        <f t="shared" si="351"/>
        <v>0</v>
      </c>
      <c r="BD60" s="33">
        <f t="shared" si="352"/>
        <v>0</v>
      </c>
      <c r="BE60" s="33">
        <f t="shared" si="353"/>
        <v>0</v>
      </c>
      <c r="BF60" s="33">
        <f t="shared" si="354"/>
        <v>0</v>
      </c>
      <c r="BG60" s="33">
        <f t="shared" si="355"/>
        <v>0</v>
      </c>
      <c r="BI60" s="46"/>
      <c r="BJ60" s="46">
        <f t="shared" si="356"/>
        <v>22066.214809773664</v>
      </c>
      <c r="BK60" s="46">
        <f t="shared" si="357"/>
        <v>22951.805069317801</v>
      </c>
      <c r="BL60" s="46">
        <f t="shared" si="358"/>
        <v>243055.21967826472</v>
      </c>
      <c r="BM60" s="46">
        <f t="shared" si="359"/>
        <v>3147581.0488696829</v>
      </c>
    </row>
    <row r="61" spans="1:65" s="21" customFormat="1" ht="15.75" customHeight="1" thickBot="1">
      <c r="A61" s="4">
        <f t="shared" si="360"/>
        <v>2034</v>
      </c>
      <c r="B61" s="33">
        <v>192.80721227946898</v>
      </c>
      <c r="C61" s="45">
        <v>0</v>
      </c>
      <c r="D61" s="45">
        <v>5.3503831693211866E-3</v>
      </c>
      <c r="E61" s="45"/>
      <c r="F61" s="45"/>
      <c r="G61" s="45"/>
      <c r="H61" s="45"/>
      <c r="I61" s="45">
        <v>24.759956224337682</v>
      </c>
      <c r="J61" s="45">
        <v>4.4740209295886197</v>
      </c>
      <c r="K61" s="45">
        <v>3.7342509660934269</v>
      </c>
      <c r="L61" s="45"/>
      <c r="M61" s="45"/>
      <c r="N61" s="45"/>
      <c r="O61" s="45"/>
      <c r="P61" s="45">
        <v>3.425558440003682</v>
      </c>
      <c r="Q61" s="45">
        <v>0</v>
      </c>
      <c r="R61" s="45">
        <v>0</v>
      </c>
      <c r="S61" s="45"/>
      <c r="T61" s="45"/>
      <c r="U61" s="45"/>
      <c r="V61" s="45"/>
      <c r="W61" s="45">
        <v>34.023176268875879</v>
      </c>
      <c r="X61" s="45">
        <v>0</v>
      </c>
      <c r="Y61" s="45">
        <v>0</v>
      </c>
      <c r="Z61" s="45"/>
      <c r="AA61" s="45"/>
      <c r="AB61" s="45"/>
      <c r="AC61" s="45"/>
      <c r="AE61" s="4">
        <f t="shared" si="299"/>
        <v>2034</v>
      </c>
      <c r="AF61" s="33">
        <f t="shared" si="328"/>
        <v>9236.4850538616665</v>
      </c>
      <c r="AG61" s="33">
        <f t="shared" si="332"/>
        <v>0</v>
      </c>
      <c r="AH61" s="33">
        <f t="shared" si="333"/>
        <v>0.25631164722322208</v>
      </c>
      <c r="AI61" s="33">
        <f t="shared" si="334"/>
        <v>0</v>
      </c>
      <c r="AJ61" s="33">
        <f t="shared" si="335"/>
        <v>0</v>
      </c>
      <c r="AK61" s="33">
        <f t="shared" si="336"/>
        <v>0</v>
      </c>
      <c r="AL61" s="33">
        <f t="shared" si="337"/>
        <v>0</v>
      </c>
      <c r="AM61" s="33">
        <f t="shared" si="329"/>
        <v>1186.1328365086094</v>
      </c>
      <c r="AN61" s="33">
        <f t="shared" si="338"/>
        <v>214.3292616404369</v>
      </c>
      <c r="AO61" s="33">
        <f t="shared" si="339"/>
        <v>178.89036840435261</v>
      </c>
      <c r="AP61" s="33">
        <f t="shared" si="340"/>
        <v>0</v>
      </c>
      <c r="AQ61" s="33">
        <f t="shared" si="341"/>
        <v>0</v>
      </c>
      <c r="AR61" s="33">
        <f t="shared" si="342"/>
        <v>0</v>
      </c>
      <c r="AS61" s="33">
        <f t="shared" si="343"/>
        <v>0</v>
      </c>
      <c r="AT61" s="33">
        <f t="shared" si="330"/>
        <v>164.10236400473531</v>
      </c>
      <c r="AU61" s="33">
        <f t="shared" si="344"/>
        <v>0</v>
      </c>
      <c r="AV61" s="33">
        <f t="shared" si="345"/>
        <v>0</v>
      </c>
      <c r="AW61" s="33">
        <f t="shared" si="346"/>
        <v>0</v>
      </c>
      <c r="AX61" s="33">
        <f t="shared" si="347"/>
        <v>0</v>
      </c>
      <c r="AY61" s="33">
        <f t="shared" si="348"/>
        <v>0</v>
      </c>
      <c r="AZ61" s="33">
        <f t="shared" si="349"/>
        <v>0</v>
      </c>
      <c r="BA61" s="33">
        <f t="shared" si="331"/>
        <v>1629.8900615650689</v>
      </c>
      <c r="BB61" s="33">
        <f t="shared" si="350"/>
        <v>0</v>
      </c>
      <c r="BC61" s="33">
        <f t="shared" si="351"/>
        <v>0</v>
      </c>
      <c r="BD61" s="33">
        <f t="shared" si="352"/>
        <v>0</v>
      </c>
      <c r="BE61" s="33">
        <f t="shared" si="353"/>
        <v>0</v>
      </c>
      <c r="BF61" s="33">
        <f t="shared" si="354"/>
        <v>0</v>
      </c>
      <c r="BG61" s="33">
        <f t="shared" si="355"/>
        <v>0</v>
      </c>
      <c r="BI61" s="46"/>
      <c r="BJ61" s="46">
        <f t="shared" si="356"/>
        <v>27127.925649487097</v>
      </c>
      <c r="BK61" s="46">
        <f t="shared" si="357"/>
        <v>28593.713347047429</v>
      </c>
      <c r="BL61" s="46">
        <f t="shared" si="358"/>
        <v>294203.27230386378</v>
      </c>
      <c r="BM61" s="46">
        <f t="shared" si="359"/>
        <v>3704577.6206450784</v>
      </c>
    </row>
    <row r="62" spans="1:65" s="21" customFormat="1" ht="15.75" customHeight="1"/>
    <row r="63" spans="1:65" s="21" customFormat="1" ht="15.75" customHeight="1" thickBot="1">
      <c r="A63" s="22" t="s">
        <v>171</v>
      </c>
      <c r="AE63" s="22" t="s">
        <v>172</v>
      </c>
    </row>
    <row r="64" spans="1:65" s="21" customFormat="1" ht="15.75" customHeight="1" thickBot="1">
      <c r="A64" s="1" t="s">
        <v>158</v>
      </c>
      <c r="B64" s="1">
        <f>B49</f>
        <v>1</v>
      </c>
      <c r="C64" s="1">
        <f t="shared" ref="C64:AC64" si="361">C49</f>
        <v>2</v>
      </c>
      <c r="D64" s="1">
        <f t="shared" si="361"/>
        <v>3</v>
      </c>
      <c r="E64" s="1">
        <f t="shared" si="361"/>
        <v>4</v>
      </c>
      <c r="F64" s="1">
        <f t="shared" si="361"/>
        <v>5</v>
      </c>
      <c r="G64" s="1">
        <f t="shared" si="361"/>
        <v>6</v>
      </c>
      <c r="H64" s="1">
        <f t="shared" si="361"/>
        <v>7</v>
      </c>
      <c r="I64" s="1">
        <f t="shared" si="361"/>
        <v>1</v>
      </c>
      <c r="J64" s="1">
        <f t="shared" si="361"/>
        <v>2</v>
      </c>
      <c r="K64" s="1">
        <f t="shared" si="361"/>
        <v>3</v>
      </c>
      <c r="L64" s="1">
        <f t="shared" si="361"/>
        <v>4</v>
      </c>
      <c r="M64" s="1">
        <f t="shared" si="361"/>
        <v>5</v>
      </c>
      <c r="N64" s="1">
        <f t="shared" si="361"/>
        <v>6</v>
      </c>
      <c r="O64" s="1">
        <f t="shared" si="361"/>
        <v>7</v>
      </c>
      <c r="P64" s="1">
        <f t="shared" si="361"/>
        <v>1</v>
      </c>
      <c r="Q64" s="1">
        <f t="shared" si="361"/>
        <v>2</v>
      </c>
      <c r="R64" s="1">
        <f t="shared" si="361"/>
        <v>3</v>
      </c>
      <c r="S64" s="1">
        <f t="shared" si="361"/>
        <v>4</v>
      </c>
      <c r="T64" s="1">
        <f t="shared" si="361"/>
        <v>5</v>
      </c>
      <c r="U64" s="1">
        <f t="shared" si="361"/>
        <v>6</v>
      </c>
      <c r="V64" s="1">
        <f t="shared" si="361"/>
        <v>7</v>
      </c>
      <c r="W64" s="1">
        <f t="shared" si="361"/>
        <v>1</v>
      </c>
      <c r="X64" s="1">
        <f t="shared" si="361"/>
        <v>2</v>
      </c>
      <c r="Y64" s="1">
        <f t="shared" si="361"/>
        <v>3</v>
      </c>
      <c r="Z64" s="1">
        <f t="shared" si="361"/>
        <v>4</v>
      </c>
      <c r="AA64" s="1">
        <f t="shared" si="361"/>
        <v>5</v>
      </c>
      <c r="AB64" s="1">
        <f t="shared" si="361"/>
        <v>6</v>
      </c>
      <c r="AC64" s="1">
        <f t="shared" si="361"/>
        <v>7</v>
      </c>
      <c r="AE64" s="1" t="str">
        <f t="shared" ref="AE64:AE76" si="362">A64</f>
        <v>Option</v>
      </c>
      <c r="AF64" s="1">
        <f t="shared" ref="AF64:AF66" si="363">B64</f>
        <v>1</v>
      </c>
      <c r="AG64" s="1">
        <f t="shared" ref="AG64:AG66" si="364">C64</f>
        <v>2</v>
      </c>
      <c r="AH64" s="1">
        <f t="shared" ref="AH64:AH66" si="365">D64</f>
        <v>3</v>
      </c>
      <c r="AI64" s="1">
        <f t="shared" ref="AI64:AI66" si="366">E64</f>
        <v>4</v>
      </c>
      <c r="AJ64" s="1">
        <f t="shared" ref="AJ64:AJ66" si="367">F64</f>
        <v>5</v>
      </c>
      <c r="AK64" s="1">
        <f t="shared" ref="AK64:AK66" si="368">G64</f>
        <v>6</v>
      </c>
      <c r="AL64" s="1">
        <f t="shared" ref="AL64:AL66" si="369">H64</f>
        <v>7</v>
      </c>
      <c r="AM64" s="1">
        <f t="shared" ref="AM64:AM66" si="370">I64</f>
        <v>1</v>
      </c>
      <c r="AN64" s="1">
        <f t="shared" ref="AN64:AN66" si="371">J64</f>
        <v>2</v>
      </c>
      <c r="AO64" s="1">
        <f t="shared" ref="AO64:AO66" si="372">K64</f>
        <v>3</v>
      </c>
      <c r="AP64" s="1">
        <f t="shared" ref="AP64:AP66" si="373">L64</f>
        <v>4</v>
      </c>
      <c r="AQ64" s="1">
        <f t="shared" ref="AQ64:AQ66" si="374">M64</f>
        <v>5</v>
      </c>
      <c r="AR64" s="1">
        <f t="shared" ref="AR64:AR66" si="375">N64</f>
        <v>6</v>
      </c>
      <c r="AS64" s="1">
        <f t="shared" ref="AS64:AS66" si="376">O64</f>
        <v>7</v>
      </c>
      <c r="AT64" s="1">
        <f t="shared" ref="AT64:AT66" si="377">P64</f>
        <v>1</v>
      </c>
      <c r="AU64" s="1">
        <f t="shared" ref="AU64:AU66" si="378">Q64</f>
        <v>2</v>
      </c>
      <c r="AV64" s="1">
        <f t="shared" ref="AV64:AV66" si="379">R64</f>
        <v>3</v>
      </c>
      <c r="AW64" s="1">
        <f t="shared" ref="AW64:AW66" si="380">S64</f>
        <v>4</v>
      </c>
      <c r="AX64" s="1">
        <f t="shared" ref="AX64:AX66" si="381">T64</f>
        <v>5</v>
      </c>
      <c r="AY64" s="1">
        <f t="shared" ref="AY64:AY66" si="382">U64</f>
        <v>6</v>
      </c>
      <c r="AZ64" s="1">
        <f t="shared" ref="AZ64:AZ66" si="383">V64</f>
        <v>7</v>
      </c>
      <c r="BA64" s="1">
        <f t="shared" ref="BA64:BA66" si="384">W64</f>
        <v>1</v>
      </c>
      <c r="BB64" s="1">
        <f t="shared" ref="BB64:BB66" si="385">X64</f>
        <v>2</v>
      </c>
      <c r="BC64" s="1">
        <f t="shared" ref="BC64:BC66" si="386">Y64</f>
        <v>3</v>
      </c>
      <c r="BD64" s="1">
        <f t="shared" ref="BD64:BD66" si="387">Z64</f>
        <v>4</v>
      </c>
      <c r="BE64" s="1">
        <f t="shared" ref="BE64:BE66" si="388">AA64</f>
        <v>5</v>
      </c>
      <c r="BF64" s="1">
        <f t="shared" ref="BF64:BF66" si="389">AB64</f>
        <v>6</v>
      </c>
      <c r="BG64" s="1">
        <f t="shared" ref="BG64:BG66" si="390">AC64</f>
        <v>7</v>
      </c>
    </row>
    <row r="65" spans="1:59" s="21" customFormat="1" ht="15.75" customHeight="1" thickTop="1" thickBot="1">
      <c r="A65" s="6" t="s">
        <v>163</v>
      </c>
      <c r="B65" s="170" t="s">
        <v>20</v>
      </c>
      <c r="C65" s="171"/>
      <c r="D65" s="171"/>
      <c r="E65" s="171"/>
      <c r="F65" s="171"/>
      <c r="G65" s="171"/>
      <c r="H65" s="172"/>
      <c r="I65" s="170" t="s">
        <v>22</v>
      </c>
      <c r="J65" s="171"/>
      <c r="K65" s="171"/>
      <c r="L65" s="171"/>
      <c r="M65" s="171"/>
      <c r="N65" s="171"/>
      <c r="O65" s="172"/>
      <c r="P65" s="170"/>
      <c r="Q65" s="171"/>
      <c r="R65" s="171"/>
      <c r="S65" s="171"/>
      <c r="T65" s="171"/>
      <c r="U65" s="171"/>
      <c r="V65" s="172"/>
      <c r="W65" s="170"/>
      <c r="X65" s="171"/>
      <c r="Y65" s="171"/>
      <c r="Z65" s="171"/>
      <c r="AA65" s="171"/>
      <c r="AB65" s="171"/>
      <c r="AC65" s="172"/>
      <c r="AE65" s="6" t="str">
        <f t="shared" si="362"/>
        <v>ZSS</v>
      </c>
      <c r="AF65" s="170" t="str">
        <f t="shared" si="363"/>
        <v>CBN</v>
      </c>
      <c r="AG65" s="171">
        <f t="shared" si="364"/>
        <v>0</v>
      </c>
      <c r="AH65" s="171">
        <f t="shared" si="365"/>
        <v>0</v>
      </c>
      <c r="AI65" s="171">
        <f t="shared" si="366"/>
        <v>0</v>
      </c>
      <c r="AJ65" s="171">
        <f t="shared" si="367"/>
        <v>0</v>
      </c>
      <c r="AK65" s="171">
        <f t="shared" si="368"/>
        <v>0</v>
      </c>
      <c r="AL65" s="172">
        <f t="shared" si="369"/>
        <v>0</v>
      </c>
      <c r="AM65" s="170" t="str">
        <f t="shared" si="370"/>
        <v>GVE</v>
      </c>
      <c r="AN65" s="171">
        <f t="shared" si="371"/>
        <v>0</v>
      </c>
      <c r="AO65" s="171">
        <f t="shared" si="372"/>
        <v>0</v>
      </c>
      <c r="AP65" s="171">
        <f t="shared" si="373"/>
        <v>0</v>
      </c>
      <c r="AQ65" s="171">
        <f t="shared" si="374"/>
        <v>0</v>
      </c>
      <c r="AR65" s="171">
        <f t="shared" si="375"/>
        <v>0</v>
      </c>
      <c r="AS65" s="172">
        <f t="shared" si="376"/>
        <v>0</v>
      </c>
      <c r="AT65" s="170">
        <f t="shared" si="377"/>
        <v>0</v>
      </c>
      <c r="AU65" s="171">
        <f t="shared" si="378"/>
        <v>0</v>
      </c>
      <c r="AV65" s="171">
        <f t="shared" si="379"/>
        <v>0</v>
      </c>
      <c r="AW65" s="171">
        <f t="shared" si="380"/>
        <v>0</v>
      </c>
      <c r="AX65" s="171">
        <f t="shared" si="381"/>
        <v>0</v>
      </c>
      <c r="AY65" s="171">
        <f t="shared" si="382"/>
        <v>0</v>
      </c>
      <c r="AZ65" s="172">
        <f t="shared" si="383"/>
        <v>0</v>
      </c>
      <c r="BA65" s="170">
        <f t="shared" si="384"/>
        <v>0</v>
      </c>
      <c r="BB65" s="171">
        <f t="shared" si="385"/>
        <v>0</v>
      </c>
      <c r="BC65" s="171">
        <f t="shared" si="386"/>
        <v>0</v>
      </c>
      <c r="BD65" s="171">
        <f t="shared" si="387"/>
        <v>0</v>
      </c>
      <c r="BE65" s="171">
        <f t="shared" si="388"/>
        <v>0</v>
      </c>
      <c r="BF65" s="171">
        <f t="shared" si="389"/>
        <v>0</v>
      </c>
      <c r="BG65" s="172">
        <f t="shared" si="390"/>
        <v>0</v>
      </c>
    </row>
    <row r="66" spans="1:59" s="21" customFormat="1" ht="24.6" thickBot="1">
      <c r="A66" s="6" t="s">
        <v>160</v>
      </c>
      <c r="B66" s="158" t="s">
        <v>107</v>
      </c>
      <c r="C66" s="158" t="s">
        <v>20</v>
      </c>
      <c r="D66" s="158" t="s">
        <v>107</v>
      </c>
      <c r="E66" s="158" t="s">
        <v>173</v>
      </c>
      <c r="F66" s="158" t="s">
        <v>107</v>
      </c>
      <c r="G66" s="158"/>
      <c r="H66" s="159"/>
      <c r="I66" s="158" t="s">
        <v>107</v>
      </c>
      <c r="J66" s="158" t="s">
        <v>107</v>
      </c>
      <c r="K66" s="158" t="s">
        <v>22</v>
      </c>
      <c r="L66" s="158" t="s">
        <v>107</v>
      </c>
      <c r="M66" s="158" t="s">
        <v>173</v>
      </c>
      <c r="N66" s="158"/>
      <c r="O66" s="159"/>
      <c r="P66" s="158"/>
      <c r="Q66" s="158"/>
      <c r="R66" s="158"/>
      <c r="S66" s="158"/>
      <c r="T66" s="158"/>
      <c r="U66" s="158"/>
      <c r="V66" s="159"/>
      <c r="W66" s="158"/>
      <c r="X66" s="158"/>
      <c r="Y66" s="158"/>
      <c r="Z66" s="158"/>
      <c r="AA66" s="158"/>
      <c r="AB66" s="158"/>
      <c r="AC66" s="158"/>
      <c r="AE66" s="6" t="str">
        <f t="shared" si="362"/>
        <v>Solution Applied</v>
      </c>
      <c r="AF66" s="31" t="str">
        <f t="shared" si="363"/>
        <v>Nil</v>
      </c>
      <c r="AG66" s="31" t="str">
        <f t="shared" si="364"/>
        <v>CBN</v>
      </c>
      <c r="AH66" s="31" t="str">
        <f t="shared" si="365"/>
        <v>Nil</v>
      </c>
      <c r="AI66" s="31" t="str">
        <f t="shared" si="366"/>
        <v>2 tx</v>
      </c>
      <c r="AJ66" s="31" t="str">
        <f t="shared" si="367"/>
        <v>Nil</v>
      </c>
      <c r="AK66" s="31">
        <f t="shared" si="368"/>
        <v>0</v>
      </c>
      <c r="AL66" s="32">
        <f t="shared" si="369"/>
        <v>0</v>
      </c>
      <c r="AM66" s="31" t="str">
        <f t="shared" si="370"/>
        <v>Nil</v>
      </c>
      <c r="AN66" s="31" t="str">
        <f t="shared" si="371"/>
        <v>Nil</v>
      </c>
      <c r="AO66" s="31" t="str">
        <f t="shared" si="372"/>
        <v>GVE</v>
      </c>
      <c r="AP66" s="31" t="str">
        <f t="shared" si="373"/>
        <v>Nil</v>
      </c>
      <c r="AQ66" s="31" t="str">
        <f t="shared" si="374"/>
        <v>2 tx</v>
      </c>
      <c r="AR66" s="31">
        <f t="shared" si="375"/>
        <v>0</v>
      </c>
      <c r="AS66" s="32">
        <f t="shared" si="376"/>
        <v>0</v>
      </c>
      <c r="AT66" s="31">
        <f t="shared" si="377"/>
        <v>0</v>
      </c>
      <c r="AU66" s="31">
        <f t="shared" si="378"/>
        <v>0</v>
      </c>
      <c r="AV66" s="31">
        <f t="shared" si="379"/>
        <v>0</v>
      </c>
      <c r="AW66" s="31">
        <f t="shared" si="380"/>
        <v>0</v>
      </c>
      <c r="AX66" s="31">
        <f t="shared" si="381"/>
        <v>0</v>
      </c>
      <c r="AY66" s="31">
        <f t="shared" si="382"/>
        <v>0</v>
      </c>
      <c r="AZ66" s="32">
        <f t="shared" si="383"/>
        <v>0</v>
      </c>
      <c r="BA66" s="31">
        <f t="shared" si="384"/>
        <v>0</v>
      </c>
      <c r="BB66" s="31">
        <f t="shared" si="385"/>
        <v>0</v>
      </c>
      <c r="BC66" s="31">
        <f t="shared" si="386"/>
        <v>0</v>
      </c>
      <c r="BD66" s="31">
        <f t="shared" si="387"/>
        <v>0</v>
      </c>
      <c r="BE66" s="31">
        <f t="shared" si="388"/>
        <v>0</v>
      </c>
      <c r="BF66" s="31">
        <f t="shared" si="389"/>
        <v>0</v>
      </c>
      <c r="BG66" s="31">
        <f t="shared" si="390"/>
        <v>0</v>
      </c>
    </row>
    <row r="67" spans="1:59" s="21" customFormat="1" ht="15.75" customHeight="1" thickBot="1">
      <c r="A67" s="4">
        <f>A7</f>
        <v>2025</v>
      </c>
      <c r="B67" s="45">
        <v>0</v>
      </c>
      <c r="C67" s="45"/>
      <c r="D67" s="45"/>
      <c r="E67" s="45"/>
      <c r="F67" s="45"/>
      <c r="G67" s="45"/>
      <c r="H67" s="45"/>
      <c r="I67" s="45">
        <v>0</v>
      </c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E67" s="4">
        <f t="shared" si="362"/>
        <v>2025</v>
      </c>
      <c r="AF67" s="33">
        <f t="shared" ref="AF67:AF76" si="391">B67*$H$1/1000</f>
        <v>0</v>
      </c>
      <c r="AG67" s="33"/>
      <c r="AH67" s="33"/>
      <c r="AI67" s="33"/>
      <c r="AJ67" s="33"/>
      <c r="AK67" s="33"/>
      <c r="AL67" s="33"/>
      <c r="AM67" s="33">
        <f t="shared" ref="AM67:AM76" si="392">I67*$H$1/1000</f>
        <v>0</v>
      </c>
      <c r="AN67" s="33"/>
      <c r="AO67" s="33"/>
      <c r="AP67" s="33"/>
      <c r="AQ67" s="33"/>
      <c r="AR67" s="33"/>
      <c r="AS67" s="33"/>
      <c r="AT67" s="33">
        <f t="shared" ref="AT67:AT76" si="393">P67*$H$1/1000</f>
        <v>0</v>
      </c>
      <c r="AU67" s="33"/>
      <c r="AV67" s="33"/>
      <c r="AW67" s="33"/>
      <c r="AX67" s="33"/>
      <c r="AY67" s="33"/>
      <c r="AZ67" s="33"/>
      <c r="BA67" s="33">
        <f t="shared" ref="BA67:BA76" si="394">W67*$H$1/1000</f>
        <v>0</v>
      </c>
      <c r="BB67" s="33"/>
      <c r="BC67" s="33"/>
      <c r="BD67" s="33"/>
      <c r="BE67" s="33"/>
      <c r="BF67" s="33"/>
      <c r="BG67" s="33"/>
    </row>
    <row r="68" spans="1:59" s="21" customFormat="1" ht="15.75" customHeight="1" thickBot="1">
      <c r="A68" s="4">
        <f>A67+1</f>
        <v>2026</v>
      </c>
      <c r="B68" s="45">
        <v>0</v>
      </c>
      <c r="C68" s="45">
        <f>B68</f>
        <v>0</v>
      </c>
      <c r="D68" s="45">
        <v>0</v>
      </c>
      <c r="E68" s="45">
        <v>0</v>
      </c>
      <c r="F68" s="45">
        <v>0</v>
      </c>
      <c r="G68" s="45"/>
      <c r="H68" s="45"/>
      <c r="I68" s="45">
        <v>0</v>
      </c>
      <c r="J68" s="45">
        <v>0</v>
      </c>
      <c r="K68" s="45">
        <f>M68</f>
        <v>0</v>
      </c>
      <c r="L68" s="45">
        <v>0</v>
      </c>
      <c r="M68" s="45">
        <v>0</v>
      </c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E68" s="4">
        <f t="shared" si="362"/>
        <v>2026</v>
      </c>
      <c r="AF68" s="33">
        <f t="shared" si="391"/>
        <v>0</v>
      </c>
      <c r="AG68" s="33">
        <f t="shared" ref="AG68:AG76" si="395">C68*$H$1/1000</f>
        <v>0</v>
      </c>
      <c r="AH68" s="33">
        <f t="shared" ref="AH68:AH76" si="396">D68*$H$1/1000</f>
        <v>0</v>
      </c>
      <c r="AI68" s="33">
        <f t="shared" ref="AI68:AI76" si="397">E68*$H$1/1000</f>
        <v>0</v>
      </c>
      <c r="AJ68" s="33">
        <f t="shared" ref="AJ68:AJ76" si="398">F68*$H$1/1000</f>
        <v>0</v>
      </c>
      <c r="AK68" s="33">
        <f t="shared" ref="AK68:AK76" si="399">G68*$H$1/1000</f>
        <v>0</v>
      </c>
      <c r="AL68" s="33">
        <f t="shared" ref="AL68:AL76" si="400">H68*$H$1/1000</f>
        <v>0</v>
      </c>
      <c r="AM68" s="33">
        <f t="shared" si="392"/>
        <v>0</v>
      </c>
      <c r="AN68" s="33">
        <f t="shared" ref="AN68:AN76" si="401">J68*$H$1/1000</f>
        <v>0</v>
      </c>
      <c r="AO68" s="33">
        <f t="shared" ref="AO68:AO76" si="402">K68*$H$1/1000</f>
        <v>0</v>
      </c>
      <c r="AP68" s="33">
        <f t="shared" ref="AP68:AP76" si="403">L68*$H$1/1000</f>
        <v>0</v>
      </c>
      <c r="AQ68" s="33">
        <f t="shared" ref="AQ68:AQ76" si="404">M68*$H$1/1000</f>
        <v>0</v>
      </c>
      <c r="AR68" s="33">
        <f t="shared" ref="AR68:AR76" si="405">N68*$H$1/1000</f>
        <v>0</v>
      </c>
      <c r="AS68" s="33">
        <f t="shared" ref="AS68:AS76" si="406">O68*$H$1/1000</f>
        <v>0</v>
      </c>
      <c r="AT68" s="33">
        <f t="shared" si="393"/>
        <v>0</v>
      </c>
      <c r="AU68" s="33">
        <f t="shared" ref="AU68:AU76" si="407">Q68*$H$1/1000</f>
        <v>0</v>
      </c>
      <c r="AV68" s="33">
        <f t="shared" ref="AV68:AV76" si="408">R68*$H$1/1000</f>
        <v>0</v>
      </c>
      <c r="AW68" s="33">
        <f t="shared" ref="AW68:AW76" si="409">S68*$H$1/1000</f>
        <v>0</v>
      </c>
      <c r="AX68" s="33">
        <f t="shared" ref="AX68:AX76" si="410">T68*$H$1/1000</f>
        <v>0</v>
      </c>
      <c r="AY68" s="33">
        <f t="shared" ref="AY68:AY76" si="411">U68*$H$1/1000</f>
        <v>0</v>
      </c>
      <c r="AZ68" s="33">
        <f t="shared" ref="AZ68:AZ76" si="412">V68*$H$1/1000</f>
        <v>0</v>
      </c>
      <c r="BA68" s="33">
        <f t="shared" si="394"/>
        <v>0</v>
      </c>
      <c r="BB68" s="33">
        <f t="shared" ref="BB68:BB76" si="413">X68*$H$1/1000</f>
        <v>0</v>
      </c>
      <c r="BC68" s="33">
        <f t="shared" ref="BC68:BC76" si="414">Y68*$H$1/1000</f>
        <v>0</v>
      </c>
      <c r="BD68" s="33">
        <f t="shared" ref="BD68:BD76" si="415">Z68*$H$1/1000</f>
        <v>0</v>
      </c>
      <c r="BE68" s="33">
        <f t="shared" ref="BE68:BE76" si="416">AA68*$H$1/1000</f>
        <v>0</v>
      </c>
      <c r="BF68" s="33">
        <f t="shared" ref="BF68:BF76" si="417">AB68*$H$1/1000</f>
        <v>0</v>
      </c>
      <c r="BG68" s="33">
        <f t="shared" ref="BG68:BG76" si="418">AC68*$H$1/1000</f>
        <v>0</v>
      </c>
    </row>
    <row r="69" spans="1:59" s="21" customFormat="1" ht="15.75" customHeight="1" thickBot="1">
      <c r="A69" s="4">
        <f t="shared" ref="A69:A76" si="419">A68+1</f>
        <v>2027</v>
      </c>
      <c r="B69" s="45">
        <v>0</v>
      </c>
      <c r="C69" s="45">
        <f t="shared" ref="C69" si="420">B69</f>
        <v>0</v>
      </c>
      <c r="D69" s="45">
        <v>0</v>
      </c>
      <c r="E69" s="45">
        <v>0</v>
      </c>
      <c r="F69" s="45">
        <v>0</v>
      </c>
      <c r="G69" s="45"/>
      <c r="H69" s="45"/>
      <c r="I69" s="45">
        <v>0</v>
      </c>
      <c r="J69" s="45">
        <v>0</v>
      </c>
      <c r="K69" s="45">
        <f t="shared" ref="K69:K76" si="421">M69</f>
        <v>0</v>
      </c>
      <c r="L69" s="45">
        <v>0</v>
      </c>
      <c r="M69" s="45">
        <v>0</v>
      </c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E69" s="4">
        <f t="shared" si="362"/>
        <v>2027</v>
      </c>
      <c r="AF69" s="33">
        <f t="shared" si="391"/>
        <v>0</v>
      </c>
      <c r="AG69" s="33">
        <f t="shared" si="395"/>
        <v>0</v>
      </c>
      <c r="AH69" s="33">
        <f t="shared" si="396"/>
        <v>0</v>
      </c>
      <c r="AI69" s="33">
        <f t="shared" si="397"/>
        <v>0</v>
      </c>
      <c r="AJ69" s="33">
        <f t="shared" si="398"/>
        <v>0</v>
      </c>
      <c r="AK69" s="33">
        <f t="shared" si="399"/>
        <v>0</v>
      </c>
      <c r="AL69" s="33">
        <f t="shared" si="400"/>
        <v>0</v>
      </c>
      <c r="AM69" s="33">
        <f t="shared" si="392"/>
        <v>0</v>
      </c>
      <c r="AN69" s="33">
        <f t="shared" si="401"/>
        <v>0</v>
      </c>
      <c r="AO69" s="33">
        <f t="shared" si="402"/>
        <v>0</v>
      </c>
      <c r="AP69" s="33">
        <f t="shared" si="403"/>
        <v>0</v>
      </c>
      <c r="AQ69" s="33">
        <f t="shared" si="404"/>
        <v>0</v>
      </c>
      <c r="AR69" s="33">
        <f t="shared" si="405"/>
        <v>0</v>
      </c>
      <c r="AS69" s="33">
        <f t="shared" si="406"/>
        <v>0</v>
      </c>
      <c r="AT69" s="33">
        <f t="shared" si="393"/>
        <v>0</v>
      </c>
      <c r="AU69" s="33">
        <f t="shared" si="407"/>
        <v>0</v>
      </c>
      <c r="AV69" s="33">
        <f t="shared" si="408"/>
        <v>0</v>
      </c>
      <c r="AW69" s="33">
        <f t="shared" si="409"/>
        <v>0</v>
      </c>
      <c r="AX69" s="33">
        <f t="shared" si="410"/>
        <v>0</v>
      </c>
      <c r="AY69" s="33">
        <f t="shared" si="411"/>
        <v>0</v>
      </c>
      <c r="AZ69" s="33">
        <f t="shared" si="412"/>
        <v>0</v>
      </c>
      <c r="BA69" s="33">
        <f t="shared" si="394"/>
        <v>0</v>
      </c>
      <c r="BB69" s="33">
        <f t="shared" si="413"/>
        <v>0</v>
      </c>
      <c r="BC69" s="33">
        <f t="shared" si="414"/>
        <v>0</v>
      </c>
      <c r="BD69" s="33">
        <f t="shared" si="415"/>
        <v>0</v>
      </c>
      <c r="BE69" s="33">
        <f t="shared" si="416"/>
        <v>0</v>
      </c>
      <c r="BF69" s="33">
        <f t="shared" si="417"/>
        <v>0</v>
      </c>
      <c r="BG69" s="33">
        <f t="shared" si="418"/>
        <v>0</v>
      </c>
    </row>
    <row r="70" spans="1:59" s="21" customFormat="1" ht="15.75" customHeight="1" thickBot="1">
      <c r="A70" s="4">
        <f t="shared" si="419"/>
        <v>2028</v>
      </c>
      <c r="B70" s="45">
        <v>0</v>
      </c>
      <c r="C70" s="45">
        <f t="shared" ref="C70:C71" si="422">E70</f>
        <v>3.4013322170419545E-2</v>
      </c>
      <c r="D70" s="45">
        <v>0</v>
      </c>
      <c r="E70" s="45">
        <v>3.4013322170419545E-2</v>
      </c>
      <c r="F70" s="45">
        <v>0</v>
      </c>
      <c r="G70" s="45"/>
      <c r="H70" s="45"/>
      <c r="I70" s="45">
        <v>0</v>
      </c>
      <c r="J70" s="45">
        <v>0</v>
      </c>
      <c r="K70" s="45">
        <f t="shared" si="421"/>
        <v>0</v>
      </c>
      <c r="L70" s="45">
        <v>0</v>
      </c>
      <c r="M70" s="45">
        <v>0</v>
      </c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E70" s="4">
        <f t="shared" si="362"/>
        <v>2028</v>
      </c>
      <c r="AF70" s="33">
        <f t="shared" si="391"/>
        <v>0</v>
      </c>
      <c r="AG70" s="33">
        <f t="shared" si="395"/>
        <v>1.6294179981394574</v>
      </c>
      <c r="AH70" s="33">
        <f t="shared" si="396"/>
        <v>0</v>
      </c>
      <c r="AI70" s="33">
        <f t="shared" si="397"/>
        <v>1.6294179981394574</v>
      </c>
      <c r="AJ70" s="33">
        <f t="shared" si="398"/>
        <v>0</v>
      </c>
      <c r="AK70" s="33">
        <f t="shared" si="399"/>
        <v>0</v>
      </c>
      <c r="AL70" s="33">
        <f t="shared" si="400"/>
        <v>0</v>
      </c>
      <c r="AM70" s="33">
        <f t="shared" si="392"/>
        <v>0</v>
      </c>
      <c r="AN70" s="33">
        <f t="shared" si="401"/>
        <v>0</v>
      </c>
      <c r="AO70" s="33">
        <f t="shared" si="402"/>
        <v>0</v>
      </c>
      <c r="AP70" s="33">
        <f t="shared" si="403"/>
        <v>0</v>
      </c>
      <c r="AQ70" s="33">
        <f t="shared" si="404"/>
        <v>0</v>
      </c>
      <c r="AR70" s="33">
        <f t="shared" si="405"/>
        <v>0</v>
      </c>
      <c r="AS70" s="33">
        <f t="shared" si="406"/>
        <v>0</v>
      </c>
      <c r="AT70" s="33">
        <f t="shared" si="393"/>
        <v>0</v>
      </c>
      <c r="AU70" s="33">
        <f t="shared" si="407"/>
        <v>0</v>
      </c>
      <c r="AV70" s="33">
        <f t="shared" si="408"/>
        <v>0</v>
      </c>
      <c r="AW70" s="33">
        <f t="shared" si="409"/>
        <v>0</v>
      </c>
      <c r="AX70" s="33">
        <f t="shared" si="410"/>
        <v>0</v>
      </c>
      <c r="AY70" s="33">
        <f t="shared" si="411"/>
        <v>0</v>
      </c>
      <c r="AZ70" s="33">
        <f t="shared" si="412"/>
        <v>0</v>
      </c>
      <c r="BA70" s="33">
        <f t="shared" si="394"/>
        <v>0</v>
      </c>
      <c r="BB70" s="33">
        <f t="shared" si="413"/>
        <v>0</v>
      </c>
      <c r="BC70" s="33">
        <f t="shared" si="414"/>
        <v>0</v>
      </c>
      <c r="BD70" s="33">
        <f t="shared" si="415"/>
        <v>0</v>
      </c>
      <c r="BE70" s="33">
        <f t="shared" si="416"/>
        <v>0</v>
      </c>
      <c r="BF70" s="33">
        <f t="shared" si="417"/>
        <v>0</v>
      </c>
      <c r="BG70" s="33">
        <f t="shared" si="418"/>
        <v>0</v>
      </c>
    </row>
    <row r="71" spans="1:59" s="21" customFormat="1" ht="15.75" customHeight="1" thickBot="1">
      <c r="A71" s="4">
        <f t="shared" si="419"/>
        <v>2029</v>
      </c>
      <c r="B71" s="45">
        <v>0</v>
      </c>
      <c r="C71" s="45">
        <f t="shared" si="422"/>
        <v>0.39124122564655539</v>
      </c>
      <c r="D71" s="45">
        <v>0</v>
      </c>
      <c r="E71" s="45">
        <v>0.39124122564655539</v>
      </c>
      <c r="F71" s="45">
        <v>0</v>
      </c>
      <c r="G71" s="45"/>
      <c r="H71" s="45"/>
      <c r="I71" s="45">
        <v>0</v>
      </c>
      <c r="J71" s="45">
        <v>0</v>
      </c>
      <c r="K71" s="45">
        <f t="shared" si="421"/>
        <v>7.1261147613907905E-4</v>
      </c>
      <c r="L71" s="45">
        <v>0</v>
      </c>
      <c r="M71" s="45">
        <v>7.1261147613907905E-4</v>
      </c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E71" s="4">
        <f t="shared" si="362"/>
        <v>2029</v>
      </c>
      <c r="AF71" s="33">
        <f t="shared" si="391"/>
        <v>0</v>
      </c>
      <c r="AG71" s="33">
        <f t="shared" si="395"/>
        <v>18.742523634961199</v>
      </c>
      <c r="AH71" s="33">
        <f t="shared" si="396"/>
        <v>0</v>
      </c>
      <c r="AI71" s="33">
        <f t="shared" si="397"/>
        <v>18.742523634961199</v>
      </c>
      <c r="AJ71" s="33">
        <f t="shared" si="398"/>
        <v>0</v>
      </c>
      <c r="AK71" s="33">
        <f t="shared" si="399"/>
        <v>0</v>
      </c>
      <c r="AL71" s="33">
        <f t="shared" si="400"/>
        <v>0</v>
      </c>
      <c r="AM71" s="33">
        <f t="shared" si="392"/>
        <v>0</v>
      </c>
      <c r="AN71" s="33">
        <f t="shared" si="401"/>
        <v>0</v>
      </c>
      <c r="AO71" s="33">
        <f t="shared" si="402"/>
        <v>3.4137858074668022E-2</v>
      </c>
      <c r="AP71" s="33">
        <f t="shared" si="403"/>
        <v>0</v>
      </c>
      <c r="AQ71" s="33">
        <f t="shared" si="404"/>
        <v>3.4137858074668022E-2</v>
      </c>
      <c r="AR71" s="33">
        <f t="shared" si="405"/>
        <v>0</v>
      </c>
      <c r="AS71" s="33">
        <f t="shared" si="406"/>
        <v>0</v>
      </c>
      <c r="AT71" s="33">
        <f t="shared" si="393"/>
        <v>0</v>
      </c>
      <c r="AU71" s="33">
        <f t="shared" si="407"/>
        <v>0</v>
      </c>
      <c r="AV71" s="33">
        <f t="shared" si="408"/>
        <v>0</v>
      </c>
      <c r="AW71" s="33">
        <f t="shared" si="409"/>
        <v>0</v>
      </c>
      <c r="AX71" s="33">
        <f t="shared" si="410"/>
        <v>0</v>
      </c>
      <c r="AY71" s="33">
        <f t="shared" si="411"/>
        <v>0</v>
      </c>
      <c r="AZ71" s="33">
        <f t="shared" si="412"/>
        <v>0</v>
      </c>
      <c r="BA71" s="33">
        <f t="shared" si="394"/>
        <v>0</v>
      </c>
      <c r="BB71" s="33">
        <f t="shared" si="413"/>
        <v>0</v>
      </c>
      <c r="BC71" s="33">
        <f t="shared" si="414"/>
        <v>0</v>
      </c>
      <c r="BD71" s="33">
        <f t="shared" si="415"/>
        <v>0</v>
      </c>
      <c r="BE71" s="33">
        <f t="shared" si="416"/>
        <v>0</v>
      </c>
      <c r="BF71" s="33">
        <f t="shared" si="417"/>
        <v>0</v>
      </c>
      <c r="BG71" s="33">
        <f t="shared" si="418"/>
        <v>0</v>
      </c>
    </row>
    <row r="72" spans="1:59" s="21" customFormat="1" ht="15.75" customHeight="1" thickBot="1">
      <c r="A72" s="4">
        <f t="shared" si="419"/>
        <v>2030</v>
      </c>
      <c r="B72" s="45">
        <v>0</v>
      </c>
      <c r="C72" s="45">
        <f>E72</f>
        <v>1.4655011316344022</v>
      </c>
      <c r="D72" s="45">
        <v>0</v>
      </c>
      <c r="E72" s="45">
        <v>1.4655011316344022</v>
      </c>
      <c r="F72" s="45">
        <v>0</v>
      </c>
      <c r="G72" s="45"/>
      <c r="H72" s="45"/>
      <c r="I72" s="45">
        <v>0</v>
      </c>
      <c r="J72" s="45">
        <v>0</v>
      </c>
      <c r="K72" s="45">
        <f t="shared" si="421"/>
        <v>4.4440971208678515E-2</v>
      </c>
      <c r="L72" s="45">
        <v>0</v>
      </c>
      <c r="M72" s="45">
        <v>4.4440971208678515E-2</v>
      </c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E72" s="4">
        <f t="shared" si="362"/>
        <v>2030</v>
      </c>
      <c r="AF72" s="33">
        <f t="shared" si="391"/>
        <v>0</v>
      </c>
      <c r="AG72" s="33">
        <f t="shared" si="395"/>
        <v>70.205253935928098</v>
      </c>
      <c r="AH72" s="33">
        <f t="shared" si="396"/>
        <v>0</v>
      </c>
      <c r="AI72" s="33">
        <f t="shared" si="397"/>
        <v>70.205253935928098</v>
      </c>
      <c r="AJ72" s="33">
        <f t="shared" si="398"/>
        <v>0</v>
      </c>
      <c r="AK72" s="33">
        <f t="shared" si="399"/>
        <v>0</v>
      </c>
      <c r="AL72" s="33">
        <f t="shared" si="400"/>
        <v>0</v>
      </c>
      <c r="AM72" s="33">
        <f t="shared" si="392"/>
        <v>0</v>
      </c>
      <c r="AN72" s="33">
        <f t="shared" si="401"/>
        <v>0</v>
      </c>
      <c r="AO72" s="33">
        <f t="shared" si="402"/>
        <v>2.1289575296233116</v>
      </c>
      <c r="AP72" s="33">
        <f t="shared" si="403"/>
        <v>0</v>
      </c>
      <c r="AQ72" s="33">
        <f t="shared" si="404"/>
        <v>2.1289575296233116</v>
      </c>
      <c r="AR72" s="33">
        <f t="shared" si="405"/>
        <v>0</v>
      </c>
      <c r="AS72" s="33">
        <f t="shared" si="406"/>
        <v>0</v>
      </c>
      <c r="AT72" s="33">
        <f t="shared" si="393"/>
        <v>0</v>
      </c>
      <c r="AU72" s="33">
        <f t="shared" si="407"/>
        <v>0</v>
      </c>
      <c r="AV72" s="33">
        <f t="shared" si="408"/>
        <v>0</v>
      </c>
      <c r="AW72" s="33">
        <f t="shared" si="409"/>
        <v>0</v>
      </c>
      <c r="AX72" s="33">
        <f t="shared" si="410"/>
        <v>0</v>
      </c>
      <c r="AY72" s="33">
        <f t="shared" si="411"/>
        <v>0</v>
      </c>
      <c r="AZ72" s="33">
        <f t="shared" si="412"/>
        <v>0</v>
      </c>
      <c r="BA72" s="33">
        <f t="shared" si="394"/>
        <v>0</v>
      </c>
      <c r="BB72" s="33">
        <f t="shared" si="413"/>
        <v>0</v>
      </c>
      <c r="BC72" s="33">
        <f t="shared" si="414"/>
        <v>0</v>
      </c>
      <c r="BD72" s="33">
        <f t="shared" si="415"/>
        <v>0</v>
      </c>
      <c r="BE72" s="33">
        <f t="shared" si="416"/>
        <v>0</v>
      </c>
      <c r="BF72" s="33">
        <f t="shared" si="417"/>
        <v>0</v>
      </c>
      <c r="BG72" s="33">
        <f t="shared" si="418"/>
        <v>0</v>
      </c>
    </row>
    <row r="73" spans="1:59" s="21" customFormat="1" ht="15.75" customHeight="1" thickBot="1">
      <c r="A73" s="4">
        <f t="shared" si="419"/>
        <v>2031</v>
      </c>
      <c r="B73" s="45">
        <v>0</v>
      </c>
      <c r="C73" s="45">
        <f t="shared" ref="C73:C74" si="423">E73</f>
        <v>3.430943410777711</v>
      </c>
      <c r="D73" s="45">
        <v>0</v>
      </c>
      <c r="E73" s="45">
        <v>3.430943410777711</v>
      </c>
      <c r="F73" s="45">
        <v>0</v>
      </c>
      <c r="G73" s="45"/>
      <c r="H73" s="45"/>
      <c r="I73" s="45">
        <v>0</v>
      </c>
      <c r="J73" s="45">
        <v>0</v>
      </c>
      <c r="K73" s="45">
        <f t="shared" si="421"/>
        <v>0.30059058089260021</v>
      </c>
      <c r="L73" s="45">
        <v>0</v>
      </c>
      <c r="M73" s="45">
        <v>0.30059058089260021</v>
      </c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E73" s="4">
        <f t="shared" si="362"/>
        <v>2031</v>
      </c>
      <c r="AF73" s="33">
        <f t="shared" si="391"/>
        <v>0</v>
      </c>
      <c r="AG73" s="33">
        <f t="shared" si="395"/>
        <v>164.3603325811271</v>
      </c>
      <c r="AH73" s="33">
        <f t="shared" si="396"/>
        <v>0</v>
      </c>
      <c r="AI73" s="33">
        <f t="shared" si="397"/>
        <v>164.3603325811271</v>
      </c>
      <c r="AJ73" s="33">
        <f t="shared" si="398"/>
        <v>0</v>
      </c>
      <c r="AK73" s="33">
        <f t="shared" si="399"/>
        <v>0</v>
      </c>
      <c r="AL73" s="33">
        <f t="shared" si="400"/>
        <v>0</v>
      </c>
      <c r="AM73" s="33">
        <f t="shared" si="392"/>
        <v>0</v>
      </c>
      <c r="AN73" s="33">
        <f t="shared" si="401"/>
        <v>0</v>
      </c>
      <c r="AO73" s="33">
        <f t="shared" si="402"/>
        <v>14.399878380699672</v>
      </c>
      <c r="AP73" s="33">
        <f t="shared" si="403"/>
        <v>0</v>
      </c>
      <c r="AQ73" s="33">
        <f t="shared" si="404"/>
        <v>14.399878380699672</v>
      </c>
      <c r="AR73" s="33">
        <f t="shared" si="405"/>
        <v>0</v>
      </c>
      <c r="AS73" s="33">
        <f t="shared" si="406"/>
        <v>0</v>
      </c>
      <c r="AT73" s="33">
        <f t="shared" si="393"/>
        <v>0</v>
      </c>
      <c r="AU73" s="33">
        <f t="shared" si="407"/>
        <v>0</v>
      </c>
      <c r="AV73" s="33">
        <f t="shared" si="408"/>
        <v>0</v>
      </c>
      <c r="AW73" s="33">
        <f t="shared" si="409"/>
        <v>0</v>
      </c>
      <c r="AX73" s="33">
        <f t="shared" si="410"/>
        <v>0</v>
      </c>
      <c r="AY73" s="33">
        <f t="shared" si="411"/>
        <v>0</v>
      </c>
      <c r="AZ73" s="33">
        <f t="shared" si="412"/>
        <v>0</v>
      </c>
      <c r="BA73" s="33">
        <f t="shared" si="394"/>
        <v>0</v>
      </c>
      <c r="BB73" s="33">
        <f t="shared" si="413"/>
        <v>0</v>
      </c>
      <c r="BC73" s="33">
        <f t="shared" si="414"/>
        <v>0</v>
      </c>
      <c r="BD73" s="33">
        <f t="shared" si="415"/>
        <v>0</v>
      </c>
      <c r="BE73" s="33">
        <f t="shared" si="416"/>
        <v>0</v>
      </c>
      <c r="BF73" s="33">
        <f t="shared" si="417"/>
        <v>0</v>
      </c>
      <c r="BG73" s="33">
        <f t="shared" si="418"/>
        <v>0</v>
      </c>
    </row>
    <row r="74" spans="1:59" s="21" customFormat="1" ht="15.75" customHeight="1" thickBot="1">
      <c r="A74" s="4">
        <f t="shared" si="419"/>
        <v>2032</v>
      </c>
      <c r="B74" s="45">
        <v>0</v>
      </c>
      <c r="C74" s="45">
        <f t="shared" si="423"/>
        <v>6.8436735598932934</v>
      </c>
      <c r="D74" s="45">
        <v>0</v>
      </c>
      <c r="E74" s="45">
        <v>6.8436735598932934</v>
      </c>
      <c r="F74" s="45">
        <v>0</v>
      </c>
      <c r="G74" s="45"/>
      <c r="H74" s="45"/>
      <c r="I74" s="45">
        <v>0</v>
      </c>
      <c r="J74" s="45">
        <v>0</v>
      </c>
      <c r="K74" s="45">
        <f t="shared" si="421"/>
        <v>1.3259214411056308</v>
      </c>
      <c r="L74" s="45">
        <v>0</v>
      </c>
      <c r="M74" s="45">
        <v>1.3259214411056308</v>
      </c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E74" s="4">
        <f t="shared" si="362"/>
        <v>2032</v>
      </c>
      <c r="AF74" s="33">
        <f t="shared" si="391"/>
        <v>0</v>
      </c>
      <c r="AG74" s="33">
        <f t="shared" si="395"/>
        <v>327.84815361491394</v>
      </c>
      <c r="AH74" s="33">
        <f t="shared" si="396"/>
        <v>0</v>
      </c>
      <c r="AI74" s="33">
        <f t="shared" si="397"/>
        <v>327.84815361491394</v>
      </c>
      <c r="AJ74" s="33">
        <f t="shared" si="398"/>
        <v>0</v>
      </c>
      <c r="AK74" s="33">
        <f t="shared" si="399"/>
        <v>0</v>
      </c>
      <c r="AL74" s="33">
        <f t="shared" si="400"/>
        <v>0</v>
      </c>
      <c r="AM74" s="33">
        <f t="shared" si="392"/>
        <v>0</v>
      </c>
      <c r="AN74" s="33">
        <f t="shared" si="401"/>
        <v>0</v>
      </c>
      <c r="AO74" s="33">
        <f t="shared" si="402"/>
        <v>63.518648646894952</v>
      </c>
      <c r="AP74" s="33">
        <f t="shared" si="403"/>
        <v>0</v>
      </c>
      <c r="AQ74" s="33">
        <f t="shared" si="404"/>
        <v>63.518648646894952</v>
      </c>
      <c r="AR74" s="33">
        <f t="shared" si="405"/>
        <v>0</v>
      </c>
      <c r="AS74" s="33">
        <f t="shared" si="406"/>
        <v>0</v>
      </c>
      <c r="AT74" s="33">
        <f t="shared" si="393"/>
        <v>0</v>
      </c>
      <c r="AU74" s="33">
        <f t="shared" si="407"/>
        <v>0</v>
      </c>
      <c r="AV74" s="33">
        <f t="shared" si="408"/>
        <v>0</v>
      </c>
      <c r="AW74" s="33">
        <f t="shared" si="409"/>
        <v>0</v>
      </c>
      <c r="AX74" s="33">
        <f t="shared" si="410"/>
        <v>0</v>
      </c>
      <c r="AY74" s="33">
        <f t="shared" si="411"/>
        <v>0</v>
      </c>
      <c r="AZ74" s="33">
        <f t="shared" si="412"/>
        <v>0</v>
      </c>
      <c r="BA74" s="33">
        <f t="shared" si="394"/>
        <v>0</v>
      </c>
      <c r="BB74" s="33">
        <f t="shared" si="413"/>
        <v>0</v>
      </c>
      <c r="BC74" s="33">
        <f t="shared" si="414"/>
        <v>0</v>
      </c>
      <c r="BD74" s="33">
        <f t="shared" si="415"/>
        <v>0</v>
      </c>
      <c r="BE74" s="33">
        <f t="shared" si="416"/>
        <v>0</v>
      </c>
      <c r="BF74" s="33">
        <f t="shared" si="417"/>
        <v>0</v>
      </c>
      <c r="BG74" s="33">
        <f t="shared" si="418"/>
        <v>0</v>
      </c>
    </row>
    <row r="75" spans="1:59" s="21" customFormat="1" ht="15.75" customHeight="1" thickBot="1">
      <c r="A75" s="4">
        <f t="shared" si="419"/>
        <v>2033</v>
      </c>
      <c r="B75" s="45">
        <v>0</v>
      </c>
      <c r="C75" s="45">
        <v>0</v>
      </c>
      <c r="D75" s="45">
        <v>0</v>
      </c>
      <c r="E75" s="45">
        <v>11.872562296777328</v>
      </c>
      <c r="F75" s="45">
        <v>0</v>
      </c>
      <c r="G75" s="45"/>
      <c r="H75" s="45"/>
      <c r="I75" s="45">
        <v>0</v>
      </c>
      <c r="J75" s="45">
        <v>0</v>
      </c>
      <c r="K75" s="45">
        <f t="shared" si="421"/>
        <v>3.8007457256747021</v>
      </c>
      <c r="L75" s="45">
        <v>0</v>
      </c>
      <c r="M75" s="45">
        <v>3.8007457256747021</v>
      </c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E75" s="4">
        <f t="shared" si="362"/>
        <v>2033</v>
      </c>
      <c r="AF75" s="33">
        <f t="shared" si="391"/>
        <v>0</v>
      </c>
      <c r="AG75" s="33">
        <f t="shared" si="395"/>
        <v>0</v>
      </c>
      <c r="AH75" s="33">
        <f t="shared" si="396"/>
        <v>0</v>
      </c>
      <c r="AI75" s="33">
        <f t="shared" si="397"/>
        <v>568.75851742659381</v>
      </c>
      <c r="AJ75" s="33">
        <f t="shared" si="398"/>
        <v>0</v>
      </c>
      <c r="AK75" s="33">
        <f t="shared" si="399"/>
        <v>0</v>
      </c>
      <c r="AL75" s="33">
        <f t="shared" si="400"/>
        <v>0</v>
      </c>
      <c r="AM75" s="33">
        <f t="shared" si="392"/>
        <v>0</v>
      </c>
      <c r="AN75" s="33">
        <f t="shared" si="401"/>
        <v>0</v>
      </c>
      <c r="AO75" s="33">
        <f t="shared" si="402"/>
        <v>182.07581901987385</v>
      </c>
      <c r="AP75" s="33">
        <f t="shared" si="403"/>
        <v>0</v>
      </c>
      <c r="AQ75" s="33">
        <f t="shared" si="404"/>
        <v>182.07581901987385</v>
      </c>
      <c r="AR75" s="33">
        <f t="shared" si="405"/>
        <v>0</v>
      </c>
      <c r="AS75" s="33">
        <f t="shared" si="406"/>
        <v>0</v>
      </c>
      <c r="AT75" s="33">
        <f t="shared" si="393"/>
        <v>0</v>
      </c>
      <c r="AU75" s="33">
        <f t="shared" si="407"/>
        <v>0</v>
      </c>
      <c r="AV75" s="33">
        <f t="shared" si="408"/>
        <v>0</v>
      </c>
      <c r="AW75" s="33">
        <f t="shared" si="409"/>
        <v>0</v>
      </c>
      <c r="AX75" s="33">
        <f t="shared" si="410"/>
        <v>0</v>
      </c>
      <c r="AY75" s="33">
        <f t="shared" si="411"/>
        <v>0</v>
      </c>
      <c r="AZ75" s="33">
        <f t="shared" si="412"/>
        <v>0</v>
      </c>
      <c r="BA75" s="33">
        <f t="shared" si="394"/>
        <v>0</v>
      </c>
      <c r="BB75" s="33">
        <f t="shared" si="413"/>
        <v>0</v>
      </c>
      <c r="BC75" s="33">
        <f t="shared" si="414"/>
        <v>0</v>
      </c>
      <c r="BD75" s="33">
        <f t="shared" si="415"/>
        <v>0</v>
      </c>
      <c r="BE75" s="33">
        <f t="shared" si="416"/>
        <v>0</v>
      </c>
      <c r="BF75" s="33">
        <f t="shared" si="417"/>
        <v>0</v>
      </c>
      <c r="BG75" s="33">
        <f t="shared" si="418"/>
        <v>0</v>
      </c>
    </row>
    <row r="76" spans="1:59" s="21" customFormat="1" ht="15.75" customHeight="1" thickBot="1">
      <c r="A76" s="4">
        <f t="shared" si="419"/>
        <v>2034</v>
      </c>
      <c r="B76" s="45">
        <v>0</v>
      </c>
      <c r="C76" s="45">
        <v>0</v>
      </c>
      <c r="D76" s="45">
        <v>0</v>
      </c>
      <c r="E76" s="45">
        <v>18.478250982007253</v>
      </c>
      <c r="F76" s="45">
        <v>0</v>
      </c>
      <c r="G76" s="45"/>
      <c r="H76" s="45"/>
      <c r="I76" s="45">
        <v>0</v>
      </c>
      <c r="J76" s="45">
        <v>0</v>
      </c>
      <c r="K76" s="45">
        <f t="shared" si="421"/>
        <v>8.139147191422289</v>
      </c>
      <c r="L76" s="45">
        <v>0</v>
      </c>
      <c r="M76" s="45">
        <v>8.139147191422289</v>
      </c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E76" s="4">
        <f t="shared" si="362"/>
        <v>2034</v>
      </c>
      <c r="AF76" s="33">
        <f t="shared" si="391"/>
        <v>0</v>
      </c>
      <c r="AG76" s="33">
        <f t="shared" si="395"/>
        <v>0</v>
      </c>
      <c r="AH76" s="33">
        <f t="shared" si="396"/>
        <v>0</v>
      </c>
      <c r="AI76" s="33">
        <f t="shared" si="397"/>
        <v>885.20593705502597</v>
      </c>
      <c r="AJ76" s="33">
        <f t="shared" si="398"/>
        <v>0</v>
      </c>
      <c r="AK76" s="33">
        <f t="shared" si="399"/>
        <v>0</v>
      </c>
      <c r="AL76" s="33">
        <f t="shared" si="400"/>
        <v>0</v>
      </c>
      <c r="AM76" s="33">
        <f t="shared" si="392"/>
        <v>0</v>
      </c>
      <c r="AN76" s="33">
        <f t="shared" si="401"/>
        <v>0</v>
      </c>
      <c r="AO76" s="33">
        <f t="shared" si="402"/>
        <v>389.90819117173316</v>
      </c>
      <c r="AP76" s="33">
        <f t="shared" si="403"/>
        <v>0</v>
      </c>
      <c r="AQ76" s="33">
        <f t="shared" si="404"/>
        <v>389.90819117173316</v>
      </c>
      <c r="AR76" s="33">
        <f t="shared" si="405"/>
        <v>0</v>
      </c>
      <c r="AS76" s="33">
        <f t="shared" si="406"/>
        <v>0</v>
      </c>
      <c r="AT76" s="33">
        <f t="shared" si="393"/>
        <v>0</v>
      </c>
      <c r="AU76" s="33">
        <f t="shared" si="407"/>
        <v>0</v>
      </c>
      <c r="AV76" s="33">
        <f t="shared" si="408"/>
        <v>0</v>
      </c>
      <c r="AW76" s="33">
        <f t="shared" si="409"/>
        <v>0</v>
      </c>
      <c r="AX76" s="33">
        <f t="shared" si="410"/>
        <v>0</v>
      </c>
      <c r="AY76" s="33">
        <f t="shared" si="411"/>
        <v>0</v>
      </c>
      <c r="AZ76" s="33">
        <f t="shared" si="412"/>
        <v>0</v>
      </c>
      <c r="BA76" s="33">
        <f t="shared" si="394"/>
        <v>0</v>
      </c>
      <c r="BB76" s="33">
        <f t="shared" si="413"/>
        <v>0</v>
      </c>
      <c r="BC76" s="33">
        <f t="shared" si="414"/>
        <v>0</v>
      </c>
      <c r="BD76" s="33">
        <f t="shared" si="415"/>
        <v>0</v>
      </c>
      <c r="BE76" s="33">
        <f t="shared" si="416"/>
        <v>0</v>
      </c>
      <c r="BF76" s="33">
        <f t="shared" si="417"/>
        <v>0</v>
      </c>
      <c r="BG76" s="33">
        <f t="shared" si="418"/>
        <v>0</v>
      </c>
    </row>
    <row r="77" spans="1:59" s="21" customFormat="1" ht="15.75" customHeight="1"/>
    <row r="78" spans="1:59" ht="15" thickBot="1">
      <c r="A78" t="s">
        <v>174</v>
      </c>
      <c r="J78" t="s">
        <v>175</v>
      </c>
      <c r="S78" t="s">
        <v>176</v>
      </c>
      <c r="AE78" t="s">
        <v>177</v>
      </c>
      <c r="AN78" t="s">
        <v>178</v>
      </c>
      <c r="AW78" t="s">
        <v>179</v>
      </c>
    </row>
    <row r="79" spans="1:59" ht="15" thickBot="1">
      <c r="A79" s="1" t="s">
        <v>158</v>
      </c>
      <c r="B79" s="1">
        <v>1</v>
      </c>
      <c r="C79" s="1">
        <v>2</v>
      </c>
      <c r="D79" s="1">
        <v>3</v>
      </c>
      <c r="E79" s="1">
        <v>4</v>
      </c>
      <c r="F79" s="1">
        <v>5</v>
      </c>
      <c r="G79" s="1">
        <v>6</v>
      </c>
      <c r="H79" s="17">
        <v>7</v>
      </c>
      <c r="J79" s="1" t="s">
        <v>158</v>
      </c>
      <c r="K79" s="1">
        <v>1</v>
      </c>
      <c r="L79" s="1">
        <v>2</v>
      </c>
      <c r="M79" s="1">
        <v>3</v>
      </c>
      <c r="N79" s="1">
        <v>4</v>
      </c>
      <c r="O79" s="1">
        <v>5</v>
      </c>
      <c r="P79" s="1">
        <v>6</v>
      </c>
      <c r="Q79" s="17">
        <v>7</v>
      </c>
      <c r="S79" s="1" t="s">
        <v>158</v>
      </c>
      <c r="T79" s="1">
        <v>1</v>
      </c>
      <c r="U79" s="1">
        <v>2</v>
      </c>
      <c r="V79" s="1">
        <v>3</v>
      </c>
      <c r="W79" s="1">
        <v>4</v>
      </c>
      <c r="X79" s="1">
        <v>5</v>
      </c>
      <c r="Y79" s="1">
        <v>6</v>
      </c>
      <c r="Z79" s="17">
        <v>7</v>
      </c>
      <c r="AE79" s="1" t="s">
        <v>158</v>
      </c>
      <c r="AF79" s="1">
        <v>1</v>
      </c>
      <c r="AG79" s="1">
        <v>2</v>
      </c>
      <c r="AH79" s="1">
        <v>3</v>
      </c>
      <c r="AI79" s="1">
        <v>4</v>
      </c>
      <c r="AJ79" s="1">
        <v>5</v>
      </c>
      <c r="AK79" s="1">
        <v>6</v>
      </c>
      <c r="AL79" s="17">
        <v>7</v>
      </c>
      <c r="AN79" s="1" t="s">
        <v>158</v>
      </c>
      <c r="AO79" s="1">
        <v>1</v>
      </c>
      <c r="AP79" s="1">
        <v>2</v>
      </c>
      <c r="AQ79" s="1">
        <v>3</v>
      </c>
      <c r="AR79" s="1">
        <v>4</v>
      </c>
      <c r="AS79" s="1">
        <v>5</v>
      </c>
      <c r="AT79" s="1">
        <v>6</v>
      </c>
      <c r="AU79" s="17">
        <v>7</v>
      </c>
      <c r="AW79" s="1" t="s">
        <v>158</v>
      </c>
      <c r="AX79" s="1">
        <v>1</v>
      </c>
      <c r="AY79" s="1">
        <v>2</v>
      </c>
      <c r="AZ79" s="1">
        <v>3</v>
      </c>
      <c r="BA79" s="1">
        <v>4</v>
      </c>
      <c r="BB79" s="1">
        <v>5</v>
      </c>
      <c r="BC79" s="1">
        <v>6</v>
      </c>
      <c r="BD79" s="17">
        <v>7</v>
      </c>
    </row>
    <row r="80" spans="1:59" ht="15.6" thickTop="1" thickBot="1">
      <c r="A80" s="23">
        <f>A7</f>
        <v>2025</v>
      </c>
      <c r="B80" s="18">
        <f>K80+T80</f>
        <v>30.123686831369675</v>
      </c>
      <c r="C80" s="18">
        <f t="shared" ref="C80:C89" si="424">L80+U80</f>
        <v>30.123686831369675</v>
      </c>
      <c r="D80" s="18">
        <f t="shared" ref="D80:D89" si="425">M80+V80</f>
        <v>30.123686831369675</v>
      </c>
      <c r="E80" s="18">
        <f t="shared" ref="E80:E89" si="426">N80+W80</f>
        <v>30.123686831369675</v>
      </c>
      <c r="F80" s="18">
        <f t="shared" ref="F80:F89" si="427">O80+X80</f>
        <v>30.123686831369675</v>
      </c>
      <c r="G80" s="18">
        <f t="shared" ref="G80:G89" si="428">P80+Y80</f>
        <v>30.123686831369675</v>
      </c>
      <c r="H80" s="18">
        <f t="shared" ref="H80:H89" si="429">Q80+Z80</f>
        <v>30.123686831369675</v>
      </c>
      <c r="J80" s="23">
        <f>A80</f>
        <v>2025</v>
      </c>
      <c r="K80" s="45">
        <f t="shared" ref="K80:K86" si="430">B52+I52+P52+W52+B67+I67+P67+W67</f>
        <v>0.48827996968425635</v>
      </c>
      <c r="L80" s="18">
        <f>$K80</f>
        <v>0.48827996968425635</v>
      </c>
      <c r="M80" s="18">
        <f t="shared" ref="M80:Q80" si="431">$K80</f>
        <v>0.48827996968425635</v>
      </c>
      <c r="N80" s="18">
        <f t="shared" si="431"/>
        <v>0.48827996968425635</v>
      </c>
      <c r="O80" s="18">
        <f t="shared" si="431"/>
        <v>0.48827996968425635</v>
      </c>
      <c r="P80" s="18">
        <f t="shared" si="431"/>
        <v>0.48827996968425635</v>
      </c>
      <c r="Q80" s="18">
        <f t="shared" si="431"/>
        <v>0.48827996968425635</v>
      </c>
      <c r="S80" s="23">
        <f>J80</f>
        <v>2025</v>
      </c>
      <c r="T80" s="45">
        <f>MIN($T$91,B7+I7+P7+W7+B22+I22+P22+W22+W37+P37+I37+B37)</f>
        <v>29.635406861685418</v>
      </c>
      <c r="U80" s="45">
        <f>$T80</f>
        <v>29.635406861685418</v>
      </c>
      <c r="V80" s="45">
        <f t="shared" ref="V80:Z80" si="432">$T80</f>
        <v>29.635406861685418</v>
      </c>
      <c r="W80" s="45">
        <f t="shared" si="432"/>
        <v>29.635406861685418</v>
      </c>
      <c r="X80" s="45">
        <f t="shared" si="432"/>
        <v>29.635406861685418</v>
      </c>
      <c r="Y80" s="45">
        <f t="shared" si="432"/>
        <v>29.635406861685418</v>
      </c>
      <c r="Z80" s="45">
        <f t="shared" si="432"/>
        <v>29.635406861685418</v>
      </c>
      <c r="AE80" s="47">
        <f>AE7</f>
        <v>2025</v>
      </c>
      <c r="AF80" s="33">
        <f>B80*$H$1/1000</f>
        <v>1443.0838965808928</v>
      </c>
      <c r="AG80" s="33">
        <f t="shared" ref="AG80:AG89" si="433">C80*$H$1/1000</f>
        <v>1443.0838965808928</v>
      </c>
      <c r="AH80" s="33">
        <f t="shared" ref="AH80:AH89" si="434">D80*$H$1/1000</f>
        <v>1443.0838965808928</v>
      </c>
      <c r="AI80" s="33">
        <f t="shared" ref="AI80:AI89" si="435">E80*$H$1/1000</f>
        <v>1443.0838965808928</v>
      </c>
      <c r="AJ80" s="33">
        <f t="shared" ref="AJ80:AJ89" si="436">F80*$H$1/1000</f>
        <v>1443.0838965808928</v>
      </c>
      <c r="AK80" s="33">
        <f t="shared" ref="AK80:AK89" si="437">G80*$H$1/1000</f>
        <v>1443.0838965808928</v>
      </c>
      <c r="AL80" s="33">
        <f t="shared" ref="AL80:AL89" si="438">H80*$H$1/1000</f>
        <v>1443.0838965808928</v>
      </c>
      <c r="AM80" s="44"/>
      <c r="AN80" s="47">
        <f>AE80</f>
        <v>2025</v>
      </c>
      <c r="AO80" s="33">
        <f t="shared" ref="AO80:AO89" si="439">K80*$H$1/1000</f>
        <v>23.391192625883459</v>
      </c>
      <c r="AP80" s="33">
        <f t="shared" ref="AP80:AP88" si="440">L80*$H$1/1000</f>
        <v>23.391192625883459</v>
      </c>
      <c r="AQ80" s="33">
        <f t="shared" ref="AQ80:AQ89" si="441">M80*$H$1/1000</f>
        <v>23.391192625883459</v>
      </c>
      <c r="AR80" s="33">
        <f t="shared" ref="AR80:AR89" si="442">N80*$H$1/1000</f>
        <v>23.391192625883459</v>
      </c>
      <c r="AS80" s="33">
        <f t="shared" ref="AS80:AS89" si="443">O80*$H$1/1000</f>
        <v>23.391192625883459</v>
      </c>
      <c r="AT80" s="33">
        <f t="shared" ref="AT80:AT89" si="444">P80*$H$1/1000</f>
        <v>23.391192625883459</v>
      </c>
      <c r="AU80" s="33">
        <f t="shared" ref="AU80:AU89" si="445">Q80*$H$1/1000</f>
        <v>23.391192625883459</v>
      </c>
      <c r="AV80" s="44"/>
      <c r="AW80" s="47">
        <f>AN80</f>
        <v>2025</v>
      </c>
      <c r="AX80" s="33">
        <f t="shared" ref="AX80:AX89" si="446">T80*$H$1/1000</f>
        <v>1419.6927039550094</v>
      </c>
      <c r="AY80" s="33">
        <f t="shared" ref="AY80:AY89" si="447">U80*$H$1/1000</f>
        <v>1419.6927039550094</v>
      </c>
      <c r="AZ80" s="33">
        <f t="shared" ref="AZ80:AZ89" si="448">V80*$H$1/1000</f>
        <v>1419.6927039550094</v>
      </c>
      <c r="BA80" s="33">
        <f t="shared" ref="BA80:BA89" si="449">W80*$H$1/1000</f>
        <v>1419.6927039550094</v>
      </c>
      <c r="BB80" s="33">
        <f t="shared" ref="BB80:BB89" si="450">X80*$H$1/1000</f>
        <v>1419.6927039550094</v>
      </c>
      <c r="BC80" s="33">
        <f t="shared" ref="BC80:BC89" si="451">Y80*$H$1/1000</f>
        <v>1419.6927039550094</v>
      </c>
      <c r="BD80" s="33">
        <f t="shared" ref="BD80:BD89" si="452">Z80*$H$1/1000</f>
        <v>1419.6927039550094</v>
      </c>
    </row>
    <row r="81" spans="1:56" ht="15" thickBot="1">
      <c r="A81" s="23">
        <f>A80+1</f>
        <v>2026</v>
      </c>
      <c r="B81" s="18">
        <f t="shared" ref="B81:B89" si="453">K81+T81</f>
        <v>113.86874813095717</v>
      </c>
      <c r="C81" s="18">
        <f t="shared" si="424"/>
        <v>71.499957125882077</v>
      </c>
      <c r="D81" s="18">
        <f t="shared" si="425"/>
        <v>71.499957125882077</v>
      </c>
      <c r="E81" s="18">
        <f t="shared" si="426"/>
        <v>0</v>
      </c>
      <c r="F81" s="18">
        <f t="shared" si="427"/>
        <v>0</v>
      </c>
      <c r="G81" s="18">
        <f t="shared" si="428"/>
        <v>0</v>
      </c>
      <c r="H81" s="18">
        <f t="shared" si="429"/>
        <v>0</v>
      </c>
      <c r="J81" s="23">
        <f>J80+1</f>
        <v>2026</v>
      </c>
      <c r="K81" s="45">
        <f t="shared" si="430"/>
        <v>0.74081048361380064</v>
      </c>
      <c r="L81" s="18">
        <f t="shared" ref="L81:Q86" si="454">C53+J53+Q53+X53+C68+J68+Q68+X68</f>
        <v>0.74081048361380064</v>
      </c>
      <c r="M81" s="18">
        <f t="shared" si="454"/>
        <v>0.74081048361380064</v>
      </c>
      <c r="N81" s="18">
        <f t="shared" si="454"/>
        <v>0</v>
      </c>
      <c r="O81" s="18">
        <f t="shared" si="454"/>
        <v>0</v>
      </c>
      <c r="P81" s="18">
        <f t="shared" si="454"/>
        <v>0</v>
      </c>
      <c r="Q81" s="18">
        <f t="shared" si="454"/>
        <v>0</v>
      </c>
      <c r="S81" s="23">
        <f>S80+1</f>
        <v>2026</v>
      </c>
      <c r="T81" s="33">
        <f t="shared" ref="T81:T85" si="455">MIN($T$91,B8+I8+P8+W8+B23+I23+P23+W23+W38+P38+I38+B38)</f>
        <v>113.12793764734337</v>
      </c>
      <c r="U81" s="45">
        <f t="shared" ref="U81:Z81" si="456">C8+J8+Q8+X8+C23+J23+Q23+X23+X38+Q38+J38+C38</f>
        <v>70.759146642268277</v>
      </c>
      <c r="V81" s="45">
        <f t="shared" si="456"/>
        <v>70.759146642268277</v>
      </c>
      <c r="W81" s="45">
        <f t="shared" si="456"/>
        <v>0</v>
      </c>
      <c r="X81" s="45">
        <f t="shared" si="456"/>
        <v>0</v>
      </c>
      <c r="Y81" s="45">
        <f t="shared" si="456"/>
        <v>0</v>
      </c>
      <c r="Z81" s="45">
        <f t="shared" si="456"/>
        <v>0</v>
      </c>
      <c r="AE81" s="47">
        <f>AE80+1</f>
        <v>2026</v>
      </c>
      <c r="AF81" s="33">
        <f t="shared" ref="AF81:AF89" si="457">B81*$H$1/1000</f>
        <v>5454.9151858958721</v>
      </c>
      <c r="AG81" s="33">
        <f t="shared" si="433"/>
        <v>3425.2260459412441</v>
      </c>
      <c r="AH81" s="33">
        <f t="shared" si="434"/>
        <v>3425.2260459412441</v>
      </c>
      <c r="AI81" s="33">
        <f t="shared" si="435"/>
        <v>0</v>
      </c>
      <c r="AJ81" s="33">
        <f t="shared" si="436"/>
        <v>0</v>
      </c>
      <c r="AK81" s="33">
        <f t="shared" si="437"/>
        <v>0</v>
      </c>
      <c r="AL81" s="33">
        <f t="shared" si="438"/>
        <v>0</v>
      </c>
      <c r="AM81" s="44"/>
      <c r="AN81" s="47">
        <f>AN80+1</f>
        <v>2026</v>
      </c>
      <c r="AO81" s="33">
        <f t="shared" si="439"/>
        <v>35.488739652150052</v>
      </c>
      <c r="AP81" s="33">
        <f t="shared" si="440"/>
        <v>35.488739652150052</v>
      </c>
      <c r="AQ81" s="33">
        <f t="shared" si="441"/>
        <v>35.488739652150052</v>
      </c>
      <c r="AR81" s="33">
        <f t="shared" si="442"/>
        <v>0</v>
      </c>
      <c r="AS81" s="33">
        <f t="shared" si="443"/>
        <v>0</v>
      </c>
      <c r="AT81" s="33">
        <f t="shared" si="444"/>
        <v>0</v>
      </c>
      <c r="AU81" s="33">
        <f t="shared" si="445"/>
        <v>0</v>
      </c>
      <c r="AV81" s="44"/>
      <c r="AW81" s="47">
        <f>AW80+1</f>
        <v>2026</v>
      </c>
      <c r="AX81" s="33">
        <f t="shared" si="446"/>
        <v>5419.4264462437222</v>
      </c>
      <c r="AY81" s="33">
        <f t="shared" si="447"/>
        <v>3389.7373062890947</v>
      </c>
      <c r="AZ81" s="33">
        <f t="shared" si="448"/>
        <v>3389.7373062890947</v>
      </c>
      <c r="BA81" s="33">
        <f t="shared" si="449"/>
        <v>0</v>
      </c>
      <c r="BB81" s="33">
        <f t="shared" si="450"/>
        <v>0</v>
      </c>
      <c r="BC81" s="33">
        <f t="shared" si="451"/>
        <v>0</v>
      </c>
      <c r="BD81" s="33">
        <f t="shared" si="452"/>
        <v>0</v>
      </c>
    </row>
    <row r="82" spans="1:56" ht="15" thickBot="1">
      <c r="A82" s="23">
        <f t="shared" ref="A82:A89" si="458">A81+1</f>
        <v>2027</v>
      </c>
      <c r="B82" s="18">
        <f t="shared" si="453"/>
        <v>1432.5689319874255</v>
      </c>
      <c r="C82" s="18">
        <f t="shared" si="424"/>
        <v>0.1116167810457362</v>
      </c>
      <c r="D82" s="18">
        <f t="shared" si="425"/>
        <v>5.8483361196233853E-2</v>
      </c>
      <c r="E82" s="18">
        <f t="shared" si="426"/>
        <v>0</v>
      </c>
      <c r="F82" s="18">
        <f t="shared" si="427"/>
        <v>0</v>
      </c>
      <c r="G82" s="18">
        <f t="shared" si="428"/>
        <v>0</v>
      </c>
      <c r="H82" s="18">
        <f t="shared" si="429"/>
        <v>0</v>
      </c>
      <c r="J82" s="23">
        <f t="shared" ref="J82:J89" si="459">J81+1</f>
        <v>2027</v>
      </c>
      <c r="K82" s="45">
        <f t="shared" si="430"/>
        <v>1.5689319874255068</v>
      </c>
      <c r="L82" s="18">
        <f t="shared" si="454"/>
        <v>0.1116167810457362</v>
      </c>
      <c r="M82" s="18">
        <f t="shared" si="454"/>
        <v>5.8483361196233853E-2</v>
      </c>
      <c r="N82" s="18">
        <f t="shared" si="454"/>
        <v>0</v>
      </c>
      <c r="O82" s="18">
        <f t="shared" si="454"/>
        <v>0</v>
      </c>
      <c r="P82" s="18">
        <f t="shared" si="454"/>
        <v>0</v>
      </c>
      <c r="Q82" s="18">
        <f t="shared" si="454"/>
        <v>0</v>
      </c>
      <c r="S82" s="23">
        <f t="shared" ref="S82:S89" si="460">S81+1</f>
        <v>2027</v>
      </c>
      <c r="T82" s="33">
        <f t="shared" si="455"/>
        <v>1431</v>
      </c>
      <c r="U82" s="45">
        <f t="shared" ref="U82:Z82" si="461">C9+J9+Q9+X9+C24+J24+Q24+X24+X39+Q39+J39+C39</f>
        <v>0</v>
      </c>
      <c r="V82" s="45">
        <f t="shared" si="461"/>
        <v>0</v>
      </c>
      <c r="W82" s="45">
        <f t="shared" si="461"/>
        <v>0</v>
      </c>
      <c r="X82" s="45">
        <f t="shared" si="461"/>
        <v>0</v>
      </c>
      <c r="Y82" s="45">
        <f t="shared" si="461"/>
        <v>0</v>
      </c>
      <c r="Z82" s="45">
        <f t="shared" si="461"/>
        <v>0</v>
      </c>
      <c r="AE82" s="47">
        <f t="shared" ref="AE82:AE89" si="462">AE81+1</f>
        <v>2027</v>
      </c>
      <c r="AF82" s="33">
        <f t="shared" si="457"/>
        <v>68627.62742375597</v>
      </c>
      <c r="AG82" s="33">
        <f t="shared" si="433"/>
        <v>5.3470340538649683</v>
      </c>
      <c r="AH82" s="33">
        <f t="shared" si="434"/>
        <v>2.8016622677248693</v>
      </c>
      <c r="AI82" s="33">
        <f t="shared" si="435"/>
        <v>0</v>
      </c>
      <c r="AJ82" s="33">
        <f t="shared" si="436"/>
        <v>0</v>
      </c>
      <c r="AK82" s="33">
        <f t="shared" si="437"/>
        <v>0</v>
      </c>
      <c r="AL82" s="33">
        <f t="shared" si="438"/>
        <v>0</v>
      </c>
      <c r="AM82" s="44"/>
      <c r="AN82" s="47">
        <f t="shared" ref="AN82:AN89" si="463">AN81+1</f>
        <v>2027</v>
      </c>
      <c r="AO82" s="33">
        <f t="shared" si="439"/>
        <v>75.160138882026075</v>
      </c>
      <c r="AP82" s="33">
        <f t="shared" si="440"/>
        <v>5.3470340538649683</v>
      </c>
      <c r="AQ82" s="33">
        <f t="shared" si="441"/>
        <v>2.8016622677248693</v>
      </c>
      <c r="AR82" s="33">
        <f t="shared" si="442"/>
        <v>0</v>
      </c>
      <c r="AS82" s="33">
        <f t="shared" si="443"/>
        <v>0</v>
      </c>
      <c r="AT82" s="33">
        <f t="shared" si="444"/>
        <v>0</v>
      </c>
      <c r="AU82" s="33">
        <f t="shared" si="445"/>
        <v>0</v>
      </c>
      <c r="AV82" s="44"/>
      <c r="AW82" s="47">
        <f t="shared" ref="AW82:AW89" si="464">AW81+1</f>
        <v>2027</v>
      </c>
      <c r="AX82" s="33">
        <f t="shared" si="446"/>
        <v>68552.467284873943</v>
      </c>
      <c r="AY82" s="33">
        <f t="shared" si="447"/>
        <v>0</v>
      </c>
      <c r="AZ82" s="33">
        <f t="shared" si="448"/>
        <v>0</v>
      </c>
      <c r="BA82" s="33">
        <f t="shared" si="449"/>
        <v>0</v>
      </c>
      <c r="BB82" s="33">
        <f t="shared" si="450"/>
        <v>0</v>
      </c>
      <c r="BC82" s="33">
        <f t="shared" si="451"/>
        <v>0</v>
      </c>
      <c r="BD82" s="33">
        <f t="shared" si="452"/>
        <v>0</v>
      </c>
    </row>
    <row r="83" spans="1:56" ht="15" thickBot="1">
      <c r="A83" s="23">
        <f t="shared" si="458"/>
        <v>2028</v>
      </c>
      <c r="B83" s="18">
        <f t="shared" si="453"/>
        <v>1433.9908937210137</v>
      </c>
      <c r="C83" s="18">
        <f t="shared" si="424"/>
        <v>0.20333779810063307</v>
      </c>
      <c r="D83" s="18">
        <f t="shared" si="425"/>
        <v>6.4855302080881277E-2</v>
      </c>
      <c r="E83" s="18">
        <f t="shared" si="426"/>
        <v>3.4013322170419545E-2</v>
      </c>
      <c r="F83" s="18">
        <f t="shared" si="427"/>
        <v>0</v>
      </c>
      <c r="G83" s="18">
        <f t="shared" si="428"/>
        <v>0</v>
      </c>
      <c r="H83" s="18">
        <f t="shared" si="429"/>
        <v>0</v>
      </c>
      <c r="J83" s="23">
        <f t="shared" si="459"/>
        <v>2028</v>
      </c>
      <c r="K83" s="45">
        <f t="shared" si="430"/>
        <v>2.9908937210137205</v>
      </c>
      <c r="L83" s="18">
        <f t="shared" si="454"/>
        <v>0.20333779810063307</v>
      </c>
      <c r="M83" s="18">
        <f t="shared" si="454"/>
        <v>6.4855302080881277E-2</v>
      </c>
      <c r="N83" s="18">
        <f t="shared" si="454"/>
        <v>3.4013322170419545E-2</v>
      </c>
      <c r="O83" s="18">
        <f t="shared" si="454"/>
        <v>0</v>
      </c>
      <c r="P83" s="18">
        <f t="shared" si="454"/>
        <v>0</v>
      </c>
      <c r="Q83" s="18">
        <f t="shared" si="454"/>
        <v>0</v>
      </c>
      <c r="S83" s="23">
        <f t="shared" si="460"/>
        <v>2028</v>
      </c>
      <c r="T83" s="33">
        <f t="shared" si="455"/>
        <v>1431</v>
      </c>
      <c r="U83" s="45">
        <f t="shared" ref="U83:Z83" si="465">C10+J10+Q10+X10+C25+J25+Q25+X25+X40+Q40+J40+C40</f>
        <v>0</v>
      </c>
      <c r="V83" s="45">
        <f t="shared" si="465"/>
        <v>0</v>
      </c>
      <c r="W83" s="45">
        <f t="shared" si="465"/>
        <v>0</v>
      </c>
      <c r="X83" s="45">
        <f t="shared" si="465"/>
        <v>0</v>
      </c>
      <c r="Y83" s="45">
        <f t="shared" si="465"/>
        <v>0</v>
      </c>
      <c r="Z83" s="45">
        <f t="shared" si="465"/>
        <v>0</v>
      </c>
      <c r="AE83" s="47">
        <f t="shared" si="462"/>
        <v>2028</v>
      </c>
      <c r="AF83" s="33">
        <f t="shared" si="457"/>
        <v>68695.746910284375</v>
      </c>
      <c r="AG83" s="33">
        <f t="shared" si="433"/>
        <v>9.7409558015876687</v>
      </c>
      <c r="AH83" s="33">
        <f t="shared" si="434"/>
        <v>3.1069119316214051</v>
      </c>
      <c r="AI83" s="33">
        <f t="shared" si="435"/>
        <v>1.6294179981394574</v>
      </c>
      <c r="AJ83" s="33">
        <f t="shared" si="436"/>
        <v>0</v>
      </c>
      <c r="AK83" s="33">
        <f t="shared" si="437"/>
        <v>0</v>
      </c>
      <c r="AL83" s="33">
        <f t="shared" si="438"/>
        <v>0</v>
      </c>
      <c r="AM83" s="44"/>
      <c r="AN83" s="47">
        <f t="shared" si="463"/>
        <v>2028</v>
      </c>
      <c r="AO83" s="33">
        <f t="shared" si="439"/>
        <v>143.27962541043186</v>
      </c>
      <c r="AP83" s="33">
        <f t="shared" si="440"/>
        <v>9.7409558015876687</v>
      </c>
      <c r="AQ83" s="33">
        <f t="shared" si="441"/>
        <v>3.1069119316214051</v>
      </c>
      <c r="AR83" s="33">
        <f t="shared" si="442"/>
        <v>1.6294179981394574</v>
      </c>
      <c r="AS83" s="33">
        <f t="shared" si="443"/>
        <v>0</v>
      </c>
      <c r="AT83" s="33">
        <f t="shared" si="444"/>
        <v>0</v>
      </c>
      <c r="AU83" s="33">
        <f t="shared" si="445"/>
        <v>0</v>
      </c>
      <c r="AV83" s="44"/>
      <c r="AW83" s="47">
        <f t="shared" si="464"/>
        <v>2028</v>
      </c>
      <c r="AX83" s="33">
        <f t="shared" si="446"/>
        <v>68552.467284873943</v>
      </c>
      <c r="AY83" s="33">
        <f t="shared" si="447"/>
        <v>0</v>
      </c>
      <c r="AZ83" s="33">
        <f t="shared" si="448"/>
        <v>0</v>
      </c>
      <c r="BA83" s="33">
        <f t="shared" si="449"/>
        <v>0</v>
      </c>
      <c r="BB83" s="33">
        <f t="shared" si="450"/>
        <v>0</v>
      </c>
      <c r="BC83" s="33">
        <f t="shared" si="451"/>
        <v>0</v>
      </c>
      <c r="BD83" s="33">
        <f t="shared" si="452"/>
        <v>0</v>
      </c>
    </row>
    <row r="84" spans="1:56" ht="15" thickBot="1">
      <c r="A84" s="23">
        <f t="shared" si="458"/>
        <v>2029</v>
      </c>
      <c r="B84" s="18">
        <f t="shared" si="453"/>
        <v>1436.0954869706318</v>
      </c>
      <c r="C84" s="18">
        <f t="shared" si="424"/>
        <v>0.78669504332071272</v>
      </c>
      <c r="D84" s="18">
        <f t="shared" si="425"/>
        <v>0.18971657734540637</v>
      </c>
      <c r="E84" s="18">
        <f t="shared" si="426"/>
        <v>0.39124122564655539</v>
      </c>
      <c r="F84" s="18">
        <f t="shared" si="427"/>
        <v>7.1261147613907905E-4</v>
      </c>
      <c r="G84" s="18">
        <f t="shared" si="428"/>
        <v>0</v>
      </c>
      <c r="H84" s="18">
        <f t="shared" si="429"/>
        <v>0</v>
      </c>
      <c r="J84" s="23">
        <f t="shared" si="459"/>
        <v>2029</v>
      </c>
      <c r="K84" s="45">
        <f t="shared" si="430"/>
        <v>5.0954869706316934</v>
      </c>
      <c r="L84" s="18">
        <f t="shared" si="454"/>
        <v>0.78669504332071272</v>
      </c>
      <c r="M84" s="18">
        <f t="shared" si="454"/>
        <v>0.18971657734540637</v>
      </c>
      <c r="N84" s="18">
        <f t="shared" si="454"/>
        <v>0.39124122564655539</v>
      </c>
      <c r="O84" s="18">
        <f t="shared" si="454"/>
        <v>7.1261147613907905E-4</v>
      </c>
      <c r="P84" s="18">
        <f t="shared" si="454"/>
        <v>0</v>
      </c>
      <c r="Q84" s="18">
        <f t="shared" si="454"/>
        <v>0</v>
      </c>
      <c r="S84" s="23">
        <f t="shared" si="460"/>
        <v>2029</v>
      </c>
      <c r="T84" s="33">
        <f t="shared" si="455"/>
        <v>1431</v>
      </c>
      <c r="U84" s="45">
        <f t="shared" ref="U84:Z84" si="466">C11+J11+Q11+X11+C26+J26+Q26+X26+X41+Q41+J41+C41</f>
        <v>0</v>
      </c>
      <c r="V84" s="45">
        <f t="shared" si="466"/>
        <v>0</v>
      </c>
      <c r="W84" s="45">
        <f t="shared" si="466"/>
        <v>0</v>
      </c>
      <c r="X84" s="45">
        <f t="shared" si="466"/>
        <v>0</v>
      </c>
      <c r="Y84" s="45">
        <f t="shared" si="466"/>
        <v>0</v>
      </c>
      <c r="Z84" s="45">
        <f t="shared" si="466"/>
        <v>0</v>
      </c>
      <c r="AE84" s="47">
        <f t="shared" si="462"/>
        <v>2029</v>
      </c>
      <c r="AF84" s="33">
        <f t="shared" si="457"/>
        <v>68796.568056260905</v>
      </c>
      <c r="AG84" s="33">
        <f t="shared" si="433"/>
        <v>37.686852704692974</v>
      </c>
      <c r="AH84" s="33">
        <f t="shared" si="434"/>
        <v>9.0884272969037223</v>
      </c>
      <c r="AI84" s="33">
        <f t="shared" si="435"/>
        <v>18.742523634961199</v>
      </c>
      <c r="AJ84" s="33">
        <f t="shared" si="436"/>
        <v>3.4137858074668022E-2</v>
      </c>
      <c r="AK84" s="33">
        <f t="shared" si="437"/>
        <v>0</v>
      </c>
      <c r="AL84" s="33">
        <f t="shared" si="438"/>
        <v>0</v>
      </c>
      <c r="AM84" s="44"/>
      <c r="AN84" s="47">
        <f t="shared" si="463"/>
        <v>2029</v>
      </c>
      <c r="AO84" s="33">
        <f t="shared" si="439"/>
        <v>244.1007713869536</v>
      </c>
      <c r="AP84" s="33">
        <f t="shared" si="440"/>
        <v>37.686852704692974</v>
      </c>
      <c r="AQ84" s="33">
        <f t="shared" si="441"/>
        <v>9.0884272969037223</v>
      </c>
      <c r="AR84" s="33">
        <f t="shared" si="442"/>
        <v>18.742523634961199</v>
      </c>
      <c r="AS84" s="33">
        <f t="shared" si="443"/>
        <v>3.4137858074668022E-2</v>
      </c>
      <c r="AT84" s="33">
        <f t="shared" si="444"/>
        <v>0</v>
      </c>
      <c r="AU84" s="33">
        <f t="shared" si="445"/>
        <v>0</v>
      </c>
      <c r="AV84" s="44"/>
      <c r="AW84" s="47">
        <f t="shared" si="464"/>
        <v>2029</v>
      </c>
      <c r="AX84" s="33">
        <f t="shared" si="446"/>
        <v>68552.467284873943</v>
      </c>
      <c r="AY84" s="33">
        <f t="shared" si="447"/>
        <v>0</v>
      </c>
      <c r="AZ84" s="33">
        <f t="shared" si="448"/>
        <v>0</v>
      </c>
      <c r="BA84" s="33">
        <f t="shared" si="449"/>
        <v>0</v>
      </c>
      <c r="BB84" s="33">
        <f t="shared" si="450"/>
        <v>0</v>
      </c>
      <c r="BC84" s="33">
        <f t="shared" si="451"/>
        <v>0</v>
      </c>
      <c r="BD84" s="33">
        <f t="shared" si="452"/>
        <v>0</v>
      </c>
    </row>
    <row r="85" spans="1:56" ht="15" thickBot="1">
      <c r="A85" s="23">
        <f t="shared" si="458"/>
        <v>2030</v>
      </c>
      <c r="B85" s="18">
        <f t="shared" si="453"/>
        <v>1440.9060337080671</v>
      </c>
      <c r="C85" s="18">
        <f t="shared" si="424"/>
        <v>2.195884915938211</v>
      </c>
      <c r="D85" s="18">
        <f t="shared" si="425"/>
        <v>0.45534318572029231</v>
      </c>
      <c r="E85" s="18">
        <f t="shared" si="426"/>
        <v>1.4655011316344022</v>
      </c>
      <c r="F85" s="18">
        <f t="shared" si="427"/>
        <v>4.4440971208678515E-2</v>
      </c>
      <c r="G85" s="18">
        <f t="shared" si="428"/>
        <v>0</v>
      </c>
      <c r="H85" s="18">
        <f t="shared" si="429"/>
        <v>0</v>
      </c>
      <c r="J85" s="23">
        <f t="shared" si="459"/>
        <v>2030</v>
      </c>
      <c r="K85" s="45">
        <f t="shared" si="430"/>
        <v>9.9060337080671754</v>
      </c>
      <c r="L85" s="18">
        <f t="shared" si="454"/>
        <v>2.195884915938211</v>
      </c>
      <c r="M85" s="18">
        <f t="shared" si="454"/>
        <v>0.45534318572029231</v>
      </c>
      <c r="N85" s="18">
        <f>E57+L57+S57+Z57+E72+L72+S72+Z72</f>
        <v>1.4655011316344022</v>
      </c>
      <c r="O85" s="18">
        <f t="shared" si="454"/>
        <v>4.4440971208678515E-2</v>
      </c>
      <c r="P85" s="18">
        <f t="shared" si="454"/>
        <v>0</v>
      </c>
      <c r="Q85" s="18">
        <f t="shared" si="454"/>
        <v>0</v>
      </c>
      <c r="S85" s="23">
        <f t="shared" si="460"/>
        <v>2030</v>
      </c>
      <c r="T85" s="33">
        <f t="shared" si="455"/>
        <v>1431</v>
      </c>
      <c r="U85" s="45">
        <f t="shared" ref="U85:Z85" si="467">C12+J12+Q12+X12+C27+J27+Q27+X27+X42+Q42+J42+C42</f>
        <v>0</v>
      </c>
      <c r="V85" s="45">
        <f t="shared" si="467"/>
        <v>0</v>
      </c>
      <c r="W85" s="45">
        <f t="shared" si="467"/>
        <v>0</v>
      </c>
      <c r="X85" s="45">
        <f t="shared" si="467"/>
        <v>0</v>
      </c>
      <c r="Y85" s="45">
        <f t="shared" si="467"/>
        <v>0</v>
      </c>
      <c r="Z85" s="45">
        <f t="shared" si="467"/>
        <v>0</v>
      </c>
      <c r="AE85" s="47">
        <f t="shared" si="462"/>
        <v>2030</v>
      </c>
      <c r="AF85" s="33">
        <f t="shared" si="457"/>
        <v>69027.01868368256</v>
      </c>
      <c r="AG85" s="33">
        <f t="shared" si="433"/>
        <v>105.19449955360055</v>
      </c>
      <c r="AH85" s="33">
        <f t="shared" si="434"/>
        <v>21.813346500685267</v>
      </c>
      <c r="AI85" s="33">
        <f t="shared" si="435"/>
        <v>70.205253935928098</v>
      </c>
      <c r="AJ85" s="33">
        <f t="shared" si="436"/>
        <v>2.1289575296233116</v>
      </c>
      <c r="AK85" s="33">
        <f t="shared" si="437"/>
        <v>0</v>
      </c>
      <c r="AL85" s="33">
        <f t="shared" si="438"/>
        <v>0</v>
      </c>
      <c r="AM85" s="44"/>
      <c r="AN85" s="47">
        <f t="shared" si="463"/>
        <v>2030</v>
      </c>
      <c r="AO85" s="33">
        <f t="shared" si="439"/>
        <v>474.55139880861884</v>
      </c>
      <c r="AP85" s="33">
        <f t="shared" si="440"/>
        <v>105.19449955360055</v>
      </c>
      <c r="AQ85" s="33">
        <f t="shared" si="441"/>
        <v>21.813346500685267</v>
      </c>
      <c r="AR85" s="33">
        <f t="shared" si="442"/>
        <v>70.205253935928098</v>
      </c>
      <c r="AS85" s="33">
        <f t="shared" si="443"/>
        <v>2.1289575296233116</v>
      </c>
      <c r="AT85" s="33">
        <f t="shared" si="444"/>
        <v>0</v>
      </c>
      <c r="AU85" s="33">
        <f t="shared" si="445"/>
        <v>0</v>
      </c>
      <c r="AV85" s="44"/>
      <c r="AW85" s="47">
        <f t="shared" si="464"/>
        <v>2030</v>
      </c>
      <c r="AX85" s="33">
        <f t="shared" si="446"/>
        <v>68552.467284873943</v>
      </c>
      <c r="AY85" s="33">
        <f t="shared" si="447"/>
        <v>0</v>
      </c>
      <c r="AZ85" s="33">
        <f t="shared" si="448"/>
        <v>0</v>
      </c>
      <c r="BA85" s="33">
        <f t="shared" si="449"/>
        <v>0</v>
      </c>
      <c r="BB85" s="33">
        <f t="shared" si="450"/>
        <v>0</v>
      </c>
      <c r="BC85" s="33">
        <f t="shared" si="451"/>
        <v>0</v>
      </c>
      <c r="BD85" s="33">
        <f t="shared" si="452"/>
        <v>0</v>
      </c>
    </row>
    <row r="86" spans="1:56" ht="15" thickBot="1">
      <c r="A86" s="23">
        <f t="shared" si="458"/>
        <v>2031</v>
      </c>
      <c r="B86" s="18">
        <f t="shared" si="453"/>
        <v>1450.8005248585387</v>
      </c>
      <c r="C86" s="18">
        <f t="shared" si="424"/>
        <v>4.6564365896852742</v>
      </c>
      <c r="D86" s="18">
        <f t="shared" si="425"/>
        <v>1.1124335769900382</v>
      </c>
      <c r="E86" s="18">
        <f t="shared" si="426"/>
        <v>3.430943410777711</v>
      </c>
      <c r="F86" s="18">
        <f t="shared" si="427"/>
        <v>0.30059058089260021</v>
      </c>
      <c r="G86" s="18">
        <f t="shared" si="428"/>
        <v>0</v>
      </c>
      <c r="H86" s="18">
        <f t="shared" si="429"/>
        <v>0</v>
      </c>
      <c r="J86" s="23">
        <f t="shared" si="459"/>
        <v>2031</v>
      </c>
      <c r="K86" s="45">
        <f t="shared" si="430"/>
        <v>19.800524858538648</v>
      </c>
      <c r="L86" s="18">
        <f t="shared" si="454"/>
        <v>4.6564365896852742</v>
      </c>
      <c r="M86" s="18">
        <f t="shared" si="454"/>
        <v>1.1124335769900382</v>
      </c>
      <c r="N86" s="18">
        <f t="shared" si="454"/>
        <v>3.430943410777711</v>
      </c>
      <c r="O86" s="18">
        <f t="shared" si="454"/>
        <v>0.30059058089260021</v>
      </c>
      <c r="P86" s="18">
        <f t="shared" si="454"/>
        <v>0</v>
      </c>
      <c r="Q86" s="18">
        <f t="shared" si="454"/>
        <v>0</v>
      </c>
      <c r="S86" s="23">
        <f t="shared" si="460"/>
        <v>2031</v>
      </c>
      <c r="T86" s="33">
        <f t="shared" ref="T86:T88" si="468">MIN($T$91,B13+I13+P13+W13+B28+I28+P28+W28+W43+P43+I43+B43)</f>
        <v>1431</v>
      </c>
      <c r="U86" s="45">
        <f t="shared" ref="U86:U88" si="469">C13+J13+Q13+X13+C28+J28+Q28+X28+X43+Q43+J43+C43</f>
        <v>0</v>
      </c>
      <c r="V86" s="45">
        <f t="shared" ref="V86:V88" si="470">D13+K13+R13+Y13+D28+K28+R28+Y28+Y43+R43+K43+D43</f>
        <v>0</v>
      </c>
      <c r="W86" s="45">
        <f t="shared" ref="W86:W88" si="471">E13+L13+S13+Z13+E28+L28+S28+Z28+Z43+S43+L43+E43</f>
        <v>0</v>
      </c>
      <c r="X86" s="45">
        <f t="shared" ref="X86:X88" si="472">F13+M13+T13+AA13+F28+M28+T28+AA28+AA43+T43+M43+F43</f>
        <v>0</v>
      </c>
      <c r="Y86" s="45">
        <f t="shared" ref="Y86:Y88" si="473">G13+N13+U13+AB13+G28+N28+U28+AB28+AB43+U43+N43+G43</f>
        <v>0</v>
      </c>
      <c r="Z86" s="45">
        <f t="shared" ref="Z86:Z88" si="474">H13+O13+V13+AC13+H28+O28+V28+AC28+AC43+V43+O43+H43</f>
        <v>0</v>
      </c>
      <c r="AE86" s="47">
        <f t="shared" si="462"/>
        <v>2031</v>
      </c>
      <c r="AF86" s="33">
        <f t="shared" si="457"/>
        <v>69501.017132944035</v>
      </c>
      <c r="AG86" s="33">
        <f t="shared" si="433"/>
        <v>223.0679363930746</v>
      </c>
      <c r="AH86" s="33">
        <f t="shared" si="434"/>
        <v>53.291451008528931</v>
      </c>
      <c r="AI86" s="33">
        <f t="shared" si="435"/>
        <v>164.3603325811271</v>
      </c>
      <c r="AJ86" s="33">
        <f t="shared" si="436"/>
        <v>14.399878380699672</v>
      </c>
      <c r="AK86" s="33">
        <f t="shared" si="437"/>
        <v>0</v>
      </c>
      <c r="AL86" s="33">
        <f t="shared" si="438"/>
        <v>0</v>
      </c>
      <c r="AM86" s="44"/>
      <c r="AN86" s="47">
        <f t="shared" si="463"/>
        <v>2031</v>
      </c>
      <c r="AO86" s="33">
        <f t="shared" si="439"/>
        <v>948.5498480700935</v>
      </c>
      <c r="AP86" s="33">
        <f t="shared" si="440"/>
        <v>223.0679363930746</v>
      </c>
      <c r="AQ86" s="33">
        <f t="shared" si="441"/>
        <v>53.291451008528931</v>
      </c>
      <c r="AR86" s="33">
        <f t="shared" si="442"/>
        <v>164.3603325811271</v>
      </c>
      <c r="AS86" s="33">
        <f t="shared" si="443"/>
        <v>14.399878380699672</v>
      </c>
      <c r="AT86" s="33">
        <f t="shared" si="444"/>
        <v>0</v>
      </c>
      <c r="AU86" s="33">
        <f t="shared" si="445"/>
        <v>0</v>
      </c>
      <c r="AV86" s="44"/>
      <c r="AW86" s="47">
        <f t="shared" si="464"/>
        <v>2031</v>
      </c>
      <c r="AX86" s="33">
        <f t="shared" si="446"/>
        <v>68552.467284873943</v>
      </c>
      <c r="AY86" s="33">
        <f t="shared" si="447"/>
        <v>0</v>
      </c>
      <c r="AZ86" s="33">
        <f t="shared" si="448"/>
        <v>0</v>
      </c>
      <c r="BA86" s="33">
        <f t="shared" si="449"/>
        <v>0</v>
      </c>
      <c r="BB86" s="33">
        <f t="shared" si="450"/>
        <v>0</v>
      </c>
      <c r="BC86" s="33">
        <f t="shared" si="451"/>
        <v>0</v>
      </c>
      <c r="BD86" s="33">
        <f t="shared" si="452"/>
        <v>0</v>
      </c>
    </row>
    <row r="87" spans="1:56" ht="15" thickBot="1">
      <c r="A87" s="23">
        <f t="shared" si="458"/>
        <v>2032</v>
      </c>
      <c r="B87" s="18">
        <f t="shared" si="453"/>
        <v>1475.3715927603052</v>
      </c>
      <c r="C87" s="18">
        <f t="shared" si="424"/>
        <v>8.8237802207582039</v>
      </c>
      <c r="D87" s="18">
        <f t="shared" si="425"/>
        <v>2.7701150308518661</v>
      </c>
      <c r="E87" s="18">
        <f t="shared" si="426"/>
        <v>6.8436735598932934</v>
      </c>
      <c r="F87" s="18">
        <f t="shared" si="427"/>
        <v>1.3259214411056308</v>
      </c>
      <c r="G87" s="18">
        <f t="shared" si="428"/>
        <v>0</v>
      </c>
      <c r="H87" s="18">
        <f t="shared" si="429"/>
        <v>0</v>
      </c>
      <c r="J87" s="23">
        <f t="shared" si="459"/>
        <v>2032</v>
      </c>
      <c r="K87" s="45">
        <f t="shared" ref="K87:Q87" si="475">B59+I59+P59+W59+B74+I74+P74+W74</f>
        <v>44.371592760305347</v>
      </c>
      <c r="L87" s="18">
        <f t="shared" si="475"/>
        <v>8.8237802207582039</v>
      </c>
      <c r="M87" s="18">
        <f t="shared" si="475"/>
        <v>2.7701150308518661</v>
      </c>
      <c r="N87" s="18">
        <f t="shared" si="475"/>
        <v>6.8436735598932934</v>
      </c>
      <c r="O87" s="18">
        <f t="shared" si="475"/>
        <v>1.3259214411056308</v>
      </c>
      <c r="P87" s="18">
        <f t="shared" si="475"/>
        <v>0</v>
      </c>
      <c r="Q87" s="18">
        <f t="shared" si="475"/>
        <v>0</v>
      </c>
      <c r="S87" s="23">
        <f t="shared" si="460"/>
        <v>2032</v>
      </c>
      <c r="T87" s="33">
        <f t="shared" si="468"/>
        <v>1431</v>
      </c>
      <c r="U87" s="45">
        <f t="shared" si="469"/>
        <v>0</v>
      </c>
      <c r="V87" s="45">
        <f t="shared" si="470"/>
        <v>0</v>
      </c>
      <c r="W87" s="45">
        <f t="shared" si="471"/>
        <v>0</v>
      </c>
      <c r="X87" s="45">
        <f t="shared" si="472"/>
        <v>0</v>
      </c>
      <c r="Y87" s="45">
        <f t="shared" si="473"/>
        <v>0</v>
      </c>
      <c r="Z87" s="45">
        <f t="shared" si="474"/>
        <v>0</v>
      </c>
      <c r="AE87" s="47">
        <f t="shared" si="462"/>
        <v>2032</v>
      </c>
      <c r="AF87" s="33">
        <f t="shared" si="457"/>
        <v>70678.10121993933</v>
      </c>
      <c r="AG87" s="33">
        <f t="shared" si="433"/>
        <v>422.7057336914358</v>
      </c>
      <c r="AH87" s="33">
        <f t="shared" si="434"/>
        <v>132.70315864976249</v>
      </c>
      <c r="AI87" s="33">
        <f t="shared" si="435"/>
        <v>327.84815361491394</v>
      </c>
      <c r="AJ87" s="33">
        <f t="shared" si="436"/>
        <v>63.518648646894952</v>
      </c>
      <c r="AK87" s="33">
        <f t="shared" si="437"/>
        <v>0</v>
      </c>
      <c r="AL87" s="33">
        <f t="shared" si="438"/>
        <v>0</v>
      </c>
      <c r="AM87" s="44"/>
      <c r="AN87" s="47">
        <f t="shared" si="463"/>
        <v>2032</v>
      </c>
      <c r="AO87" s="33">
        <f t="shared" si="439"/>
        <v>2125.6339350653961</v>
      </c>
      <c r="AP87" s="33">
        <f t="shared" si="440"/>
        <v>422.7057336914358</v>
      </c>
      <c r="AQ87" s="33">
        <f t="shared" si="441"/>
        <v>132.70315864976249</v>
      </c>
      <c r="AR87" s="33">
        <f t="shared" si="442"/>
        <v>327.84815361491394</v>
      </c>
      <c r="AS87" s="33">
        <f t="shared" si="443"/>
        <v>63.518648646894952</v>
      </c>
      <c r="AT87" s="33">
        <f t="shared" si="444"/>
        <v>0</v>
      </c>
      <c r="AU87" s="33">
        <f t="shared" si="445"/>
        <v>0</v>
      </c>
      <c r="AV87" s="44"/>
      <c r="AW87" s="47">
        <f t="shared" si="464"/>
        <v>2032</v>
      </c>
      <c r="AX87" s="33">
        <f t="shared" si="446"/>
        <v>68552.467284873943</v>
      </c>
      <c r="AY87" s="33">
        <f t="shared" si="447"/>
        <v>0</v>
      </c>
      <c r="AZ87" s="33">
        <f t="shared" si="448"/>
        <v>0</v>
      </c>
      <c r="BA87" s="33">
        <f t="shared" si="449"/>
        <v>0</v>
      </c>
      <c r="BB87" s="33">
        <f t="shared" si="450"/>
        <v>0</v>
      </c>
      <c r="BC87" s="33">
        <f t="shared" si="451"/>
        <v>0</v>
      </c>
      <c r="BD87" s="33">
        <f t="shared" si="452"/>
        <v>0</v>
      </c>
    </row>
    <row r="88" spans="1:56" ht="15" thickBot="1">
      <c r="A88" s="23">
        <f t="shared" si="458"/>
        <v>2033</v>
      </c>
      <c r="B88" s="18">
        <f t="shared" si="453"/>
        <v>1539.0558840574909</v>
      </c>
      <c r="C88" s="18">
        <f t="shared" si="424"/>
        <v>3.05519525739793</v>
      </c>
      <c r="D88" s="18">
        <f t="shared" si="425"/>
        <v>6.1963204927101403</v>
      </c>
      <c r="E88" s="18">
        <f t="shared" si="426"/>
        <v>11.872562296777328</v>
      </c>
      <c r="F88" s="18">
        <f t="shared" si="427"/>
        <v>3.8007457256747021</v>
      </c>
      <c r="G88" s="18">
        <f t="shared" si="428"/>
        <v>0</v>
      </c>
      <c r="H88" s="18">
        <f t="shared" si="429"/>
        <v>0</v>
      </c>
      <c r="J88" s="23">
        <f t="shared" si="459"/>
        <v>2033</v>
      </c>
      <c r="K88" s="33">
        <f t="shared" ref="K88:Q88" si="476">B60+I60+P60+W60+B75+I75+P75+W75</f>
        <v>108.05588405749096</v>
      </c>
      <c r="L88" s="18">
        <f t="shared" si="476"/>
        <v>3.05519525739793</v>
      </c>
      <c r="M88" s="18">
        <f t="shared" si="476"/>
        <v>6.1963204927101403</v>
      </c>
      <c r="N88" s="18">
        <f t="shared" si="476"/>
        <v>11.872562296777328</v>
      </c>
      <c r="O88" s="18">
        <f t="shared" si="476"/>
        <v>3.8007457256747021</v>
      </c>
      <c r="P88" s="18">
        <f t="shared" si="476"/>
        <v>0</v>
      </c>
      <c r="Q88" s="18">
        <f t="shared" si="476"/>
        <v>0</v>
      </c>
      <c r="S88" s="23">
        <f t="shared" si="460"/>
        <v>2033</v>
      </c>
      <c r="T88" s="33">
        <f t="shared" si="468"/>
        <v>1431</v>
      </c>
      <c r="U88" s="45">
        <f t="shared" si="469"/>
        <v>0</v>
      </c>
      <c r="V88" s="45">
        <f t="shared" si="470"/>
        <v>0</v>
      </c>
      <c r="W88" s="45">
        <f t="shared" si="471"/>
        <v>0</v>
      </c>
      <c r="X88" s="45">
        <f t="shared" si="472"/>
        <v>0</v>
      </c>
      <c r="Y88" s="45">
        <f t="shared" si="473"/>
        <v>0</v>
      </c>
      <c r="Z88" s="45">
        <f t="shared" si="474"/>
        <v>0</v>
      </c>
      <c r="AE88" s="47">
        <f t="shared" si="462"/>
        <v>2033</v>
      </c>
      <c r="AF88" s="33">
        <f t="shared" si="457"/>
        <v>73728.915542588322</v>
      </c>
      <c r="AG88" s="33">
        <f t="shared" si="433"/>
        <v>146.36000903680898</v>
      </c>
      <c r="AH88" s="33">
        <f t="shared" si="434"/>
        <v>296.83651842285531</v>
      </c>
      <c r="AI88" s="33">
        <f t="shared" si="435"/>
        <v>568.75851742659381</v>
      </c>
      <c r="AJ88" s="33">
        <f t="shared" si="436"/>
        <v>182.07581901987385</v>
      </c>
      <c r="AK88" s="33">
        <f t="shared" si="437"/>
        <v>0</v>
      </c>
      <c r="AL88" s="33">
        <f t="shared" si="438"/>
        <v>0</v>
      </c>
      <c r="AM88" s="44"/>
      <c r="AN88" s="47">
        <f t="shared" si="463"/>
        <v>2033</v>
      </c>
      <c r="AO88" s="33">
        <f t="shared" si="439"/>
        <v>5176.4482577143826</v>
      </c>
      <c r="AP88" s="33">
        <f t="shared" si="440"/>
        <v>146.36000903680898</v>
      </c>
      <c r="AQ88" s="33">
        <f t="shared" si="441"/>
        <v>296.83651842285531</v>
      </c>
      <c r="AR88" s="33">
        <f t="shared" si="442"/>
        <v>568.75851742659381</v>
      </c>
      <c r="AS88" s="33">
        <f t="shared" si="443"/>
        <v>182.07581901987385</v>
      </c>
      <c r="AT88" s="33">
        <f t="shared" si="444"/>
        <v>0</v>
      </c>
      <c r="AU88" s="33">
        <f t="shared" si="445"/>
        <v>0</v>
      </c>
      <c r="AV88" s="44"/>
      <c r="AW88" s="47">
        <f t="shared" si="464"/>
        <v>2033</v>
      </c>
      <c r="AX88" s="33">
        <f t="shared" si="446"/>
        <v>68552.467284873943</v>
      </c>
      <c r="AY88" s="33">
        <f t="shared" si="447"/>
        <v>0</v>
      </c>
      <c r="AZ88" s="33">
        <f t="shared" si="448"/>
        <v>0</v>
      </c>
      <c r="BA88" s="33">
        <f t="shared" si="449"/>
        <v>0</v>
      </c>
      <c r="BB88" s="33">
        <f t="shared" si="450"/>
        <v>0</v>
      </c>
      <c r="BC88" s="33">
        <f t="shared" si="451"/>
        <v>0</v>
      </c>
      <c r="BD88" s="33">
        <f t="shared" si="452"/>
        <v>0</v>
      </c>
    </row>
    <row r="89" spans="1:56" ht="15" thickBot="1">
      <c r="A89" s="23">
        <f t="shared" si="458"/>
        <v>2034</v>
      </c>
      <c r="B89" s="18">
        <f t="shared" si="453"/>
        <v>255.01590321268623</v>
      </c>
      <c r="C89" s="18">
        <f t="shared" si="424"/>
        <v>4.4740209295886197</v>
      </c>
      <c r="D89" s="18">
        <f t="shared" si="425"/>
        <v>11.878748540685038</v>
      </c>
      <c r="E89" s="18">
        <f t="shared" si="426"/>
        <v>18.478250982007253</v>
      </c>
      <c r="F89" s="18">
        <f t="shared" si="427"/>
        <v>8.139147191422289</v>
      </c>
      <c r="G89" s="18">
        <f t="shared" si="428"/>
        <v>0</v>
      </c>
      <c r="H89" s="18">
        <f t="shared" si="429"/>
        <v>0</v>
      </c>
      <c r="J89" s="23">
        <f t="shared" si="459"/>
        <v>2034</v>
      </c>
      <c r="K89" s="33">
        <f t="shared" ref="K89:Q89" si="477">B61+I61+P61+W61+B76+I76+P76+W76</f>
        <v>255.01590321268623</v>
      </c>
      <c r="L89" s="18">
        <f>C61+J61+Q61+X61+C76+J76+Q76+X76</f>
        <v>4.4740209295886197</v>
      </c>
      <c r="M89" s="18">
        <f t="shared" si="477"/>
        <v>11.878748540685038</v>
      </c>
      <c r="N89" s="18">
        <f t="shared" si="477"/>
        <v>18.478250982007253</v>
      </c>
      <c r="O89" s="18">
        <f t="shared" si="477"/>
        <v>8.139147191422289</v>
      </c>
      <c r="P89" s="18">
        <f t="shared" si="477"/>
        <v>0</v>
      </c>
      <c r="Q89" s="18">
        <f t="shared" si="477"/>
        <v>0</v>
      </c>
      <c r="S89" s="23">
        <f t="shared" si="460"/>
        <v>2034</v>
      </c>
      <c r="T89" s="48"/>
      <c r="U89" s="48"/>
      <c r="V89" s="48"/>
      <c r="W89" s="48"/>
      <c r="X89" s="48"/>
      <c r="Y89" s="48"/>
      <c r="Z89" s="48"/>
      <c r="AE89" s="47">
        <f t="shared" si="462"/>
        <v>2034</v>
      </c>
      <c r="AF89" s="33">
        <f t="shared" si="457"/>
        <v>12216.610315940079</v>
      </c>
      <c r="AG89" s="33">
        <f t="shared" si="433"/>
        <v>214.3292616404369</v>
      </c>
      <c r="AH89" s="33">
        <f t="shared" si="434"/>
        <v>569.05487122330896</v>
      </c>
      <c r="AI89" s="33">
        <f t="shared" si="435"/>
        <v>885.20593705502597</v>
      </c>
      <c r="AJ89" s="33">
        <f t="shared" si="436"/>
        <v>389.90819117173316</v>
      </c>
      <c r="AK89" s="33">
        <f t="shared" si="437"/>
        <v>0</v>
      </c>
      <c r="AL89" s="33">
        <f t="shared" si="438"/>
        <v>0</v>
      </c>
      <c r="AM89" s="44"/>
      <c r="AN89" s="47">
        <f t="shared" si="463"/>
        <v>2034</v>
      </c>
      <c r="AO89" s="33">
        <f t="shared" si="439"/>
        <v>12216.610315940079</v>
      </c>
      <c r="AP89" s="33">
        <f>L89*$H$1/1000</f>
        <v>214.3292616404369</v>
      </c>
      <c r="AQ89" s="33">
        <f t="shared" si="441"/>
        <v>569.05487122330896</v>
      </c>
      <c r="AR89" s="33">
        <f t="shared" si="442"/>
        <v>885.20593705502597</v>
      </c>
      <c r="AS89" s="33">
        <f t="shared" si="443"/>
        <v>389.90819117173316</v>
      </c>
      <c r="AT89" s="33">
        <f t="shared" si="444"/>
        <v>0</v>
      </c>
      <c r="AU89" s="33">
        <f t="shared" si="445"/>
        <v>0</v>
      </c>
      <c r="AV89" s="44"/>
      <c r="AW89" s="47">
        <f t="shared" si="464"/>
        <v>2034</v>
      </c>
      <c r="AX89" s="33">
        <f t="shared" si="446"/>
        <v>0</v>
      </c>
      <c r="AY89" s="33">
        <f t="shared" si="447"/>
        <v>0</v>
      </c>
      <c r="AZ89" s="33">
        <f t="shared" si="448"/>
        <v>0</v>
      </c>
      <c r="BA89" s="33">
        <f t="shared" si="449"/>
        <v>0</v>
      </c>
      <c r="BB89" s="33">
        <f t="shared" si="450"/>
        <v>0</v>
      </c>
      <c r="BC89" s="33">
        <f t="shared" si="451"/>
        <v>0</v>
      </c>
      <c r="BD89" s="33">
        <f t="shared" si="452"/>
        <v>0</v>
      </c>
    </row>
    <row r="91" spans="1:56">
      <c r="S91" t="s">
        <v>180</v>
      </c>
      <c r="T91" s="10">
        <v>1431</v>
      </c>
      <c r="U91" t="s">
        <v>181</v>
      </c>
    </row>
  </sheetData>
  <mergeCells count="40">
    <mergeCell ref="AF5:AL5"/>
    <mergeCell ref="AF20:AL20"/>
    <mergeCell ref="AF35:AL35"/>
    <mergeCell ref="AF50:AL50"/>
    <mergeCell ref="AF65:AL65"/>
    <mergeCell ref="AM65:AS65"/>
    <mergeCell ref="AT65:AZ65"/>
    <mergeCell ref="BA65:BG65"/>
    <mergeCell ref="AM5:AS5"/>
    <mergeCell ref="AT5:AZ5"/>
    <mergeCell ref="BA5:BG5"/>
    <mergeCell ref="AM50:AS50"/>
    <mergeCell ref="AT50:AZ50"/>
    <mergeCell ref="BA50:BG50"/>
    <mergeCell ref="AM20:AS20"/>
    <mergeCell ref="AT20:AZ20"/>
    <mergeCell ref="BA20:BG20"/>
    <mergeCell ref="AM35:AS35"/>
    <mergeCell ref="AT35:AZ35"/>
    <mergeCell ref="BA35:BG35"/>
    <mergeCell ref="P50:V50"/>
    <mergeCell ref="W50:AC50"/>
    <mergeCell ref="B65:H65"/>
    <mergeCell ref="I65:O65"/>
    <mergeCell ref="P65:V65"/>
    <mergeCell ref="W65:AC65"/>
    <mergeCell ref="B50:H50"/>
    <mergeCell ref="I50:O50"/>
    <mergeCell ref="B35:H35"/>
    <mergeCell ref="I35:O35"/>
    <mergeCell ref="P35:V35"/>
    <mergeCell ref="W35:AC35"/>
    <mergeCell ref="B5:H5"/>
    <mergeCell ref="I5:O5"/>
    <mergeCell ref="P5:V5"/>
    <mergeCell ref="W5:AC5"/>
    <mergeCell ref="B20:H20"/>
    <mergeCell ref="I20:O20"/>
    <mergeCell ref="P20:V20"/>
    <mergeCell ref="W20:AC20"/>
  </mergeCells>
  <pageMargins left="0.7" right="0.7" top="0.75" bottom="0.75" header="0.3" footer="0.3"/>
  <pageSetup paperSize="9" orientation="portrait" horizontalDpi="0" verticalDpi="0" r:id="rId1"/>
  <customProperties>
    <customPr name="_pios_id" r:id="rId2"/>
    <customPr name="EpmWorksheetKeyString_GUID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0262D-E46F-4434-AE73-22B7B23881CF}">
  <sheetPr>
    <tabColor rgb="FFFF0000"/>
  </sheetPr>
  <dimension ref="A1:Z60"/>
  <sheetViews>
    <sheetView zoomScale="25" zoomScaleNormal="25" workbookViewId="0">
      <selection activeCell="H28" sqref="H28"/>
    </sheetView>
  </sheetViews>
  <sheetFormatPr defaultRowHeight="14.45"/>
  <cols>
    <col min="3" max="3" width="16" bestFit="1" customWidth="1"/>
    <col min="9" max="9" width="9.28515625" customWidth="1"/>
  </cols>
  <sheetData>
    <row r="1" spans="1:26">
      <c r="A1" s="14" t="s">
        <v>182</v>
      </c>
      <c r="E1" t="s">
        <v>183</v>
      </c>
      <c r="G1" s="115">
        <v>20</v>
      </c>
      <c r="H1" t="s">
        <v>154</v>
      </c>
    </row>
    <row r="4" spans="1:26">
      <c r="A4" s="14" t="s">
        <v>184</v>
      </c>
      <c r="D4" s="14" t="s">
        <v>158</v>
      </c>
      <c r="E4" s="173" t="s">
        <v>185</v>
      </c>
      <c r="F4" s="173"/>
      <c r="G4" s="173"/>
      <c r="H4" s="173"/>
      <c r="I4" s="173"/>
      <c r="J4" s="173"/>
      <c r="L4" s="14" t="s">
        <v>158</v>
      </c>
      <c r="M4" s="173" t="s">
        <v>186</v>
      </c>
      <c r="N4" s="173"/>
      <c r="O4" s="173"/>
      <c r="P4" s="173"/>
      <c r="Q4" s="173"/>
      <c r="R4" s="173"/>
      <c r="T4" s="14" t="s">
        <v>158</v>
      </c>
      <c r="U4" s="173" t="s">
        <v>187</v>
      </c>
      <c r="V4" s="173"/>
      <c r="W4" s="173"/>
      <c r="X4" s="173"/>
      <c r="Y4" s="173"/>
      <c r="Z4" s="173"/>
    </row>
    <row r="5" spans="1:26">
      <c r="B5" t="s">
        <v>188</v>
      </c>
      <c r="C5" t="s">
        <v>189</v>
      </c>
      <c r="D5" s="14">
        <v>1</v>
      </c>
      <c r="E5" s="14">
        <v>2</v>
      </c>
      <c r="F5" s="14">
        <v>3</v>
      </c>
      <c r="G5" s="14">
        <v>4</v>
      </c>
      <c r="H5" s="14">
        <v>5</v>
      </c>
      <c r="I5" s="14">
        <v>6</v>
      </c>
      <c r="J5" s="14">
        <v>7</v>
      </c>
      <c r="L5" s="14">
        <v>1</v>
      </c>
      <c r="M5" s="14">
        <v>2</v>
      </c>
      <c r="N5" s="14">
        <v>3</v>
      </c>
      <c r="O5" s="14">
        <v>4</v>
      </c>
      <c r="P5" s="14">
        <v>5</v>
      </c>
      <c r="Q5" s="14">
        <v>6</v>
      </c>
      <c r="R5" s="14">
        <v>7</v>
      </c>
      <c r="T5" s="14">
        <v>1</v>
      </c>
      <c r="U5" s="14">
        <v>2</v>
      </c>
      <c r="V5" s="14">
        <v>3</v>
      </c>
      <c r="W5" s="14">
        <v>4</v>
      </c>
      <c r="X5" s="14">
        <v>5</v>
      </c>
      <c r="Y5" s="14">
        <v>6</v>
      </c>
      <c r="Z5" s="14">
        <v>7</v>
      </c>
    </row>
    <row r="6" spans="1:26">
      <c r="D6" s="15"/>
      <c r="E6" s="15"/>
      <c r="F6" s="15"/>
      <c r="G6" s="15"/>
      <c r="H6" s="15"/>
      <c r="I6" s="15"/>
      <c r="J6" s="15"/>
      <c r="L6" s="15"/>
      <c r="M6" s="15"/>
      <c r="N6" s="15"/>
      <c r="O6" s="15"/>
      <c r="P6" s="15"/>
      <c r="Q6" s="15"/>
      <c r="R6" s="15"/>
      <c r="T6" s="15"/>
      <c r="U6" s="15"/>
      <c r="V6" s="15"/>
      <c r="W6" s="15"/>
      <c r="X6" s="15"/>
      <c r="Y6" s="15"/>
      <c r="Z6" s="15"/>
    </row>
    <row r="7" spans="1:26" s="14" customFormat="1">
      <c r="C7" s="116" t="s">
        <v>190</v>
      </c>
      <c r="D7" s="117">
        <v>0</v>
      </c>
      <c r="E7" s="117">
        <v>44.913052715014608</v>
      </c>
      <c r="F7" s="117">
        <v>56.255835088162641</v>
      </c>
      <c r="G7" s="117">
        <v>0</v>
      </c>
      <c r="H7" s="117">
        <v>0</v>
      </c>
      <c r="I7" s="117">
        <v>0</v>
      </c>
      <c r="J7" s="117">
        <v>0</v>
      </c>
      <c r="L7" s="117">
        <v>0</v>
      </c>
      <c r="M7" s="117">
        <v>6.7054881239366484</v>
      </c>
      <c r="N7" s="117">
        <v>8.3958369406547497</v>
      </c>
      <c r="O7" s="117">
        <v>0</v>
      </c>
      <c r="P7" s="117">
        <v>0</v>
      </c>
      <c r="Q7" s="117">
        <v>0</v>
      </c>
      <c r="R7" s="117">
        <v>0</v>
      </c>
      <c r="T7" s="117">
        <v>496.36573292909361</v>
      </c>
      <c r="U7" s="117">
        <v>7.2906489891215926</v>
      </c>
      <c r="V7" s="117">
        <v>5.4211244955669731</v>
      </c>
      <c r="W7" s="117">
        <v>2.8075520851994242</v>
      </c>
      <c r="X7" s="117">
        <v>1.8690572072806724</v>
      </c>
      <c r="Y7" s="117">
        <v>1.4430838965808928</v>
      </c>
      <c r="Z7" s="117">
        <v>1.4430838965808928</v>
      </c>
    </row>
    <row r="8" spans="1:26" s="13" customFormat="1">
      <c r="C8" s="118" t="s">
        <v>191</v>
      </c>
      <c r="D8" s="119">
        <v>0</v>
      </c>
      <c r="E8" s="119">
        <v>49.177999999999997</v>
      </c>
      <c r="F8" s="119">
        <v>61.676000000000002</v>
      </c>
      <c r="G8" s="119">
        <v>0</v>
      </c>
      <c r="H8" s="119">
        <v>0</v>
      </c>
      <c r="I8" s="119">
        <v>0</v>
      </c>
      <c r="J8" s="119">
        <v>0</v>
      </c>
      <c r="L8" s="119">
        <v>0</v>
      </c>
      <c r="M8" s="119">
        <v>8.8933299999999988</v>
      </c>
      <c r="N8" s="119">
        <v>11.107950000000001</v>
      </c>
      <c r="O8" s="119">
        <v>0</v>
      </c>
      <c r="P8" s="119">
        <v>0</v>
      </c>
      <c r="Q8" s="119">
        <v>0</v>
      </c>
      <c r="R8" s="119">
        <v>0</v>
      </c>
      <c r="T8" s="119">
        <v>642.55231784321325</v>
      </c>
      <c r="U8" s="119">
        <v>8.3903641034424457</v>
      </c>
      <c r="V8" s="119">
        <v>5.9570062898235285</v>
      </c>
      <c r="W8" s="119">
        <v>3.4798340328275827</v>
      </c>
      <c r="X8" s="119">
        <v>2.0951495291877924</v>
      </c>
      <c r="Y8" s="119">
        <v>1.4430838965808928</v>
      </c>
      <c r="Z8" s="119">
        <v>1.4430838965808928</v>
      </c>
    </row>
    <row r="9" spans="1:26">
      <c r="A9">
        <v>0</v>
      </c>
      <c r="B9" s="115">
        <v>2025</v>
      </c>
      <c r="C9">
        <v>1</v>
      </c>
      <c r="D9" s="15">
        <v>0</v>
      </c>
      <c r="E9" s="120">
        <v>2.9509999999999996</v>
      </c>
      <c r="F9" s="120">
        <v>2.9509999999999996</v>
      </c>
      <c r="G9" s="120"/>
      <c r="H9" s="120"/>
      <c r="I9" s="120"/>
      <c r="J9" s="120"/>
      <c r="L9" s="15">
        <v>0</v>
      </c>
      <c r="M9" s="120">
        <v>0</v>
      </c>
      <c r="N9" s="120">
        <v>0</v>
      </c>
      <c r="O9" s="120">
        <v>0</v>
      </c>
      <c r="P9" s="120">
        <v>0</v>
      </c>
      <c r="Q9" s="120">
        <v>0</v>
      </c>
      <c r="R9" s="120">
        <v>0</v>
      </c>
      <c r="T9" s="121">
        <v>1.4430838965808928</v>
      </c>
      <c r="U9" s="121">
        <v>1.4430838965808928</v>
      </c>
      <c r="V9" s="121">
        <v>1.4430838965808928</v>
      </c>
      <c r="W9" s="121">
        <v>1.4430838965808928</v>
      </c>
      <c r="X9" s="121">
        <v>1.4430838965808928</v>
      </c>
      <c r="Y9" s="121">
        <v>1.4430838965808928</v>
      </c>
      <c r="Z9" s="121">
        <v>1.4430838965808928</v>
      </c>
    </row>
    <row r="10" spans="1:26">
      <c r="A10">
        <v>1</v>
      </c>
      <c r="B10">
        <v>2026</v>
      </c>
      <c r="C10" s="20">
        <v>0.95075109336375729</v>
      </c>
      <c r="D10" s="15"/>
      <c r="E10" s="120">
        <v>38.226999999999997</v>
      </c>
      <c r="F10" s="120">
        <v>50.725000000000001</v>
      </c>
      <c r="G10" s="120"/>
      <c r="H10" s="120"/>
      <c r="I10" s="120"/>
      <c r="J10" s="120"/>
      <c r="L10" s="15"/>
      <c r="M10" s="120">
        <v>2.9509999999999998E-2</v>
      </c>
      <c r="N10" s="120">
        <v>2.9509999999999998E-2</v>
      </c>
      <c r="O10" s="120">
        <v>0</v>
      </c>
      <c r="P10" s="120">
        <v>0</v>
      </c>
      <c r="Q10" s="120">
        <v>0</v>
      </c>
      <c r="R10" s="120">
        <v>0</v>
      </c>
      <c r="T10" s="121">
        <v>5.4549151858958718</v>
      </c>
      <c r="U10" s="121">
        <v>3.425226045941244</v>
      </c>
      <c r="V10" s="121">
        <v>3.425226045941244</v>
      </c>
      <c r="W10" s="121">
        <v>0</v>
      </c>
      <c r="X10" s="121">
        <v>0</v>
      </c>
      <c r="Y10" s="121">
        <v>0</v>
      </c>
      <c r="Z10" s="121">
        <v>0</v>
      </c>
    </row>
    <row r="11" spans="1:26">
      <c r="A11">
        <v>2</v>
      </c>
      <c r="B11">
        <v>2027</v>
      </c>
      <c r="C11" s="20">
        <v>0.90392764153237992</v>
      </c>
      <c r="D11" s="15"/>
      <c r="E11" s="120">
        <v>0</v>
      </c>
      <c r="F11" s="120">
        <v>0</v>
      </c>
      <c r="G11" s="120"/>
      <c r="H11" s="120"/>
      <c r="I11" s="120"/>
      <c r="J11" s="120"/>
      <c r="L11" s="15"/>
      <c r="M11" s="120">
        <v>0.41177999999999998</v>
      </c>
      <c r="N11" s="120">
        <v>0.53676000000000001</v>
      </c>
      <c r="O11" s="120">
        <v>0</v>
      </c>
      <c r="P11" s="120">
        <v>0</v>
      </c>
      <c r="Q11" s="120">
        <v>0</v>
      </c>
      <c r="R11" s="120">
        <v>0</v>
      </c>
      <c r="T11" s="121">
        <v>68.627627423755968</v>
      </c>
      <c r="U11" s="121">
        <v>5.3470340538649686E-3</v>
      </c>
      <c r="V11" s="121">
        <v>2.8016622677248691E-3</v>
      </c>
      <c r="W11" s="121">
        <v>0</v>
      </c>
      <c r="X11" s="121">
        <v>0</v>
      </c>
      <c r="Y11" s="121">
        <v>0</v>
      </c>
      <c r="Z11" s="121">
        <v>0</v>
      </c>
    </row>
    <row r="12" spans="1:26">
      <c r="A12">
        <v>3</v>
      </c>
      <c r="B12">
        <v>2028</v>
      </c>
      <c r="C12" s="20">
        <v>0.85941019350863268</v>
      </c>
      <c r="D12" s="15"/>
      <c r="E12" s="120">
        <v>0</v>
      </c>
      <c r="F12" s="120">
        <v>0</v>
      </c>
      <c r="G12" s="120"/>
      <c r="H12" s="120"/>
      <c r="I12" s="120"/>
      <c r="J12" s="120"/>
      <c r="L12" s="15"/>
      <c r="M12" s="120">
        <v>0.41177999999999998</v>
      </c>
      <c r="N12" s="120">
        <v>0.53676000000000001</v>
      </c>
      <c r="O12" s="120">
        <v>0</v>
      </c>
      <c r="P12" s="120">
        <v>0</v>
      </c>
      <c r="Q12" s="120">
        <v>0</v>
      </c>
      <c r="R12" s="120">
        <v>0</v>
      </c>
      <c r="T12" s="121">
        <v>68.69574691028437</v>
      </c>
      <c r="U12" s="121">
        <v>9.7409558015876686E-3</v>
      </c>
      <c r="V12" s="121">
        <v>3.106911931621405E-3</v>
      </c>
      <c r="W12" s="121">
        <v>1.6294179981394573E-3</v>
      </c>
      <c r="X12" s="121">
        <v>0</v>
      </c>
      <c r="Y12" s="121">
        <v>0</v>
      </c>
      <c r="Z12" s="121">
        <v>0</v>
      </c>
    </row>
    <row r="13" spans="1:26">
      <c r="A13">
        <v>4</v>
      </c>
      <c r="B13">
        <v>2029</v>
      </c>
      <c r="C13" s="20">
        <v>0.8170851811262908</v>
      </c>
      <c r="D13" s="15"/>
      <c r="E13" s="120">
        <v>0</v>
      </c>
      <c r="F13" s="120">
        <v>0</v>
      </c>
      <c r="G13" s="120"/>
      <c r="H13" s="120"/>
      <c r="I13" s="120"/>
      <c r="J13" s="120"/>
      <c r="L13" s="15"/>
      <c r="M13" s="120">
        <v>0.41177999999999998</v>
      </c>
      <c r="N13" s="120">
        <v>0.53676000000000001</v>
      </c>
      <c r="O13" s="120">
        <v>0</v>
      </c>
      <c r="P13" s="120">
        <v>0</v>
      </c>
      <c r="Q13" s="120">
        <v>0</v>
      </c>
      <c r="R13" s="120">
        <v>0</v>
      </c>
      <c r="T13" s="121">
        <v>68.796568056260909</v>
      </c>
      <c r="U13" s="121">
        <v>3.7686852704692977E-2</v>
      </c>
      <c r="V13" s="121">
        <v>9.0884272969037217E-3</v>
      </c>
      <c r="W13" s="121">
        <v>1.8742523634961199E-2</v>
      </c>
      <c r="X13" s="121">
        <v>3.4137858074668023E-5</v>
      </c>
      <c r="Y13" s="121">
        <v>0</v>
      </c>
      <c r="Z13" s="121">
        <v>0</v>
      </c>
    </row>
    <row r="14" spans="1:26">
      <c r="A14">
        <v>5</v>
      </c>
      <c r="B14">
        <v>2030</v>
      </c>
      <c r="C14" s="20">
        <v>0.77684462932714471</v>
      </c>
      <c r="D14" s="15"/>
      <c r="E14" s="120">
        <v>0</v>
      </c>
      <c r="F14" s="120">
        <v>0</v>
      </c>
      <c r="G14" s="120"/>
      <c r="H14" s="120"/>
      <c r="I14" s="120"/>
      <c r="J14" s="120"/>
      <c r="L14" s="15"/>
      <c r="M14" s="120">
        <v>0.41177999999999998</v>
      </c>
      <c r="N14" s="120">
        <v>0.53676000000000001</v>
      </c>
      <c r="O14" s="120">
        <v>0</v>
      </c>
      <c r="P14" s="120">
        <v>0</v>
      </c>
      <c r="Q14" s="120">
        <v>0</v>
      </c>
      <c r="R14" s="120">
        <v>0</v>
      </c>
      <c r="T14" s="121">
        <v>69.027018683682556</v>
      </c>
      <c r="U14" s="121">
        <v>0.10519449955360055</v>
      </c>
      <c r="V14" s="121">
        <v>2.1813346500685268E-2</v>
      </c>
      <c r="W14" s="121">
        <v>7.0205253935928094E-2</v>
      </c>
      <c r="X14" s="121">
        <v>2.1289575296233117E-3</v>
      </c>
      <c r="Y14" s="121">
        <v>0</v>
      </c>
      <c r="Z14" s="121">
        <v>0</v>
      </c>
    </row>
    <row r="15" spans="1:26">
      <c r="A15">
        <v>6</v>
      </c>
      <c r="B15">
        <v>2031</v>
      </c>
      <c r="C15" s="20">
        <v>0.73858588070654563</v>
      </c>
      <c r="D15" s="15"/>
      <c r="E15" s="120">
        <v>0</v>
      </c>
      <c r="F15" s="120">
        <v>0</v>
      </c>
      <c r="G15" s="120"/>
      <c r="H15" s="120"/>
      <c r="I15" s="120"/>
      <c r="J15" s="120"/>
      <c r="L15" s="15"/>
      <c r="M15" s="120">
        <v>0.41177999999999998</v>
      </c>
      <c r="N15" s="120">
        <v>0.53676000000000001</v>
      </c>
      <c r="O15" s="120">
        <v>0</v>
      </c>
      <c r="P15" s="120">
        <v>0</v>
      </c>
      <c r="Q15" s="120">
        <v>0</v>
      </c>
      <c r="R15" s="120">
        <v>0</v>
      </c>
      <c r="T15" s="121">
        <v>69.501017132944028</v>
      </c>
      <c r="U15" s="121">
        <v>0.2230679363930746</v>
      </c>
      <c r="V15" s="121">
        <v>5.3291451008528931E-2</v>
      </c>
      <c r="W15" s="121">
        <v>0.16436033258112709</v>
      </c>
      <c r="X15" s="121">
        <v>1.4399878380699673E-2</v>
      </c>
      <c r="Y15" s="121">
        <v>0</v>
      </c>
      <c r="Z15" s="121">
        <v>0</v>
      </c>
    </row>
    <row r="16" spans="1:26">
      <c r="A16">
        <v>7</v>
      </c>
      <c r="B16">
        <v>2032</v>
      </c>
      <c r="C16" s="20">
        <v>0.70221133362478183</v>
      </c>
      <c r="D16" s="15"/>
      <c r="E16" s="120">
        <v>8</v>
      </c>
      <c r="F16" s="120">
        <v>0</v>
      </c>
      <c r="G16" s="120"/>
      <c r="H16" s="120"/>
      <c r="I16" s="120"/>
      <c r="J16" s="120"/>
      <c r="L16" s="15"/>
      <c r="M16" s="120">
        <v>0.41177999999999998</v>
      </c>
      <c r="N16" s="120">
        <v>0.53676000000000001</v>
      </c>
      <c r="O16" s="120">
        <v>0</v>
      </c>
      <c r="P16" s="120">
        <v>0</v>
      </c>
      <c r="Q16" s="120">
        <v>0</v>
      </c>
      <c r="R16" s="120">
        <v>0</v>
      </c>
      <c r="T16" s="121">
        <v>70.678101219939336</v>
      </c>
      <c r="U16" s="121">
        <v>0.42270573369143577</v>
      </c>
      <c r="V16" s="121">
        <v>0.13270315864976248</v>
      </c>
      <c r="W16" s="121">
        <v>0.32784815361491393</v>
      </c>
      <c r="X16" s="121">
        <v>6.3518648646894951E-2</v>
      </c>
      <c r="Y16" s="121">
        <v>0</v>
      </c>
      <c r="Z16" s="121">
        <v>0</v>
      </c>
    </row>
    <row r="17" spans="1:26">
      <c r="A17">
        <v>8</v>
      </c>
      <c r="B17">
        <v>2033</v>
      </c>
      <c r="C17" s="20">
        <v>0.6676281932161835</v>
      </c>
      <c r="D17" s="15"/>
      <c r="E17" s="120">
        <v>0</v>
      </c>
      <c r="F17" s="120">
        <v>0</v>
      </c>
      <c r="G17" s="120"/>
      <c r="H17" s="120"/>
      <c r="I17" s="120"/>
      <c r="J17" s="120"/>
      <c r="L17" s="15"/>
      <c r="M17" s="120">
        <v>0.49177999999999999</v>
      </c>
      <c r="N17" s="120">
        <v>0.53676000000000001</v>
      </c>
      <c r="O17" s="120">
        <v>0</v>
      </c>
      <c r="P17" s="120">
        <v>0</v>
      </c>
      <c r="Q17" s="120">
        <v>0</v>
      </c>
      <c r="R17" s="120">
        <v>0</v>
      </c>
      <c r="T17" s="121">
        <v>73.728915542588325</v>
      </c>
      <c r="U17" s="121">
        <v>0.14636000903680899</v>
      </c>
      <c r="V17" s="121">
        <v>0.2968365184228553</v>
      </c>
      <c r="W17" s="121">
        <v>0.56875851742659378</v>
      </c>
      <c r="X17" s="121">
        <v>0.18207581901987385</v>
      </c>
      <c r="Y17" s="121">
        <v>0</v>
      </c>
      <c r="Z17" s="121">
        <v>0</v>
      </c>
    </row>
    <row r="18" spans="1:26">
      <c r="A18">
        <v>9</v>
      </c>
      <c r="B18">
        <v>2034</v>
      </c>
      <c r="C18" s="20">
        <v>0.63474823466075625</v>
      </c>
      <c r="D18" s="15"/>
      <c r="E18" s="120">
        <v>0</v>
      </c>
      <c r="F18" s="120">
        <v>8</v>
      </c>
      <c r="G18" s="122"/>
      <c r="H18" s="122"/>
      <c r="I18" s="120"/>
      <c r="J18" s="120"/>
      <c r="L18" s="15"/>
      <c r="M18" s="120">
        <v>0.49177999999999999</v>
      </c>
      <c r="N18" s="120">
        <v>0.53676000000000001</v>
      </c>
      <c r="O18" s="120">
        <v>0</v>
      </c>
      <c r="P18" s="120">
        <v>0</v>
      </c>
      <c r="Q18" s="120">
        <v>0</v>
      </c>
      <c r="R18" s="120">
        <v>0</v>
      </c>
      <c r="T18" s="121">
        <v>12.216610315940079</v>
      </c>
      <c r="U18" s="121">
        <v>0.21432926164043689</v>
      </c>
      <c r="V18" s="121">
        <v>0.569054871223309</v>
      </c>
      <c r="W18" s="121">
        <v>0.88520593705502593</v>
      </c>
      <c r="X18" s="121">
        <v>0.38990819117173314</v>
      </c>
      <c r="Y18" s="121">
        <v>0</v>
      </c>
      <c r="Z18" s="121">
        <v>0</v>
      </c>
    </row>
    <row r="19" spans="1:26">
      <c r="A19">
        <v>10</v>
      </c>
      <c r="B19">
        <v>2035</v>
      </c>
      <c r="C19" s="20">
        <v>0.60348757811442877</v>
      </c>
      <c r="D19" s="15"/>
      <c r="E19" s="123"/>
      <c r="F19" s="123"/>
      <c r="G19" s="123"/>
      <c r="H19" s="123"/>
      <c r="L19" s="15"/>
      <c r="M19" s="120">
        <v>0.49177999999999999</v>
      </c>
      <c r="N19" s="120">
        <v>0.61675999999999997</v>
      </c>
      <c r="O19" s="120">
        <v>0</v>
      </c>
      <c r="P19" s="120">
        <v>0</v>
      </c>
      <c r="Q19" s="120">
        <v>0</v>
      </c>
      <c r="R19" s="120">
        <v>0</v>
      </c>
      <c r="T19" s="121">
        <v>12.216610315940079</v>
      </c>
      <c r="U19" s="121">
        <v>0.21432926164043689</v>
      </c>
      <c r="V19" s="121">
        <v>0</v>
      </c>
      <c r="W19" s="121">
        <v>0</v>
      </c>
      <c r="X19" s="121">
        <v>0</v>
      </c>
      <c r="Y19" s="121">
        <v>0</v>
      </c>
      <c r="Z19" s="121">
        <v>0</v>
      </c>
    </row>
    <row r="20" spans="1:26">
      <c r="C20" s="15"/>
      <c r="D20" s="12"/>
      <c r="E20" s="20"/>
      <c r="F20" s="20"/>
      <c r="G20" s="20"/>
      <c r="H20" s="20"/>
      <c r="I20" s="20"/>
      <c r="J20" s="20"/>
      <c r="K20" s="20"/>
    </row>
    <row r="21" spans="1:26">
      <c r="A21" s="124" t="s">
        <v>192</v>
      </c>
      <c r="B21" s="125"/>
      <c r="C21" s="125"/>
      <c r="D21" s="126"/>
      <c r="E21" s="126"/>
      <c r="F21" s="127" t="s">
        <v>193</v>
      </c>
      <c r="G21" s="128" t="s">
        <v>194</v>
      </c>
      <c r="H21" s="125" t="s">
        <v>195</v>
      </c>
      <c r="I21" s="125" t="s">
        <v>196</v>
      </c>
      <c r="J21" s="125" t="s">
        <v>197</v>
      </c>
      <c r="K21" s="125" t="s">
        <v>198</v>
      </c>
      <c r="L21" s="125" t="s">
        <v>199</v>
      </c>
    </row>
    <row r="22" spans="1:26">
      <c r="A22" s="129" t="s">
        <v>200</v>
      </c>
      <c r="B22" s="129"/>
      <c r="C22" s="130"/>
      <c r="D22" s="130"/>
      <c r="E22" s="131"/>
      <c r="F22" s="132" t="s">
        <v>201</v>
      </c>
      <c r="G22" s="167" t="s">
        <v>202</v>
      </c>
      <c r="H22" s="167" t="s">
        <v>202</v>
      </c>
      <c r="I22" s="115" t="s">
        <v>203</v>
      </c>
      <c r="J22" s="132">
        <v>1</v>
      </c>
      <c r="K22" s="12">
        <v>2027</v>
      </c>
      <c r="L22" s="132" t="s">
        <v>204</v>
      </c>
    </row>
    <row r="23" spans="1:26">
      <c r="A23" s="129" t="s">
        <v>205</v>
      </c>
      <c r="B23" s="129"/>
      <c r="C23" s="130"/>
      <c r="D23" s="130"/>
      <c r="E23" s="131"/>
      <c r="F23" s="132" t="s">
        <v>206</v>
      </c>
      <c r="G23" s="167" t="s">
        <v>202</v>
      </c>
      <c r="H23" s="167" t="s">
        <v>202</v>
      </c>
      <c r="I23" s="115" t="s">
        <v>207</v>
      </c>
      <c r="J23" s="132">
        <v>1</v>
      </c>
      <c r="K23" s="12">
        <v>2027</v>
      </c>
      <c r="L23" s="132" t="s">
        <v>204</v>
      </c>
    </row>
    <row r="24" spans="1:26">
      <c r="A24" s="129" t="s">
        <v>208</v>
      </c>
      <c r="B24" s="129"/>
      <c r="C24" s="130"/>
      <c r="D24" s="130"/>
      <c r="E24" s="131"/>
      <c r="F24" s="132" t="s">
        <v>209</v>
      </c>
      <c r="G24" s="167" t="s">
        <v>202</v>
      </c>
      <c r="H24" s="167" t="s">
        <v>202</v>
      </c>
      <c r="I24" s="115" t="s">
        <v>122</v>
      </c>
      <c r="J24" s="132">
        <v>2</v>
      </c>
      <c r="K24" s="12">
        <v>2026</v>
      </c>
      <c r="L24" s="132" t="s">
        <v>204</v>
      </c>
    </row>
    <row r="25" spans="1:26">
      <c r="A25" s="129" t="s">
        <v>210</v>
      </c>
      <c r="B25" s="129"/>
      <c r="C25" s="130"/>
      <c r="D25" s="130"/>
      <c r="E25" s="131"/>
      <c r="F25" s="132" t="s">
        <v>211</v>
      </c>
      <c r="G25" s="167" t="s">
        <v>202</v>
      </c>
      <c r="H25" s="167" t="s">
        <v>202</v>
      </c>
      <c r="I25" s="115" t="s">
        <v>212</v>
      </c>
      <c r="J25" s="132">
        <v>2</v>
      </c>
      <c r="K25" s="12">
        <v>2027</v>
      </c>
      <c r="L25" s="132">
        <v>2</v>
      </c>
    </row>
    <row r="26" spans="1:26">
      <c r="A26" s="129" t="s">
        <v>213</v>
      </c>
      <c r="B26" s="129"/>
      <c r="C26" s="130"/>
      <c r="D26" s="130"/>
      <c r="E26" s="131"/>
      <c r="F26" s="132" t="s">
        <v>214</v>
      </c>
      <c r="G26" s="167" t="s">
        <v>202</v>
      </c>
      <c r="H26" s="167" t="s">
        <v>202</v>
      </c>
      <c r="I26" s="115" t="s">
        <v>212</v>
      </c>
      <c r="J26" s="132">
        <v>2</v>
      </c>
      <c r="K26" s="12">
        <v>2027</v>
      </c>
      <c r="L26" s="132">
        <v>2</v>
      </c>
    </row>
    <row r="27" spans="1:26" s="81" customFormat="1">
      <c r="A27" s="135" t="s">
        <v>215</v>
      </c>
      <c r="B27" s="135"/>
      <c r="C27" s="136"/>
      <c r="D27" s="136"/>
      <c r="E27" s="137"/>
      <c r="F27" s="138" t="s">
        <v>216</v>
      </c>
      <c r="G27" s="167" t="s">
        <v>202</v>
      </c>
      <c r="H27" s="167" t="s">
        <v>202</v>
      </c>
      <c r="I27" s="139" t="s">
        <v>212</v>
      </c>
      <c r="J27" s="140">
        <v>2</v>
      </c>
      <c r="K27" s="141">
        <v>2027</v>
      </c>
      <c r="L27" s="140">
        <v>3</v>
      </c>
    </row>
    <row r="28" spans="1:26" s="81" customFormat="1">
      <c r="A28" s="135" t="s">
        <v>217</v>
      </c>
      <c r="B28" s="135"/>
      <c r="C28" s="136"/>
      <c r="D28" s="136"/>
      <c r="E28" s="137"/>
      <c r="F28" s="140" t="s">
        <v>218</v>
      </c>
      <c r="G28" s="167" t="s">
        <v>202</v>
      </c>
      <c r="H28" s="167" t="s">
        <v>202</v>
      </c>
      <c r="I28" s="139" t="s">
        <v>212</v>
      </c>
      <c r="J28" s="140">
        <v>2</v>
      </c>
      <c r="K28" s="141">
        <v>2027</v>
      </c>
      <c r="L28" s="140">
        <v>3</v>
      </c>
    </row>
    <row r="29" spans="1:26" s="81" customFormat="1">
      <c r="A29" s="135" t="s">
        <v>219</v>
      </c>
      <c r="B29" s="135"/>
      <c r="C29" s="136"/>
      <c r="D29" s="136"/>
      <c r="E29" s="137"/>
      <c r="F29" s="140" t="s">
        <v>220</v>
      </c>
      <c r="G29" s="167" t="s">
        <v>202</v>
      </c>
      <c r="H29" s="167" t="s">
        <v>202</v>
      </c>
      <c r="I29" s="139" t="s">
        <v>20</v>
      </c>
      <c r="J29" s="140">
        <v>1</v>
      </c>
      <c r="K29" s="141">
        <v>2033</v>
      </c>
      <c r="L29" s="140" t="s">
        <v>221</v>
      </c>
    </row>
    <row r="30" spans="1:26" s="81" customFormat="1">
      <c r="A30" s="135" t="s">
        <v>222</v>
      </c>
      <c r="B30" s="135"/>
      <c r="C30" s="136"/>
      <c r="D30" s="136"/>
      <c r="E30" s="137"/>
      <c r="F30" s="140" t="s">
        <v>220</v>
      </c>
      <c r="G30" s="167" t="s">
        <v>202</v>
      </c>
      <c r="H30" s="167" t="s">
        <v>202</v>
      </c>
      <c r="I30" s="139" t="s">
        <v>22</v>
      </c>
      <c r="J30" s="140">
        <v>1</v>
      </c>
      <c r="K30" s="141">
        <v>2035</v>
      </c>
      <c r="L30" s="140" t="s">
        <v>223</v>
      </c>
    </row>
    <row r="31" spans="1:26">
      <c r="A31" s="129" t="s">
        <v>224</v>
      </c>
      <c r="B31" s="129"/>
      <c r="C31" s="130"/>
      <c r="D31" s="130"/>
      <c r="E31" s="131"/>
      <c r="F31" s="132" t="s">
        <v>225</v>
      </c>
      <c r="G31" s="167" t="s">
        <v>202</v>
      </c>
      <c r="H31" s="167" t="s">
        <v>202</v>
      </c>
      <c r="I31" s="115" t="s">
        <v>226</v>
      </c>
      <c r="J31" s="132">
        <v>1</v>
      </c>
      <c r="K31" s="12">
        <v>2026</v>
      </c>
      <c r="L31" s="132" t="s">
        <v>204</v>
      </c>
    </row>
    <row r="32" spans="1:26">
      <c r="A32" s="129"/>
      <c r="B32" s="129"/>
      <c r="C32" s="130"/>
      <c r="D32" s="130"/>
      <c r="E32" s="131"/>
      <c r="F32" s="132"/>
      <c r="G32" s="133"/>
      <c r="H32" s="134">
        <v>0</v>
      </c>
      <c r="I32" s="115"/>
      <c r="J32" s="132"/>
      <c r="K32" s="12"/>
      <c r="L32" s="132"/>
    </row>
    <row r="33" spans="1:12">
      <c r="A33" s="129"/>
      <c r="B33" s="129"/>
      <c r="C33" s="130"/>
      <c r="D33" s="130"/>
      <c r="E33" s="131"/>
      <c r="F33" s="132"/>
      <c r="G33" s="133"/>
      <c r="H33" s="134">
        <v>0</v>
      </c>
      <c r="I33" s="115"/>
      <c r="J33" s="132"/>
      <c r="K33" s="12"/>
      <c r="L33" s="132"/>
    </row>
    <row r="34" spans="1:12">
      <c r="A34" s="129"/>
      <c r="B34" s="129"/>
      <c r="C34" s="130"/>
      <c r="D34" s="130"/>
      <c r="E34" s="131"/>
      <c r="F34" s="132"/>
      <c r="G34" s="133"/>
      <c r="H34" s="134">
        <v>0</v>
      </c>
      <c r="I34" s="115"/>
      <c r="J34" s="132"/>
      <c r="K34" s="12"/>
      <c r="L34" s="132"/>
    </row>
    <row r="35" spans="1:12">
      <c r="A35" s="129"/>
      <c r="B35" s="129"/>
      <c r="C35" s="130"/>
      <c r="D35" s="130"/>
      <c r="E35" s="131"/>
      <c r="F35" s="132"/>
      <c r="G35" s="133"/>
      <c r="H35" s="134">
        <v>0</v>
      </c>
      <c r="I35" s="115"/>
      <c r="J35" s="132"/>
      <c r="K35" s="12"/>
      <c r="L35" s="132"/>
    </row>
    <row r="36" spans="1:12">
      <c r="A36" s="129"/>
      <c r="B36" s="129"/>
      <c r="C36" s="130"/>
      <c r="D36" s="130"/>
      <c r="E36" s="131"/>
      <c r="F36" s="132"/>
      <c r="G36" s="133"/>
      <c r="H36" s="134">
        <v>0</v>
      </c>
      <c r="I36" s="115"/>
      <c r="J36" s="132"/>
      <c r="K36" s="12"/>
      <c r="L36" s="132"/>
    </row>
    <row r="37" spans="1:12">
      <c r="A37" s="129"/>
      <c r="B37" s="129"/>
      <c r="C37" s="130"/>
      <c r="D37" s="130"/>
      <c r="E37" s="131"/>
      <c r="F37" s="132"/>
      <c r="G37" s="133"/>
      <c r="H37" s="134">
        <v>0</v>
      </c>
      <c r="I37" s="115"/>
      <c r="J37" s="132"/>
      <c r="K37" s="12"/>
      <c r="L37" s="132"/>
    </row>
    <row r="38" spans="1:12">
      <c r="A38" s="129"/>
      <c r="B38" s="129"/>
      <c r="C38" s="130"/>
      <c r="D38" s="130"/>
      <c r="E38" s="131"/>
      <c r="F38" s="132"/>
      <c r="G38" s="133"/>
      <c r="H38" s="134">
        <v>0</v>
      </c>
      <c r="I38" s="115"/>
      <c r="J38" s="132"/>
      <c r="K38" s="12"/>
      <c r="L38" s="132"/>
    </row>
    <row r="39" spans="1:12">
      <c r="A39" s="129"/>
      <c r="B39" s="129"/>
      <c r="C39" s="130"/>
      <c r="D39" s="130"/>
      <c r="E39" s="131"/>
      <c r="F39" s="132"/>
      <c r="G39" s="133"/>
      <c r="H39" s="134">
        <v>0</v>
      </c>
      <c r="I39" s="115"/>
      <c r="J39" s="132"/>
      <c r="K39" s="12"/>
      <c r="L39" s="132"/>
    </row>
    <row r="40" spans="1:12">
      <c r="A40" s="129"/>
      <c r="B40" s="129"/>
      <c r="C40" s="130"/>
      <c r="D40" s="130"/>
      <c r="E40" s="131"/>
      <c r="F40" s="132"/>
      <c r="G40" s="133"/>
      <c r="H40" s="134">
        <v>0</v>
      </c>
      <c r="I40" s="115"/>
      <c r="J40" s="132"/>
      <c r="K40" s="12"/>
      <c r="L40" s="132"/>
    </row>
    <row r="41" spans="1:12">
      <c r="A41" s="129"/>
      <c r="B41" s="129"/>
      <c r="C41" s="130"/>
      <c r="D41" s="130"/>
      <c r="E41" s="131"/>
      <c r="F41" s="132"/>
      <c r="G41" s="133"/>
      <c r="H41" s="134">
        <v>0</v>
      </c>
      <c r="I41" s="115"/>
      <c r="J41" s="132"/>
      <c r="K41" s="12"/>
      <c r="L41" s="132"/>
    </row>
    <row r="42" spans="1:12">
      <c r="A42" s="129"/>
      <c r="B42" s="129"/>
      <c r="C42" s="130"/>
      <c r="D42" s="130"/>
      <c r="E42" s="131"/>
      <c r="F42" s="132"/>
      <c r="G42" s="133"/>
      <c r="H42" s="134">
        <v>0</v>
      </c>
      <c r="I42" s="115"/>
      <c r="J42" s="132"/>
      <c r="K42" s="12"/>
      <c r="L42" s="132"/>
    </row>
    <row r="43" spans="1:12">
      <c r="A43" s="129"/>
      <c r="B43" s="129"/>
      <c r="C43" s="130"/>
      <c r="D43" s="130"/>
      <c r="E43" s="131"/>
      <c r="F43" s="132"/>
      <c r="G43" s="133"/>
      <c r="H43" s="134">
        <v>0</v>
      </c>
      <c r="I43" s="115"/>
      <c r="J43" s="132"/>
      <c r="L43" s="132"/>
    </row>
    <row r="44" spans="1:12">
      <c r="A44" s="129"/>
      <c r="B44" s="129"/>
      <c r="C44" s="130"/>
      <c r="D44" s="130"/>
      <c r="E44" s="131"/>
      <c r="F44" s="132"/>
      <c r="G44" s="133"/>
      <c r="H44" s="134">
        <v>0</v>
      </c>
      <c r="I44" s="115"/>
      <c r="J44" s="132"/>
      <c r="L44" s="132"/>
    </row>
    <row r="45" spans="1:12">
      <c r="A45" s="129"/>
      <c r="B45" s="129"/>
      <c r="C45" s="130"/>
      <c r="D45" s="130"/>
      <c r="E45" s="131"/>
      <c r="F45" s="132"/>
      <c r="G45" s="133"/>
      <c r="H45" s="134">
        <v>0</v>
      </c>
      <c r="I45" s="115"/>
      <c r="J45" s="132"/>
      <c r="L45" s="132"/>
    </row>
    <row r="46" spans="1:12">
      <c r="A46" s="129"/>
      <c r="B46" s="129"/>
      <c r="C46" s="130"/>
      <c r="D46" s="130"/>
      <c r="E46" s="131"/>
      <c r="F46" s="132"/>
      <c r="G46" s="133"/>
      <c r="H46" s="134">
        <v>0</v>
      </c>
      <c r="I46" s="115"/>
      <c r="J46" s="132"/>
      <c r="L46" s="132"/>
    </row>
    <row r="47" spans="1:12">
      <c r="A47" s="129"/>
      <c r="B47" s="129"/>
      <c r="C47" s="130"/>
      <c r="D47" s="130"/>
      <c r="E47" s="131"/>
      <c r="F47" s="132"/>
      <c r="G47" s="133"/>
      <c r="H47" s="134">
        <v>0</v>
      </c>
      <c r="I47" s="115"/>
      <c r="J47" s="132"/>
      <c r="L47" s="132"/>
    </row>
    <row r="48" spans="1:12">
      <c r="A48" s="129"/>
      <c r="B48" s="129"/>
      <c r="C48" s="130"/>
      <c r="D48" s="130"/>
      <c r="E48" s="131"/>
      <c r="F48" s="132"/>
      <c r="G48" s="133"/>
      <c r="H48" s="134">
        <v>0</v>
      </c>
      <c r="I48" s="115"/>
      <c r="J48" s="132"/>
      <c r="L48" s="132"/>
    </row>
    <row r="49" spans="1:12">
      <c r="A49" s="129"/>
      <c r="B49" s="129"/>
      <c r="C49" s="130"/>
      <c r="D49" s="130"/>
      <c r="E49" s="131"/>
      <c r="F49" s="132"/>
      <c r="G49" s="133"/>
      <c r="H49" s="134">
        <v>0</v>
      </c>
      <c r="I49" s="115"/>
      <c r="J49" s="132"/>
      <c r="L49" s="132"/>
    </row>
    <row r="50" spans="1:12">
      <c r="A50" s="129"/>
      <c r="B50" s="129"/>
      <c r="C50" s="130"/>
      <c r="D50" s="130"/>
      <c r="E50" s="131"/>
      <c r="F50" s="132"/>
      <c r="G50" s="133"/>
      <c r="H50" s="134">
        <v>0</v>
      </c>
      <c r="I50" s="115"/>
      <c r="J50" s="132"/>
      <c r="L50" s="132"/>
    </row>
    <row r="51" spans="1:12">
      <c r="A51" s="129"/>
      <c r="B51" s="129"/>
      <c r="C51" s="130"/>
      <c r="D51" s="130"/>
      <c r="E51" s="131"/>
      <c r="F51" s="132"/>
      <c r="G51" s="133"/>
      <c r="H51" s="134">
        <v>0</v>
      </c>
      <c r="I51" s="115"/>
      <c r="J51" s="132"/>
      <c r="L51" s="132"/>
    </row>
    <row r="52" spans="1:12">
      <c r="A52" s="129"/>
      <c r="B52" s="129"/>
      <c r="C52" s="130"/>
      <c r="D52" s="130"/>
      <c r="E52" s="131"/>
      <c r="F52" s="132"/>
      <c r="G52" s="133"/>
      <c r="H52" s="134">
        <v>0</v>
      </c>
      <c r="I52" s="115"/>
      <c r="J52" s="132"/>
      <c r="L52" s="132"/>
    </row>
    <row r="53" spans="1:12">
      <c r="A53" s="129"/>
      <c r="B53" s="129"/>
      <c r="C53" s="130"/>
      <c r="D53" s="130"/>
      <c r="E53" s="131"/>
      <c r="F53" s="132"/>
      <c r="G53" s="133"/>
      <c r="H53" s="134">
        <v>0</v>
      </c>
      <c r="I53" s="115"/>
      <c r="J53" s="132"/>
      <c r="L53" s="132"/>
    </row>
    <row r="54" spans="1:12">
      <c r="A54" s="129"/>
      <c r="B54" s="129"/>
      <c r="C54" s="130"/>
      <c r="D54" s="130"/>
      <c r="E54" s="131"/>
      <c r="F54" s="132"/>
      <c r="G54" s="133"/>
      <c r="H54" s="134">
        <v>0</v>
      </c>
      <c r="I54" s="115"/>
      <c r="J54" s="132"/>
      <c r="L54" s="132"/>
    </row>
    <row r="55" spans="1:12">
      <c r="A55" s="129"/>
      <c r="B55" s="129"/>
      <c r="C55" s="130"/>
      <c r="D55" s="130"/>
      <c r="E55" s="131"/>
      <c r="F55" s="132"/>
      <c r="G55" s="133"/>
      <c r="H55" s="134">
        <v>0</v>
      </c>
      <c r="I55" s="115"/>
      <c r="J55" s="132"/>
      <c r="L55" s="132"/>
    </row>
    <row r="56" spans="1:12">
      <c r="A56" s="129"/>
      <c r="B56" s="129"/>
      <c r="C56" s="130"/>
      <c r="D56" s="130"/>
      <c r="E56" s="131"/>
      <c r="F56" s="132"/>
      <c r="G56" s="133"/>
      <c r="H56" s="134">
        <v>0</v>
      </c>
      <c r="I56" s="115"/>
      <c r="J56" s="132"/>
      <c r="L56" s="132"/>
    </row>
    <row r="57" spans="1:12">
      <c r="A57" s="129"/>
      <c r="B57" s="129"/>
      <c r="C57" s="130"/>
      <c r="D57" s="130"/>
      <c r="E57" s="131"/>
      <c r="F57" s="132"/>
      <c r="G57" s="133"/>
      <c r="H57" s="134">
        <v>0</v>
      </c>
      <c r="I57" s="115"/>
      <c r="J57" s="132"/>
      <c r="L57" s="132"/>
    </row>
    <row r="58" spans="1:12">
      <c r="A58" s="129"/>
      <c r="B58" s="129"/>
      <c r="C58" s="130"/>
      <c r="D58" s="130"/>
      <c r="E58" s="131"/>
      <c r="F58" s="132"/>
      <c r="G58" s="133"/>
      <c r="H58" s="134">
        <v>0</v>
      </c>
      <c r="I58" s="115"/>
      <c r="J58" s="132"/>
      <c r="L58" s="132"/>
    </row>
    <row r="59" spans="1:12">
      <c r="A59" s="129"/>
      <c r="B59" s="129"/>
      <c r="C59" s="130"/>
      <c r="D59" s="130"/>
      <c r="E59" s="131"/>
      <c r="F59" s="132"/>
      <c r="G59" s="133"/>
      <c r="H59" s="134">
        <v>0</v>
      </c>
      <c r="I59" s="115"/>
      <c r="J59" s="132"/>
      <c r="L59" s="132"/>
    </row>
    <row r="60" spans="1:12">
      <c r="A60" s="129"/>
      <c r="B60" s="129"/>
      <c r="C60" s="130"/>
      <c r="D60" s="130"/>
      <c r="E60" s="131"/>
      <c r="F60" s="132"/>
      <c r="G60" s="133"/>
      <c r="H60" s="134">
        <v>0</v>
      </c>
      <c r="I60" s="115"/>
      <c r="J60" s="132"/>
      <c r="L60" s="132"/>
    </row>
  </sheetData>
  <mergeCells count="3">
    <mergeCell ref="M4:R4"/>
    <mergeCell ref="U4:Z4"/>
    <mergeCell ref="E4:J4"/>
  </mergeCells>
  <pageMargins left="0.7" right="0.7" top="0.75" bottom="0.75" header="0.3" footer="0.3"/>
  <pageSetup orientation="portrait" horizontalDpi="200" verticalDpi="200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8CD59-C675-4342-9F20-0FE790DA3F2F}">
  <sheetPr>
    <tabColor theme="4"/>
  </sheetPr>
  <dimension ref="A1:AA46"/>
  <sheetViews>
    <sheetView zoomScale="25" zoomScaleNormal="25" workbookViewId="0">
      <selection activeCell="F40" sqref="F40"/>
    </sheetView>
  </sheetViews>
  <sheetFormatPr defaultRowHeight="14.45"/>
  <cols>
    <col min="1" max="14" width="11.42578125" customWidth="1"/>
    <col min="16" max="16" width="43.7109375" bestFit="1" customWidth="1"/>
  </cols>
  <sheetData>
    <row r="1" spans="1:27">
      <c r="A1" s="49" t="s">
        <v>227</v>
      </c>
    </row>
    <row r="2" spans="1:27" ht="15" thickBot="1">
      <c r="P2" s="82" t="s">
        <v>228</v>
      </c>
    </row>
    <row r="3" spans="1:27" ht="36.6" thickBot="1">
      <c r="A3" s="1" t="s">
        <v>158</v>
      </c>
      <c r="B3" s="2" t="s">
        <v>229</v>
      </c>
      <c r="C3" s="2" t="s">
        <v>230</v>
      </c>
      <c r="D3" s="2" t="s">
        <v>231</v>
      </c>
      <c r="E3" s="2" t="s">
        <v>232</v>
      </c>
      <c r="F3" s="3" t="s">
        <v>233</v>
      </c>
      <c r="H3" s="1" t="s">
        <v>158</v>
      </c>
      <c r="I3" s="2" t="s">
        <v>234</v>
      </c>
      <c r="J3" s="2" t="s">
        <v>235</v>
      </c>
      <c r="K3" s="2" t="s">
        <v>236</v>
      </c>
      <c r="L3" s="2" t="s">
        <v>237</v>
      </c>
      <c r="M3" s="3" t="s">
        <v>233</v>
      </c>
      <c r="P3" s="1" t="s">
        <v>238</v>
      </c>
      <c r="Q3" s="2" t="s">
        <v>239</v>
      </c>
      <c r="R3" s="2" t="s">
        <v>105</v>
      </c>
      <c r="S3" s="2" t="s">
        <v>109</v>
      </c>
    </row>
    <row r="4" spans="1:27" ht="15.6" thickTop="1" thickBot="1">
      <c r="A4" s="4" t="s">
        <v>239</v>
      </c>
      <c r="B4" s="11">
        <f>Costs!D7</f>
        <v>0</v>
      </c>
      <c r="C4" s="11">
        <f>Costs!L7</f>
        <v>0</v>
      </c>
      <c r="D4" s="50">
        <f>Costs!T7</f>
        <v>496.36573292909361</v>
      </c>
      <c r="E4" s="50">
        <f>SUM(B4:D4)</f>
        <v>496.36573292909361</v>
      </c>
      <c r="F4" s="5">
        <f>RANK(E4,$E$4:$E$10,1)</f>
        <v>5</v>
      </c>
      <c r="H4" s="4" t="s">
        <v>239</v>
      </c>
      <c r="I4" s="11">
        <f>B4+C4</f>
        <v>0</v>
      </c>
      <c r="J4" s="11">
        <f>D$4-D4</f>
        <v>0</v>
      </c>
      <c r="K4" s="11">
        <f>J4-I4</f>
        <v>0</v>
      </c>
      <c r="L4" s="11">
        <v>1</v>
      </c>
      <c r="M4" s="5">
        <f>RANK(K4,$K$4:$K$10,0)</f>
        <v>5</v>
      </c>
      <c r="P4" s="6" t="s">
        <v>240</v>
      </c>
      <c r="Q4" s="83">
        <v>0</v>
      </c>
      <c r="R4" s="83">
        <f>SUM(Costs!E9:E18)</f>
        <v>49.177999999999997</v>
      </c>
      <c r="S4" s="83">
        <f>SUM(Costs!F9:F18)</f>
        <v>61.676000000000002</v>
      </c>
    </row>
    <row r="5" spans="1:27" ht="15" thickBot="1">
      <c r="A5" s="4" t="s">
        <v>105</v>
      </c>
      <c r="B5" s="11">
        <f>Costs!E7</f>
        <v>44.913052715014608</v>
      </c>
      <c r="C5" s="11">
        <f>Costs!M7</f>
        <v>6.7054881239366484</v>
      </c>
      <c r="D5" s="80">
        <f>Costs!U7</f>
        <v>7.2906489891215926</v>
      </c>
      <c r="E5" s="80">
        <f t="shared" ref="E5:E8" si="0">SUM(B5:D5)</f>
        <v>58.909189828072847</v>
      </c>
      <c r="F5" s="5">
        <f t="shared" ref="F5:F8" si="1">RANK(E5,$E$4:$E$10,1)</f>
        <v>1</v>
      </c>
      <c r="H5" s="4" t="s">
        <v>105</v>
      </c>
      <c r="I5" s="11">
        <f>B5+C5</f>
        <v>51.618540838951255</v>
      </c>
      <c r="J5" s="50">
        <f>D$4-D5</f>
        <v>489.07508393997205</v>
      </c>
      <c r="K5" s="50">
        <f>J5-I5</f>
        <v>437.45654310102077</v>
      </c>
      <c r="L5" s="11">
        <f>J5/I5</f>
        <v>9.4747948312966823</v>
      </c>
      <c r="M5" s="5">
        <f>RANK(K5,$K$4:$K$10,0)</f>
        <v>1</v>
      </c>
      <c r="P5" s="4" t="s">
        <v>241</v>
      </c>
      <c r="Q5" s="83">
        <f>VLOOKUP(Q$3,$A$4:$F$10,3,FALSE)</f>
        <v>0</v>
      </c>
      <c r="R5" s="83">
        <f>VLOOKUP(R$3,$A$4:$F$10,2,FALSE)</f>
        <v>44.913052715014608</v>
      </c>
      <c r="S5" s="83">
        <f>VLOOKUP(S$3,$A$4:$F$10,2,FALSE)</f>
        <v>56.255835088162641</v>
      </c>
    </row>
    <row r="6" spans="1:27" ht="15" thickBot="1">
      <c r="A6" s="4" t="s">
        <v>109</v>
      </c>
      <c r="B6" s="11">
        <f>Costs!F7</f>
        <v>56.255835088162641</v>
      </c>
      <c r="C6" s="11">
        <f>Costs!N7</f>
        <v>8.3958369406547497</v>
      </c>
      <c r="D6" s="80">
        <f>Costs!V7</f>
        <v>5.4211244955669731</v>
      </c>
      <c r="E6" s="80">
        <f t="shared" si="0"/>
        <v>70.072796524384358</v>
      </c>
      <c r="F6" s="5">
        <f t="shared" si="1"/>
        <v>2</v>
      </c>
      <c r="H6" s="4" t="s">
        <v>109</v>
      </c>
      <c r="I6" s="11">
        <f>B6+C6</f>
        <v>64.651672028817387</v>
      </c>
      <c r="J6" s="50">
        <f>D$4-D6</f>
        <v>490.94460843352664</v>
      </c>
      <c r="K6" s="50">
        <f>J6-I6</f>
        <v>426.29293640470928</v>
      </c>
      <c r="L6" s="11">
        <f t="shared" ref="L6" si="2">J6/I6</f>
        <v>7.5936877272825427</v>
      </c>
      <c r="M6" s="5">
        <f>RANK(K6,$K$4:$K$10,0)</f>
        <v>2</v>
      </c>
      <c r="P6" s="4" t="s">
        <v>242</v>
      </c>
      <c r="Q6" s="83">
        <f>VLOOKUP(Q$3,$A$4:$F$10,3,FALSE)</f>
        <v>0</v>
      </c>
      <c r="R6" s="83">
        <f t="shared" ref="R6:S6" si="3">VLOOKUP(R$3,$A$4:$F$10,3,FALSE)</f>
        <v>6.7054881239366484</v>
      </c>
      <c r="S6" s="83">
        <f t="shared" si="3"/>
        <v>8.3958369406547497</v>
      </c>
    </row>
    <row r="7" spans="1:27">
      <c r="A7" s="4" t="s">
        <v>243</v>
      </c>
      <c r="B7" s="11">
        <v>0</v>
      </c>
      <c r="C7" s="11">
        <f>500*J7/EUE!$H$1*1000/Costs!$G$1</f>
        <v>255.23021739311093</v>
      </c>
      <c r="D7" s="80">
        <f>$D$4-J7</f>
        <v>7.2906489891215642</v>
      </c>
      <c r="E7" s="50">
        <f t="shared" si="0"/>
        <v>262.5208663822325</v>
      </c>
      <c r="F7" s="5">
        <f t="shared" si="1"/>
        <v>4</v>
      </c>
      <c r="H7" s="4" t="s">
        <v>243</v>
      </c>
      <c r="I7" s="11">
        <f>B7+C7</f>
        <v>255.23021739311093</v>
      </c>
      <c r="J7" s="50">
        <f>J5</f>
        <v>489.07508393997205</v>
      </c>
      <c r="K7" s="50">
        <f>J7-I7</f>
        <v>233.84486654686111</v>
      </c>
      <c r="L7" s="11">
        <f t="shared" ref="L7:L8" si="4">J7/I7</f>
        <v>1.9162115243850157</v>
      </c>
      <c r="M7" s="5">
        <f>RANK(K7,$K$4:$K$10,0)</f>
        <v>4</v>
      </c>
      <c r="P7" s="6" t="s">
        <v>244</v>
      </c>
      <c r="Q7" s="83">
        <f>Q6+Q5</f>
        <v>0</v>
      </c>
      <c r="R7" s="83">
        <f t="shared" ref="R7:S7" si="5">R6+R5</f>
        <v>51.618540838951255</v>
      </c>
      <c r="S7" s="83">
        <f t="shared" si="5"/>
        <v>64.651672028817387</v>
      </c>
    </row>
    <row r="8" spans="1:27">
      <c r="A8" s="4" t="s">
        <v>245</v>
      </c>
      <c r="B8" s="11">
        <v>0</v>
      </c>
      <c r="C8" s="11">
        <f>10*J8/EUE!$H$1*1000+0.2*Costs!$G$1</f>
        <v>106.09208695724436</v>
      </c>
      <c r="D8" s="80">
        <f>$D$4-J8</f>
        <v>7.2906489891215642</v>
      </c>
      <c r="E8" s="50">
        <f t="shared" si="0"/>
        <v>113.38273594636593</v>
      </c>
      <c r="F8" s="5">
        <f t="shared" si="1"/>
        <v>3</v>
      </c>
      <c r="H8" s="4" t="s">
        <v>245</v>
      </c>
      <c r="I8" s="11">
        <f>B8+C8</f>
        <v>106.09208695724436</v>
      </c>
      <c r="J8" s="50">
        <f>J5</f>
        <v>489.07508393997205</v>
      </c>
      <c r="K8" s="50">
        <f>J8-I8</f>
        <v>382.98299698272768</v>
      </c>
      <c r="L8" s="11">
        <f t="shared" si="4"/>
        <v>4.6099110496061009</v>
      </c>
      <c r="M8" s="5">
        <f>RANK(K8,$K$4:$K$10,0)</f>
        <v>3</v>
      </c>
    </row>
    <row r="9" spans="1:27" ht="15" thickBot="1">
      <c r="A9" s="4" t="s">
        <v>246</v>
      </c>
      <c r="B9" s="11"/>
      <c r="C9" s="11"/>
      <c r="D9" s="11"/>
      <c r="E9" s="11"/>
      <c r="F9" s="5"/>
      <c r="H9" s="4" t="s">
        <v>246</v>
      </c>
      <c r="I9" s="11"/>
      <c r="J9" s="50"/>
      <c r="K9" s="50"/>
      <c r="L9" s="11"/>
      <c r="M9" s="5"/>
    </row>
    <row r="10" spans="1:27" ht="15" thickBot="1">
      <c r="A10" s="4" t="s">
        <v>247</v>
      </c>
      <c r="B10" s="11"/>
      <c r="C10" s="11"/>
      <c r="D10" s="11"/>
      <c r="E10" s="11"/>
      <c r="F10" s="5"/>
      <c r="H10" s="4" t="s">
        <v>247</v>
      </c>
      <c r="I10" s="11"/>
      <c r="J10" s="50"/>
      <c r="K10" s="50"/>
      <c r="L10" s="11"/>
      <c r="M10" s="5"/>
    </row>
    <row r="13" spans="1:27">
      <c r="A13" s="49" t="s">
        <v>248</v>
      </c>
      <c r="P13" s="82" t="s">
        <v>249</v>
      </c>
    </row>
    <row r="14" spans="1:27" ht="15" thickBot="1">
      <c r="P14" s="82" t="s">
        <v>250</v>
      </c>
      <c r="Q14" s="25"/>
      <c r="R14" s="25"/>
      <c r="S14" s="25"/>
      <c r="T14" s="25"/>
      <c r="U14" s="27"/>
      <c r="X14" s="82"/>
    </row>
    <row r="15" spans="1:27" ht="60.6" thickBot="1">
      <c r="A15" s="1" t="s">
        <v>158</v>
      </c>
      <c r="B15" s="2" t="s">
        <v>251</v>
      </c>
      <c r="C15" s="2" t="s">
        <v>252</v>
      </c>
      <c r="D15" s="2" t="s">
        <v>253</v>
      </c>
      <c r="E15" s="2" t="s">
        <v>254</v>
      </c>
      <c r="F15" s="2" t="s">
        <v>255</v>
      </c>
      <c r="G15" s="2" t="s">
        <v>256</v>
      </c>
      <c r="H15" s="2" t="s">
        <v>257</v>
      </c>
      <c r="P15" s="84" t="s">
        <v>158</v>
      </c>
      <c r="Q15" s="85" t="s">
        <v>258</v>
      </c>
      <c r="R15" s="85" t="s">
        <v>259</v>
      </c>
      <c r="S15" s="85" t="s">
        <v>260</v>
      </c>
      <c r="T15" s="85" t="s">
        <v>261</v>
      </c>
      <c r="U15" s="86" t="s">
        <v>233</v>
      </c>
      <c r="X15" s="87"/>
      <c r="Y15" s="9"/>
      <c r="Z15" s="9"/>
      <c r="AA15" s="9"/>
    </row>
    <row r="16" spans="1:27" ht="15.6" thickTop="1" thickBot="1">
      <c r="A16" s="24">
        <v>1</v>
      </c>
      <c r="B16" s="50">
        <f t="shared" ref="B16:B22" si="6">K4</f>
        <v>0</v>
      </c>
      <c r="C16" s="50">
        <f t="shared" ref="C16:C22" si="7">J4*90%-I4</f>
        <v>0</v>
      </c>
      <c r="D16" s="50">
        <f t="shared" ref="D16:D22" si="8">J4*110%-I4</f>
        <v>0</v>
      </c>
      <c r="E16" s="50">
        <v>0</v>
      </c>
      <c r="F16" s="50">
        <v>0</v>
      </c>
      <c r="G16" s="50">
        <f t="shared" ref="G16:G22" si="9">J4-I4*130%</f>
        <v>0</v>
      </c>
      <c r="H16" s="50">
        <f t="shared" ref="H16:H22" si="10">J4-I4*70%</f>
        <v>0</v>
      </c>
      <c r="P16" s="88" t="s">
        <v>96</v>
      </c>
      <c r="Q16" s="89">
        <v>0</v>
      </c>
      <c r="R16" s="90">
        <f>I4</f>
        <v>0</v>
      </c>
      <c r="S16" s="90">
        <f t="shared" ref="S16:T16" si="11">J4</f>
        <v>0</v>
      </c>
      <c r="T16" s="90">
        <f t="shared" si="11"/>
        <v>0</v>
      </c>
      <c r="U16" s="91">
        <f>M4</f>
        <v>5</v>
      </c>
      <c r="X16" s="92"/>
      <c r="Y16" s="7"/>
      <c r="Z16" s="7"/>
      <c r="AA16" s="7"/>
    </row>
    <row r="17" spans="1:27" ht="15" thickBot="1">
      <c r="A17" s="24">
        <v>2</v>
      </c>
      <c r="B17" s="50">
        <f t="shared" si="6"/>
        <v>437.45654310102077</v>
      </c>
      <c r="C17" s="50">
        <f t="shared" si="7"/>
        <v>388.54903470702357</v>
      </c>
      <c r="D17" s="50">
        <f t="shared" si="8"/>
        <v>486.36405149501797</v>
      </c>
      <c r="E17" s="50">
        <v>415.96834431006761</v>
      </c>
      <c r="F17" s="50">
        <v>460.45224896848526</v>
      </c>
      <c r="G17" s="50">
        <f t="shared" si="9"/>
        <v>421.97098084933543</v>
      </c>
      <c r="H17" s="50">
        <f t="shared" si="10"/>
        <v>452.94210535270616</v>
      </c>
      <c r="P17" s="93" t="s">
        <v>262</v>
      </c>
      <c r="Q17" s="94">
        <f>R4</f>
        <v>49.177999999999997</v>
      </c>
      <c r="R17" s="94">
        <f>I5</f>
        <v>51.618540838951255</v>
      </c>
      <c r="S17" s="94">
        <f>J5</f>
        <v>489.07508393997205</v>
      </c>
      <c r="T17" s="94">
        <f>K5</f>
        <v>437.45654310102077</v>
      </c>
      <c r="U17" s="95">
        <f t="shared" ref="U17:U20" si="12">M5</f>
        <v>1</v>
      </c>
      <c r="X17" s="92"/>
      <c r="Y17" s="7"/>
      <c r="Z17" s="7"/>
      <c r="AA17" s="7"/>
    </row>
    <row r="18" spans="1:27" ht="15" thickBot="1">
      <c r="A18" s="24">
        <v>3</v>
      </c>
      <c r="B18" s="50">
        <f t="shared" si="6"/>
        <v>426.29293640470928</v>
      </c>
      <c r="C18" s="50">
        <f t="shared" si="7"/>
        <v>377.19847556135664</v>
      </c>
      <c r="D18" s="50">
        <f t="shared" si="8"/>
        <v>475.38739724806192</v>
      </c>
      <c r="E18" s="50">
        <v>404.96470344440587</v>
      </c>
      <c r="F18" s="50">
        <v>448.82732748011688</v>
      </c>
      <c r="G18" s="50">
        <f t="shared" si="9"/>
        <v>406.89743479606403</v>
      </c>
      <c r="H18" s="50">
        <f t="shared" si="10"/>
        <v>445.68843801335447</v>
      </c>
      <c r="P18" s="88" t="s">
        <v>263</v>
      </c>
      <c r="Q18" s="96">
        <f>S4</f>
        <v>61.676000000000002</v>
      </c>
      <c r="R18" s="96">
        <f t="shared" ref="R18:T20" si="13">I6</f>
        <v>64.651672028817387</v>
      </c>
      <c r="S18" s="96">
        <f t="shared" si="13"/>
        <v>490.94460843352664</v>
      </c>
      <c r="T18" s="96">
        <f t="shared" si="13"/>
        <v>426.29293640470928</v>
      </c>
      <c r="U18" s="91">
        <f t="shared" si="12"/>
        <v>2</v>
      </c>
      <c r="X18" s="92"/>
      <c r="Y18" s="7"/>
      <c r="Z18" s="7"/>
      <c r="AA18" s="7"/>
    </row>
    <row r="19" spans="1:27" ht="15" thickBot="1">
      <c r="A19" s="24">
        <v>4</v>
      </c>
      <c r="B19" s="50">
        <f t="shared" si="6"/>
        <v>233.84486654686111</v>
      </c>
      <c r="C19" s="50">
        <f t="shared" si="7"/>
        <v>184.93735815286391</v>
      </c>
      <c r="D19" s="50">
        <f t="shared" si="8"/>
        <v>282.75237494085832</v>
      </c>
      <c r="E19" s="50">
        <v>0</v>
      </c>
      <c r="F19" s="50">
        <v>0</v>
      </c>
      <c r="G19" s="50">
        <f t="shared" si="9"/>
        <v>157.2758013289278</v>
      </c>
      <c r="H19" s="50">
        <f t="shared" si="10"/>
        <v>310.41393176479437</v>
      </c>
      <c r="P19" s="88"/>
      <c r="Q19" s="96">
        <f>T4</f>
        <v>0</v>
      </c>
      <c r="R19" s="96">
        <f t="shared" si="13"/>
        <v>255.23021739311093</v>
      </c>
      <c r="S19" s="96">
        <f t="shared" si="13"/>
        <v>489.07508393997205</v>
      </c>
      <c r="T19" s="96">
        <f t="shared" si="13"/>
        <v>233.84486654686111</v>
      </c>
      <c r="U19" s="91">
        <f t="shared" si="12"/>
        <v>4</v>
      </c>
      <c r="X19" s="92"/>
      <c r="Y19" s="7"/>
      <c r="Z19" s="7"/>
      <c r="AA19" s="7"/>
    </row>
    <row r="20" spans="1:27" ht="15" thickBot="1">
      <c r="A20" s="24">
        <v>5</v>
      </c>
      <c r="B20" s="50">
        <f t="shared" si="6"/>
        <v>382.98299698272768</v>
      </c>
      <c r="C20" s="50">
        <f t="shared" si="7"/>
        <v>334.07548858873048</v>
      </c>
      <c r="D20" s="50">
        <f t="shared" si="8"/>
        <v>431.89050537672489</v>
      </c>
      <c r="E20" s="50">
        <v>0</v>
      </c>
      <c r="F20" s="50">
        <v>0</v>
      </c>
      <c r="G20" s="50">
        <f t="shared" si="9"/>
        <v>351.15537089555437</v>
      </c>
      <c r="H20" s="50">
        <f t="shared" si="10"/>
        <v>414.810623069901</v>
      </c>
      <c r="P20" s="97"/>
      <c r="Q20" s="98">
        <f>U4</f>
        <v>0</v>
      </c>
      <c r="R20" s="98">
        <f t="shared" si="13"/>
        <v>106.09208695724436</v>
      </c>
      <c r="S20" s="98">
        <f t="shared" si="13"/>
        <v>489.07508393997205</v>
      </c>
      <c r="T20" s="98">
        <f t="shared" si="13"/>
        <v>382.98299698272768</v>
      </c>
      <c r="U20" s="99">
        <f t="shared" si="12"/>
        <v>3</v>
      </c>
      <c r="X20" s="92"/>
      <c r="Y20" s="7"/>
      <c r="Z20" s="7"/>
      <c r="AA20" s="7"/>
    </row>
    <row r="21" spans="1:27" ht="15" thickBot="1">
      <c r="A21" s="24">
        <v>6</v>
      </c>
      <c r="B21" s="50">
        <f t="shared" si="6"/>
        <v>0</v>
      </c>
      <c r="C21" s="50">
        <f t="shared" si="7"/>
        <v>0</v>
      </c>
      <c r="D21" s="50">
        <f t="shared" si="8"/>
        <v>0</v>
      </c>
      <c r="E21" s="50">
        <v>0</v>
      </c>
      <c r="F21" s="50">
        <v>0</v>
      </c>
      <c r="G21" s="50">
        <f t="shared" si="9"/>
        <v>0</v>
      </c>
      <c r="H21" s="50">
        <f t="shared" si="10"/>
        <v>0</v>
      </c>
      <c r="X21" s="92"/>
      <c r="Y21" s="7"/>
      <c r="Z21" s="7"/>
      <c r="AA21" s="7"/>
    </row>
    <row r="22" spans="1:27" ht="15" thickBot="1">
      <c r="A22" s="24">
        <v>7</v>
      </c>
      <c r="B22" s="50">
        <f t="shared" si="6"/>
        <v>0</v>
      </c>
      <c r="C22" s="50">
        <f t="shared" si="7"/>
        <v>0</v>
      </c>
      <c r="D22" s="50">
        <f t="shared" si="8"/>
        <v>0</v>
      </c>
      <c r="E22" s="50">
        <v>0</v>
      </c>
      <c r="F22" s="50">
        <v>0</v>
      </c>
      <c r="G22" s="50">
        <f t="shared" si="9"/>
        <v>0</v>
      </c>
      <c r="H22" s="50">
        <f t="shared" si="10"/>
        <v>0</v>
      </c>
      <c r="X22" s="92"/>
      <c r="Y22" s="7"/>
      <c r="Z22" s="7"/>
      <c r="AA22" s="7"/>
    </row>
    <row r="23" spans="1:27">
      <c r="X23" s="100"/>
      <c r="Y23" s="101"/>
      <c r="Z23" s="101"/>
      <c r="AA23" s="101"/>
    </row>
    <row r="24" spans="1:27">
      <c r="A24" s="49" t="s">
        <v>264</v>
      </c>
      <c r="D24" t="s">
        <v>265</v>
      </c>
      <c r="X24" s="92"/>
      <c r="Y24" s="7"/>
      <c r="Z24" s="7"/>
      <c r="AA24" s="7"/>
    </row>
    <row r="25" spans="1:27" ht="15" thickBot="1">
      <c r="P25" s="82" t="s">
        <v>266</v>
      </c>
      <c r="X25" s="102"/>
      <c r="Y25" s="102"/>
      <c r="Z25" s="7"/>
      <c r="AA25" s="103"/>
    </row>
    <row r="26" spans="1:27" ht="36.6" thickBot="1">
      <c r="A26" s="1" t="s">
        <v>158</v>
      </c>
      <c r="B26" s="2" t="s">
        <v>251</v>
      </c>
      <c r="C26" s="2" t="s">
        <v>252</v>
      </c>
      <c r="D26" s="2" t="s">
        <v>253</v>
      </c>
      <c r="E26" s="2" t="s">
        <v>254</v>
      </c>
      <c r="F26" s="2" t="s">
        <v>255</v>
      </c>
      <c r="G26" s="2" t="s">
        <v>256</v>
      </c>
      <c r="H26" s="2" t="s">
        <v>257</v>
      </c>
      <c r="P26" s="84" t="s">
        <v>267</v>
      </c>
      <c r="Q26" s="85" t="s">
        <v>8</v>
      </c>
      <c r="R26" s="86" t="s">
        <v>14</v>
      </c>
      <c r="S26" s="85" t="s">
        <v>164</v>
      </c>
      <c r="T26" s="85" t="s">
        <v>165</v>
      </c>
      <c r="U26" s="86" t="s">
        <v>268</v>
      </c>
      <c r="W26" s="102"/>
      <c r="X26" s="102"/>
      <c r="Y26" s="7"/>
      <c r="Z26" s="103"/>
    </row>
    <row r="27" spans="1:27" ht="15.6" thickTop="1" thickBot="1">
      <c r="A27" s="24">
        <v>1</v>
      </c>
      <c r="B27" s="11">
        <f>RANK(B16,B$16:B$22,0)</f>
        <v>5</v>
      </c>
      <c r="C27" s="11">
        <f t="shared" ref="C27:H27" si="14">RANK(C16,C$16:C$22,0)</f>
        <v>5</v>
      </c>
      <c r="D27" s="11">
        <f t="shared" si="14"/>
        <v>5</v>
      </c>
      <c r="E27" s="11">
        <f t="shared" si="14"/>
        <v>3</v>
      </c>
      <c r="F27" s="11">
        <f t="shared" si="14"/>
        <v>3</v>
      </c>
      <c r="G27" s="11">
        <f t="shared" si="14"/>
        <v>5</v>
      </c>
      <c r="H27" s="11">
        <f t="shared" si="14"/>
        <v>5</v>
      </c>
      <c r="P27" s="93">
        <v>2025</v>
      </c>
      <c r="Q27" s="104">
        <f>EUE!AF52</f>
        <v>0</v>
      </c>
      <c r="R27" s="104">
        <f>EUE!AM52</f>
        <v>23.391192625883459</v>
      </c>
      <c r="S27" s="104">
        <f>EUE!AT52</f>
        <v>0</v>
      </c>
      <c r="T27" s="104">
        <f>EUE!BA52</f>
        <v>0</v>
      </c>
      <c r="U27" s="105">
        <f t="shared" ref="U27:U36" si="15">SUM(Q27:T27)</f>
        <v>23.391192625883459</v>
      </c>
      <c r="W27" s="106"/>
    </row>
    <row r="28" spans="1:27" ht="15" thickBot="1">
      <c r="A28" s="24">
        <v>2</v>
      </c>
      <c r="B28" s="11">
        <f t="shared" ref="B28:H28" si="16">RANK(B17,B$16:B$22,0)</f>
        <v>1</v>
      </c>
      <c r="C28" s="11">
        <f t="shared" si="16"/>
        <v>1</v>
      </c>
      <c r="D28" s="11">
        <f t="shared" si="16"/>
        <v>1</v>
      </c>
      <c r="E28" s="11">
        <f t="shared" si="16"/>
        <v>1</v>
      </c>
      <c r="F28" s="11">
        <f t="shared" si="16"/>
        <v>1</v>
      </c>
      <c r="G28" s="11">
        <f t="shared" si="16"/>
        <v>1</v>
      </c>
      <c r="H28" s="11">
        <f t="shared" si="16"/>
        <v>1</v>
      </c>
      <c r="P28" s="93">
        <v>2026</v>
      </c>
      <c r="Q28" s="104">
        <f>EUE!AF53</f>
        <v>0</v>
      </c>
      <c r="R28" s="104">
        <f>EUE!AM53</f>
        <v>35.488739652150052</v>
      </c>
      <c r="S28" s="104">
        <f>EUE!AT53</f>
        <v>0</v>
      </c>
      <c r="T28" s="104">
        <f>EUE!BA53</f>
        <v>0</v>
      </c>
      <c r="U28" s="105">
        <f t="shared" si="15"/>
        <v>35.488739652150052</v>
      </c>
    </row>
    <row r="29" spans="1:27" ht="15" thickBot="1">
      <c r="A29" s="24">
        <v>3</v>
      </c>
      <c r="B29" s="11">
        <f t="shared" ref="B29:H29" si="17">RANK(B18,B$16:B$22,0)</f>
        <v>2</v>
      </c>
      <c r="C29" s="11">
        <f t="shared" si="17"/>
        <v>2</v>
      </c>
      <c r="D29" s="11">
        <f t="shared" si="17"/>
        <v>2</v>
      </c>
      <c r="E29" s="11">
        <f t="shared" si="17"/>
        <v>2</v>
      </c>
      <c r="F29" s="11">
        <f t="shared" si="17"/>
        <v>2</v>
      </c>
      <c r="G29" s="11">
        <f t="shared" si="17"/>
        <v>2</v>
      </c>
      <c r="H29" s="11">
        <f t="shared" si="17"/>
        <v>2</v>
      </c>
      <c r="P29" s="93">
        <v>2027</v>
      </c>
      <c r="Q29" s="104">
        <f>EUE!AF54</f>
        <v>2.179409933305668</v>
      </c>
      <c r="R29" s="104">
        <f>EUE!AM54</f>
        <v>72.980728948720412</v>
      </c>
      <c r="S29" s="104">
        <f>EUE!AT54</f>
        <v>0</v>
      </c>
      <c r="T29" s="104">
        <f>EUE!BA54</f>
        <v>0</v>
      </c>
      <c r="U29" s="105">
        <f t="shared" si="15"/>
        <v>75.160138882026075</v>
      </c>
      <c r="W29" s="82"/>
      <c r="X29" s="10"/>
      <c r="Y29" s="10"/>
      <c r="Z29" s="10"/>
    </row>
    <row r="30" spans="1:27" ht="15" thickBot="1">
      <c r="A30" s="24">
        <v>4</v>
      </c>
      <c r="B30" s="11">
        <f t="shared" ref="B30:H30" si="18">RANK(B19,B$16:B$22,0)</f>
        <v>4</v>
      </c>
      <c r="C30" s="11">
        <f t="shared" si="18"/>
        <v>4</v>
      </c>
      <c r="D30" s="11">
        <f t="shared" si="18"/>
        <v>4</v>
      </c>
      <c r="E30" s="11">
        <f t="shared" si="18"/>
        <v>3</v>
      </c>
      <c r="F30" s="11">
        <f t="shared" si="18"/>
        <v>3</v>
      </c>
      <c r="G30" s="11">
        <f t="shared" si="18"/>
        <v>4</v>
      </c>
      <c r="H30" s="11">
        <f t="shared" si="18"/>
        <v>4</v>
      </c>
      <c r="P30" s="93">
        <v>2028</v>
      </c>
      <c r="Q30" s="104">
        <f>EUE!AF55</f>
        <v>14.092480899943197</v>
      </c>
      <c r="R30" s="104">
        <f>EUE!AM55</f>
        <v>99.995405435767054</v>
      </c>
      <c r="S30" s="104">
        <f>EUE!AT55</f>
        <v>3.7761040358586424</v>
      </c>
      <c r="T30" s="104">
        <f>EUE!BA55</f>
        <v>25.415635038862959</v>
      </c>
      <c r="U30" s="105">
        <f t="shared" si="15"/>
        <v>143.27962541043183</v>
      </c>
    </row>
    <row r="31" spans="1:27" ht="15" thickBot="1">
      <c r="A31" s="24">
        <v>5</v>
      </c>
      <c r="B31" s="11">
        <f t="shared" ref="B31:H31" si="19">RANK(B20,B$16:B$22,0)</f>
        <v>3</v>
      </c>
      <c r="C31" s="11">
        <f t="shared" si="19"/>
        <v>3</v>
      </c>
      <c r="D31" s="11">
        <f t="shared" si="19"/>
        <v>3</v>
      </c>
      <c r="E31" s="11">
        <f t="shared" si="19"/>
        <v>3</v>
      </c>
      <c r="F31" s="11">
        <f t="shared" si="19"/>
        <v>3</v>
      </c>
      <c r="G31" s="11">
        <f t="shared" si="19"/>
        <v>3</v>
      </c>
      <c r="H31" s="11">
        <f t="shared" si="19"/>
        <v>3</v>
      </c>
      <c r="P31" s="93">
        <v>2029</v>
      </c>
      <c r="Q31" s="104">
        <f>EUE!AF56</f>
        <v>35.380136644730243</v>
      </c>
      <c r="R31" s="104">
        <f>EUE!AM56</f>
        <v>128.81560331617229</v>
      </c>
      <c r="S31" s="104">
        <f>EUE!AT56</f>
        <v>11.364398164487705</v>
      </c>
      <c r="T31" s="104">
        <f>EUE!BA56</f>
        <v>68.540633261563386</v>
      </c>
      <c r="U31" s="105">
        <f t="shared" si="15"/>
        <v>244.10077138695362</v>
      </c>
    </row>
    <row r="32" spans="1:27" ht="15" thickBot="1">
      <c r="A32" s="24">
        <v>6</v>
      </c>
      <c r="B32" s="11"/>
      <c r="C32" s="11"/>
      <c r="D32" s="11"/>
      <c r="E32" s="11"/>
      <c r="F32" s="11"/>
      <c r="G32" s="11"/>
      <c r="H32" s="11"/>
      <c r="P32" s="93">
        <v>2030</v>
      </c>
      <c r="Q32" s="104">
        <f>EUE!AF57</f>
        <v>77.421918471638577</v>
      </c>
      <c r="R32" s="104">
        <f>EUE!AM57</f>
        <v>223.67197996735368</v>
      </c>
      <c r="S32" s="104">
        <f>EUE!AT57</f>
        <v>25.739397572054539</v>
      </c>
      <c r="T32" s="104">
        <f>EUE!BA57</f>
        <v>147.71810279757204</v>
      </c>
      <c r="U32" s="105">
        <f t="shared" si="15"/>
        <v>474.55139880861884</v>
      </c>
    </row>
    <row r="33" spans="1:27" ht="15" thickBot="1">
      <c r="A33" s="24">
        <v>7</v>
      </c>
      <c r="B33" s="11"/>
      <c r="C33" s="11"/>
      <c r="D33" s="11"/>
      <c r="E33" s="11"/>
      <c r="F33" s="11"/>
      <c r="G33" s="11"/>
      <c r="H33" s="11"/>
      <c r="P33" s="93">
        <v>2031</v>
      </c>
      <c r="Q33" s="104">
        <f>EUE!AF58</f>
        <v>250.38447593460623</v>
      </c>
      <c r="R33" s="104">
        <f>EUE!AM58</f>
        <v>362.86638561152819</v>
      </c>
      <c r="S33" s="104">
        <f>EUE!AT58</f>
        <v>40.512463590383</v>
      </c>
      <c r="T33" s="104">
        <f>EUE!BA58</f>
        <v>294.78652293357618</v>
      </c>
      <c r="U33" s="105">
        <f t="shared" si="15"/>
        <v>948.54984807009362</v>
      </c>
    </row>
    <row r="34" spans="1:27" ht="15" thickBot="1">
      <c r="P34" s="93">
        <v>2032</v>
      </c>
      <c r="Q34" s="104">
        <f>EUE!AF59</f>
        <v>922.02283477360265</v>
      </c>
      <c r="R34" s="104">
        <f>EUE!AM59</f>
        <v>574.46008494610498</v>
      </c>
      <c r="S34" s="104">
        <f>EUE!AT59</f>
        <v>61.335671095708889</v>
      </c>
      <c r="T34" s="104">
        <f>EUE!BA59</f>
        <v>567.81534424997972</v>
      </c>
      <c r="U34" s="105">
        <f t="shared" si="15"/>
        <v>2125.6339350653961</v>
      </c>
    </row>
    <row r="35" spans="1:27" ht="15" thickBot="1">
      <c r="P35" s="93">
        <v>2033</v>
      </c>
      <c r="Q35" s="104">
        <f>EUE!AF60</f>
        <v>3244.1149639214982</v>
      </c>
      <c r="R35" s="104">
        <f>EUE!AM60</f>
        <v>847.63250009446085</v>
      </c>
      <c r="S35" s="104">
        <f>EUE!AT60</f>
        <v>99.555267077143142</v>
      </c>
      <c r="T35" s="104">
        <f>EUE!BA60</f>
        <v>985.14552662127949</v>
      </c>
      <c r="U35" s="105">
        <f t="shared" si="15"/>
        <v>5176.4482577143817</v>
      </c>
    </row>
    <row r="36" spans="1:27" ht="15" thickBot="1">
      <c r="P36" s="107">
        <v>2034</v>
      </c>
      <c r="Q36" s="112">
        <f>EUE!AF61</f>
        <v>9236.4850538616665</v>
      </c>
      <c r="R36" s="112">
        <f>EUE!AM61</f>
        <v>1186.1328365086094</v>
      </c>
      <c r="S36" s="112">
        <f>EUE!AT61</f>
        <v>164.10236400473531</v>
      </c>
      <c r="T36" s="112">
        <f>EUE!BA61</f>
        <v>1629.8900615650689</v>
      </c>
      <c r="U36" s="108">
        <f t="shared" si="15"/>
        <v>12216.610315940081</v>
      </c>
    </row>
    <row r="37" spans="1:27" ht="15" thickTop="1"/>
    <row r="38" spans="1:27" ht="15" thickBot="1">
      <c r="P38" s="82" t="s">
        <v>269</v>
      </c>
    </row>
    <row r="39" spans="1:27" ht="15" thickBot="1">
      <c r="P39" s="84" t="s">
        <v>267</v>
      </c>
      <c r="Q39" s="113" t="s">
        <v>29</v>
      </c>
      <c r="R39" s="113" t="s">
        <v>31</v>
      </c>
      <c r="S39" s="113" t="s">
        <v>32</v>
      </c>
      <c r="T39" s="113" t="s">
        <v>33</v>
      </c>
      <c r="U39" s="113" t="s">
        <v>38</v>
      </c>
      <c r="V39" s="113" t="s">
        <v>40</v>
      </c>
      <c r="W39" s="113" t="s">
        <v>44</v>
      </c>
      <c r="X39" s="113" t="s">
        <v>48</v>
      </c>
      <c r="Y39" s="113" t="s">
        <v>49</v>
      </c>
      <c r="Z39" s="114" t="s">
        <v>50</v>
      </c>
      <c r="AA39" s="86" t="s">
        <v>268</v>
      </c>
    </row>
    <row r="40" spans="1:27" ht="15.6" thickTop="1" thickBot="1">
      <c r="P40" s="109">
        <v>2025</v>
      </c>
      <c r="Q40" s="104">
        <f>EUE!AF7</f>
        <v>0</v>
      </c>
      <c r="R40" s="104">
        <f>EUE!AM7</f>
        <v>1148.9160547656645</v>
      </c>
      <c r="S40" s="104">
        <f>EUE!AT7</f>
        <v>180.53375477610697</v>
      </c>
      <c r="T40" s="104">
        <f>EUE!BA7</f>
        <v>0</v>
      </c>
      <c r="U40" s="104">
        <f>EUE!AM22</f>
        <v>90.241993981209305</v>
      </c>
      <c r="V40" s="104">
        <f>EUE!AT22</f>
        <v>0</v>
      </c>
      <c r="W40" s="104">
        <f>EUE!BA22</f>
        <v>0</v>
      </c>
      <c r="X40" s="104">
        <f>EUE!AF37</f>
        <v>0</v>
      </c>
      <c r="Y40" s="104">
        <f>EUE!AM37</f>
        <v>0</v>
      </c>
      <c r="Z40" s="104">
        <f>EUE!AT37</f>
        <v>9.0043202859719249E-4</v>
      </c>
      <c r="AA40" s="105">
        <f>SUM(Q40:Z40)</f>
        <v>1419.6927039550094</v>
      </c>
    </row>
    <row r="41" spans="1:27" ht="15" thickBot="1">
      <c r="P41" s="109">
        <v>2026</v>
      </c>
      <c r="Q41" s="104">
        <f>EUE!AF8</f>
        <v>100.26590644950684</v>
      </c>
      <c r="R41" s="104">
        <f>EUE!AM8</f>
        <v>1520.9499709021786</v>
      </c>
      <c r="S41" s="104">
        <f>EUE!AT8</f>
        <v>492.25284529868458</v>
      </c>
      <c r="T41" s="104">
        <f>EUE!BA8</f>
        <v>5.1428660157609531</v>
      </c>
      <c r="U41" s="104">
        <f>EUE!AM23</f>
        <v>655.52581139974609</v>
      </c>
      <c r="V41" s="104">
        <f>EUE!AT23</f>
        <v>2575.6642065233345</v>
      </c>
      <c r="W41" s="104">
        <f>EUE!BA23</f>
        <v>57.416821949700335</v>
      </c>
      <c r="X41" s="104">
        <f>EUE!AF38</f>
        <v>0</v>
      </c>
      <c r="Y41" s="104">
        <f>EUE!AM38</f>
        <v>0.86455996680697944</v>
      </c>
      <c r="Z41" s="104">
        <f>EUE!AT38</f>
        <v>11.34345773800286</v>
      </c>
      <c r="AA41" s="105">
        <f t="shared" ref="AA41:AA45" si="20">SUM(Q41:Z41)</f>
        <v>5419.4264462437222</v>
      </c>
    </row>
    <row r="42" spans="1:27" ht="15" thickBot="1">
      <c r="P42" s="109">
        <v>2027</v>
      </c>
      <c r="Q42" s="104">
        <f>EUE!AF9</f>
        <v>555.40400828360737</v>
      </c>
      <c r="R42" s="104">
        <f>EUE!AM9</f>
        <v>1929.8157955108225</v>
      </c>
      <c r="S42" s="104">
        <f>EUE!AT9</f>
        <v>3470.1812479475329</v>
      </c>
      <c r="T42" s="104">
        <f>EUE!BA9</f>
        <v>1008.4061742496133</v>
      </c>
      <c r="U42" s="104">
        <f>EUE!AM24</f>
        <v>1950.5211475106539</v>
      </c>
      <c r="V42" s="104">
        <f>EUE!AT24</f>
        <v>121311.67167391688</v>
      </c>
      <c r="W42" s="104">
        <f>EUE!BA24</f>
        <v>793.28868539588905</v>
      </c>
      <c r="X42" s="104">
        <f>EUE!AF39</f>
        <v>0</v>
      </c>
      <c r="Y42" s="104">
        <f>EUE!AM39</f>
        <v>138.58081017181746</v>
      </c>
      <c r="Z42" s="104">
        <f>EUE!AT39</f>
        <v>92.57534290071554</v>
      </c>
      <c r="AA42" s="105">
        <f t="shared" si="20"/>
        <v>131250.44488588753</v>
      </c>
    </row>
    <row r="43" spans="1:27" ht="15" thickBot="1">
      <c r="P43" s="109">
        <v>2028</v>
      </c>
      <c r="Q43" s="104">
        <f>EUE!AF10</f>
        <v>2149.9818041155322</v>
      </c>
      <c r="R43" s="104">
        <f>EUE!AM10</f>
        <v>2364.4087828427346</v>
      </c>
      <c r="S43" s="104">
        <f>EUE!AT10</f>
        <v>15575.461466136991</v>
      </c>
      <c r="T43" s="104">
        <f>EUE!BA10</f>
        <v>12498.377382899664</v>
      </c>
      <c r="U43" s="104">
        <f>EUE!AM25</f>
        <v>3033.4310500070828</v>
      </c>
      <c r="V43" s="104">
        <f>EUE!AT25</f>
        <v>435965.63296355034</v>
      </c>
      <c r="W43" s="104">
        <f>EUE!BA25</f>
        <v>5597.6412377033175</v>
      </c>
      <c r="X43" s="104">
        <f>EUE!AF40</f>
        <v>0.71460725781034951</v>
      </c>
      <c r="Y43" s="104">
        <f>EUE!AM40</f>
        <v>378.73850946051209</v>
      </c>
      <c r="Z43" s="104">
        <f>EUE!AT40</f>
        <v>156.51187460775975</v>
      </c>
      <c r="AA43" s="105">
        <f t="shared" si="20"/>
        <v>477720.89967858174</v>
      </c>
    </row>
    <row r="44" spans="1:27" ht="15" thickBot="1">
      <c r="P44" s="109">
        <v>2029</v>
      </c>
      <c r="Q44" s="104">
        <f>EUE!AF11</f>
        <v>5528.128407601419</v>
      </c>
      <c r="R44" s="104">
        <f>EUE!AM11</f>
        <v>2681.8684970955082</v>
      </c>
      <c r="S44" s="104">
        <f>EUE!AT11</f>
        <v>35874.800978746636</v>
      </c>
      <c r="T44" s="104">
        <f>EUE!BA11</f>
        <v>33771.928155419679</v>
      </c>
      <c r="U44" s="104">
        <f>EUE!AM26</f>
        <v>3635.8436210169016</v>
      </c>
      <c r="V44" s="104">
        <f>EUE!AT26</f>
        <v>865725.33460165502</v>
      </c>
      <c r="W44" s="104">
        <f>EUE!BA26</f>
        <v>35830.351749661742</v>
      </c>
      <c r="X44" s="104">
        <f>EUE!AF41</f>
        <v>2.1439958586362171</v>
      </c>
      <c r="Y44" s="104">
        <f>EUE!AM41</f>
        <v>502.07089039658524</v>
      </c>
      <c r="Z44" s="104">
        <f>EUE!AT41</f>
        <v>182.66835152873907</v>
      </c>
      <c r="AA44" s="105">
        <f t="shared" si="20"/>
        <v>983735.13924898079</v>
      </c>
    </row>
    <row r="45" spans="1:27" ht="15" thickBot="1">
      <c r="P45" s="110">
        <v>2030</v>
      </c>
      <c r="Q45" s="112">
        <f>EUE!AF12</f>
        <v>14118.205137825986</v>
      </c>
      <c r="R45" s="112">
        <f>EUE!AM12</f>
        <v>3719.663614426438</v>
      </c>
      <c r="S45" s="112">
        <f>EUE!AT12</f>
        <v>85891.39818704105</v>
      </c>
      <c r="T45" s="112">
        <f>EUE!BA12</f>
        <v>94786.505163926704</v>
      </c>
      <c r="U45" s="112">
        <f>EUE!AM27</f>
        <v>4377.6326637420707</v>
      </c>
      <c r="V45" s="112">
        <f>EUE!AT27</f>
        <v>1317634.9088376288</v>
      </c>
      <c r="W45" s="112">
        <f>EUE!BA27</f>
        <v>73785.983712327405</v>
      </c>
      <c r="X45" s="112">
        <f>EUE!AF42</f>
        <v>21.140728737608526</v>
      </c>
      <c r="Y45" s="112">
        <f>EUE!AM42</f>
        <v>718.15774303331648</v>
      </c>
      <c r="Z45" s="112">
        <f>EUE!AT42</f>
        <v>230.26507600671124</v>
      </c>
      <c r="AA45" s="108">
        <f t="shared" si="20"/>
        <v>1595283.8608646961</v>
      </c>
    </row>
    <row r="46" spans="1:27" ht="15" thickTop="1"/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19DF-0D95-458A-9EBC-EA537FC070FD}">
  <dimension ref="A1:G13"/>
  <sheetViews>
    <sheetView tabSelected="1" workbookViewId="0">
      <selection activeCell="C11" sqref="C11:C13"/>
    </sheetView>
  </sheetViews>
  <sheetFormatPr defaultRowHeight="14.45"/>
  <cols>
    <col min="1" max="1" width="21" bestFit="1" customWidth="1"/>
    <col min="5" max="5" width="18.7109375" bestFit="1" customWidth="1"/>
  </cols>
  <sheetData>
    <row r="1" spans="1:7">
      <c r="A1" s="14" t="s">
        <v>270</v>
      </c>
    </row>
    <row r="2" spans="1:7">
      <c r="A2" s="14"/>
    </row>
    <row r="3" spans="1:7">
      <c r="A3" t="s">
        <v>271</v>
      </c>
      <c r="B3" s="111">
        <f>NPV!I5</f>
        <v>51.618540838951255</v>
      </c>
      <c r="C3" t="s">
        <v>272</v>
      </c>
    </row>
    <row r="4" spans="1:7">
      <c r="B4" s="164"/>
    </row>
    <row r="5" spans="1:7">
      <c r="A5" t="s">
        <v>273</v>
      </c>
      <c r="B5" s="165">
        <f>NPV!J5</f>
        <v>489.07508393997205</v>
      </c>
      <c r="C5" t="s">
        <v>272</v>
      </c>
    </row>
    <row r="6" spans="1:7">
      <c r="B6" s="166"/>
    </row>
    <row r="7" spans="1:7">
      <c r="A7" t="s">
        <v>274</v>
      </c>
      <c r="B7" s="166"/>
      <c r="D7" s="166">
        <f>B3*EUE!L1</f>
        <v>2.6738404154576751</v>
      </c>
      <c r="E7" t="s">
        <v>272</v>
      </c>
    </row>
    <row r="9" spans="1:7">
      <c r="A9" s="14" t="s">
        <v>275</v>
      </c>
      <c r="B9" s="14"/>
      <c r="C9" s="14"/>
      <c r="D9" s="14"/>
      <c r="E9" s="14" t="s">
        <v>276</v>
      </c>
    </row>
    <row r="10" spans="1:7">
      <c r="A10" s="14"/>
      <c r="B10" s="14"/>
      <c r="C10" s="14"/>
      <c r="D10" s="14"/>
      <c r="E10" s="14"/>
    </row>
    <row r="11" spans="1:7">
      <c r="A11" t="s">
        <v>277</v>
      </c>
      <c r="B11" s="169" t="s">
        <v>278</v>
      </c>
      <c r="C11" s="169" t="s">
        <v>278</v>
      </c>
      <c r="E11" t="s">
        <v>279</v>
      </c>
      <c r="F11" s="169" t="s">
        <v>278</v>
      </c>
      <c r="G11" s="169" t="s">
        <v>278</v>
      </c>
    </row>
    <row r="12" spans="1:7">
      <c r="B12" s="169" t="s">
        <v>278</v>
      </c>
      <c r="C12" s="169" t="s">
        <v>278</v>
      </c>
      <c r="F12" s="169" t="s">
        <v>278</v>
      </c>
      <c r="G12" s="169" t="s">
        <v>278</v>
      </c>
    </row>
    <row r="13" spans="1:7">
      <c r="A13" t="s">
        <v>280</v>
      </c>
      <c r="B13" s="169" t="s">
        <v>278</v>
      </c>
      <c r="C13" s="169" t="s">
        <v>278</v>
      </c>
      <c r="E13" t="s">
        <v>281</v>
      </c>
      <c r="F13" s="169" t="s">
        <v>278</v>
      </c>
      <c r="G13" s="169" t="s">
        <v>278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29DAA-378C-482D-BAD0-014F967D01CC}">
  <sheetPr>
    <tabColor theme="5" tint="-0.499984740745262"/>
  </sheetPr>
  <dimension ref="A1:F43"/>
  <sheetViews>
    <sheetView topLeftCell="A7" zoomScaleNormal="100" workbookViewId="0">
      <selection activeCell="G26" sqref="G26"/>
    </sheetView>
  </sheetViews>
  <sheetFormatPr defaultRowHeight="14.45"/>
  <cols>
    <col min="1" max="2" width="15.7109375" customWidth="1"/>
  </cols>
  <sheetData>
    <row r="1" spans="1:6" ht="15" customHeight="1" thickBot="1">
      <c r="A1" s="1" t="s">
        <v>76</v>
      </c>
      <c r="B1" s="2" t="s">
        <v>77</v>
      </c>
      <c r="C1" s="44"/>
    </row>
    <row r="2" spans="1:6" ht="15" customHeight="1" thickTop="1" thickBot="1">
      <c r="A2" s="4" t="s">
        <v>23</v>
      </c>
      <c r="B2" s="35">
        <v>3283</v>
      </c>
      <c r="F2" s="12"/>
    </row>
    <row r="3" spans="1:6" ht="15" customHeight="1" thickBot="1">
      <c r="A3" s="4" t="s">
        <v>24</v>
      </c>
      <c r="B3" s="35">
        <v>3502</v>
      </c>
      <c r="F3" s="12"/>
    </row>
    <row r="4" spans="1:6" ht="15" customHeight="1" thickBot="1">
      <c r="A4" s="4" t="s">
        <v>25</v>
      </c>
      <c r="B4" s="35">
        <v>1</v>
      </c>
      <c r="F4" s="12"/>
    </row>
    <row r="5" spans="1:6" ht="15" customHeight="1" thickBot="1">
      <c r="A5" s="4" t="s">
        <v>26</v>
      </c>
      <c r="B5" s="35">
        <v>0</v>
      </c>
      <c r="F5" s="12"/>
    </row>
    <row r="6" spans="1:6" ht="15" customHeight="1" thickBot="1">
      <c r="A6" s="4" t="s">
        <v>27</v>
      </c>
      <c r="B6" s="35">
        <v>1</v>
      </c>
      <c r="F6" s="12"/>
    </row>
    <row r="7" spans="1:6" ht="15" customHeight="1" thickBot="1">
      <c r="A7" s="4" t="s">
        <v>28</v>
      </c>
      <c r="B7" s="35">
        <v>3714</v>
      </c>
      <c r="F7" s="12"/>
    </row>
    <row r="8" spans="1:6" ht="15" customHeight="1" thickBot="1">
      <c r="A8" s="4" t="s">
        <v>29</v>
      </c>
      <c r="B8" s="35">
        <v>3374</v>
      </c>
      <c r="F8" s="12"/>
    </row>
    <row r="9" spans="1:6" ht="15" customHeight="1" thickBot="1">
      <c r="A9" s="4" t="s">
        <v>30</v>
      </c>
      <c r="B9" s="35">
        <v>3572</v>
      </c>
      <c r="F9" s="12"/>
    </row>
    <row r="10" spans="1:6" ht="15" customHeight="1" thickBot="1">
      <c r="A10" s="4" t="s">
        <v>38</v>
      </c>
      <c r="B10" s="35">
        <v>3614</v>
      </c>
    </row>
    <row r="11" spans="1:6" ht="15" customHeight="1" thickBot="1">
      <c r="A11" s="4" t="s">
        <v>40</v>
      </c>
      <c r="B11" s="35">
        <v>440</v>
      </c>
    </row>
    <row r="12" spans="1:6" ht="15" customHeight="1" thickBot="1">
      <c r="A12" s="4" t="s">
        <v>41</v>
      </c>
      <c r="B12" s="35">
        <v>505</v>
      </c>
    </row>
    <row r="13" spans="1:6" ht="15" customHeight="1" thickBot="1">
      <c r="A13" s="4" t="s">
        <v>42</v>
      </c>
      <c r="B13" s="35">
        <v>170</v>
      </c>
    </row>
    <row r="14" spans="1:6" ht="15" customHeight="1" thickBot="1">
      <c r="A14" s="4" t="s">
        <v>43</v>
      </c>
      <c r="B14" s="35">
        <v>2</v>
      </c>
    </row>
    <row r="15" spans="1:6" ht="15" customHeight="1" thickBot="1">
      <c r="A15" s="4" t="s">
        <v>44</v>
      </c>
      <c r="B15" s="35">
        <v>4522</v>
      </c>
    </row>
    <row r="16" spans="1:6" ht="15" thickBot="1">
      <c r="A16" s="4" t="s">
        <v>45</v>
      </c>
      <c r="B16" s="35">
        <v>154</v>
      </c>
    </row>
    <row r="17" spans="1:2" ht="15" thickBot="1">
      <c r="A17" s="4" t="s">
        <v>46</v>
      </c>
      <c r="B17" s="35">
        <v>1</v>
      </c>
    </row>
    <row r="18" spans="1:2" ht="15" thickBot="1">
      <c r="A18" s="4" t="s">
        <v>47</v>
      </c>
      <c r="B18" s="35">
        <v>1</v>
      </c>
    </row>
    <row r="19" spans="1:2" ht="15" thickBot="1">
      <c r="A19" s="4" t="s">
        <v>48</v>
      </c>
      <c r="B19" s="35">
        <v>5780</v>
      </c>
    </row>
    <row r="20" spans="1:2" ht="15" thickBot="1">
      <c r="A20" s="4" t="s">
        <v>49</v>
      </c>
      <c r="B20" s="35">
        <v>3681</v>
      </c>
    </row>
    <row r="21" spans="1:2" ht="15" thickBot="1">
      <c r="A21" s="4" t="s">
        <v>50</v>
      </c>
      <c r="B21" s="35">
        <v>461</v>
      </c>
    </row>
    <row r="22" spans="1:2" ht="15" thickBot="1">
      <c r="A22" s="4" t="s">
        <v>9</v>
      </c>
      <c r="B22" s="35">
        <v>141</v>
      </c>
    </row>
    <row r="23" spans="1:2" ht="15" thickBot="1">
      <c r="A23" s="4" t="s">
        <v>11</v>
      </c>
      <c r="B23" s="35">
        <v>1</v>
      </c>
    </row>
    <row r="24" spans="1:2" ht="15" thickBot="1">
      <c r="A24" s="4" t="s">
        <v>13</v>
      </c>
      <c r="B24" s="35">
        <v>574</v>
      </c>
    </row>
    <row r="25" spans="1:2" ht="15" thickBot="1">
      <c r="A25" s="4" t="s">
        <v>15</v>
      </c>
      <c r="B25" s="35">
        <v>1</v>
      </c>
    </row>
    <row r="26" spans="1:2" ht="15" thickBot="1">
      <c r="A26" s="4" t="s">
        <v>16</v>
      </c>
      <c r="B26" s="35">
        <v>832</v>
      </c>
    </row>
    <row r="27" spans="1:2" ht="15" thickBot="1">
      <c r="A27" s="4" t="s">
        <v>18</v>
      </c>
      <c r="B27" s="35">
        <v>687</v>
      </c>
    </row>
    <row r="28" spans="1:2" ht="15" thickBot="1">
      <c r="A28" s="4" t="s">
        <v>19</v>
      </c>
      <c r="B28" s="35">
        <v>315</v>
      </c>
    </row>
    <row r="29" spans="1:2" ht="15" thickBot="1">
      <c r="A29" s="4" t="s">
        <v>21</v>
      </c>
      <c r="B29" s="35">
        <v>2036</v>
      </c>
    </row>
    <row r="30" spans="1:2" ht="15" thickBot="1">
      <c r="A30" s="4" t="s">
        <v>31</v>
      </c>
      <c r="B30" s="35">
        <v>5057</v>
      </c>
    </row>
    <row r="31" spans="1:2" ht="15" thickBot="1">
      <c r="A31" s="4" t="s">
        <v>32</v>
      </c>
      <c r="B31" s="35">
        <v>7</v>
      </c>
    </row>
    <row r="32" spans="1:2" ht="15" thickBot="1">
      <c r="A32" s="4" t="s">
        <v>33</v>
      </c>
      <c r="B32" s="35">
        <v>5691</v>
      </c>
    </row>
    <row r="33" spans="1:2" ht="15" thickBot="1">
      <c r="A33" s="4" t="s">
        <v>36</v>
      </c>
      <c r="B33" s="35">
        <v>1</v>
      </c>
    </row>
    <row r="34" spans="1:2" ht="15" thickBot="1">
      <c r="A34" s="4"/>
      <c r="B34" s="35"/>
    </row>
    <row r="35" spans="1:2" ht="15" thickBot="1">
      <c r="A35" s="4"/>
      <c r="B35" s="35"/>
    </row>
    <row r="36" spans="1:2" ht="15" thickBot="1">
      <c r="A36" s="4"/>
      <c r="B36" s="35"/>
    </row>
    <row r="37" spans="1:2" ht="15" thickBot="1">
      <c r="A37" s="4"/>
      <c r="B37" s="35"/>
    </row>
    <row r="38" spans="1:2" ht="15" thickBot="1">
      <c r="A38" s="4"/>
      <c r="B38" s="35"/>
    </row>
    <row r="39" spans="1:2" ht="15" thickBot="1">
      <c r="A39" s="4"/>
      <c r="B39" s="35"/>
    </row>
    <row r="40" spans="1:2" ht="15" thickBot="1">
      <c r="A40" s="4"/>
      <c r="B40" s="35"/>
    </row>
    <row r="41" spans="1:2" ht="15" thickBot="1">
      <c r="A41" s="4"/>
      <c r="B41" s="35"/>
    </row>
    <row r="42" spans="1:2" ht="15" thickBot="1">
      <c r="A42" s="4"/>
      <c r="B42" s="35"/>
    </row>
    <row r="43" spans="1:2" ht="15" thickBot="1">
      <c r="A43" s="6" t="s">
        <v>78</v>
      </c>
      <c r="B43" s="37">
        <f>SUM(B2:B42)</f>
        <v>52121</v>
      </c>
    </row>
  </sheetData>
  <sortState xmlns:xlrd2="http://schemas.microsoft.com/office/spreadsheetml/2017/richdata2" ref="A2:B43">
    <sortCondition ref="A2:A43"/>
  </sortState>
  <pageMargins left="0.7" right="0.7" top="0.75" bottom="0.75" header="0.3" footer="0.3"/>
  <pageSetup paperSize="9" orientation="portrait" horizontalDpi="0" verticalDpi="0" r:id="rId1"/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459F-FD5C-4AEB-858C-C9851B699D41}">
  <sheetPr>
    <tabColor theme="5" tint="-0.499984740745262"/>
  </sheetPr>
  <dimension ref="A1:F15"/>
  <sheetViews>
    <sheetView topLeftCell="A12" workbookViewId="0">
      <selection activeCell="H15" sqref="H15"/>
    </sheetView>
  </sheetViews>
  <sheetFormatPr defaultRowHeight="14.45"/>
  <cols>
    <col min="1" max="6" width="15.7109375" customWidth="1"/>
  </cols>
  <sheetData>
    <row r="1" spans="1:6" ht="15" customHeight="1" thickBot="1">
      <c r="A1" s="1" t="s">
        <v>79</v>
      </c>
      <c r="B1" s="2" t="s">
        <v>77</v>
      </c>
      <c r="C1" s="2" t="s">
        <v>80</v>
      </c>
      <c r="D1" s="2" t="s">
        <v>81</v>
      </c>
      <c r="E1" s="3" t="s">
        <v>82</v>
      </c>
      <c r="F1" s="3" t="s">
        <v>83</v>
      </c>
    </row>
    <row r="2" spans="1:6" ht="15" customHeight="1" thickTop="1" thickBot="1">
      <c r="A2" s="4" t="s">
        <v>84</v>
      </c>
      <c r="B2" s="35">
        <v>17689</v>
      </c>
      <c r="C2" s="35">
        <v>52919</v>
      </c>
      <c r="D2" s="35">
        <f>C2-B2</f>
        <v>35230</v>
      </c>
      <c r="E2" s="34">
        <f>IFERROR(D2/B2,0)</f>
        <v>1.9916332183843066</v>
      </c>
      <c r="F2" s="36">
        <f>E2/24</f>
        <v>8.2984717432679447E-2</v>
      </c>
    </row>
    <row r="3" spans="1:6" ht="15" customHeight="1" thickBot="1">
      <c r="A3" s="4" t="s">
        <v>85</v>
      </c>
      <c r="B3" s="35">
        <v>66088</v>
      </c>
      <c r="C3" s="35">
        <v>78040</v>
      </c>
      <c r="D3" s="35">
        <f t="shared" ref="D3:D8" si="0">C3-B3</f>
        <v>11952</v>
      </c>
      <c r="E3" s="34">
        <f t="shared" ref="E3:E8" si="1">IFERROR(D3/B3,0)</f>
        <v>0.18084977605616753</v>
      </c>
      <c r="F3" s="36">
        <f t="shared" ref="F3:F15" si="2">E3/24</f>
        <v>7.5354073356736469E-3</v>
      </c>
    </row>
    <row r="4" spans="1:6" ht="15" customHeight="1" thickBot="1">
      <c r="A4" s="4" t="s">
        <v>86</v>
      </c>
      <c r="B4" s="35">
        <v>5332</v>
      </c>
      <c r="C4" s="35">
        <v>5988</v>
      </c>
      <c r="D4" s="35">
        <f t="shared" si="0"/>
        <v>656</v>
      </c>
      <c r="E4" s="34">
        <f t="shared" si="1"/>
        <v>0.12303075768942236</v>
      </c>
      <c r="F4" s="36">
        <f t="shared" si="2"/>
        <v>5.1262815703925985E-3</v>
      </c>
    </row>
    <row r="5" spans="1:6" ht="15" customHeight="1" thickBot="1">
      <c r="A5" s="4" t="s">
        <v>87</v>
      </c>
      <c r="B5" s="35">
        <v>15078</v>
      </c>
      <c r="C5" s="35">
        <v>16073</v>
      </c>
      <c r="D5" s="35">
        <f t="shared" si="0"/>
        <v>995</v>
      </c>
      <c r="E5" s="34">
        <f t="shared" si="1"/>
        <v>6.5990184374585495E-2</v>
      </c>
      <c r="F5" s="36">
        <f t="shared" si="2"/>
        <v>2.7495910156077291E-3</v>
      </c>
    </row>
    <row r="6" spans="1:6" ht="15" customHeight="1" thickBot="1">
      <c r="A6" s="4" t="s">
        <v>88</v>
      </c>
      <c r="B6" s="35">
        <v>24412</v>
      </c>
      <c r="C6" s="35">
        <v>23365</v>
      </c>
      <c r="D6" s="35">
        <f t="shared" si="0"/>
        <v>-1047</v>
      </c>
      <c r="E6" s="34">
        <f t="shared" si="1"/>
        <v>-4.2888743241029002E-2</v>
      </c>
      <c r="F6" s="36">
        <f t="shared" si="2"/>
        <v>-1.7870309683762084E-3</v>
      </c>
    </row>
    <row r="7" spans="1:6" ht="15" customHeight="1" thickBot="1">
      <c r="A7" s="4" t="s">
        <v>89</v>
      </c>
      <c r="B7" s="35">
        <v>21961</v>
      </c>
      <c r="C7" s="35">
        <v>31651</v>
      </c>
      <c r="D7" s="35">
        <f t="shared" si="0"/>
        <v>9690</v>
      </c>
      <c r="E7" s="34">
        <f t="shared" si="1"/>
        <v>0.44123673785346751</v>
      </c>
      <c r="F7" s="36">
        <f t="shared" si="2"/>
        <v>1.8384864077227812E-2</v>
      </c>
    </row>
    <row r="8" spans="1:6" ht="15" customHeight="1" thickBot="1">
      <c r="A8" s="4" t="s">
        <v>90</v>
      </c>
      <c r="B8" s="35">
        <v>3237</v>
      </c>
      <c r="C8" s="35">
        <v>3575</v>
      </c>
      <c r="D8" s="35">
        <f t="shared" si="0"/>
        <v>338</v>
      </c>
      <c r="E8" s="34">
        <f t="shared" si="1"/>
        <v>0.10441767068273092</v>
      </c>
      <c r="F8" s="36">
        <f t="shared" si="2"/>
        <v>4.3507362784471213E-3</v>
      </c>
    </row>
    <row r="9" spans="1:6" ht="15" customHeight="1" thickBot="1">
      <c r="A9" s="4"/>
      <c r="B9" s="35"/>
      <c r="C9" s="35"/>
      <c r="D9" s="35"/>
      <c r="E9" s="34"/>
      <c r="F9" s="36"/>
    </row>
    <row r="10" spans="1:6" ht="15" customHeight="1" thickBot="1">
      <c r="A10" s="4"/>
      <c r="B10" s="35"/>
      <c r="C10" s="35"/>
      <c r="D10" s="35"/>
      <c r="E10" s="34"/>
      <c r="F10" s="36"/>
    </row>
    <row r="11" spans="1:6" ht="15" customHeight="1" thickBot="1">
      <c r="A11" s="4"/>
      <c r="B11" s="35"/>
      <c r="C11" s="35"/>
      <c r="D11" s="35"/>
      <c r="E11" s="34"/>
      <c r="F11" s="36"/>
    </row>
    <row r="12" spans="1:6" ht="15" customHeight="1" thickBot="1">
      <c r="A12" s="4"/>
      <c r="B12" s="35"/>
      <c r="C12" s="35"/>
      <c r="D12" s="35"/>
      <c r="E12" s="34"/>
      <c r="F12" s="36"/>
    </row>
    <row r="13" spans="1:6" ht="15" customHeight="1" thickBot="1">
      <c r="A13" s="4"/>
      <c r="B13" s="35"/>
      <c r="C13" s="35"/>
      <c r="D13" s="35"/>
      <c r="E13" s="34"/>
      <c r="F13" s="36"/>
    </row>
    <row r="14" spans="1:6" ht="15" customHeight="1" thickBot="1">
      <c r="A14" s="4"/>
      <c r="B14" s="35"/>
      <c r="C14" s="35"/>
      <c r="D14" s="35"/>
      <c r="E14" s="34"/>
      <c r="F14" s="36"/>
    </row>
    <row r="15" spans="1:6" ht="15" customHeight="1" thickBot="1">
      <c r="A15" s="6" t="s">
        <v>78</v>
      </c>
      <c r="B15" s="37">
        <f>SUM(B2:B14)</f>
        <v>153797</v>
      </c>
      <c r="C15" s="37">
        <f>SUM(C2:C14)</f>
        <v>211611</v>
      </c>
      <c r="D15" s="37">
        <f t="shared" ref="D15" si="3">C15-B15</f>
        <v>57814</v>
      </c>
      <c r="E15" s="38">
        <f t="shared" ref="E15" si="4">D15/B15</f>
        <v>0.37591110359759944</v>
      </c>
      <c r="F15" s="39">
        <f t="shared" si="2"/>
        <v>1.5662962649899977E-2</v>
      </c>
    </row>
  </sheetData>
  <pageMargins left="0.7" right="0.7" top="0.75" bottom="0.75" header="0.3" footer="0.3"/>
  <pageSetup paperSize="9" orientation="portrait" horizontalDpi="0" verticalDpi="0" r:id="rId1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4C99-B755-4811-9D31-44264DBE1132}">
  <sheetPr codeName="Sheet4">
    <tabColor theme="5" tint="-0.499984740745262"/>
  </sheetPr>
  <dimension ref="A1:U197"/>
  <sheetViews>
    <sheetView topLeftCell="A35" workbookViewId="0"/>
  </sheetViews>
  <sheetFormatPr defaultRowHeight="14.45"/>
  <cols>
    <col min="1" max="1" width="23.7109375" customWidth="1"/>
    <col min="14" max="14" width="16.5703125" bestFit="1" customWidth="1"/>
    <col min="15" max="15" width="9.28515625" style="10" customWidth="1"/>
  </cols>
  <sheetData>
    <row r="1" spans="1:21" ht="14.1" customHeight="1" thickBot="1">
      <c r="A1" s="1" t="s">
        <v>91</v>
      </c>
      <c r="B1" s="2" t="s">
        <v>92</v>
      </c>
      <c r="C1" s="3">
        <f t="shared" ref="C1:F1" si="0">D1-1</f>
        <v>2019</v>
      </c>
      <c r="D1" s="3">
        <f t="shared" si="0"/>
        <v>2020</v>
      </c>
      <c r="E1" s="3">
        <f t="shared" si="0"/>
        <v>2021</v>
      </c>
      <c r="F1" s="3">
        <f t="shared" si="0"/>
        <v>2022</v>
      </c>
      <c r="G1" s="3">
        <f>H1-1</f>
        <v>2023</v>
      </c>
      <c r="H1" s="3">
        <v>2024</v>
      </c>
      <c r="I1" s="7"/>
      <c r="J1" s="7"/>
      <c r="K1" s="7"/>
      <c r="L1" s="7"/>
      <c r="N1" s="1" t="s">
        <v>93</v>
      </c>
      <c r="O1" s="2" t="s">
        <v>94</v>
      </c>
      <c r="P1" s="2">
        <f>C1</f>
        <v>2019</v>
      </c>
      <c r="Q1" s="2">
        <f t="shared" ref="Q1:U1" si="1">D1</f>
        <v>2020</v>
      </c>
      <c r="R1" s="2">
        <f t="shared" si="1"/>
        <v>2021</v>
      </c>
      <c r="S1" s="2">
        <f t="shared" si="1"/>
        <v>2022</v>
      </c>
      <c r="T1" s="2">
        <f t="shared" si="1"/>
        <v>2023</v>
      </c>
      <c r="U1" s="2">
        <f t="shared" si="1"/>
        <v>2024</v>
      </c>
    </row>
    <row r="2" spans="1:21" ht="14.1" customHeight="1" thickTop="1" thickBot="1">
      <c r="A2" s="4" t="str">
        <f>Ratings!A2</f>
        <v>ST</v>
      </c>
      <c r="B2" s="11">
        <f>Ratings!D2</f>
        <v>79.7</v>
      </c>
      <c r="C2" s="151">
        <v>72.392245742008555</v>
      </c>
      <c r="D2" s="151">
        <v>76.354532583292468</v>
      </c>
      <c r="E2" s="151">
        <v>65.593970525569233</v>
      </c>
      <c r="F2" s="151">
        <v>71.060624109031025</v>
      </c>
      <c r="G2" s="151">
        <v>70.437968450845474</v>
      </c>
      <c r="H2" s="151"/>
      <c r="I2" s="7"/>
      <c r="J2" s="7"/>
      <c r="K2" s="7"/>
      <c r="L2" s="7"/>
      <c r="N2" s="4" t="str">
        <f>Ratings!H2</f>
        <v>BD 01</v>
      </c>
      <c r="O2" s="11">
        <f>Ratings!I2</f>
        <v>14.289419162443236</v>
      </c>
      <c r="P2" s="11">
        <v>5.8300830182768415</v>
      </c>
      <c r="Q2" s="11">
        <v>5.8300830182768415</v>
      </c>
      <c r="R2" s="11">
        <v>7.2399723756379064</v>
      </c>
      <c r="S2" s="11">
        <v>7.2780774934044219</v>
      </c>
      <c r="T2" s="11">
        <v>7.0113416690388153</v>
      </c>
      <c r="U2" s="11"/>
    </row>
    <row r="3" spans="1:21" ht="14.1" customHeight="1" thickBot="1">
      <c r="A3" s="4" t="str">
        <f>Ratings!A3</f>
        <v>KLO</v>
      </c>
      <c r="B3" s="11">
        <f>Ratings!D3</f>
        <v>49.1</v>
      </c>
      <c r="C3" s="151"/>
      <c r="D3" s="151"/>
      <c r="E3" s="151"/>
      <c r="F3" s="151"/>
      <c r="G3" s="151"/>
      <c r="H3" s="151"/>
      <c r="I3" s="7"/>
      <c r="J3" s="7"/>
      <c r="K3" s="7"/>
      <c r="L3" s="7"/>
      <c r="N3" s="4" t="str">
        <f>Ratings!H3</f>
        <v>BD 02</v>
      </c>
      <c r="O3" s="11">
        <f>Ratings!I3</f>
        <v>22.482019482244024</v>
      </c>
      <c r="P3" s="11">
        <v>1.7071092468679876</v>
      </c>
      <c r="Q3" s="11">
        <v>1.5623098284271273</v>
      </c>
      <c r="R3" s="11">
        <v>0.64778700203076001</v>
      </c>
      <c r="S3" s="11">
        <v>0.7621023553303059</v>
      </c>
      <c r="T3" s="11">
        <v>0</v>
      </c>
      <c r="U3" s="11"/>
    </row>
    <row r="4" spans="1:21" ht="14.1" customHeight="1" thickBot="1">
      <c r="A4" s="4" t="str">
        <f>Ratings!A4</f>
        <v>BD</v>
      </c>
      <c r="B4" s="11">
        <f>Ratings!D4</f>
        <v>123.7</v>
      </c>
      <c r="C4" s="151">
        <v>76.993298087024314</v>
      </c>
      <c r="D4" s="151">
        <v>72.42061580149435</v>
      </c>
      <c r="E4" s="151">
        <v>64.049000838718101</v>
      </c>
      <c r="F4" s="151">
        <v>68.023993887339259</v>
      </c>
      <c r="G4" s="151">
        <v>70.513784939656404</v>
      </c>
      <c r="H4" s="151"/>
      <c r="I4" s="7"/>
      <c r="J4" s="7"/>
      <c r="K4" s="7"/>
      <c r="L4" s="7"/>
      <c r="N4" s="4" t="str">
        <f>Ratings!H4</f>
        <v>BD 04</v>
      </c>
      <c r="O4" s="11">
        <f>Ratings!I4</f>
        <v>11.6</v>
      </c>
      <c r="P4" s="11">
        <v>3.6504703983197566</v>
      </c>
      <c r="Q4" s="11">
        <v>3.4294605989863771</v>
      </c>
      <c r="R4" s="11">
        <v>3.0865145390877395</v>
      </c>
      <c r="S4" s="11">
        <v>3.5056708345194076</v>
      </c>
      <c r="T4" s="11">
        <v>3.0103043035547086</v>
      </c>
      <c r="U4" s="11"/>
    </row>
    <row r="5" spans="1:21" ht="14.1" customHeight="1" thickBot="1">
      <c r="A5" s="4" t="str">
        <f>Ratings!A5</f>
        <v>COO</v>
      </c>
      <c r="B5" s="11">
        <f>Ratings!D5</f>
        <v>38</v>
      </c>
      <c r="C5" s="151">
        <v>42.41763778866401</v>
      </c>
      <c r="D5" s="151">
        <v>43.684781102805132</v>
      </c>
      <c r="E5" s="151">
        <v>40.800077584755705</v>
      </c>
      <c r="F5" s="151">
        <v>44.255610073384737</v>
      </c>
      <c r="G5" s="151">
        <v>36.999730461272939</v>
      </c>
      <c r="H5" s="151"/>
      <c r="I5" s="7"/>
      <c r="J5" s="7"/>
      <c r="K5" s="7"/>
      <c r="L5" s="7"/>
      <c r="N5" s="4" t="str">
        <f>Ratings!H5</f>
        <v>BD 06</v>
      </c>
      <c r="O5" s="11">
        <f>Ratings!I5</f>
        <v>22.482019482244024</v>
      </c>
      <c r="P5" s="11">
        <v>1.463236580377983</v>
      </c>
      <c r="Q5" s="11">
        <v>1.3336791218280355</v>
      </c>
      <c r="R5" s="11">
        <v>0.7621023553303059</v>
      </c>
      <c r="S5" s="11">
        <v>0.34294605989863763</v>
      </c>
      <c r="T5" s="11">
        <v>0</v>
      </c>
      <c r="U5" s="11"/>
    </row>
    <row r="6" spans="1:21" ht="14.1" customHeight="1" thickBot="1">
      <c r="A6" s="4" t="str">
        <f>Ratings!A7</f>
        <v>BMS</v>
      </c>
      <c r="B6" s="11">
        <f>Ratings!D7</f>
        <v>38</v>
      </c>
      <c r="C6" s="151">
        <v>29.222589111114754</v>
      </c>
      <c r="D6" s="151">
        <v>29.056097240066567</v>
      </c>
      <c r="E6" s="151">
        <v>27.658633371878661</v>
      </c>
      <c r="F6" s="151">
        <v>31.124727934553903</v>
      </c>
      <c r="G6" s="151">
        <v>32.476012436831617</v>
      </c>
      <c r="H6" s="151"/>
      <c r="I6" s="8"/>
      <c r="J6" s="8"/>
      <c r="K6" s="8"/>
      <c r="L6" s="8"/>
      <c r="N6" s="4" t="str">
        <f>Ratings!H6</f>
        <v>BD 08</v>
      </c>
      <c r="O6" s="11">
        <f>Ratings!I6</f>
        <v>11.622060918787167</v>
      </c>
      <c r="P6" s="11">
        <v>8.7184510612662915</v>
      </c>
      <c r="Q6" s="11">
        <v>8.4974412619329129</v>
      </c>
      <c r="R6" s="11">
        <v>8.4593361441663966</v>
      </c>
      <c r="S6" s="11">
        <v>8.3450207908668492</v>
      </c>
      <c r="T6" s="11">
        <v>8.3069156731003346</v>
      </c>
      <c r="U6" s="11"/>
    </row>
    <row r="7" spans="1:21" ht="14.1" customHeight="1" thickBot="1">
      <c r="A7" s="4" t="str">
        <f>Ratings!A37</f>
        <v>SMTS-ST-SSS-SMTS</v>
      </c>
      <c r="B7" s="11">
        <f>Ratings!B38</f>
        <v>117.2</v>
      </c>
      <c r="C7" s="151">
        <f>C2</f>
        <v>72.392245742008555</v>
      </c>
      <c r="D7" s="151">
        <f t="shared" ref="D7:G7" si="2">D2</f>
        <v>76.354532583292468</v>
      </c>
      <c r="E7" s="151">
        <f t="shared" si="2"/>
        <v>65.593970525569233</v>
      </c>
      <c r="F7" s="151">
        <f t="shared" si="2"/>
        <v>71.060624109031025</v>
      </c>
      <c r="G7" s="151">
        <f t="shared" si="2"/>
        <v>70.437968450845474</v>
      </c>
      <c r="H7" s="151"/>
      <c r="I7" s="7"/>
      <c r="J7" s="7"/>
      <c r="K7" s="7"/>
      <c r="L7" s="7"/>
      <c r="N7" s="4" t="str">
        <f>Ratings!H7</f>
        <v>BD 09</v>
      </c>
      <c r="O7" s="11">
        <f>Ratings!I7</f>
        <v>13.146265629447777</v>
      </c>
      <c r="P7" s="11">
        <v>5.3042322768113381</v>
      </c>
      <c r="Q7" s="11">
        <v>4.9917704274135044</v>
      </c>
      <c r="R7" s="11">
        <v>4.6107192497483513</v>
      </c>
      <c r="S7" s="11">
        <v>4.2296680720831983</v>
      </c>
      <c r="T7" s="11">
        <v>11.469640447721105</v>
      </c>
      <c r="U7" s="11"/>
    </row>
    <row r="8" spans="1:21" ht="14.1" customHeight="1" thickBot="1">
      <c r="A8" s="4" t="str">
        <f>Ratings!A48</f>
        <v>TTS-COO-VCO-BD-BMS-TTS</v>
      </c>
      <c r="B8" s="11">
        <f>Ratings!B49</f>
        <v>196.3</v>
      </c>
      <c r="C8" s="152">
        <f>C4+C5+C6+C9</f>
        <v>177.41329565996864</v>
      </c>
      <c r="D8" s="152">
        <f t="shared" ref="D8:G8" si="3">D4+D5+D6+D9</f>
        <v>169.51530288139938</v>
      </c>
      <c r="E8" s="152">
        <f t="shared" si="3"/>
        <v>156.81746703887558</v>
      </c>
      <c r="F8" s="152">
        <f t="shared" si="3"/>
        <v>169.13255052618976</v>
      </c>
      <c r="G8" s="152">
        <f t="shared" si="3"/>
        <v>166.4848597435892</v>
      </c>
      <c r="H8" s="152"/>
      <c r="I8" s="7"/>
      <c r="J8" s="7"/>
      <c r="K8" s="7"/>
      <c r="L8" s="7"/>
      <c r="N8" s="4" t="str">
        <f>Ratings!H8</f>
        <v>BD 13</v>
      </c>
      <c r="O8" s="11">
        <f>Ratings!I8</f>
        <v>12.003112096452318</v>
      </c>
      <c r="P8" s="11">
        <v>8.1621162255875763</v>
      </c>
      <c r="Q8" s="11">
        <v>7.2780774934044219</v>
      </c>
      <c r="R8" s="11">
        <v>7.5448133177700285</v>
      </c>
      <c r="S8" s="11">
        <v>7.6972337888360896</v>
      </c>
      <c r="T8" s="11">
        <v>7.811549142135636</v>
      </c>
      <c r="U8" s="11"/>
    </row>
    <row r="9" spans="1:21" ht="14.1" customHeight="1" thickBot="1">
      <c r="A9" s="4" t="s">
        <v>95</v>
      </c>
      <c r="B9" s="11"/>
      <c r="C9" s="151">
        <v>28.779770673165551</v>
      </c>
      <c r="D9" s="151">
        <v>24.353808737033308</v>
      </c>
      <c r="E9" s="151">
        <v>24.309755243523124</v>
      </c>
      <c r="F9" s="151">
        <v>25.728218630911858</v>
      </c>
      <c r="G9" s="151">
        <v>26.495331905828241</v>
      </c>
      <c r="H9" s="151"/>
      <c r="I9" s="7"/>
      <c r="J9" s="7"/>
      <c r="K9" s="7"/>
      <c r="L9" s="7"/>
      <c r="N9" s="4" t="str">
        <f>Ratings!H9</f>
        <v>BD 14</v>
      </c>
      <c r="O9" s="11">
        <f>Ratings!I9</f>
        <v>12.003112096452318</v>
      </c>
      <c r="P9" s="11">
        <v>7.6057817387716353</v>
      </c>
      <c r="Q9" s="11">
        <v>7.2399723756379064</v>
      </c>
      <c r="R9" s="11">
        <v>6.7065007269066932</v>
      </c>
      <c r="S9" s="11">
        <v>7.3923928467039675</v>
      </c>
      <c r="T9" s="11">
        <v>8.3450207908668492</v>
      </c>
      <c r="U9" s="11"/>
    </row>
    <row r="10" spans="1:21" ht="14.1" customHeight="1" thickBot="1">
      <c r="A10" s="4"/>
      <c r="B10" s="5"/>
      <c r="C10" s="151"/>
      <c r="D10" s="151"/>
      <c r="E10" s="151"/>
      <c r="F10" s="151"/>
      <c r="G10" s="151"/>
      <c r="H10" s="151"/>
      <c r="I10" s="7"/>
      <c r="J10" s="7"/>
      <c r="K10" s="7"/>
      <c r="L10" s="7"/>
      <c r="N10" s="4" t="str">
        <f>Ratings!H10</f>
        <v>COO11</v>
      </c>
      <c r="O10" s="11">
        <f>Ratings!I10</f>
        <v>10.859958563456859</v>
      </c>
      <c r="P10" s="11">
        <v>10.059751090360038</v>
      </c>
      <c r="Q10" s="11">
        <v>12.193637685284894</v>
      </c>
      <c r="R10" s="11">
        <v>9.4881743238623102</v>
      </c>
      <c r="S10" s="11">
        <v>10.36459203249216</v>
      </c>
      <c r="T10" s="11">
        <v>6.0206086071094171</v>
      </c>
      <c r="U10" s="11"/>
    </row>
    <row r="11" spans="1:21" ht="14.1" customHeight="1" thickBot="1">
      <c r="A11" s="4"/>
      <c r="B11" s="5"/>
      <c r="C11" s="151"/>
      <c r="D11" s="151"/>
      <c r="E11" s="151"/>
      <c r="F11" s="151"/>
      <c r="G11" s="151"/>
      <c r="H11" s="151"/>
      <c r="I11" s="7"/>
      <c r="J11" s="7"/>
      <c r="K11" s="7"/>
      <c r="L11" s="7"/>
      <c r="N11" s="4" t="str">
        <f>Ratings!H11</f>
        <v>COO12</v>
      </c>
      <c r="O11" s="11">
        <f>Ratings!I11</f>
        <v>14.3</v>
      </c>
      <c r="P11" s="11">
        <v>4.877455074113958</v>
      </c>
      <c r="Q11" s="11">
        <v>6.5921853736071467</v>
      </c>
      <c r="R11" s="11">
        <v>4.8393499563474434</v>
      </c>
      <c r="S11" s="11">
        <v>5.2966113695456274</v>
      </c>
      <c r="T11" s="11">
        <v>4.2296680720831983</v>
      </c>
      <c r="U11" s="11"/>
    </row>
    <row r="12" spans="1:21" ht="14.1" customHeight="1" thickBot="1">
      <c r="A12" s="4"/>
      <c r="B12" s="5"/>
      <c r="C12" s="151"/>
      <c r="D12" s="151"/>
      <c r="E12" s="151"/>
      <c r="F12" s="151"/>
      <c r="G12" s="151"/>
      <c r="H12" s="151"/>
      <c r="I12" s="7"/>
      <c r="J12" s="7"/>
      <c r="K12" s="7"/>
      <c r="L12" s="7"/>
      <c r="N12" s="4" t="str">
        <f>Ratings!H12</f>
        <v>COO13</v>
      </c>
      <c r="O12" s="11">
        <f>Ratings!I12</f>
        <v>12.003112096452318</v>
      </c>
      <c r="P12" s="11">
        <v>7.2780774934044219</v>
      </c>
      <c r="Q12" s="11">
        <v>7.5067082000035139</v>
      </c>
      <c r="R12" s="11">
        <v>6.3635546670080547</v>
      </c>
      <c r="S12" s="11">
        <v>6.5540802558406313</v>
      </c>
      <c r="T12" s="11">
        <v>5.4490318406116875</v>
      </c>
      <c r="U12" s="11"/>
    </row>
    <row r="13" spans="1:21" ht="14.1" customHeight="1" thickBot="1">
      <c r="A13" s="4"/>
      <c r="B13" s="5"/>
      <c r="C13" s="151"/>
      <c r="D13" s="151"/>
      <c r="E13" s="151"/>
      <c r="F13" s="151"/>
      <c r="G13" s="151"/>
      <c r="H13" s="151"/>
      <c r="I13" s="7"/>
      <c r="J13" s="7"/>
      <c r="K13" s="7"/>
      <c r="L13" s="7"/>
      <c r="N13" s="4" t="str">
        <f>Ratings!H13</f>
        <v>COO14</v>
      </c>
      <c r="O13" s="11">
        <f>Ratings!I13</f>
        <v>12.003112096452318</v>
      </c>
      <c r="P13" s="11">
        <v>7.1637621401048763</v>
      </c>
      <c r="Q13" s="11">
        <v>9.0309129106641244</v>
      </c>
      <c r="R13" s="11">
        <v>8.2307054375673037</v>
      </c>
      <c r="S13" s="11">
        <v>7.6210235533030604</v>
      </c>
      <c r="T13" s="11">
        <v>6.8208160802062388</v>
      </c>
      <c r="U13" s="11"/>
    </row>
    <row r="14" spans="1:21" ht="14.1" customHeight="1" thickBot="1">
      <c r="A14" s="4"/>
      <c r="B14" s="5"/>
      <c r="C14" s="151"/>
      <c r="D14" s="151"/>
      <c r="E14" s="151"/>
      <c r="F14" s="151"/>
      <c r="G14" s="151"/>
      <c r="H14" s="151"/>
      <c r="I14" s="7"/>
      <c r="J14" s="7"/>
      <c r="K14" s="7"/>
      <c r="L14" s="7"/>
      <c r="N14" s="4" t="str">
        <f>Ratings!H14</f>
        <v>COO21</v>
      </c>
      <c r="O14" s="11">
        <f>Ratings!I14</f>
        <v>14.289419162443236</v>
      </c>
      <c r="P14" s="11">
        <v>8.9165975573645788</v>
      </c>
      <c r="Q14" s="11">
        <v>8.6879668507654877</v>
      </c>
      <c r="R14" s="11">
        <v>7.5448133177700285</v>
      </c>
      <c r="S14" s="11">
        <v>9.8311203837609469</v>
      </c>
      <c r="T14" s="11">
        <v>4.877455074113958</v>
      </c>
      <c r="U14" s="11"/>
    </row>
    <row r="15" spans="1:21" ht="14.1" customHeight="1" thickBot="1">
      <c r="N15" s="4" t="str">
        <f>Ratings!H15</f>
        <v>COO22</v>
      </c>
      <c r="O15" s="11">
        <f>Ratings!I15</f>
        <v>12.003112096452318</v>
      </c>
      <c r="P15" s="11">
        <v>7.9639696132016979</v>
      </c>
      <c r="Q15" s="11">
        <v>10.288381796959131</v>
      </c>
      <c r="R15" s="11">
        <v>10.021645972593523</v>
      </c>
      <c r="S15" s="11">
        <v>10.2121715614261</v>
      </c>
      <c r="T15" s="11">
        <v>6.1349239604089636</v>
      </c>
      <c r="U15" s="11"/>
    </row>
    <row r="16" spans="1:21" ht="14.1" customHeight="1" thickBot="1">
      <c r="N16" s="4" t="str">
        <f>Ratings!H16</f>
        <v>COO23</v>
      </c>
      <c r="O16" s="11">
        <f>Ratings!I16</f>
        <v>14.289419162443236</v>
      </c>
      <c r="P16" s="11">
        <v>0</v>
      </c>
      <c r="Q16" s="11">
        <v>0</v>
      </c>
      <c r="R16" s="11">
        <v>0</v>
      </c>
      <c r="S16" s="11">
        <v>0</v>
      </c>
      <c r="T16" s="11">
        <v>10.135961325893069</v>
      </c>
      <c r="U16" s="11"/>
    </row>
    <row r="17" spans="14:21" ht="14.1" customHeight="1" thickBot="1">
      <c r="N17" s="4" t="str">
        <f>Ratings!H17</f>
        <v>COO24</v>
      </c>
      <c r="O17" s="11">
        <f>Ratings!I17</f>
        <v>12.193637685284894</v>
      </c>
      <c r="P17" s="11">
        <v>0</v>
      </c>
      <c r="Q17" s="11">
        <v>0</v>
      </c>
      <c r="R17" s="11">
        <v>0</v>
      </c>
      <c r="S17" s="11">
        <v>0</v>
      </c>
      <c r="T17" s="11">
        <v>7.7734440243691205</v>
      </c>
      <c r="U17" s="11"/>
    </row>
    <row r="18" spans="14:21" ht="14.1" customHeight="1" thickBot="1">
      <c r="N18" s="4" t="str">
        <f>Ratings!H18</f>
        <v>KLO13</v>
      </c>
      <c r="O18" s="11">
        <f>Ratings!I18</f>
        <v>14.289419162443236</v>
      </c>
      <c r="P18" s="11">
        <v>3.0865145390877395</v>
      </c>
      <c r="Q18" s="11">
        <v>5.258506251779111</v>
      </c>
      <c r="R18" s="11">
        <v>5.715767664977295</v>
      </c>
      <c r="S18" s="11">
        <v>8.1544952020342727</v>
      </c>
      <c r="T18" s="11">
        <v>9.9835408548270088</v>
      </c>
      <c r="U18" s="11"/>
    </row>
    <row r="19" spans="14:21" ht="14.1" customHeight="1" thickBot="1">
      <c r="N19" s="4" t="str">
        <f>Ratings!H19</f>
        <v>KLO21</v>
      </c>
      <c r="O19" s="11">
        <f>Ratings!I19</f>
        <v>14.289419162443236</v>
      </c>
      <c r="P19" s="11">
        <v>0.95262794416288255</v>
      </c>
      <c r="Q19" s="11">
        <v>0.99073306192939781</v>
      </c>
      <c r="R19" s="11">
        <v>1.0669432974624282</v>
      </c>
      <c r="S19" s="11">
        <v>2.1719917126913719</v>
      </c>
      <c r="T19" s="11">
        <v>2.0957814771583414</v>
      </c>
      <c r="U19" s="11"/>
    </row>
    <row r="20" spans="14:21" ht="14.1" customHeight="1" thickBot="1">
      <c r="N20" s="4" t="str">
        <f>Ratings!H20</f>
        <v>KLO22</v>
      </c>
      <c r="O20" s="11">
        <f>Ratings!I20</f>
        <v>14.289419162443236</v>
      </c>
      <c r="P20" s="11">
        <v>7.1256570223383608</v>
      </c>
      <c r="Q20" s="11">
        <v>6.7827109624397224</v>
      </c>
      <c r="R20" s="11">
        <v>7.4686030822369984</v>
      </c>
      <c r="S20" s="11">
        <v>8.9928077928976116</v>
      </c>
      <c r="T20" s="11">
        <v>9.7549101482279159</v>
      </c>
      <c r="U20" s="11"/>
    </row>
    <row r="21" spans="14:21" ht="14.1" customHeight="1" thickBot="1">
      <c r="N21" s="4" t="str">
        <f>Ratings!H21</f>
        <v>KLO23</v>
      </c>
      <c r="O21" s="11">
        <f>Ratings!I21</f>
        <v>14.289419162443236</v>
      </c>
      <c r="P21" s="11">
        <v>0</v>
      </c>
      <c r="Q21" s="11">
        <v>0</v>
      </c>
      <c r="R21" s="11">
        <v>0.60968188426424474</v>
      </c>
      <c r="S21" s="11">
        <v>0.95262794416288255</v>
      </c>
      <c r="T21" s="11">
        <v>1.2193637685284895</v>
      </c>
      <c r="U21" s="11"/>
    </row>
    <row r="22" spans="14:21" ht="14.1" customHeight="1" thickBot="1">
      <c r="N22" s="4" t="str">
        <f>Ratings!H22</f>
        <v>ST 11</v>
      </c>
      <c r="O22" s="11">
        <f>Ratings!I22</f>
        <v>22.482019482244024</v>
      </c>
      <c r="P22" s="11">
        <v>9.8692255015274615</v>
      </c>
      <c r="Q22" s="11">
        <v>11.965006978685803</v>
      </c>
      <c r="R22" s="11">
        <v>13.451106571579899</v>
      </c>
      <c r="S22" s="11">
        <v>14.441839633509298</v>
      </c>
      <c r="T22" s="11">
        <v>16.232780168535516</v>
      </c>
      <c r="U22" s="11"/>
    </row>
    <row r="23" spans="14:21" ht="14.1" customHeight="1" thickBot="1">
      <c r="N23" s="4" t="str">
        <f>Ratings!H23</f>
        <v>ST 12</v>
      </c>
      <c r="O23" s="11">
        <f>Ratings!I23</f>
        <v>14.289419162443236</v>
      </c>
      <c r="P23" s="11">
        <v>8.1544952020342727</v>
      </c>
      <c r="Q23" s="11">
        <v>8.2307054375673037</v>
      </c>
      <c r="R23" s="11">
        <v>6.5159751380741167</v>
      </c>
      <c r="S23" s="11">
        <v>6.9732365512722998</v>
      </c>
      <c r="T23" s="11">
        <v>7.0113416690388153</v>
      </c>
      <c r="U23" s="11"/>
    </row>
    <row r="24" spans="14:21" ht="14.1" customHeight="1" thickBot="1">
      <c r="N24" s="4" t="str">
        <f>Ratings!H24</f>
        <v>ST 13</v>
      </c>
      <c r="O24" s="11">
        <f>Ratings!I24</f>
        <v>14.289419162443236</v>
      </c>
      <c r="P24" s="11">
        <v>7.6591286710695741</v>
      </c>
      <c r="Q24" s="11">
        <v>7.7353389066026059</v>
      </c>
      <c r="R24" s="11">
        <v>7.3161826111709383</v>
      </c>
      <c r="S24" s="11">
        <v>7.811549142135636</v>
      </c>
      <c r="T24" s="11">
        <v>7.4304979644704829</v>
      </c>
      <c r="U24" s="11"/>
    </row>
    <row r="25" spans="14:21" ht="14.1" customHeight="1" thickBot="1">
      <c r="N25" s="4" t="str">
        <f>Ratings!H25</f>
        <v>ST 14</v>
      </c>
      <c r="O25" s="11">
        <f>Ratings!I25</f>
        <v>14.289419162443236</v>
      </c>
      <c r="P25" s="11">
        <v>7.9258644954351825</v>
      </c>
      <c r="Q25" s="11">
        <v>7.6591286710695741</v>
      </c>
      <c r="R25" s="11">
        <v>7.4304979644704829</v>
      </c>
      <c r="S25" s="11">
        <v>7.5067082000035139</v>
      </c>
      <c r="T25" s="11">
        <v>6.6683956091401768</v>
      </c>
      <c r="U25" s="11"/>
    </row>
    <row r="26" spans="14:21" ht="14.1" customHeight="1" thickBot="1">
      <c r="N26" s="4" t="str">
        <f>Ratings!H26</f>
        <v>ST 21</v>
      </c>
      <c r="O26" s="11">
        <f>Ratings!I26</f>
        <v>14.289419162443236</v>
      </c>
      <c r="P26" s="11">
        <v>1.4860995928940968</v>
      </c>
      <c r="Q26" s="11">
        <v>1.4479944751275813</v>
      </c>
      <c r="R26" s="11">
        <v>1.1812586507619742</v>
      </c>
      <c r="S26" s="11">
        <v>1.2574688862950048</v>
      </c>
      <c r="T26" s="11">
        <v>1.2193637685284895</v>
      </c>
      <c r="U26" s="11"/>
    </row>
    <row r="27" spans="14:21" ht="14.1" customHeight="1" thickBot="1">
      <c r="N27" s="4" t="str">
        <f>Ratings!H27</f>
        <v>ST 22</v>
      </c>
      <c r="O27" s="11">
        <f>Ratings!I27</f>
        <v>22.482019482244024</v>
      </c>
      <c r="P27" s="11">
        <v>15.737413637570819</v>
      </c>
      <c r="Q27" s="11">
        <v>13.336791218280354</v>
      </c>
      <c r="R27" s="11">
        <v>11.58395580102065</v>
      </c>
      <c r="S27" s="11">
        <v>11.622060918787165</v>
      </c>
      <c r="T27" s="11">
        <v>12.079322331985349</v>
      </c>
      <c r="U27" s="11"/>
    </row>
    <row r="28" spans="14:21" ht="14.1" customHeight="1" thickBot="1">
      <c r="N28" s="4" t="str">
        <f>Ratings!H28</f>
        <v>ST 23</v>
      </c>
      <c r="O28" s="11">
        <f>Ratings!I28</f>
        <v>22.482019482244024</v>
      </c>
      <c r="P28" s="11">
        <v>7.7353389066026059</v>
      </c>
      <c r="Q28" s="11">
        <v>9.4119640883292774</v>
      </c>
      <c r="R28" s="11">
        <v>9.0690180284306408</v>
      </c>
      <c r="S28" s="11">
        <v>7.6210235533030604</v>
      </c>
      <c r="T28" s="11">
        <v>7.5067082000035139</v>
      </c>
      <c r="U28" s="11"/>
    </row>
    <row r="29" spans="14:21" ht="14.1" customHeight="1" thickBot="1">
      <c r="N29" s="4" t="str">
        <f>Ratings!H29</f>
        <v>ST 24</v>
      </c>
      <c r="O29" s="11">
        <f>Ratings!I29</f>
        <v>14.289419162443236</v>
      </c>
      <c r="P29" s="11">
        <v>1.8290456527927346</v>
      </c>
      <c r="Q29" s="11">
        <v>1.9433610060922801</v>
      </c>
      <c r="R29" s="11">
        <v>2.4006224192904639</v>
      </c>
      <c r="S29" s="11">
        <v>2.4006224192904639</v>
      </c>
      <c r="T29" s="11">
        <v>2.4006224192904639</v>
      </c>
      <c r="U29" s="11"/>
    </row>
    <row r="30" spans="14:21" ht="14.1" customHeight="1" thickBot="1">
      <c r="N30" s="4" t="str">
        <f>Ratings!H30</f>
        <v>ST 31</v>
      </c>
      <c r="O30" s="11">
        <f>Ratings!I30</f>
        <v>22.482019482244024</v>
      </c>
      <c r="P30" s="11">
        <v>0.7621023553303059</v>
      </c>
      <c r="Q30" s="11">
        <v>2.324412183757433</v>
      </c>
      <c r="R30" s="11">
        <v>2.2863070659909175</v>
      </c>
      <c r="S30" s="11">
        <v>2.7816735969556166</v>
      </c>
      <c r="T30" s="11">
        <v>2.4006224192904639</v>
      </c>
      <c r="U30" s="11"/>
    </row>
    <row r="31" spans="14:21" ht="14.1" customHeight="1" thickBot="1">
      <c r="N31" s="4" t="str">
        <f>Ratings!H31</f>
        <v>ST 32</v>
      </c>
      <c r="O31" s="11">
        <f>Ratings!I31</f>
        <v>12.384163274117471</v>
      </c>
      <c r="P31" s="11">
        <v>10.395076824430918</v>
      </c>
      <c r="Q31" s="11">
        <v>9.0766389356963533</v>
      </c>
      <c r="R31" s="11">
        <v>8.4364730735064875</v>
      </c>
      <c r="S31" s="11">
        <v>10.021645972593523</v>
      </c>
      <c r="T31" s="11">
        <v>10.669432974624284</v>
      </c>
      <c r="U31" s="11"/>
    </row>
    <row r="32" spans="14:21" ht="14.1" customHeight="1" thickBot="1">
      <c r="N32" s="4" t="str">
        <f>Ratings!H32</f>
        <v>ST 33</v>
      </c>
      <c r="O32" s="11">
        <f>Ratings!I32</f>
        <v>12.5</v>
      </c>
      <c r="P32" s="11">
        <v>12.079322331985349</v>
      </c>
      <c r="Q32" s="11">
        <v>11.622060918787165</v>
      </c>
      <c r="R32" s="11">
        <v>11.126694387822466</v>
      </c>
      <c r="S32" s="11">
        <v>10.555117621324738</v>
      </c>
      <c r="T32" s="11">
        <v>11.164799505588983</v>
      </c>
      <c r="U32" s="11"/>
    </row>
    <row r="33" spans="14:21" ht="14.1" customHeight="1" thickBot="1">
      <c r="N33" s="4" t="str">
        <f>Ratings!H33</f>
        <v>ST 34</v>
      </c>
      <c r="O33" s="11">
        <f>Ratings!I33</f>
        <v>14.289419162443236</v>
      </c>
      <c r="P33" s="11">
        <v>9.3052696422954444</v>
      </c>
      <c r="Q33" s="11">
        <v>9.1604706599330488</v>
      </c>
      <c r="R33" s="11">
        <v>8.78704038953361</v>
      </c>
      <c r="S33" s="11">
        <v>9.0309129106641244</v>
      </c>
      <c r="T33" s="11">
        <v>9.7930152659944323</v>
      </c>
      <c r="U33" s="11"/>
    </row>
    <row r="34" spans="14:21" ht="14.1" customHeight="1" thickBot="1">
      <c r="N34" s="4"/>
      <c r="O34" s="11"/>
      <c r="P34" s="11"/>
      <c r="Q34" s="11"/>
      <c r="R34" s="11"/>
      <c r="S34" s="11"/>
      <c r="T34" s="11"/>
      <c r="U34" s="11"/>
    </row>
    <row r="35" spans="14:21" ht="14.1" customHeight="1" thickBot="1">
      <c r="N35" s="4"/>
      <c r="O35" s="11"/>
      <c r="P35" s="11"/>
      <c r="Q35" s="11"/>
      <c r="R35" s="11"/>
      <c r="S35" s="11"/>
      <c r="T35" s="11"/>
      <c r="U35" s="11"/>
    </row>
    <row r="36" spans="14:21" ht="14.1" customHeight="1" thickBot="1">
      <c r="N36" s="4"/>
      <c r="O36" s="11"/>
      <c r="P36" s="11"/>
      <c r="Q36" s="11"/>
      <c r="R36" s="11"/>
      <c r="S36" s="11"/>
      <c r="T36" s="11"/>
      <c r="U36" s="11"/>
    </row>
    <row r="37" spans="14:21" ht="14.1" customHeight="1" thickBot="1">
      <c r="N37" s="4"/>
      <c r="O37" s="11"/>
      <c r="P37" s="11"/>
      <c r="Q37" s="11"/>
      <c r="R37" s="11"/>
      <c r="S37" s="11"/>
      <c r="T37" s="11"/>
      <c r="U37" s="11"/>
    </row>
    <row r="38" spans="14:21" ht="14.1" customHeight="1" thickBot="1">
      <c r="N38" s="4"/>
      <c r="O38" s="11"/>
      <c r="P38" s="11"/>
      <c r="Q38" s="11"/>
      <c r="R38" s="11"/>
      <c r="S38" s="11"/>
      <c r="T38" s="11"/>
      <c r="U38" s="11"/>
    </row>
    <row r="39" spans="14:21" ht="14.1" customHeight="1" thickBot="1">
      <c r="N39" s="4"/>
      <c r="O39" s="11"/>
      <c r="P39" s="11"/>
      <c r="Q39" s="11"/>
      <c r="R39" s="11"/>
      <c r="S39" s="11"/>
      <c r="T39" s="11"/>
      <c r="U39" s="11"/>
    </row>
    <row r="40" spans="14:21" ht="14.1" customHeight="1" thickBot="1">
      <c r="N40" s="4"/>
      <c r="O40" s="11"/>
      <c r="P40" s="11"/>
      <c r="Q40" s="11"/>
      <c r="R40" s="11"/>
      <c r="S40" s="11"/>
      <c r="T40" s="11"/>
      <c r="U40" s="11"/>
    </row>
    <row r="41" spans="14:21" ht="14.1" customHeight="1" thickBot="1">
      <c r="N41" s="4"/>
      <c r="O41" s="11"/>
      <c r="P41" s="11"/>
      <c r="Q41" s="11"/>
      <c r="R41" s="11"/>
      <c r="S41" s="11"/>
      <c r="T41" s="11"/>
      <c r="U41" s="11"/>
    </row>
    <row r="42" spans="14:21" ht="14.1" customHeight="1" thickBot="1">
      <c r="N42" s="4"/>
      <c r="O42" s="11"/>
      <c r="P42" s="11"/>
      <c r="Q42" s="11"/>
      <c r="R42" s="11"/>
      <c r="S42" s="11"/>
      <c r="T42" s="11"/>
      <c r="U42" s="11"/>
    </row>
    <row r="43" spans="14:21" ht="14.1" customHeight="1" thickBot="1">
      <c r="N43" s="4"/>
      <c r="O43" s="11"/>
      <c r="P43" s="11"/>
      <c r="Q43" s="11"/>
      <c r="R43" s="11"/>
      <c r="S43" s="11"/>
      <c r="T43" s="11"/>
      <c r="U43" s="11"/>
    </row>
    <row r="44" spans="14:21" ht="14.1" customHeight="1"/>
    <row r="45" spans="14:21" ht="14.1" customHeight="1"/>
    <row r="46" spans="14:21" ht="14.1" customHeight="1"/>
    <row r="47" spans="14:21" ht="14.1" customHeight="1"/>
    <row r="48" spans="14:21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</sheetData>
  <conditionalFormatting sqref="C2:H2">
    <cfRule type="cellIs" dxfId="69" priority="51" operator="greaterThan">
      <formula>$B$2</formula>
    </cfRule>
  </conditionalFormatting>
  <conditionalFormatting sqref="C3:H3">
    <cfRule type="cellIs" dxfId="68" priority="50" operator="greaterThan">
      <formula>$B$3</formula>
    </cfRule>
  </conditionalFormatting>
  <conditionalFormatting sqref="C4:H4">
    <cfRule type="cellIs" dxfId="67" priority="49" operator="greaterThan">
      <formula>$B$4</formula>
    </cfRule>
  </conditionalFormatting>
  <conditionalFormatting sqref="C5:H5">
    <cfRule type="cellIs" dxfId="66" priority="48" operator="greaterThan">
      <formula>$B$5</formula>
    </cfRule>
  </conditionalFormatting>
  <conditionalFormatting sqref="C6:H6">
    <cfRule type="cellIs" dxfId="65" priority="47" operator="greaterThan">
      <formula>$B$6</formula>
    </cfRule>
  </conditionalFormatting>
  <conditionalFormatting sqref="C7:H7">
    <cfRule type="cellIs" dxfId="64" priority="46" operator="greaterThan">
      <formula>$B$7</formula>
    </cfRule>
  </conditionalFormatting>
  <conditionalFormatting sqref="C8:H8">
    <cfRule type="cellIs" dxfId="63" priority="44" operator="greaterThan">
      <formula>$B$8</formula>
    </cfRule>
  </conditionalFormatting>
  <conditionalFormatting sqref="C9:H9">
    <cfRule type="cellIs" dxfId="62" priority="43" operator="greaterThan">
      <formula>$B$9</formula>
    </cfRule>
  </conditionalFormatting>
  <conditionalFormatting sqref="P2:U2">
    <cfRule type="cellIs" dxfId="61" priority="42" operator="greaterThan">
      <formula>$O$2</formula>
    </cfRule>
  </conditionalFormatting>
  <conditionalFormatting sqref="P3:U3">
    <cfRule type="cellIs" dxfId="60" priority="41" operator="greaterThan">
      <formula>$O$3</formula>
    </cfRule>
  </conditionalFormatting>
  <conditionalFormatting sqref="P4:U4">
    <cfRule type="cellIs" dxfId="59" priority="40" operator="greaterThan">
      <formula>$O$4</formula>
    </cfRule>
  </conditionalFormatting>
  <conditionalFormatting sqref="P5:U5">
    <cfRule type="cellIs" dxfId="58" priority="39" operator="greaterThan">
      <formula>$O$5</formula>
    </cfRule>
  </conditionalFormatting>
  <conditionalFormatting sqref="P6:U6">
    <cfRule type="cellIs" dxfId="57" priority="38" operator="greaterThan">
      <formula>$O$6</formula>
    </cfRule>
  </conditionalFormatting>
  <conditionalFormatting sqref="P7:U7">
    <cfRule type="cellIs" dxfId="56" priority="37" operator="greaterThan">
      <formula>$O$7</formula>
    </cfRule>
  </conditionalFormatting>
  <conditionalFormatting sqref="P8:U8">
    <cfRule type="cellIs" dxfId="55" priority="36" operator="greaterThan">
      <formula>$O$8</formula>
    </cfRule>
  </conditionalFormatting>
  <conditionalFormatting sqref="P9:U9">
    <cfRule type="cellIs" dxfId="54" priority="35" operator="greaterThan">
      <formula>$O$9</formula>
    </cfRule>
  </conditionalFormatting>
  <conditionalFormatting sqref="P10:U10">
    <cfRule type="cellIs" dxfId="53" priority="34" operator="greaterThan">
      <formula>$O$10</formula>
    </cfRule>
  </conditionalFormatting>
  <conditionalFormatting sqref="P11:U11">
    <cfRule type="cellIs" dxfId="52" priority="33" operator="greaterThan">
      <formula>$O$11</formula>
    </cfRule>
  </conditionalFormatting>
  <conditionalFormatting sqref="P12:U12">
    <cfRule type="cellIs" dxfId="51" priority="32" operator="greaterThan">
      <formula>$O$12</formula>
    </cfRule>
  </conditionalFormatting>
  <conditionalFormatting sqref="P13:U13">
    <cfRule type="cellIs" dxfId="50" priority="31" operator="greaterThan">
      <formula>$O$13</formula>
    </cfRule>
  </conditionalFormatting>
  <conditionalFormatting sqref="P14:U14">
    <cfRule type="cellIs" dxfId="49" priority="30" operator="greaterThan">
      <formula>$O$14</formula>
    </cfRule>
  </conditionalFormatting>
  <conditionalFormatting sqref="P15:U15">
    <cfRule type="cellIs" dxfId="48" priority="29" operator="greaterThan">
      <formula>$O$15</formula>
    </cfRule>
  </conditionalFormatting>
  <conditionalFormatting sqref="P16:U16">
    <cfRule type="cellIs" dxfId="47" priority="28" operator="greaterThan">
      <formula>$O$16</formula>
    </cfRule>
  </conditionalFormatting>
  <conditionalFormatting sqref="P17:U17">
    <cfRule type="cellIs" dxfId="46" priority="27" operator="greaterThan">
      <formula>$O$17</formula>
    </cfRule>
  </conditionalFormatting>
  <conditionalFormatting sqref="P18:U18">
    <cfRule type="cellIs" dxfId="45" priority="26" operator="greaterThan">
      <formula>$O$18</formula>
    </cfRule>
  </conditionalFormatting>
  <conditionalFormatting sqref="P19:U19">
    <cfRule type="cellIs" dxfId="44" priority="25" operator="greaterThan">
      <formula>$O$19</formula>
    </cfRule>
  </conditionalFormatting>
  <conditionalFormatting sqref="P20:U20">
    <cfRule type="cellIs" dxfId="43" priority="24" operator="greaterThan">
      <formula>$O$20</formula>
    </cfRule>
  </conditionalFormatting>
  <conditionalFormatting sqref="P21:U21">
    <cfRule type="cellIs" dxfId="42" priority="23" operator="greaterThan">
      <formula>$O$21</formula>
    </cfRule>
  </conditionalFormatting>
  <conditionalFormatting sqref="P22:U22">
    <cfRule type="cellIs" dxfId="41" priority="22" operator="greaterThan">
      <formula>$O$22</formula>
    </cfRule>
  </conditionalFormatting>
  <conditionalFormatting sqref="P23:U23">
    <cfRule type="cellIs" dxfId="40" priority="21" operator="greaterThan">
      <formula>$O$23</formula>
    </cfRule>
  </conditionalFormatting>
  <conditionalFormatting sqref="P24:U24">
    <cfRule type="cellIs" dxfId="39" priority="20" operator="greaterThan">
      <formula>$O$24</formula>
    </cfRule>
  </conditionalFormatting>
  <conditionalFormatting sqref="P25:U25">
    <cfRule type="cellIs" dxfId="38" priority="19" operator="greaterThan">
      <formula>$O$25</formula>
    </cfRule>
  </conditionalFormatting>
  <conditionalFormatting sqref="P26:U26">
    <cfRule type="cellIs" dxfId="37" priority="18" operator="greaterThan">
      <formula>$O$26</formula>
    </cfRule>
  </conditionalFormatting>
  <conditionalFormatting sqref="P27:U27">
    <cfRule type="cellIs" dxfId="36" priority="17" operator="greaterThan">
      <formula>$O$27</formula>
    </cfRule>
  </conditionalFormatting>
  <conditionalFormatting sqref="P28:U28">
    <cfRule type="cellIs" dxfId="35" priority="16" operator="greaterThan">
      <formula>$O$28</formula>
    </cfRule>
  </conditionalFormatting>
  <conditionalFormatting sqref="P29:U29">
    <cfRule type="cellIs" dxfId="34" priority="15" operator="greaterThan">
      <formula>$O$29</formula>
    </cfRule>
  </conditionalFormatting>
  <conditionalFormatting sqref="P30:U30">
    <cfRule type="cellIs" dxfId="33" priority="14" operator="greaterThan">
      <formula>$O$30</formula>
    </cfRule>
  </conditionalFormatting>
  <conditionalFormatting sqref="P31:U31">
    <cfRule type="cellIs" dxfId="32" priority="13" operator="greaterThan">
      <formula>$O$31</formula>
    </cfRule>
  </conditionalFormatting>
  <conditionalFormatting sqref="P32:U32">
    <cfRule type="cellIs" dxfId="31" priority="12" operator="greaterThan">
      <formula>$O$32</formula>
    </cfRule>
  </conditionalFormatting>
  <conditionalFormatting sqref="P33:U33">
    <cfRule type="cellIs" dxfId="30" priority="11" operator="greaterThan">
      <formula>$O$33</formula>
    </cfRule>
  </conditionalFormatting>
  <conditionalFormatting sqref="P34:U34">
    <cfRule type="cellIs" dxfId="29" priority="10" operator="greaterThan">
      <formula>$O$34</formula>
    </cfRule>
  </conditionalFormatting>
  <conditionalFormatting sqref="P35:U35">
    <cfRule type="cellIs" dxfId="28" priority="9" operator="greaterThan">
      <formula>$O$35</formula>
    </cfRule>
  </conditionalFormatting>
  <conditionalFormatting sqref="P36:U36">
    <cfRule type="cellIs" dxfId="27" priority="8" operator="greaterThan">
      <formula>$O$36</formula>
    </cfRule>
  </conditionalFormatting>
  <conditionalFormatting sqref="P37:U37">
    <cfRule type="cellIs" dxfId="26" priority="7" operator="greaterThan">
      <formula>$O$37</formula>
    </cfRule>
  </conditionalFormatting>
  <conditionalFormatting sqref="P38:U38">
    <cfRule type="cellIs" dxfId="25" priority="6" operator="greaterThan">
      <formula>$O$38</formula>
    </cfRule>
  </conditionalFormatting>
  <conditionalFormatting sqref="P39:U39">
    <cfRule type="cellIs" dxfId="24" priority="5" operator="greaterThan">
      <formula>$O$39</formula>
    </cfRule>
  </conditionalFormatting>
  <conditionalFormatting sqref="P40:U40">
    <cfRule type="cellIs" dxfId="23" priority="4" operator="greaterThan">
      <formula>$O$40</formula>
    </cfRule>
  </conditionalFormatting>
  <conditionalFormatting sqref="P41:U41">
    <cfRule type="cellIs" dxfId="22" priority="3" operator="greaterThan">
      <formula>$O$41</formula>
    </cfRule>
  </conditionalFormatting>
  <conditionalFormatting sqref="P42:U42">
    <cfRule type="cellIs" dxfId="21" priority="2" operator="greaterThan">
      <formula>$O$42</formula>
    </cfRule>
  </conditionalFormatting>
  <conditionalFormatting sqref="P43:U43">
    <cfRule type="cellIs" dxfId="20" priority="1" operator="greaterThan">
      <formula>$O$43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0314-0ACF-4431-A612-C4B461338DB3}">
  <sheetPr codeName="Sheet6">
    <tabColor theme="5"/>
  </sheetPr>
  <dimension ref="A1:Z153"/>
  <sheetViews>
    <sheetView zoomScale="25" zoomScaleNormal="25" workbookViewId="0">
      <selection activeCell="H52" sqref="H52"/>
    </sheetView>
  </sheetViews>
  <sheetFormatPr defaultRowHeight="14.45"/>
  <cols>
    <col min="1" max="1" width="33.28515625" customWidth="1"/>
    <col min="2" max="2" width="7.7109375" customWidth="1"/>
    <col min="14" max="14" width="28" bestFit="1" customWidth="1"/>
    <col min="15" max="15" width="8.7109375" style="10" customWidth="1"/>
  </cols>
  <sheetData>
    <row r="1" spans="1:25" ht="14.1" customHeight="1" thickBot="1">
      <c r="A1" s="1" t="s">
        <v>96</v>
      </c>
      <c r="B1" s="2" t="s">
        <v>94</v>
      </c>
      <c r="C1" s="2">
        <f>Costs!B9</f>
        <v>2025</v>
      </c>
      <c r="D1" s="2">
        <f>C1+1</f>
        <v>2026</v>
      </c>
      <c r="E1" s="2">
        <f t="shared" ref="E1:L1" si="0">D1+1</f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9">
        <f>((L2+L3+L4+L5)-(C2+C3+C4+C5))/(C2+C3+C4+C5)/9</f>
        <v>3.7344319451440053E-2</v>
      </c>
      <c r="N1" s="1" t="str">
        <f>A1</f>
        <v>Option 1 - Do Nothing</v>
      </c>
      <c r="O1" s="2" t="str">
        <f>B1</f>
        <v>Rating</v>
      </c>
      <c r="P1" s="2">
        <f t="shared" ref="P1:Y1" si="1">C1</f>
        <v>2025</v>
      </c>
      <c r="Q1" s="2">
        <f t="shared" si="1"/>
        <v>2026</v>
      </c>
      <c r="R1" s="2">
        <f t="shared" si="1"/>
        <v>2027</v>
      </c>
      <c r="S1" s="2">
        <f t="shared" si="1"/>
        <v>2028</v>
      </c>
      <c r="T1" s="2">
        <f t="shared" si="1"/>
        <v>2029</v>
      </c>
      <c r="U1" s="2">
        <f t="shared" si="1"/>
        <v>2030</v>
      </c>
      <c r="V1" s="2">
        <f t="shared" si="1"/>
        <v>2031</v>
      </c>
      <c r="W1" s="2">
        <f t="shared" si="1"/>
        <v>2032</v>
      </c>
      <c r="X1" s="2">
        <f t="shared" si="1"/>
        <v>2033</v>
      </c>
      <c r="Y1" s="2">
        <f t="shared" si="1"/>
        <v>2034</v>
      </c>
    </row>
    <row r="2" spans="1:25" ht="14.1" customHeight="1" thickTop="1" thickBot="1">
      <c r="A2" s="4" t="str">
        <f>Historical!A2</f>
        <v>ST</v>
      </c>
      <c r="B2" s="11">
        <f>Historical!B2</f>
        <v>79.7</v>
      </c>
      <c r="C2" s="151">
        <v>80.657996703779446</v>
      </c>
      <c r="D2" s="151">
        <v>85.310845620151596</v>
      </c>
      <c r="E2" s="151">
        <v>90.572990742762357</v>
      </c>
      <c r="F2" s="151">
        <v>94.95038475653439</v>
      </c>
      <c r="G2" s="151">
        <v>98.188623042774694</v>
      </c>
      <c r="H2" s="151">
        <v>100.56485750643827</v>
      </c>
      <c r="I2" s="151">
        <v>103.25009821279399</v>
      </c>
      <c r="J2" s="151">
        <v>105.99931221980104</v>
      </c>
      <c r="K2" s="152">
        <v>108.72119161490474</v>
      </c>
      <c r="L2" s="152">
        <v>111.08723355878178</v>
      </c>
      <c r="M2" s="28">
        <f>($L3-$C3)/$C3/9</f>
        <v>9.1521270503186147E-2</v>
      </c>
      <c r="N2" s="4" t="str">
        <f>Historical!N2</f>
        <v>BD 01</v>
      </c>
      <c r="O2" s="11">
        <f>Historical!O2</f>
        <v>14.289419162443236</v>
      </c>
      <c r="P2" s="151">
        <v>7.6984916073013077</v>
      </c>
      <c r="Q2" s="151">
        <v>9.1507387984032427</v>
      </c>
      <c r="R2" s="151">
        <v>10.533799743425547</v>
      </c>
      <c r="S2" s="151">
        <v>11.031944287604086</v>
      </c>
      <c r="T2" s="151">
        <v>11.084552993460374</v>
      </c>
      <c r="U2" s="151">
        <v>11.223496572930351</v>
      </c>
      <c r="V2" s="151">
        <v>11.391338961842326</v>
      </c>
      <c r="W2" s="151">
        <v>11.560908220486185</v>
      </c>
      <c r="X2" s="151">
        <v>11.722447357964695</v>
      </c>
      <c r="Y2" s="151">
        <v>11.841903198830009</v>
      </c>
    </row>
    <row r="3" spans="1:25" ht="14.1" customHeight="1" thickBot="1">
      <c r="A3" s="4" t="str">
        <f>Historical!A3</f>
        <v>KLO</v>
      </c>
      <c r="B3" s="11">
        <f>Historical!B3</f>
        <v>49.1</v>
      </c>
      <c r="C3" s="151">
        <v>26.652035332358267</v>
      </c>
      <c r="D3" s="151">
        <v>31.202816883845113</v>
      </c>
      <c r="E3" s="151">
        <v>34.719486360559422</v>
      </c>
      <c r="F3" s="151">
        <v>37.755377022310725</v>
      </c>
      <c r="G3" s="151">
        <v>39.639749393954183</v>
      </c>
      <c r="H3" s="151">
        <v>41.258211479146681</v>
      </c>
      <c r="I3" s="151">
        <v>43.045375181869687</v>
      </c>
      <c r="J3" s="151">
        <v>44.906910660741524</v>
      </c>
      <c r="K3" s="151">
        <v>46.806807422615847</v>
      </c>
      <c r="L3" s="151">
        <v>48.605088548377388</v>
      </c>
      <c r="M3" s="28">
        <f>($L4-$C4)/$C4/9</f>
        <v>2.1770174334674115E-2</v>
      </c>
      <c r="N3" s="4" t="str">
        <f>Historical!N3</f>
        <v>BD 02</v>
      </c>
      <c r="O3" s="11">
        <f>Historical!O3</f>
        <v>22.482019482244024</v>
      </c>
      <c r="P3" s="151">
        <v>0</v>
      </c>
      <c r="Q3" s="151">
        <v>0</v>
      </c>
      <c r="R3" s="151">
        <v>0</v>
      </c>
      <c r="S3" s="151">
        <v>0</v>
      </c>
      <c r="T3" s="151">
        <v>0</v>
      </c>
      <c r="U3" s="151">
        <v>0</v>
      </c>
      <c r="V3" s="151">
        <v>0</v>
      </c>
      <c r="W3" s="151">
        <v>0</v>
      </c>
      <c r="X3" s="151">
        <v>0</v>
      </c>
      <c r="Y3" s="151">
        <f t="shared" ref="Y3:Y13" si="2">X3+X3-W3</f>
        <v>0</v>
      </c>
    </row>
    <row r="4" spans="1:25" ht="14.1" customHeight="1" thickBot="1">
      <c r="A4" s="4" t="str">
        <f>Historical!A4</f>
        <v>BD</v>
      </c>
      <c r="B4" s="11">
        <f>Historical!B4</f>
        <v>123.7</v>
      </c>
      <c r="C4" s="151">
        <v>75.403248379904767</v>
      </c>
      <c r="D4" s="151">
        <v>78.729204653017973</v>
      </c>
      <c r="E4" s="151">
        <v>81.728631823666788</v>
      </c>
      <c r="F4" s="151">
        <v>83.73669813205484</v>
      </c>
      <c r="G4" s="151">
        <v>84.317281577520731</v>
      </c>
      <c r="H4" s="151">
        <v>85.390849851617233</v>
      </c>
      <c r="I4" s="151">
        <v>86.688631340567426</v>
      </c>
      <c r="J4" s="151">
        <v>88.00074710149606</v>
      </c>
      <c r="K4" s="151">
        <v>89.25160450314722</v>
      </c>
      <c r="L4" s="151">
        <v>90.17712514358611</v>
      </c>
      <c r="M4" s="28">
        <f>($L5-$C5)/$C5/9</f>
        <v>2.3692390145753219E-2</v>
      </c>
      <c r="N4" s="4" t="str">
        <f>Historical!N4</f>
        <v>BD 04</v>
      </c>
      <c r="O4" s="11">
        <f>Historical!O4</f>
        <v>11.6</v>
      </c>
      <c r="P4" s="151">
        <v>6.3145948363940363</v>
      </c>
      <c r="Q4" s="151">
        <v>6.6101482436060897</v>
      </c>
      <c r="R4" s="151">
        <v>7.0009696677970386</v>
      </c>
      <c r="S4" s="151">
        <v>7.3073735070754839</v>
      </c>
      <c r="T4" s="151">
        <v>7.4155694823824403</v>
      </c>
      <c r="U4" s="151">
        <v>7.5834581383916841</v>
      </c>
      <c r="V4" s="151">
        <v>7.7736803985894527</v>
      </c>
      <c r="W4" s="151">
        <v>7.9681344006450754</v>
      </c>
      <c r="X4" s="151">
        <v>8.1601056095376965</v>
      </c>
      <c r="Y4" s="151">
        <v>8.3255280046266424</v>
      </c>
    </row>
    <row r="5" spans="1:25" ht="14.1" customHeight="1" thickBot="1">
      <c r="A5" s="4" t="str">
        <f>Historical!A5</f>
        <v>COO</v>
      </c>
      <c r="B5" s="11">
        <f>Historical!B5</f>
        <v>38</v>
      </c>
      <c r="C5" s="151">
        <v>46.769448390255512</v>
      </c>
      <c r="D5" s="151">
        <v>48.254104917155637</v>
      </c>
      <c r="E5" s="151">
        <v>49.477730392592534</v>
      </c>
      <c r="F5" s="151">
        <v>50.331670213849769</v>
      </c>
      <c r="G5" s="151">
        <v>50.936922208132387</v>
      </c>
      <c r="H5" s="151">
        <v>52.007900420133844</v>
      </c>
      <c r="I5" s="151">
        <v>53.230859992917786</v>
      </c>
      <c r="J5" s="151">
        <v>54.478876870772396</v>
      </c>
      <c r="K5" s="151">
        <v>55.705046008322938</v>
      </c>
      <c r="L5" s="151">
        <v>56.742168553727943</v>
      </c>
      <c r="M5" s="28">
        <f>($L6-$C6)/$C6/9</f>
        <v>9.170058143163913E-3</v>
      </c>
      <c r="N5" s="4" t="str">
        <f>Historical!N5</f>
        <v>BD 06</v>
      </c>
      <c r="O5" s="11">
        <f>Historical!O5</f>
        <v>22.482019482244024</v>
      </c>
      <c r="P5" s="151">
        <v>0</v>
      </c>
      <c r="Q5" s="151">
        <v>0.81424098822342061</v>
      </c>
      <c r="R5" s="151">
        <v>1.8919093549054968</v>
      </c>
      <c r="S5" s="151">
        <v>2.7138266913219797</v>
      </c>
      <c r="T5" s="151">
        <v>2.726768282253428</v>
      </c>
      <c r="U5" s="151">
        <v>2.7609480047686255</v>
      </c>
      <c r="V5" s="151">
        <v>2.8022367516195672</v>
      </c>
      <c r="W5" s="151">
        <v>2.8439503034775528</v>
      </c>
      <c r="X5" s="151">
        <v>2.8836884685329087</v>
      </c>
      <c r="Y5" s="151">
        <v>2.9130742631782711</v>
      </c>
    </row>
    <row r="6" spans="1:25" ht="14.1" customHeight="1" thickBot="1">
      <c r="A6" s="4" t="str">
        <f>Historical!A6</f>
        <v>BMS</v>
      </c>
      <c r="B6" s="11">
        <f>Historical!B6</f>
        <v>38</v>
      </c>
      <c r="C6" s="151">
        <v>36.640677215382766</v>
      </c>
      <c r="D6" s="151">
        <v>36.699558192305084</v>
      </c>
      <c r="E6" s="151">
        <v>36.918772932742286</v>
      </c>
      <c r="F6" s="151">
        <v>37.129945587705151</v>
      </c>
      <c r="G6" s="151">
        <v>37.289955064768854</v>
      </c>
      <c r="H6" s="151">
        <v>37.72405384309198</v>
      </c>
      <c r="I6" s="151">
        <v>38.255425058405805</v>
      </c>
      <c r="J6" s="151">
        <v>38.791729822797635</v>
      </c>
      <c r="K6" s="151">
        <v>39.299888127975279</v>
      </c>
      <c r="L6" s="151">
        <v>39.664651479612417</v>
      </c>
      <c r="M6" s="30"/>
      <c r="N6" s="4" t="str">
        <f>Historical!N6</f>
        <v>BD 08</v>
      </c>
      <c r="O6" s="11">
        <f>Historical!O6</f>
        <v>11.622060918787167</v>
      </c>
      <c r="P6" s="151">
        <v>9.0448997763841774</v>
      </c>
      <c r="Q6" s="151">
        <v>9.4749614687572983</v>
      </c>
      <c r="R6" s="151">
        <v>9.8627291615572759</v>
      </c>
      <c r="S6" s="151">
        <v>10.020893085974283</v>
      </c>
      <c r="T6" s="151">
        <v>10.068680330274431</v>
      </c>
      <c r="U6" s="151">
        <v>10.194890064347838</v>
      </c>
      <c r="V6" s="151">
        <v>10.347350101376065</v>
      </c>
      <c r="W6" s="151">
        <v>10.501378744672182</v>
      </c>
      <c r="X6" s="151">
        <v>10.648113208124064</v>
      </c>
      <c r="Y6" s="151">
        <v>10.756621208037689</v>
      </c>
    </row>
    <row r="7" spans="1:25" ht="14.1" customHeight="1" thickBot="1">
      <c r="A7" s="4" t="str">
        <f>Historical!A7</f>
        <v>SMTS-ST-SSS-SMTS</v>
      </c>
      <c r="B7" s="11">
        <f>Historical!B7</f>
        <v>117.2</v>
      </c>
      <c r="C7" s="151">
        <f>C2</f>
        <v>80.657996703779446</v>
      </c>
      <c r="D7" s="151">
        <f t="shared" ref="D7:K7" si="3">D2</f>
        <v>85.310845620151596</v>
      </c>
      <c r="E7" s="151">
        <f t="shared" si="3"/>
        <v>90.572990742762357</v>
      </c>
      <c r="F7" s="151">
        <f t="shared" si="3"/>
        <v>94.95038475653439</v>
      </c>
      <c r="G7" s="151">
        <f t="shared" si="3"/>
        <v>98.188623042774694</v>
      </c>
      <c r="H7" s="151">
        <f t="shared" si="3"/>
        <v>100.56485750643827</v>
      </c>
      <c r="I7" s="151">
        <f t="shared" si="3"/>
        <v>103.25009821279399</v>
      </c>
      <c r="J7" s="151">
        <f t="shared" si="3"/>
        <v>105.99931221980104</v>
      </c>
      <c r="K7" s="151">
        <f t="shared" si="3"/>
        <v>108.72119161490474</v>
      </c>
      <c r="L7" s="152">
        <f t="shared" ref="L7:L8" si="4">K7+K7-J7</f>
        <v>111.44307101000844</v>
      </c>
      <c r="M7" s="28"/>
      <c r="N7" s="4" t="str">
        <f>Historical!N7</f>
        <v>BD 09</v>
      </c>
      <c r="O7" s="11">
        <f>Historical!O7</f>
        <v>13.146265629447777</v>
      </c>
      <c r="P7" s="151">
        <v>4.1579688156988475</v>
      </c>
      <c r="Q7" s="151">
        <v>4.3706050283443139</v>
      </c>
      <c r="R7" s="151">
        <v>4.5495153028544131</v>
      </c>
      <c r="S7" s="151">
        <v>4.5685266697724449</v>
      </c>
      <c r="T7" s="151">
        <v>4.5903128816586607</v>
      </c>
      <c r="U7" s="151">
        <v>4.6478519184643012</v>
      </c>
      <c r="V7" s="151">
        <v>4.71735847234749</v>
      </c>
      <c r="W7" s="151">
        <v>4.7875801540648686</v>
      </c>
      <c r="X7" s="151">
        <v>4.8544764180907718</v>
      </c>
      <c r="Y7" s="151">
        <v>4.903945231622262</v>
      </c>
    </row>
    <row r="8" spans="1:25" ht="14.1" customHeight="1" thickBot="1">
      <c r="A8" s="4" t="str">
        <f>Historical!A8</f>
        <v>TTS-COO-VCO-BD-BMS-TTS</v>
      </c>
      <c r="B8" s="11">
        <f>Historical!B8</f>
        <v>196.3</v>
      </c>
      <c r="C8" s="152">
        <f>C4+C5+C6+C9</f>
        <v>185.02470104801097</v>
      </c>
      <c r="D8" s="152">
        <f t="shared" ref="D8:K8" si="5">D4+D5+D6+D9</f>
        <v>189.60261318212739</v>
      </c>
      <c r="E8" s="152">
        <f t="shared" si="5"/>
        <v>193.950387079687</v>
      </c>
      <c r="F8" s="152">
        <f t="shared" si="5"/>
        <v>197.11075363728344</v>
      </c>
      <c r="G8" s="152">
        <f t="shared" si="5"/>
        <v>198.55415878646411</v>
      </c>
      <c r="H8" s="152">
        <f t="shared" si="5"/>
        <v>201.40626943703876</v>
      </c>
      <c r="I8" s="152">
        <f t="shared" si="5"/>
        <v>204.79819267082613</v>
      </c>
      <c r="J8" s="152">
        <f t="shared" si="5"/>
        <v>208.23700768446386</v>
      </c>
      <c r="K8" s="152">
        <f t="shared" si="5"/>
        <v>211.54440453619279</v>
      </c>
      <c r="L8" s="152">
        <f t="shared" si="4"/>
        <v>214.85180138792171</v>
      </c>
      <c r="M8" s="28"/>
      <c r="N8" s="4" t="str">
        <f>Historical!N8</f>
        <v>BD 13</v>
      </c>
      <c r="O8" s="11">
        <f>Historical!O8</f>
        <v>12.003112096452318</v>
      </c>
      <c r="P8" s="151">
        <v>8.06586389072808</v>
      </c>
      <c r="Q8" s="151">
        <v>8.2246423416046852</v>
      </c>
      <c r="R8" s="151">
        <v>8.3348811348536476</v>
      </c>
      <c r="S8" s="151">
        <v>8.4715326933963109</v>
      </c>
      <c r="T8" s="151">
        <v>8.5119314082556325</v>
      </c>
      <c r="U8" s="151">
        <v>8.6186274760865764</v>
      </c>
      <c r="V8" s="151">
        <v>8.7475152086509276</v>
      </c>
      <c r="W8" s="151">
        <v>8.877729020554467</v>
      </c>
      <c r="X8" s="151">
        <v>9.0017764276783332</v>
      </c>
      <c r="Y8" s="151">
        <v>9.0935076796612471</v>
      </c>
    </row>
    <row r="9" spans="1:25" ht="14.1" customHeight="1" thickBot="1">
      <c r="A9" s="4" t="s">
        <v>95</v>
      </c>
      <c r="B9" s="11"/>
      <c r="C9" s="151">
        <v>26.211327062467923</v>
      </c>
      <c r="D9" s="151">
        <v>25.919745419648685</v>
      </c>
      <c r="E9" s="151">
        <v>25.8252519306854</v>
      </c>
      <c r="F9" s="151">
        <v>25.91243970367368</v>
      </c>
      <c r="G9" s="151">
        <v>26.009999936042128</v>
      </c>
      <c r="H9" s="151">
        <v>26.283465322195681</v>
      </c>
      <c r="I9" s="151">
        <v>26.623276278935084</v>
      </c>
      <c r="J9" s="151">
        <v>26.96565388939776</v>
      </c>
      <c r="K9" s="151">
        <v>27.287865896747313</v>
      </c>
      <c r="L9" s="151">
        <v>27.510916965732413</v>
      </c>
      <c r="M9" s="28"/>
      <c r="N9" s="4" t="str">
        <f>Historical!N9</f>
        <v>BD 14</v>
      </c>
      <c r="O9" s="11">
        <f>Historical!O9</f>
        <v>12.003112096452318</v>
      </c>
      <c r="P9" s="151">
        <v>9.1220643623852471</v>
      </c>
      <c r="Q9" s="151">
        <v>9.0241963730162347</v>
      </c>
      <c r="R9" s="151">
        <v>8.9966923793638696</v>
      </c>
      <c r="S9" s="151">
        <v>9.0342874655405065</v>
      </c>
      <c r="T9" s="151">
        <v>9.0773698234191471</v>
      </c>
      <c r="U9" s="151">
        <v>9.1911535958619979</v>
      </c>
      <c r="V9" s="151">
        <v>9.3286032013714859</v>
      </c>
      <c r="W9" s="151">
        <v>9.4674669762392174</v>
      </c>
      <c r="X9" s="151">
        <v>9.599754718714145</v>
      </c>
      <c r="Y9" s="151">
        <v>9.6975795787460921</v>
      </c>
    </row>
    <row r="10" spans="1:25" ht="14.1" customHeight="1" thickBot="1">
      <c r="A10" s="4" t="s">
        <v>97</v>
      </c>
      <c r="B10" s="11">
        <v>33</v>
      </c>
      <c r="C10" s="151">
        <f>(P10+P11+P12+P13)*C$12</f>
        <v>11.393711400546392</v>
      </c>
      <c r="D10" s="151">
        <f t="shared" ref="D10:L10" si="6">(Q10+Q11+Q12+Q13)*D$12</f>
        <v>11.935372213057297</v>
      </c>
      <c r="E10" s="151">
        <f t="shared" si="6"/>
        <v>12.360351647594523</v>
      </c>
      <c r="F10" s="151">
        <f t="shared" si="6"/>
        <v>12.392571026094956</v>
      </c>
      <c r="G10" s="151">
        <f t="shared" si="6"/>
        <v>12.466374668245415</v>
      </c>
      <c r="H10" s="151">
        <f t="shared" si="6"/>
        <v>12.665992570749539</v>
      </c>
      <c r="I10" s="151">
        <f t="shared" si="6"/>
        <v>12.928270943104735</v>
      </c>
      <c r="J10" s="151">
        <f t="shared" si="6"/>
        <v>13.194677922824555</v>
      </c>
      <c r="K10" s="151">
        <f t="shared" si="6"/>
        <v>13.453834666855823</v>
      </c>
      <c r="L10" s="151">
        <f t="shared" si="6"/>
        <v>13.665463870582888</v>
      </c>
      <c r="M10" s="28" t="s">
        <v>98</v>
      </c>
      <c r="N10" s="4" t="str">
        <f>Historical!N10</f>
        <v>COO11</v>
      </c>
      <c r="O10" s="11">
        <f>Historical!O10</f>
        <v>10.859958563456859</v>
      </c>
      <c r="P10" s="151">
        <v>5.5019668007950022</v>
      </c>
      <c r="Q10" s="151">
        <v>5.6364447434988021</v>
      </c>
      <c r="R10" s="151">
        <v>5.7166028810256346</v>
      </c>
      <c r="S10" s="151">
        <v>5.7729275936763838</v>
      </c>
      <c r="T10" s="151">
        <v>5.8267701250920272</v>
      </c>
      <c r="U10" s="151">
        <v>5.9469122648537711</v>
      </c>
      <c r="V10" s="151">
        <v>6.0840360719515951</v>
      </c>
      <c r="W10" s="151">
        <v>6.2239000692650395</v>
      </c>
      <c r="X10" s="151">
        <v>6.3612520079386199</v>
      </c>
      <c r="Y10" s="151">
        <v>6.477381383182915</v>
      </c>
    </row>
    <row r="11" spans="1:25" ht="14.1" customHeight="1" thickBot="1">
      <c r="A11" s="4" t="s">
        <v>99</v>
      </c>
      <c r="B11" s="11">
        <v>33</v>
      </c>
      <c r="C11" s="151">
        <f>(P14+P15+P16+P17)*C$12</f>
        <v>35.375736989709118</v>
      </c>
      <c r="D11" s="151">
        <f t="shared" ref="D11:L11" si="7">(Q14+Q15+Q16+Q17)*D$12</f>
        <v>36.318732704098338</v>
      </c>
      <c r="E11" s="151">
        <f t="shared" si="7"/>
        <v>37.117378744998007</v>
      </c>
      <c r="F11" s="151">
        <f t="shared" si="7"/>
        <v>37.939099187754813</v>
      </c>
      <c r="G11" s="151">
        <f t="shared" si="7"/>
        <v>38.470547539886986</v>
      </c>
      <c r="H11" s="151">
        <f t="shared" si="7"/>
        <v>39.341907849384306</v>
      </c>
      <c r="I11" s="151">
        <f t="shared" si="7"/>
        <v>40.302589049813058</v>
      </c>
      <c r="J11" s="151">
        <f t="shared" si="7"/>
        <v>41.284198947947843</v>
      </c>
      <c r="K11" s="151">
        <f t="shared" si="7"/>
        <v>42.251211341467119</v>
      </c>
      <c r="L11" s="151">
        <f t="shared" si="7"/>
        <v>43.076704683145039</v>
      </c>
      <c r="M11" s="42">
        <f>B11+B10*L10/L11</f>
        <v>43.468774504603324</v>
      </c>
      <c r="N11" s="4" t="str">
        <f>Historical!N11</f>
        <v>COO12</v>
      </c>
      <c r="O11" s="11">
        <f>Historical!O11</f>
        <v>14.3</v>
      </c>
      <c r="P11" s="151">
        <v>6.684061054891794</v>
      </c>
      <c r="Q11" s="151">
        <v>7.5273621440085527</v>
      </c>
      <c r="R11" s="151">
        <v>8.1832372809272815</v>
      </c>
      <c r="S11" s="151">
        <v>8.2857594535852073</v>
      </c>
      <c r="T11" s="151">
        <v>8.3817594046412722</v>
      </c>
      <c r="U11" s="151">
        <v>8.5545828536915831</v>
      </c>
      <c r="V11" s="151">
        <v>8.7518342871732244</v>
      </c>
      <c r="W11" s="151">
        <v>8.9530274610388538</v>
      </c>
      <c r="X11" s="151">
        <v>9.1506070598572986</v>
      </c>
      <c r="Y11" s="151">
        <v>9.3176581811838997</v>
      </c>
    </row>
    <row r="12" spans="1:25" ht="14.1" customHeight="1" thickBot="1">
      <c r="A12" s="4" t="s">
        <v>100</v>
      </c>
      <c r="B12" s="11"/>
      <c r="C12" s="153">
        <f>MIN(1,C$5/SUM(P$10:P$17))</f>
        <v>0.93569105041667133</v>
      </c>
      <c r="D12" s="153">
        <f t="shared" ref="D12:L12" si="8">MIN(1,D$5/SUM(Q$10:Q$17))</f>
        <v>0.9073113614524454</v>
      </c>
      <c r="E12" s="153">
        <f t="shared" si="8"/>
        <v>0.88982965400937453</v>
      </c>
      <c r="F12" s="153">
        <f t="shared" si="8"/>
        <v>0.88206706803411272</v>
      </c>
      <c r="G12" s="153">
        <f t="shared" si="8"/>
        <v>0.87796561395731298</v>
      </c>
      <c r="H12" s="153">
        <f t="shared" si="8"/>
        <v>0.87400322761688054</v>
      </c>
      <c r="I12" s="153">
        <f t="shared" si="8"/>
        <v>0.87199530744271836</v>
      </c>
      <c r="J12" s="153">
        <f t="shared" si="8"/>
        <v>0.86996533194887704</v>
      </c>
      <c r="K12" s="153">
        <f t="shared" si="8"/>
        <v>0.86789839765886267</v>
      </c>
      <c r="L12" s="153">
        <f t="shared" si="8"/>
        <v>0.86574681381152485</v>
      </c>
      <c r="M12" s="28"/>
      <c r="N12" s="4" t="str">
        <f>Historical!N12</f>
        <v>COO13</v>
      </c>
      <c r="O12" s="11">
        <f>Historical!O12</f>
        <v>12.003112096452318</v>
      </c>
      <c r="P12" s="151">
        <v>5.52364668660875E-3</v>
      </c>
      <c r="Q12" s="151">
        <v>5.4681443320869971E-3</v>
      </c>
      <c r="R12" s="151">
        <v>5.4673964721929265E-3</v>
      </c>
      <c r="S12" s="151">
        <v>5.5124782547060153E-3</v>
      </c>
      <c r="T12" s="151">
        <v>5.6007666142945693E-3</v>
      </c>
      <c r="U12" s="151">
        <v>5.7186893502907859E-3</v>
      </c>
      <c r="V12" s="151">
        <v>5.8534903886722518E-3</v>
      </c>
      <c r="W12" s="151">
        <v>5.9939156756149753E-3</v>
      </c>
      <c r="X12" s="151">
        <v>6.1184572580832135E-3</v>
      </c>
      <c r="Y12" s="151">
        <f t="shared" si="2"/>
        <v>6.2429988405514518E-3</v>
      </c>
    </row>
    <row r="13" spans="1:25" ht="14.1" customHeight="1" thickBot="1">
      <c r="A13" s="4"/>
      <c r="B13" s="1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28"/>
      <c r="N13" s="4" t="str">
        <f>Historical!N13</f>
        <v>COO14</v>
      </c>
      <c r="O13" s="11">
        <f>Historical!O13</f>
        <v>12.003112096452318</v>
      </c>
      <c r="P13" s="151">
        <v>-1.476366682375874E-2</v>
      </c>
      <c r="Q13" s="151">
        <v>-1.4615319487916303E-2</v>
      </c>
      <c r="R13" s="151">
        <v>-1.461332059933176E-2</v>
      </c>
      <c r="S13" s="151">
        <v>-1.4733815709646832E-2</v>
      </c>
      <c r="T13" s="151">
        <v>-1.4969793859469782E-2</v>
      </c>
      <c r="U13" s="151">
        <v>-1.5284979113699552E-2</v>
      </c>
      <c r="V13" s="151">
        <v>-1.5645276889983021E-2</v>
      </c>
      <c r="W13" s="151">
        <v>-1.6020607222945706E-2</v>
      </c>
      <c r="X13" s="151">
        <v>-1.6353483406667303E-2</v>
      </c>
      <c r="Y13" s="151">
        <f t="shared" si="2"/>
        <v>-1.6686359590388899E-2</v>
      </c>
    </row>
    <row r="14" spans="1:25" ht="14.1" customHeight="1" thickBot="1">
      <c r="A14" s="4"/>
      <c r="B14" s="1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N14" s="4" t="str">
        <f>Historical!N14</f>
        <v>COO21</v>
      </c>
      <c r="O14" s="11">
        <f>Historical!O14</f>
        <v>14.289419162443236</v>
      </c>
      <c r="P14" s="151">
        <v>4.6219002248390213</v>
      </c>
      <c r="Q14" s="151">
        <v>4.5723131945244377</v>
      </c>
      <c r="R14" s="151">
        <v>4.5583776740768922</v>
      </c>
      <c r="S14" s="151">
        <v>4.577426074784209</v>
      </c>
      <c r="T14" s="151">
        <v>4.5992547258061158</v>
      </c>
      <c r="U14" s="151">
        <v>4.6569058475856515</v>
      </c>
      <c r="V14" s="151">
        <v>4.7265477989434945</v>
      </c>
      <c r="W14" s="151">
        <v>4.7969062711912542</v>
      </c>
      <c r="X14" s="151">
        <v>4.8639328478957005</v>
      </c>
      <c r="Y14" s="151">
        <v>4.913498025756196</v>
      </c>
    </row>
    <row r="15" spans="1:25" ht="14.1" customHeight="1" thickBot="1">
      <c r="A15" s="4"/>
      <c r="B15" s="1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N15" s="4" t="str">
        <f>Historical!N15</f>
        <v>COO22</v>
      </c>
      <c r="O15" s="11">
        <f>Historical!O15</f>
        <v>12.003112096452318</v>
      </c>
      <c r="P15" s="151">
        <v>9.1029448294072424</v>
      </c>
      <c r="Q15" s="151">
        <v>9.1191513042555972</v>
      </c>
      <c r="R15" s="151">
        <v>9.1613465521158126</v>
      </c>
      <c r="S15" s="151">
        <v>9.2290449725877561</v>
      </c>
      <c r="T15" s="151">
        <v>9.3101112516344333</v>
      </c>
      <c r="U15" s="151">
        <v>9.5020763820888607</v>
      </c>
      <c r="V15" s="151">
        <v>9.7211751060681628</v>
      </c>
      <c r="W15" s="151">
        <v>9.9446521520355304</v>
      </c>
      <c r="X15" s="151">
        <v>10.164115388481383</v>
      </c>
      <c r="Y15" s="151">
        <v>10.3496688563368</v>
      </c>
    </row>
    <row r="16" spans="1:25" ht="14.1" customHeight="1" thickBot="1">
      <c r="A16" s="4"/>
      <c r="B16" s="1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9"/>
      <c r="N16" s="4" t="str">
        <f>Historical!N16</f>
        <v>COO23</v>
      </c>
      <c r="O16" s="11">
        <f>Historical!O16</f>
        <v>14.289419162443236</v>
      </c>
      <c r="P16" s="151">
        <v>13.778566060756964</v>
      </c>
      <c r="Q16" s="151">
        <v>16.123184859772188</v>
      </c>
      <c r="R16" s="151">
        <v>17.779066761068893</v>
      </c>
      <c r="S16" s="151">
        <v>18.91062358023294</v>
      </c>
      <c r="T16" s="151">
        <v>19.523552129914385</v>
      </c>
      <c r="U16" s="151">
        <v>20.255438305322365</v>
      </c>
      <c r="V16" s="151">
        <v>20.927661022387667</v>
      </c>
      <c r="W16" s="151">
        <v>21.620728384082145</v>
      </c>
      <c r="X16" s="151">
        <v>22.316655473581342</v>
      </c>
      <c r="Y16" s="151">
        <v>22.949053296063408</v>
      </c>
    </row>
    <row r="17" spans="1:25" ht="14.1" customHeight="1" thickBot="1">
      <c r="A17" s="4"/>
      <c r="B17" s="1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9"/>
      <c r="N17" s="4" t="str">
        <f>Historical!N17</f>
        <v>COO24</v>
      </c>
      <c r="O17" s="11">
        <f>Historical!O17</f>
        <v>12.193637685284894</v>
      </c>
      <c r="P17" s="151">
        <v>10.303658829671351</v>
      </c>
      <c r="Q17" s="151">
        <v>10.214313406730975</v>
      </c>
      <c r="R17" s="151">
        <v>10.214112800283974</v>
      </c>
      <c r="S17" s="151">
        <v>10.294486421793897</v>
      </c>
      <c r="T17" s="151">
        <v>10.384911347817134</v>
      </c>
      <c r="U17" s="151">
        <v>10.599037775285055</v>
      </c>
      <c r="V17" s="151">
        <v>10.843430217378108</v>
      </c>
      <c r="W17" s="151">
        <v>11.092706434161846</v>
      </c>
      <c r="X17" s="151">
        <v>11.337505469640085</v>
      </c>
      <c r="Y17" s="151">
        <v>11.54448004404383</v>
      </c>
    </row>
    <row r="18" spans="1:25" ht="14.1" customHeight="1" thickBot="1">
      <c r="A18" s="4"/>
      <c r="B18" s="1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9"/>
      <c r="N18" s="4" t="str">
        <f>Historical!N18</f>
        <v>KLO13</v>
      </c>
      <c r="O18" s="11">
        <f>Historical!O18</f>
        <v>14.289419162443236</v>
      </c>
      <c r="P18" s="151">
        <v>11.772976225248986</v>
      </c>
      <c r="Q18" s="151">
        <v>15.039754646621622</v>
      </c>
      <c r="R18" s="151">
        <v>16.280410428347867</v>
      </c>
      <c r="S18" s="151">
        <v>16.855803481445324</v>
      </c>
      <c r="T18" s="151">
        <v>17.173054497194187</v>
      </c>
      <c r="U18" s="151">
        <v>17.874217799576023</v>
      </c>
      <c r="V18" s="151">
        <v>18.648467388221267</v>
      </c>
      <c r="W18" s="151">
        <v>19.454936922360208</v>
      </c>
      <c r="X18" s="151">
        <v>20.278025643392503</v>
      </c>
      <c r="Y18" s="151">
        <v>21.05709161242935</v>
      </c>
    </row>
    <row r="19" spans="1:25" ht="14.1" customHeight="1" thickBot="1">
      <c r="A19" s="4"/>
      <c r="B19" s="1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9"/>
      <c r="N19" s="4" t="str">
        <f>Historical!N19</f>
        <v>KLO21</v>
      </c>
      <c r="O19" s="11">
        <f>Historical!O19</f>
        <v>14.289419162443236</v>
      </c>
      <c r="P19" s="151">
        <v>11.207636195093096</v>
      </c>
      <c r="Q19" s="151">
        <v>13.922336271118049</v>
      </c>
      <c r="R19" s="151">
        <v>16.548783403120861</v>
      </c>
      <c r="S19" s="151">
        <v>18.641041381966108</v>
      </c>
      <c r="T19" s="151">
        <v>19.940359304124829</v>
      </c>
      <c r="U19" s="151">
        <v>21.355011592792508</v>
      </c>
      <c r="V19" s="151">
        <v>22.280037187010468</v>
      </c>
      <c r="W19" s="151">
        <v>23.24355718234025</v>
      </c>
      <c r="X19" s="151">
        <v>24.226932755841343</v>
      </c>
      <c r="Y19" s="151">
        <v>25.157712663912431</v>
      </c>
    </row>
    <row r="20" spans="1:25" ht="14.1" customHeight="1" thickBot="1">
      <c r="A20" s="4"/>
      <c r="B20" s="1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9"/>
      <c r="N20" s="4" t="str">
        <f>Historical!N20</f>
        <v>KLO22</v>
      </c>
      <c r="O20" s="11">
        <f>Historical!O20</f>
        <v>14.289419162443236</v>
      </c>
      <c r="P20" s="151">
        <v>10.032295563833394</v>
      </c>
      <c r="Q20" s="151">
        <v>13.030278050693466</v>
      </c>
      <c r="R20" s="151">
        <v>16.033851313037381</v>
      </c>
      <c r="S20" s="151">
        <v>19.215000808332871</v>
      </c>
      <c r="T20" s="151">
        <v>21.26976119358854</v>
      </c>
      <c r="U20" s="151">
        <v>23.541494376549874</v>
      </c>
      <c r="V20" s="151">
        <v>25.808617812802648</v>
      </c>
      <c r="W20" s="151">
        <v>27.940415190685599</v>
      </c>
      <c r="X20" s="151">
        <v>30.103621413051894</v>
      </c>
      <c r="Y20" s="151">
        <v>31.867172896766714</v>
      </c>
    </row>
    <row r="21" spans="1:25" ht="14.1" customHeight="1" thickBot="1">
      <c r="A21" s="4"/>
      <c r="B21" s="1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9"/>
      <c r="N21" s="4" t="str">
        <f>Historical!N21</f>
        <v>KLO23</v>
      </c>
      <c r="O21" s="11">
        <f>Historical!O21</f>
        <v>14.289419162443236</v>
      </c>
      <c r="P21" s="151">
        <v>1.1247050453195102</v>
      </c>
      <c r="Q21" s="151">
        <v>1.1188666940694805</v>
      </c>
      <c r="R21" s="151">
        <v>1.1248208231766419</v>
      </c>
      <c r="S21" s="151">
        <v>1.1421617128175872</v>
      </c>
      <c r="T21" s="151">
        <v>1.1636588763280491</v>
      </c>
      <c r="U21" s="151">
        <v>1.2111702203760994</v>
      </c>
      <c r="V21" s="151">
        <v>1.2636339452462195</v>
      </c>
      <c r="W21" s="151">
        <v>1.3182809174573811</v>
      </c>
      <c r="X21" s="151">
        <v>1.3740540180663161</v>
      </c>
      <c r="Y21" s="151">
        <v>1.4268441044346414</v>
      </c>
    </row>
    <row r="22" spans="1:25" ht="14.1" customHeight="1" thickBot="1">
      <c r="A22" s="4"/>
      <c r="B22" s="1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9"/>
      <c r="N22" s="4" t="str">
        <f>Historical!N22</f>
        <v>ST 11</v>
      </c>
      <c r="O22" s="11">
        <f>Historical!O22</f>
        <v>22.482019482244024</v>
      </c>
      <c r="P22" s="151">
        <v>13.904350806374547</v>
      </c>
      <c r="Q22" s="151">
        <v>14.619069222733984</v>
      </c>
      <c r="R22" s="151">
        <v>15.550442023707976</v>
      </c>
      <c r="S22" s="151">
        <v>15.941615956535973</v>
      </c>
      <c r="T22" s="151">
        <v>16.161652437946053</v>
      </c>
      <c r="U22" s="151">
        <v>16.658205193986948</v>
      </c>
      <c r="V22" s="151">
        <v>17.21104556150399</v>
      </c>
      <c r="W22" s="151">
        <v>17.781028701356764</v>
      </c>
      <c r="X22" s="151">
        <v>18.353363700095628</v>
      </c>
      <c r="Y22" s="151">
        <v>18.873451813339205</v>
      </c>
    </row>
    <row r="23" spans="1:25" ht="14.1" customHeight="1" thickBot="1">
      <c r="A23" s="4"/>
      <c r="B23" s="1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9"/>
      <c r="N23" s="4" t="str">
        <f>Historical!N23</f>
        <v>ST 12</v>
      </c>
      <c r="O23" s="11">
        <f>Historical!O23</f>
        <v>14.289419162443236</v>
      </c>
      <c r="P23" s="151">
        <v>13.648581929157846</v>
      </c>
      <c r="Q23" s="151">
        <v>16.077450584871837</v>
      </c>
      <c r="R23" s="151">
        <v>19.340956299029159</v>
      </c>
      <c r="S23" s="151">
        <v>22.388574028782948</v>
      </c>
      <c r="T23" s="151">
        <v>25.230700139548443</v>
      </c>
      <c r="U23" s="151">
        <v>27.577621298609987</v>
      </c>
      <c r="V23" s="151">
        <v>29.387578538952884</v>
      </c>
      <c r="W23" s="151">
        <v>30.810909979429024</v>
      </c>
      <c r="X23" s="151">
        <v>32.227784075454593</v>
      </c>
      <c r="Y23" s="151">
        <v>33.465950466610884</v>
      </c>
    </row>
    <row r="24" spans="1:25" ht="14.1" customHeight="1" thickBot="1">
      <c r="A24" s="4"/>
      <c r="B24" s="1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9"/>
      <c r="N24" s="4" t="str">
        <f>Historical!N24</f>
        <v>ST 13</v>
      </c>
      <c r="O24" s="11">
        <f>Historical!O24</f>
        <v>14.289419162443236</v>
      </c>
      <c r="P24" s="151">
        <v>8.7794139782395053</v>
      </c>
      <c r="Q24" s="151">
        <v>9.7205303586440621</v>
      </c>
      <c r="R24" s="151">
        <v>10.613101380466937</v>
      </c>
      <c r="S24" s="151">
        <v>10.976716599902534</v>
      </c>
      <c r="T24" s="151">
        <v>11.073134113691559</v>
      </c>
      <c r="U24" s="151">
        <v>11.301451002418423</v>
      </c>
      <c r="V24" s="151">
        <v>11.56203967737498</v>
      </c>
      <c r="W24" s="151">
        <v>11.827835781679729</v>
      </c>
      <c r="X24" s="151">
        <v>12.088857995540288</v>
      </c>
      <c r="Y24" s="151">
        <v>12.309549067783157</v>
      </c>
    </row>
    <row r="25" spans="1:25" ht="14.1" customHeight="1" thickBot="1">
      <c r="A25" s="4"/>
      <c r="B25" s="1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9"/>
      <c r="N25" s="4" t="str">
        <f>Historical!N25</f>
        <v>ST 14</v>
      </c>
      <c r="O25" s="11">
        <f>Historical!O25</f>
        <v>14.289419162443236</v>
      </c>
      <c r="P25" s="151">
        <v>7.5548931008984299</v>
      </c>
      <c r="Q25" s="151">
        <v>7.4798155189821767</v>
      </c>
      <c r="R25" s="151">
        <v>7.4659615538654069</v>
      </c>
      <c r="S25" s="151">
        <v>8.2481821977251428</v>
      </c>
      <c r="T25" s="151">
        <v>9.0458930077263702</v>
      </c>
      <c r="U25" s="151">
        <v>9.9454643250319048</v>
      </c>
      <c r="V25" s="151">
        <v>10.134490496173681</v>
      </c>
      <c r="W25" s="151">
        <v>10.326409836385416</v>
      </c>
      <c r="X25" s="151">
        <v>10.512498680495726</v>
      </c>
      <c r="Y25" s="151">
        <v>10.662018432375055</v>
      </c>
    </row>
    <row r="26" spans="1:25" ht="14.1" customHeight="1" thickBot="1">
      <c r="A26" s="4"/>
      <c r="B26" s="1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9"/>
      <c r="N26" s="4" t="str">
        <f>Historical!N26</f>
        <v>ST 21</v>
      </c>
      <c r="O26" s="11">
        <f>Historical!O26</f>
        <v>14.289419162443236</v>
      </c>
      <c r="P26" s="151">
        <v>1.3082311926282106</v>
      </c>
      <c r="Q26" s="151">
        <v>1.2936780874220224</v>
      </c>
      <c r="R26" s="151">
        <v>1.2889618313748783</v>
      </c>
      <c r="S26" s="151">
        <v>1.2933134524876595</v>
      </c>
      <c r="T26" s="151">
        <v>1.2981827724896682</v>
      </c>
      <c r="U26" s="151">
        <v>1.3118316788352939</v>
      </c>
      <c r="V26" s="151">
        <v>1.3287919530001178</v>
      </c>
      <c r="W26" s="151">
        <v>1.3458803311885745</v>
      </c>
      <c r="X26" s="151">
        <v>1.3619622257698538</v>
      </c>
      <c r="Y26" s="151">
        <v>1.3730949076558163</v>
      </c>
    </row>
    <row r="27" spans="1:25" ht="14.1" customHeight="1" thickBot="1">
      <c r="A27" s="4"/>
      <c r="B27" s="1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9"/>
      <c r="N27" s="4" t="str">
        <f>Historical!N27</f>
        <v>ST 22</v>
      </c>
      <c r="O27" s="11">
        <f>Historical!O27</f>
        <v>22.482019482244024</v>
      </c>
      <c r="P27" s="151">
        <v>14.551527219459137</v>
      </c>
      <c r="Q27" s="151">
        <v>17.644142274598487</v>
      </c>
      <c r="R27" s="151">
        <v>20.699068991269378</v>
      </c>
      <c r="S27" s="151">
        <v>23.029720420321819</v>
      </c>
      <c r="T27" s="151">
        <v>24.687536113630042</v>
      </c>
      <c r="U27" s="151">
        <v>25.695510225162259</v>
      </c>
      <c r="V27" s="151">
        <v>26.808551279318674</v>
      </c>
      <c r="W27" s="151">
        <v>27.967910888399892</v>
      </c>
      <c r="X27" s="151">
        <v>29.151161807945186</v>
      </c>
      <c r="Y27" s="151">
        <v>30.271126765177442</v>
      </c>
    </row>
    <row r="28" spans="1:25" ht="14.1" customHeight="1" thickBot="1">
      <c r="A28" s="4"/>
      <c r="B28" s="1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N28" s="4" t="str">
        <f>Historical!N28</f>
        <v>ST 23</v>
      </c>
      <c r="O28" s="11">
        <f>Historical!O28</f>
        <v>22.482019482244024</v>
      </c>
      <c r="P28" s="151">
        <v>10.975246987732749</v>
      </c>
      <c r="Q28" s="151">
        <v>12.066394703004404</v>
      </c>
      <c r="R28" s="151">
        <v>13.353792965533545</v>
      </c>
      <c r="S28" s="151">
        <v>13.683163098207867</v>
      </c>
      <c r="T28" s="151">
        <v>13.769016853203935</v>
      </c>
      <c r="U28" s="151">
        <v>13.983351221113747</v>
      </c>
      <c r="V28" s="151">
        <v>14.234958419408507</v>
      </c>
      <c r="W28" s="151">
        <v>14.490111308438394</v>
      </c>
      <c r="X28" s="151">
        <v>14.736569597554517</v>
      </c>
      <c r="Y28" s="151">
        <v>14.931311477876188</v>
      </c>
    </row>
    <row r="29" spans="1:25" ht="14.1" customHeight="1" thickBot="1">
      <c r="A29" s="4"/>
      <c r="B29" s="1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N29" s="4" t="str">
        <f>Historical!N29</f>
        <v>ST 24</v>
      </c>
      <c r="O29" s="11">
        <f>Historical!O29</f>
        <v>14.289419162443236</v>
      </c>
      <c r="P29" s="151">
        <v>6.9523143379670627</v>
      </c>
      <c r="Q29" s="151">
        <v>7.3152611573607862</v>
      </c>
      <c r="R29" s="151">
        <v>7.7272735733298559</v>
      </c>
      <c r="S29" s="151">
        <v>8.1935234441262725</v>
      </c>
      <c r="T29" s="151">
        <v>8.224372027288128</v>
      </c>
      <c r="U29" s="151">
        <v>8.3108418880279675</v>
      </c>
      <c r="V29" s="151">
        <v>8.4182902438159601</v>
      </c>
      <c r="W29" s="151">
        <v>8.5265501765027345</v>
      </c>
      <c r="X29" s="151">
        <v>8.6284337376952891</v>
      </c>
      <c r="Y29" s="151">
        <v>8.698962571871709</v>
      </c>
    </row>
    <row r="30" spans="1:25" ht="14.1" customHeight="1" thickBot="1">
      <c r="A30" s="4"/>
      <c r="B30" s="1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N30" s="4" t="str">
        <f>Historical!N30</f>
        <v>ST 31</v>
      </c>
      <c r="O30" s="11">
        <f>Historical!O30</f>
        <v>22.482019482244024</v>
      </c>
      <c r="P30" s="151">
        <v>1.7193895674542199</v>
      </c>
      <c r="Q30" s="151">
        <v>1.700262629183229</v>
      </c>
      <c r="R30" s="151">
        <v>1.6940641212355545</v>
      </c>
      <c r="S30" s="151">
        <v>1.6997833946980667</v>
      </c>
      <c r="T30" s="151">
        <v>1.7061830724149922</v>
      </c>
      <c r="U30" s="151">
        <v>1.7241216350406725</v>
      </c>
      <c r="V30" s="151">
        <v>1.7464122810858691</v>
      </c>
      <c r="W30" s="151">
        <v>1.7688712924192691</v>
      </c>
      <c r="X30" s="151">
        <v>1.7900074967260933</v>
      </c>
      <c r="Y30" s="151">
        <v>1.8046390214905015</v>
      </c>
    </row>
    <row r="31" spans="1:25" ht="14.1" customHeight="1" thickBot="1">
      <c r="A31" s="4"/>
      <c r="B31" s="1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N31" s="4" t="str">
        <f>Historical!N31</f>
        <v>ST 32</v>
      </c>
      <c r="O31" s="11">
        <f>Historical!O31</f>
        <v>12.384163274117471</v>
      </c>
      <c r="P31" s="151">
        <v>8.0173408009933258</v>
      </c>
      <c r="Q31" s="151">
        <v>8.2188800930287282</v>
      </c>
      <c r="R31" s="151">
        <v>8.2626174510621357</v>
      </c>
      <c r="S31" s="151">
        <v>8.3899987498538611</v>
      </c>
      <c r="T31" s="151">
        <v>8.5479108676863227</v>
      </c>
      <c r="U31" s="151">
        <v>8.8969158401815633</v>
      </c>
      <c r="V31" s="151">
        <v>9.2822996095141317</v>
      </c>
      <c r="W31" s="151">
        <v>9.6837208998530482</v>
      </c>
      <c r="X31" s="151">
        <v>10.093414412718305</v>
      </c>
      <c r="Y31" s="151">
        <v>10.481195541839087</v>
      </c>
    </row>
    <row r="32" spans="1:25" ht="14.1" customHeight="1" thickBot="1">
      <c r="A32" s="4"/>
      <c r="B32" s="1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N32" s="4" t="str">
        <f>Historical!N32</f>
        <v>ST 33</v>
      </c>
      <c r="O32" s="11">
        <f>Historical!O32</f>
        <v>12.5</v>
      </c>
      <c r="P32" s="151">
        <v>9.9018293884097464</v>
      </c>
      <c r="Q32" s="151">
        <v>9.9056135268931627</v>
      </c>
      <c r="R32" s="151">
        <v>9.9696154584752588</v>
      </c>
      <c r="S32" s="151">
        <v>10.043286639388679</v>
      </c>
      <c r="T32" s="151">
        <v>10.131505071487853</v>
      </c>
      <c r="U32" s="151">
        <v>10.340406516398771</v>
      </c>
      <c r="V32" s="151">
        <v>10.57883544309534</v>
      </c>
      <c r="W32" s="151">
        <v>10.822028973589623</v>
      </c>
      <c r="X32" s="151">
        <v>11.06085457222744</v>
      </c>
      <c r="Y32" s="151">
        <v>11.262778679233067</v>
      </c>
    </row>
    <row r="33" spans="1:26" ht="14.1" customHeight="1" thickBot="1">
      <c r="A33" s="4"/>
      <c r="B33" s="1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N33" s="4" t="str">
        <f>Historical!N33</f>
        <v>ST 34</v>
      </c>
      <c r="O33" s="11">
        <f>Historical!O33</f>
        <v>14.289419162443236</v>
      </c>
      <c r="P33" s="151">
        <v>11.958509928226752</v>
      </c>
      <c r="Q33" s="151">
        <v>12.538435063652861</v>
      </c>
      <c r="R33" s="151">
        <v>12.755487220599113</v>
      </c>
      <c r="S33" s="151">
        <v>12.992004717322724</v>
      </c>
      <c r="T33" s="151">
        <v>13.106124161200013</v>
      </c>
      <c r="U33" s="151">
        <v>13.376359260046442</v>
      </c>
      <c r="V33" s="151">
        <v>13.684791136145577</v>
      </c>
      <c r="W33" s="151">
        <v>13.999386508044308</v>
      </c>
      <c r="X33" s="151">
        <v>14.308331519326872</v>
      </c>
      <c r="Y33" s="151">
        <v>14.569540727522684</v>
      </c>
    </row>
    <row r="34" spans="1:26" ht="14.1" customHeight="1" thickBot="1">
      <c r="A34" s="4"/>
      <c r="B34" s="1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N34" s="4"/>
      <c r="O34" s="11"/>
      <c r="P34" s="151"/>
      <c r="Q34" s="151"/>
      <c r="R34" s="151"/>
      <c r="S34" s="151"/>
      <c r="T34" s="151"/>
      <c r="U34" s="151"/>
      <c r="V34" s="151"/>
      <c r="W34" s="151"/>
      <c r="X34" s="151"/>
      <c r="Y34" s="151"/>
    </row>
    <row r="35" spans="1:26" ht="14.1" customHeight="1" thickBot="1">
      <c r="A35" s="4"/>
      <c r="B35" s="1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N35" s="4"/>
      <c r="O35" s="11"/>
      <c r="P35" s="151"/>
      <c r="Q35" s="151"/>
      <c r="R35" s="151"/>
      <c r="S35" s="151"/>
      <c r="T35" s="151"/>
      <c r="U35" s="151"/>
      <c r="V35" s="151"/>
      <c r="W35" s="151"/>
      <c r="X35" s="151"/>
      <c r="Y35" s="151"/>
    </row>
    <row r="36" spans="1:26" ht="14.1" customHeight="1" thickBot="1">
      <c r="A36" s="4"/>
      <c r="B36" s="1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N36" s="4"/>
      <c r="O36" s="11"/>
      <c r="P36" s="151"/>
      <c r="Q36" s="151"/>
      <c r="R36" s="151"/>
      <c r="S36" s="151"/>
      <c r="T36" s="151"/>
      <c r="U36" s="151"/>
      <c r="V36" s="151"/>
      <c r="W36" s="151"/>
      <c r="X36" s="151"/>
      <c r="Y36" s="151"/>
    </row>
    <row r="37" spans="1:26" ht="14.1" customHeight="1" thickBot="1">
      <c r="A37" s="4"/>
      <c r="B37" s="1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N37" s="4"/>
      <c r="O37" s="11"/>
      <c r="P37" s="151"/>
      <c r="Q37" s="151"/>
      <c r="R37" s="151"/>
      <c r="S37" s="151"/>
      <c r="T37" s="151"/>
      <c r="U37" s="151"/>
      <c r="V37" s="151"/>
      <c r="W37" s="151"/>
      <c r="X37" s="151"/>
      <c r="Y37" s="151"/>
    </row>
    <row r="38" spans="1:26" ht="14.1" customHeight="1" thickBot="1">
      <c r="A38" s="4"/>
      <c r="B38" s="1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N38" s="4"/>
      <c r="O38" s="11"/>
      <c r="P38" s="151"/>
      <c r="Q38" s="151"/>
      <c r="R38" s="151"/>
      <c r="S38" s="151"/>
      <c r="T38" s="151"/>
      <c r="U38" s="151"/>
      <c r="V38" s="151"/>
      <c r="W38" s="151"/>
      <c r="X38" s="151"/>
      <c r="Y38" s="151"/>
    </row>
    <row r="39" spans="1:26" ht="14.1" customHeight="1" thickBot="1">
      <c r="A39" s="4"/>
      <c r="B39" s="1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N39" s="4"/>
      <c r="O39" s="11"/>
      <c r="P39" s="151"/>
      <c r="Q39" s="151"/>
      <c r="R39" s="151"/>
      <c r="S39" s="151"/>
      <c r="T39" s="151"/>
      <c r="U39" s="151"/>
      <c r="V39" s="151"/>
      <c r="W39" s="151"/>
      <c r="X39" s="151"/>
      <c r="Y39" s="151"/>
    </row>
    <row r="40" spans="1:26" ht="14.1" customHeight="1" thickBot="1">
      <c r="A40" s="4"/>
      <c r="B40" s="1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N40" s="4"/>
      <c r="O40" s="1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26" ht="14.1" customHeight="1" thickBot="1">
      <c r="A41" s="4"/>
      <c r="B41" s="1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N41" s="4"/>
      <c r="O41" s="11"/>
      <c r="P41" s="151"/>
      <c r="Q41" s="151"/>
      <c r="R41" s="151"/>
      <c r="S41" s="151"/>
      <c r="T41" s="151"/>
      <c r="U41" s="151"/>
      <c r="V41" s="151"/>
      <c r="W41" s="151"/>
      <c r="X41" s="151"/>
      <c r="Y41" s="151"/>
    </row>
    <row r="42" spans="1:26" ht="14.1" customHeight="1" thickBot="1">
      <c r="A42" s="4"/>
      <c r="B42" s="1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N42" s="4"/>
      <c r="O42" s="11"/>
      <c r="P42" s="151"/>
      <c r="Q42" s="151"/>
      <c r="R42" s="151"/>
      <c r="S42" s="151"/>
      <c r="T42" s="151"/>
      <c r="U42" s="151"/>
      <c r="V42" s="151"/>
      <c r="W42" s="151"/>
      <c r="X42" s="151"/>
      <c r="Y42" s="151"/>
    </row>
    <row r="43" spans="1:26" ht="14.1" customHeight="1" thickBot="1">
      <c r="A43" s="4"/>
      <c r="B43" s="1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N43" s="4"/>
      <c r="O43" s="1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6" ht="14.1" customHeight="1" thickBot="1"/>
    <row r="45" spans="1:26" ht="14.1" customHeight="1" thickBot="1">
      <c r="A45" s="1" t="s">
        <v>101</v>
      </c>
      <c r="B45" s="2" t="str">
        <f>B1</f>
        <v>Rating</v>
      </c>
      <c r="C45" s="2" t="s">
        <v>102</v>
      </c>
      <c r="D45" s="2">
        <f t="shared" ref="D45:L45" si="9">D1</f>
        <v>2026</v>
      </c>
      <c r="E45" s="2">
        <f t="shared" si="9"/>
        <v>2027</v>
      </c>
      <c r="F45" s="2">
        <f t="shared" si="9"/>
        <v>2028</v>
      </c>
      <c r="G45" s="2">
        <f t="shared" si="9"/>
        <v>2029</v>
      </c>
      <c r="H45" s="2">
        <f t="shared" si="9"/>
        <v>2030</v>
      </c>
      <c r="I45" s="2">
        <f t="shared" si="9"/>
        <v>2031</v>
      </c>
      <c r="J45" s="2">
        <f t="shared" si="9"/>
        <v>2032</v>
      </c>
      <c r="K45" s="2">
        <f t="shared" si="9"/>
        <v>2033</v>
      </c>
      <c r="L45" s="2">
        <f t="shared" si="9"/>
        <v>2034</v>
      </c>
      <c r="N45" s="1" t="s">
        <v>103</v>
      </c>
      <c r="O45" s="2" t="str">
        <f>O1</f>
        <v>Rating</v>
      </c>
      <c r="P45" s="2" t="s">
        <v>102</v>
      </c>
      <c r="Q45" s="2">
        <f t="shared" ref="Q45:T45" si="10">Q1</f>
        <v>2026</v>
      </c>
      <c r="R45" s="2">
        <f t="shared" si="10"/>
        <v>2027</v>
      </c>
      <c r="S45" s="2">
        <f t="shared" si="10"/>
        <v>2028</v>
      </c>
      <c r="T45" s="2">
        <f t="shared" si="10"/>
        <v>2029</v>
      </c>
      <c r="U45" s="2">
        <f>U1</f>
        <v>2030</v>
      </c>
      <c r="V45" s="2">
        <f>V1</f>
        <v>2031</v>
      </c>
      <c r="W45" s="2">
        <f t="shared" ref="W45:Y45" si="11">W1</f>
        <v>2032</v>
      </c>
      <c r="X45" s="2">
        <f t="shared" si="11"/>
        <v>2033</v>
      </c>
      <c r="Y45" s="2">
        <f t="shared" si="11"/>
        <v>2034</v>
      </c>
      <c r="Z45" t="s">
        <v>104</v>
      </c>
    </row>
    <row r="46" spans="1:26" ht="14.1" customHeight="1" thickTop="1" thickBot="1">
      <c r="A46" s="6" t="s">
        <v>105</v>
      </c>
      <c r="B46" s="1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N46" s="6" t="s">
        <v>105</v>
      </c>
      <c r="O46" s="11"/>
      <c r="P46" s="152"/>
      <c r="Q46" s="152"/>
      <c r="R46" s="151"/>
      <c r="S46" s="151"/>
      <c r="T46" s="151"/>
      <c r="U46" s="151"/>
      <c r="V46" s="151"/>
      <c r="W46" s="151"/>
      <c r="X46" s="151"/>
      <c r="Y46" s="151"/>
    </row>
    <row r="47" spans="1:26" ht="14.1" customHeight="1" thickBot="1">
      <c r="A47" s="4" t="str">
        <f>A2</f>
        <v>ST</v>
      </c>
      <c r="B47" s="11">
        <f>B2</f>
        <v>79.7</v>
      </c>
      <c r="C47" s="151"/>
      <c r="D47" s="151">
        <f>D2+((Q52+Q53+Q54+Q55+Q56+Q132+Q133)-(Q22+Q23+Q27+Q31+Q32+Q29+Q26))*D$12</f>
        <v>59.954992493568362</v>
      </c>
      <c r="E47" s="151">
        <f t="shared" ref="E47:K47" si="12">E2+((R52+R53+R54+R55+R56+R132+R133)-(R22+R23+R27+R31+R32+R29+R26))*E$12</f>
        <v>62.238720292329916</v>
      </c>
      <c r="F47" s="151">
        <f t="shared" si="12"/>
        <v>63.9371156883794</v>
      </c>
      <c r="G47" s="151">
        <f t="shared" si="12"/>
        <v>65.274540993157146</v>
      </c>
      <c r="H47" s="151">
        <f t="shared" si="12"/>
        <v>66.390846633526493</v>
      </c>
      <c r="I47" s="151">
        <f t="shared" si="12"/>
        <v>67.905716947803626</v>
      </c>
      <c r="J47" s="151">
        <f t="shared" si="12"/>
        <v>69.619054729465461</v>
      </c>
      <c r="K47" s="151">
        <f t="shared" si="12"/>
        <v>71.302416997385322</v>
      </c>
      <c r="L47" s="151">
        <f>L2+((Y52+Y53+Y54+Y55+Y56+Y132+Y133)-(Y22+Y23+Y27+Y31+Y32+Y29+Y26))*L$12</f>
        <v>72.741301232393766</v>
      </c>
      <c r="N47" s="154" t="str">
        <f>Ratings!H42</f>
        <v>CBN11 new</v>
      </c>
      <c r="O47" s="11">
        <f>Ratings!I42</f>
        <v>14.3</v>
      </c>
      <c r="P47" s="151">
        <f>0.2+2.5+1.9</f>
        <v>4.5999999999999996</v>
      </c>
      <c r="Q47" s="151">
        <f>$P47+Q23*30%</f>
        <v>9.4232351754615493</v>
      </c>
      <c r="R47" s="151">
        <f t="shared" ref="R47:Y47" si="13">$P47+R23*30%</f>
        <v>10.402286889708748</v>
      </c>
      <c r="S47" s="151">
        <f t="shared" si="13"/>
        <v>11.316572208634884</v>
      </c>
      <c r="T47" s="151">
        <f t="shared" si="13"/>
        <v>12.169210041864531</v>
      </c>
      <c r="U47" s="151">
        <f t="shared" si="13"/>
        <v>12.873286389582995</v>
      </c>
      <c r="V47" s="151">
        <f t="shared" si="13"/>
        <v>13.416273561685864</v>
      </c>
      <c r="W47" s="151">
        <f t="shared" si="13"/>
        <v>13.843272993828707</v>
      </c>
      <c r="X47" s="151">
        <f t="shared" si="13"/>
        <v>14.268335222636377</v>
      </c>
      <c r="Y47" s="151">
        <f t="shared" si="13"/>
        <v>14.639785139983264</v>
      </c>
    </row>
    <row r="48" spans="1:26" ht="14.1" customHeight="1" thickBot="1">
      <c r="A48" s="4" t="str">
        <f t="shared" ref="A48:B53" si="14">A3</f>
        <v>KLO</v>
      </c>
      <c r="B48" s="11">
        <f t="shared" si="14"/>
        <v>49.1</v>
      </c>
      <c r="C48" s="151"/>
      <c r="D48" s="151">
        <f>D3+((Q59+Q129+Q130+Q131)-(Q18+Q19+Q20+Q21))*D$12</f>
        <v>23.971835007690238</v>
      </c>
      <c r="E48" s="151">
        <f t="shared" ref="E48:L48" si="15">E3+((R59+R129+R130+R131)-(R18+R19+R20+R21))*E$12</f>
        <v>25.890593549457535</v>
      </c>
      <c r="F48" s="151">
        <f t="shared" si="15"/>
        <v>27.179612929896251</v>
      </c>
      <c r="G48" s="151">
        <f t="shared" si="15"/>
        <v>27.940554886647487</v>
      </c>
      <c r="H48" s="151">
        <f t="shared" si="15"/>
        <v>28.321240748736123</v>
      </c>
      <c r="I48" s="151">
        <f t="shared" si="15"/>
        <v>28.85312697976584</v>
      </c>
      <c r="J48" s="151">
        <f t="shared" si="15"/>
        <v>29.542218152215696</v>
      </c>
      <c r="K48" s="151">
        <f t="shared" si="15"/>
        <v>30.258281509169379</v>
      </c>
      <c r="L48" s="151">
        <f t="shared" si="15"/>
        <v>31.105174744921257</v>
      </c>
      <c r="N48" s="154" t="str">
        <f>Ratings!H46</f>
        <v>CBN22 new</v>
      </c>
      <c r="O48" s="11">
        <f>Ratings!I46</f>
        <v>12.7</v>
      </c>
      <c r="P48" s="151">
        <f>1.5+1.2+1.5</f>
        <v>4.2</v>
      </c>
      <c r="Q48" s="151">
        <f>$P48+Q23*15%+Q20*10%</f>
        <v>7.9146453928001215</v>
      </c>
      <c r="R48" s="151">
        <f t="shared" ref="R48:Y48" si="16">$P48+R23*15%+R20*10%</f>
        <v>8.704528576158113</v>
      </c>
      <c r="S48" s="151">
        <f t="shared" si="16"/>
        <v>9.4797861851507292</v>
      </c>
      <c r="T48" s="151">
        <f t="shared" si="16"/>
        <v>10.11158114029112</v>
      </c>
      <c r="U48" s="151">
        <f t="shared" si="16"/>
        <v>10.690792632446486</v>
      </c>
      <c r="V48" s="151">
        <f t="shared" si="16"/>
        <v>11.188998562123199</v>
      </c>
      <c r="W48" s="151">
        <f t="shared" si="16"/>
        <v>11.615678015982915</v>
      </c>
      <c r="X48" s="151">
        <f t="shared" si="16"/>
        <v>12.044529752623379</v>
      </c>
      <c r="Y48" s="151">
        <f t="shared" si="16"/>
        <v>12.406609859668304</v>
      </c>
    </row>
    <row r="49" spans="1:26" ht="14.1" customHeight="1" thickBot="1">
      <c r="A49" s="4" t="str">
        <f t="shared" si="14"/>
        <v>BD</v>
      </c>
      <c r="B49" s="11">
        <f t="shared" si="14"/>
        <v>123.7</v>
      </c>
      <c r="C49" s="151"/>
      <c r="D49" s="151">
        <f>D4+((Q121+Q122+Q123)-(Q6+Q7+Q8))*D$12</f>
        <v>85.037118440244228</v>
      </c>
      <c r="E49" s="151">
        <f t="shared" ref="E49:L49" si="17">E4+((R121+R122+R123)-(R6+R7+R8))*E$12</f>
        <v>88.237968128309348</v>
      </c>
      <c r="F49" s="151">
        <f t="shared" si="17"/>
        <v>90.552671676779397</v>
      </c>
      <c r="G49" s="151">
        <f t="shared" si="17"/>
        <v>91.510913418616695</v>
      </c>
      <c r="H49" s="151">
        <f t="shared" si="17"/>
        <v>92.578977548589052</v>
      </c>
      <c r="I49" s="151">
        <f t="shared" si="17"/>
        <v>93.935646467826203</v>
      </c>
      <c r="J49" s="151">
        <f t="shared" si="17"/>
        <v>95.324367767899403</v>
      </c>
      <c r="K49" s="151">
        <f t="shared" si="17"/>
        <v>96.651783738891837</v>
      </c>
      <c r="L49" s="151">
        <f t="shared" si="17"/>
        <v>97.64716416017967</v>
      </c>
      <c r="N49" s="154" t="str">
        <f>Ratings!H44</f>
        <v>CBN13 new</v>
      </c>
      <c r="O49" s="11">
        <f>Ratings!I44</f>
        <v>12.7</v>
      </c>
      <c r="P49" s="151">
        <v>2.5</v>
      </c>
      <c r="Q49" s="151">
        <f>$P49+Q20*25%</f>
        <v>5.757569512673367</v>
      </c>
      <c r="R49" s="151">
        <f t="shared" ref="R49:Y49" si="18">$P49+R20*25%</f>
        <v>6.5084628282593453</v>
      </c>
      <c r="S49" s="151">
        <f t="shared" si="18"/>
        <v>7.3037502020832177</v>
      </c>
      <c r="T49" s="151">
        <f t="shared" si="18"/>
        <v>7.8174402983971349</v>
      </c>
      <c r="U49" s="151">
        <f t="shared" si="18"/>
        <v>8.3853735941374694</v>
      </c>
      <c r="V49" s="151">
        <f t="shared" si="18"/>
        <v>8.9521544532006629</v>
      </c>
      <c r="W49" s="151">
        <f t="shared" si="18"/>
        <v>9.4851037976713997</v>
      </c>
      <c r="X49" s="151">
        <f t="shared" si="18"/>
        <v>10.025905353262974</v>
      </c>
      <c r="Y49" s="151">
        <f t="shared" si="18"/>
        <v>10.466793224191679</v>
      </c>
    </row>
    <row r="50" spans="1:26" ht="14.1" customHeight="1" thickBot="1">
      <c r="A50" s="4" t="str">
        <f t="shared" si="14"/>
        <v>COO</v>
      </c>
      <c r="B50" s="11">
        <f t="shared" si="14"/>
        <v>38</v>
      </c>
      <c r="C50" s="151"/>
      <c r="D50" s="151">
        <f>D5+((Q51+Q124+Q125+Q126+Q127+Q128)-(P10+P12+P14+P15+P17+P16))*D$12</f>
        <v>41.167624749601281</v>
      </c>
      <c r="E50" s="151">
        <f t="shared" ref="E50:L50" si="19">E5+((R51+R124+R125+R126+R127+R128)-(Q10+Q12+Q14+Q15+Q17+Q16))*E$12</f>
        <v>41.982133499204089</v>
      </c>
      <c r="F50" s="151">
        <f t="shared" si="19"/>
        <v>42.4753470164625</v>
      </c>
      <c r="G50" s="151">
        <f t="shared" si="19"/>
        <v>42.607370878810428</v>
      </c>
      <c r="H50" s="151">
        <f t="shared" si="19"/>
        <v>43.936770641379638</v>
      </c>
      <c r="I50" s="151">
        <f t="shared" si="19"/>
        <v>44.99949616214775</v>
      </c>
      <c r="J50" s="151">
        <f t="shared" si="19"/>
        <v>46.090239834098519</v>
      </c>
      <c r="K50" s="151">
        <f t="shared" si="19"/>
        <v>47.124900027789991</v>
      </c>
      <c r="L50" s="151">
        <f t="shared" si="19"/>
        <v>47.862783975699713</v>
      </c>
      <c r="N50" s="154" t="str">
        <f>Ratings!H45</f>
        <v>CBN21 new</v>
      </c>
      <c r="O50" s="11">
        <f>Ratings!I45</f>
        <v>12.7</v>
      </c>
      <c r="P50" s="151" t="s">
        <v>33</v>
      </c>
      <c r="Q50" s="151">
        <f>Q20*30%</f>
        <v>3.9090834152080398</v>
      </c>
      <c r="R50" s="151">
        <f t="shared" ref="R50:Y50" si="20">R20*30%</f>
        <v>4.8101553939112138</v>
      </c>
      <c r="S50" s="151">
        <f t="shared" si="20"/>
        <v>5.764500242499861</v>
      </c>
      <c r="T50" s="151">
        <f t="shared" si="20"/>
        <v>6.3809283580765621</v>
      </c>
      <c r="U50" s="151">
        <f t="shared" si="20"/>
        <v>7.0624483129649622</v>
      </c>
      <c r="V50" s="151">
        <f t="shared" si="20"/>
        <v>7.7425853438407941</v>
      </c>
      <c r="W50" s="151">
        <f t="shared" si="20"/>
        <v>8.3821245572056799</v>
      </c>
      <c r="X50" s="151">
        <f t="shared" si="20"/>
        <v>9.0310864239155677</v>
      </c>
      <c r="Y50" s="151">
        <f t="shared" si="20"/>
        <v>9.5601518690300136</v>
      </c>
    </row>
    <row r="51" spans="1:26" ht="14.1" customHeight="1" thickBot="1">
      <c r="A51" s="4" t="str">
        <f t="shared" si="14"/>
        <v>BMS</v>
      </c>
      <c r="B51" s="11">
        <f t="shared" si="14"/>
        <v>38</v>
      </c>
      <c r="C51" s="151"/>
      <c r="D51" s="151">
        <f>D6</f>
        <v>36.699558192305084</v>
      </c>
      <c r="E51" s="151">
        <f t="shared" ref="E51:L51" si="21">E6</f>
        <v>36.918772932742286</v>
      </c>
      <c r="F51" s="151">
        <f t="shared" si="21"/>
        <v>37.129945587705151</v>
      </c>
      <c r="G51" s="151">
        <f t="shared" si="21"/>
        <v>37.289955064768854</v>
      </c>
      <c r="H51" s="151">
        <f t="shared" si="21"/>
        <v>37.72405384309198</v>
      </c>
      <c r="I51" s="151">
        <f t="shared" si="21"/>
        <v>38.255425058405805</v>
      </c>
      <c r="J51" s="151">
        <f t="shared" si="21"/>
        <v>38.791729822797635</v>
      </c>
      <c r="K51" s="151">
        <f t="shared" si="21"/>
        <v>39.299888127975279</v>
      </c>
      <c r="L51" s="151">
        <f t="shared" si="21"/>
        <v>39.664651479612417</v>
      </c>
      <c r="N51" s="154" t="str">
        <f>Ratings!H14</f>
        <v>COO21</v>
      </c>
      <c r="O51" s="11">
        <f>Ratings!I14</f>
        <v>14.289419162443236</v>
      </c>
      <c r="P51" s="151" t="s">
        <v>29</v>
      </c>
      <c r="Q51" s="151">
        <f>Q16*50%+Q12</f>
        <v>8.0670605742181802</v>
      </c>
      <c r="R51" s="151">
        <f t="shared" ref="R51:Y51" si="22">R16*50%+R12</f>
        <v>8.8950007770066399</v>
      </c>
      <c r="S51" s="151">
        <f t="shared" si="22"/>
        <v>9.4608242683711765</v>
      </c>
      <c r="T51" s="151">
        <f t="shared" si="22"/>
        <v>9.7673768315714877</v>
      </c>
      <c r="U51" s="151">
        <f t="shared" si="22"/>
        <v>10.133437842011473</v>
      </c>
      <c r="V51" s="151">
        <f t="shared" si="22"/>
        <v>10.469684001582506</v>
      </c>
      <c r="W51" s="151">
        <f t="shared" si="22"/>
        <v>10.816358107716688</v>
      </c>
      <c r="X51" s="151">
        <f t="shared" si="22"/>
        <v>11.164446194048754</v>
      </c>
      <c r="Y51" s="151">
        <f t="shared" si="22"/>
        <v>11.480769646872256</v>
      </c>
      <c r="Z51" s="15">
        <f>Y14</f>
        <v>4.913498025756196</v>
      </c>
    </row>
    <row r="52" spans="1:26" ht="14.1" customHeight="1" thickBot="1">
      <c r="A52" s="4" t="str">
        <f t="shared" si="14"/>
        <v>SMTS-ST-SSS-SMTS</v>
      </c>
      <c r="B52" s="11">
        <f t="shared" si="14"/>
        <v>117.2</v>
      </c>
      <c r="C52" s="151"/>
      <c r="D52" s="151">
        <f>D47+D54</f>
        <v>95.128999711226498</v>
      </c>
      <c r="E52" s="151">
        <f t="shared" ref="E52:L52" si="23">E47+E54</f>
        <v>101.59127035658636</v>
      </c>
      <c r="F52" s="151">
        <f t="shared" si="23"/>
        <v>107.35047722909377</v>
      </c>
      <c r="G52" s="151">
        <f t="shared" si="23"/>
        <v>111.75186082492401</v>
      </c>
      <c r="H52" s="151">
        <f t="shared" si="23"/>
        <v>115.45934654242734</v>
      </c>
      <c r="I52" s="151">
        <f t="shared" si="23"/>
        <v>119.50375415004919</v>
      </c>
      <c r="J52" s="151">
        <f t="shared" si="23"/>
        <v>123.53207066250573</v>
      </c>
      <c r="K52" s="151">
        <f t="shared" si="23"/>
        <v>127.54567405684523</v>
      </c>
      <c r="L52" s="151">
        <f t="shared" si="23"/>
        <v>130.96631646488987</v>
      </c>
      <c r="N52" s="154" t="str">
        <f>Ratings!H22</f>
        <v>ST 11</v>
      </c>
      <c r="O52" s="11">
        <f>Ratings!I22</f>
        <v>22.482019482244024</v>
      </c>
      <c r="P52" s="151">
        <f>-2.5-1.5</f>
        <v>-4</v>
      </c>
      <c r="Q52" s="151">
        <f>Q22+$P52</f>
        <v>10.619069222733984</v>
      </c>
      <c r="R52" s="151">
        <f t="shared" ref="R52:Y52" si="24">R22+$P52</f>
        <v>11.550442023707976</v>
      </c>
      <c r="S52" s="151">
        <f t="shared" si="24"/>
        <v>11.941615956535973</v>
      </c>
      <c r="T52" s="151">
        <f t="shared" si="24"/>
        <v>12.161652437946053</v>
      </c>
      <c r="U52" s="151">
        <f t="shared" si="24"/>
        <v>12.658205193986948</v>
      </c>
      <c r="V52" s="151">
        <f t="shared" si="24"/>
        <v>13.21104556150399</v>
      </c>
      <c r="W52" s="151">
        <f t="shared" si="24"/>
        <v>13.781028701356764</v>
      </c>
      <c r="X52" s="151">
        <f t="shared" si="24"/>
        <v>14.353363700095628</v>
      </c>
      <c r="Y52" s="151">
        <f t="shared" si="24"/>
        <v>14.873451813339205</v>
      </c>
      <c r="Z52" s="15">
        <f>Y22</f>
        <v>18.873451813339205</v>
      </c>
    </row>
    <row r="53" spans="1:26" ht="14.1" customHeight="1" thickBot="1">
      <c r="A53" s="4" t="str">
        <f t="shared" si="14"/>
        <v>TTS-COO-VCO-BD-BMS-TTS</v>
      </c>
      <c r="B53" s="11">
        <f t="shared" si="14"/>
        <v>196.3</v>
      </c>
      <c r="C53" s="151"/>
      <c r="D53" s="151">
        <f>D50+D51+D49+D9</f>
        <v>188.82404680179928</v>
      </c>
      <c r="E53" s="151">
        <f t="shared" ref="E53:L53" si="25">E50+E51+E49+E9</f>
        <v>192.96412649094111</v>
      </c>
      <c r="F53" s="151">
        <f t="shared" si="25"/>
        <v>196.07040398462073</v>
      </c>
      <c r="G53" s="151">
        <f t="shared" si="25"/>
        <v>197.41823929823812</v>
      </c>
      <c r="H53" s="151">
        <f t="shared" si="25"/>
        <v>200.52326735525634</v>
      </c>
      <c r="I53" s="151">
        <f t="shared" si="25"/>
        <v>203.81384396731485</v>
      </c>
      <c r="J53" s="151">
        <f t="shared" si="25"/>
        <v>207.17199131419332</v>
      </c>
      <c r="K53" s="151">
        <f t="shared" si="25"/>
        <v>210.36443779140441</v>
      </c>
      <c r="L53" s="151">
        <f t="shared" si="25"/>
        <v>212.68551658122419</v>
      </c>
      <c r="N53" s="154" t="str">
        <f>Ratings!H23</f>
        <v>ST 12</v>
      </c>
      <c r="O53" s="11">
        <f>Ratings!I23</f>
        <v>14.289419162443236</v>
      </c>
      <c r="P53" s="151" t="s">
        <v>106</v>
      </c>
      <c r="Q53" s="151">
        <f>Q23*45%</f>
        <v>7.2348527631923272</v>
      </c>
      <c r="R53" s="151">
        <f t="shared" ref="R53:Y53" si="26">R23*45%</f>
        <v>8.7034303345631212</v>
      </c>
      <c r="S53" s="151">
        <f t="shared" si="26"/>
        <v>10.074858312952326</v>
      </c>
      <c r="T53" s="151">
        <f t="shared" si="26"/>
        <v>11.3538150627968</v>
      </c>
      <c r="U53" s="151">
        <f t="shared" si="26"/>
        <v>12.409929584374494</v>
      </c>
      <c r="V53" s="151">
        <f t="shared" si="26"/>
        <v>13.224410342528797</v>
      </c>
      <c r="W53" s="151">
        <f t="shared" si="26"/>
        <v>13.864909490743061</v>
      </c>
      <c r="X53" s="151">
        <f t="shared" si="26"/>
        <v>14.502502833954567</v>
      </c>
      <c r="Y53" s="151">
        <f t="shared" si="26"/>
        <v>15.059677709974899</v>
      </c>
      <c r="Z53" s="15">
        <f>Y23</f>
        <v>33.465950466610884</v>
      </c>
    </row>
    <row r="54" spans="1:26" ht="14.1" customHeight="1" thickBot="1">
      <c r="A54" s="4" t="str">
        <f>Ratings!A9</f>
        <v>CBN</v>
      </c>
      <c r="B54" s="11">
        <f>Ratings!D9</f>
        <v>38</v>
      </c>
      <c r="C54" s="151"/>
      <c r="D54" s="151">
        <f>(Q47+Q48+Q49+Q50+Q57+Q58)*D$12</f>
        <v>35.174007217658144</v>
      </c>
      <c r="E54" s="151">
        <f t="shared" ref="E54:L54" si="27">(R47+R48+R49+R50+R57+R58)*E$12</f>
        <v>39.352550064256441</v>
      </c>
      <c r="F54" s="151">
        <f t="shared" si="27"/>
        <v>43.413361540714376</v>
      </c>
      <c r="G54" s="151">
        <f t="shared" si="27"/>
        <v>46.477319831766863</v>
      </c>
      <c r="H54" s="151">
        <f t="shared" si="27"/>
        <v>49.068499908900847</v>
      </c>
      <c r="I54" s="151">
        <f t="shared" si="27"/>
        <v>51.598037202245557</v>
      </c>
      <c r="J54" s="151">
        <f t="shared" si="27"/>
        <v>53.913015933040271</v>
      </c>
      <c r="K54" s="151">
        <f t="shared" si="27"/>
        <v>56.243257059459907</v>
      </c>
      <c r="L54" s="151">
        <f t="shared" si="27"/>
        <v>58.225015232496091</v>
      </c>
      <c r="N54" s="154" t="str">
        <f>Ratings!H27</f>
        <v>ST 22</v>
      </c>
      <c r="O54" s="11">
        <f>Ratings!I27</f>
        <v>22.482019482244024</v>
      </c>
      <c r="P54" s="151" t="s">
        <v>20</v>
      </c>
      <c r="Q54" s="151">
        <f>Q27-0.2-1.5-2.5-Q57-Q58</f>
        <v>1.6813807581994968</v>
      </c>
      <c r="R54" s="151">
        <f t="shared" ref="R54:Y54" si="28">R27-0.2-1.5-2.5-R57-R58</f>
        <v>2.6996896637564616</v>
      </c>
      <c r="S54" s="151">
        <f t="shared" si="28"/>
        <v>3.4765734734406086</v>
      </c>
      <c r="T54" s="151">
        <f t="shared" si="28"/>
        <v>4.029178704543348</v>
      </c>
      <c r="U54" s="151">
        <f t="shared" si="28"/>
        <v>4.3651700750540883</v>
      </c>
      <c r="V54" s="151">
        <f t="shared" si="28"/>
        <v>4.7361837597728922</v>
      </c>
      <c r="W54" s="151">
        <f t="shared" si="28"/>
        <v>5.1226369627999659</v>
      </c>
      <c r="X54" s="151">
        <f t="shared" si="28"/>
        <v>5.5170539359817283</v>
      </c>
      <c r="Y54" s="151">
        <f t="shared" si="28"/>
        <v>5.8903755883924802</v>
      </c>
      <c r="Z54" s="15">
        <f>Y27</f>
        <v>30.271126765177442</v>
      </c>
    </row>
    <row r="55" spans="1:26" ht="14.1" customHeight="1" thickBot="1">
      <c r="A55" s="4" t="s">
        <v>97</v>
      </c>
      <c r="B55" s="11">
        <f>B10</f>
        <v>33</v>
      </c>
      <c r="C55" s="151"/>
      <c r="D55" s="151">
        <f>(Q124+Q125+Q11+Q13)*D$12</f>
        <v>15.625266932363457</v>
      </c>
      <c r="E55" s="151">
        <f t="shared" ref="E55:L55" si="29">(R124+R125+R11+R13)*E$12</f>
        <v>15.966751397646554</v>
      </c>
      <c r="F55" s="151">
        <f t="shared" si="29"/>
        <v>15.984271913473973</v>
      </c>
      <c r="G55" s="151">
        <f t="shared" si="29"/>
        <v>16.060462079856048</v>
      </c>
      <c r="H55" s="151">
        <f t="shared" si="29"/>
        <v>16.294143545488993</v>
      </c>
      <c r="I55" s="151">
        <f t="shared" si="29"/>
        <v>16.608696574314731</v>
      </c>
      <c r="J55" s="151">
        <f t="shared" si="29"/>
        <v>16.927622914554256</v>
      </c>
      <c r="K55" s="151">
        <f t="shared" si="29"/>
        <v>17.235974793784948</v>
      </c>
      <c r="L55" s="151">
        <f t="shared" si="29"/>
        <v>17.481030867789933</v>
      </c>
      <c r="M55" s="28" t="s">
        <v>98</v>
      </c>
      <c r="N55" s="4" t="str">
        <f>Ratings!H31</f>
        <v>ST 32</v>
      </c>
      <c r="O55" s="155">
        <f>Ratings!I31</f>
        <v>12.384163274117471</v>
      </c>
      <c r="P55" s="151" t="s">
        <v>107</v>
      </c>
      <c r="Q55" s="151">
        <f>Q31</f>
        <v>8.2188800930287282</v>
      </c>
      <c r="R55" s="151">
        <f t="shared" ref="R55:Y55" si="30">R31</f>
        <v>8.2626174510621357</v>
      </c>
      <c r="S55" s="151">
        <f t="shared" si="30"/>
        <v>8.3899987498538611</v>
      </c>
      <c r="T55" s="151">
        <f t="shared" si="30"/>
        <v>8.5479108676863227</v>
      </c>
      <c r="U55" s="151">
        <f t="shared" si="30"/>
        <v>8.8969158401815633</v>
      </c>
      <c r="V55" s="151">
        <f t="shared" si="30"/>
        <v>9.2822996095141317</v>
      </c>
      <c r="W55" s="151">
        <f t="shared" si="30"/>
        <v>9.6837208998530482</v>
      </c>
      <c r="X55" s="151">
        <f t="shared" si="30"/>
        <v>10.093414412718305</v>
      </c>
      <c r="Y55" s="151">
        <f t="shared" si="30"/>
        <v>10.481195541839087</v>
      </c>
      <c r="Z55" s="15">
        <f>Y31</f>
        <v>10.481195541839087</v>
      </c>
    </row>
    <row r="56" spans="1:26" ht="14.1" customHeight="1" thickBot="1">
      <c r="A56" s="4" t="s">
        <v>99</v>
      </c>
      <c r="B56" s="11">
        <f>B11</f>
        <v>33</v>
      </c>
      <c r="C56" s="151"/>
      <c r="D56" s="151">
        <f>(Q51+Q126+Q127+Q128)*D$12</f>
        <v>23.404446209806942</v>
      </c>
      <c r="E56" s="151">
        <f t="shared" ref="E56:L56" si="31">(R51+R126+R127+R128)*E$12</f>
        <v>24.44563502203199</v>
      </c>
      <c r="F56" s="151">
        <f t="shared" si="31"/>
        <v>25.295832719001645</v>
      </c>
      <c r="G56" s="151">
        <f t="shared" si="31"/>
        <v>25.791701017082367</v>
      </c>
      <c r="H56" s="151">
        <f t="shared" si="31"/>
        <v>26.492535934716322</v>
      </c>
      <c r="I56" s="151">
        <f t="shared" si="31"/>
        <v>27.220046094153357</v>
      </c>
      <c r="J56" s="151">
        <f t="shared" si="31"/>
        <v>27.965384967359316</v>
      </c>
      <c r="K56" s="151">
        <f t="shared" si="31"/>
        <v>28.704510870792571</v>
      </c>
      <c r="L56" s="151">
        <f t="shared" si="31"/>
        <v>29.350869453222419</v>
      </c>
      <c r="M56" s="42">
        <f>B56+B55*L55/L56</f>
        <v>52.654409882353008</v>
      </c>
      <c r="N56" s="4" t="str">
        <f>Ratings!H32</f>
        <v>ST 33</v>
      </c>
      <c r="O56" s="155">
        <f>Ratings!I32</f>
        <v>12.5</v>
      </c>
      <c r="P56" s="151">
        <f>-1.9-1.2</f>
        <v>-3.0999999999999996</v>
      </c>
      <c r="Q56" s="151">
        <f>Q32+$P56+Q23*10%</f>
        <v>8.4133585853803474</v>
      </c>
      <c r="R56" s="151">
        <f t="shared" ref="R56:Y56" si="32">R32+$P56+R23*10%</f>
        <v>8.8037110883781757</v>
      </c>
      <c r="S56" s="151">
        <f t="shared" si="32"/>
        <v>9.1821440422669749</v>
      </c>
      <c r="T56" s="151">
        <f t="shared" si="32"/>
        <v>9.5545750854426981</v>
      </c>
      <c r="U56" s="151">
        <f t="shared" si="32"/>
        <v>9.9981686462597708</v>
      </c>
      <c r="V56" s="151">
        <f t="shared" si="32"/>
        <v>10.417593296990628</v>
      </c>
      <c r="W56" s="151">
        <f t="shared" si="32"/>
        <v>10.803119971532526</v>
      </c>
      <c r="X56" s="151">
        <f t="shared" si="32"/>
        <v>11.183632979772899</v>
      </c>
      <c r="Y56" s="151">
        <f t="shared" si="32"/>
        <v>11.509373725894156</v>
      </c>
      <c r="Z56" s="15">
        <f>Y32</f>
        <v>11.262778679233067</v>
      </c>
    </row>
    <row r="57" spans="1:26" ht="14.1" customHeight="1" thickBot="1">
      <c r="A57" s="4"/>
      <c r="B57" s="11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N57" s="154" t="str">
        <f>Ratings!H43</f>
        <v>CBN12 new</v>
      </c>
      <c r="O57" s="11">
        <f>Ratings!I43</f>
        <v>14.3</v>
      </c>
      <c r="P57" s="151" t="s">
        <v>108</v>
      </c>
      <c r="Q57" s="151">
        <f>Q27/3</f>
        <v>5.8813807581994952</v>
      </c>
      <c r="R57" s="151">
        <f t="shared" ref="R57:Y57" si="33">R27/3</f>
        <v>6.8996896637564591</v>
      </c>
      <c r="S57" s="151">
        <f t="shared" si="33"/>
        <v>7.6765734734406061</v>
      </c>
      <c r="T57" s="151">
        <f t="shared" si="33"/>
        <v>8.2291787045433473</v>
      </c>
      <c r="U57" s="151">
        <f t="shared" si="33"/>
        <v>8.5651700750540858</v>
      </c>
      <c r="V57" s="151">
        <f t="shared" si="33"/>
        <v>8.9361837597728915</v>
      </c>
      <c r="W57" s="151">
        <f t="shared" si="33"/>
        <v>9.3226369627999635</v>
      </c>
      <c r="X57" s="151">
        <f t="shared" si="33"/>
        <v>9.7170539359817294</v>
      </c>
      <c r="Y57" s="151">
        <f t="shared" si="33"/>
        <v>10.090375588392481</v>
      </c>
    </row>
    <row r="58" spans="1:26" ht="14.1" customHeight="1" thickBot="1">
      <c r="A58" s="6" t="s">
        <v>109</v>
      </c>
      <c r="B58" s="1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N58" s="154" t="str">
        <f>Ratings!H47</f>
        <v>CBN23 new</v>
      </c>
      <c r="O58" s="11">
        <f>Ratings!I47</f>
        <v>14.3</v>
      </c>
      <c r="P58" s="151" t="s">
        <v>108</v>
      </c>
      <c r="Q58" s="151">
        <f>Q27/3</f>
        <v>5.8813807581994952</v>
      </c>
      <c r="R58" s="151">
        <f t="shared" ref="R58:Y58" si="34">R27/3</f>
        <v>6.8996896637564591</v>
      </c>
      <c r="S58" s="151">
        <f t="shared" si="34"/>
        <v>7.6765734734406061</v>
      </c>
      <c r="T58" s="151">
        <f t="shared" si="34"/>
        <v>8.2291787045433473</v>
      </c>
      <c r="U58" s="151">
        <f t="shared" si="34"/>
        <v>8.5651700750540858</v>
      </c>
      <c r="V58" s="151">
        <f t="shared" si="34"/>
        <v>8.9361837597728915</v>
      </c>
      <c r="W58" s="151">
        <f t="shared" si="34"/>
        <v>9.3226369627999635</v>
      </c>
      <c r="X58" s="151">
        <f t="shared" si="34"/>
        <v>9.7170539359817294</v>
      </c>
      <c r="Y58" s="151">
        <f t="shared" si="34"/>
        <v>10.090375588392481</v>
      </c>
    </row>
    <row r="59" spans="1:26" ht="14.1" customHeight="1" thickBot="1">
      <c r="A59" s="4" t="str">
        <f t="shared" ref="A59:B65" si="35">A2</f>
        <v>ST</v>
      </c>
      <c r="B59" s="11">
        <f t="shared" si="35"/>
        <v>79.7</v>
      </c>
      <c r="C59" s="151"/>
      <c r="D59" s="151">
        <f>D2+((Q84+Q85+Q86+Q87+Q88+Q132+Q133)-(Q22+Q23+Q27+Q31+Q32+Q29+Q26))*D$12</f>
        <v>66.622312015999086</v>
      </c>
      <c r="E59" s="151">
        <f t="shared" ref="E59:L59" si="36">E2+((R84+R85+R86+R87+R88+R132+R133)-(R22+R23+R27+R31+R32+R29+R26))*E$12</f>
        <v>68.849060681732738</v>
      </c>
      <c r="F59" s="151">
        <f t="shared" si="36"/>
        <v>70.306189824519862</v>
      </c>
      <c r="G59" s="151">
        <f t="shared" si="36"/>
        <v>71.212555196733462</v>
      </c>
      <c r="H59" s="151">
        <f t="shared" si="36"/>
        <v>71.706779831547507</v>
      </c>
      <c r="I59" s="151">
        <f t="shared" si="36"/>
        <v>72.823869539760238</v>
      </c>
      <c r="J59" s="151">
        <f t="shared" si="36"/>
        <v>74.287401148464255</v>
      </c>
      <c r="K59" s="151">
        <f t="shared" si="36"/>
        <v>75.732254618047889</v>
      </c>
      <c r="L59" s="151">
        <f t="shared" si="36"/>
        <v>76.988390946569027</v>
      </c>
      <c r="N59" s="4" t="str">
        <f>Ratings!H20</f>
        <v>KLO22</v>
      </c>
      <c r="O59" s="155">
        <f>Ratings!I20</f>
        <v>14.289419162443236</v>
      </c>
      <c r="P59" s="151" t="s">
        <v>23</v>
      </c>
      <c r="Q59" s="151">
        <f t="shared" ref="Q59:Y59" si="37">Q20*35%+0.5</f>
        <v>5.0605973177427126</v>
      </c>
      <c r="R59" s="151">
        <f t="shared" si="37"/>
        <v>6.1118479595630832</v>
      </c>
      <c r="S59" s="151">
        <f t="shared" si="37"/>
        <v>7.2252502829165044</v>
      </c>
      <c r="T59" s="151">
        <f t="shared" si="37"/>
        <v>7.9444164177559884</v>
      </c>
      <c r="U59" s="151">
        <f t="shared" si="37"/>
        <v>8.739523031792455</v>
      </c>
      <c r="V59" s="151">
        <f t="shared" si="37"/>
        <v>9.5330162344809271</v>
      </c>
      <c r="W59" s="151">
        <f t="shared" si="37"/>
        <v>10.279145316739958</v>
      </c>
      <c r="X59" s="151">
        <f t="shared" si="37"/>
        <v>11.036267494568163</v>
      </c>
      <c r="Y59" s="151">
        <f t="shared" si="37"/>
        <v>11.653510513868349</v>
      </c>
      <c r="Z59" s="15">
        <f>Y20</f>
        <v>31.867172896766714</v>
      </c>
    </row>
    <row r="60" spans="1:26" ht="14.1" customHeight="1" thickBot="1">
      <c r="A60" s="4" t="str">
        <f t="shared" si="35"/>
        <v>KLO</v>
      </c>
      <c r="B60" s="11">
        <f t="shared" si="35"/>
        <v>49.1</v>
      </c>
      <c r="C60" s="151"/>
      <c r="D60" s="151">
        <f>D3+((Q91+Q129+Q130+Q131)-(Q18+Q19+Q20+Q21))*D$12</f>
        <v>24.49289189826132</v>
      </c>
      <c r="E60" s="151">
        <f t="shared" ref="E60:L60" si="38">E3+((R91+R129+R130+R131)-(R18+R19+R20+R21))*E$12</f>
        <v>26.54438352026397</v>
      </c>
      <c r="F60" s="151">
        <f t="shared" si="38"/>
        <v>27.817959541829971</v>
      </c>
      <c r="G60" s="151">
        <f t="shared" si="38"/>
        <v>28.596432991151325</v>
      </c>
      <c r="H60" s="151">
        <f t="shared" si="38"/>
        <v>28.852527985325736</v>
      </c>
      <c r="I60" s="151">
        <f t="shared" si="38"/>
        <v>29.280768811651832</v>
      </c>
      <c r="J60" s="151">
        <f t="shared" si="38"/>
        <v>29.89239650983237</v>
      </c>
      <c r="K60" s="151">
        <f t="shared" si="38"/>
        <v>30.531399717894971</v>
      </c>
      <c r="L60" s="151">
        <f t="shared" si="38"/>
        <v>31.34251873051365</v>
      </c>
      <c r="N60" s="154" t="s">
        <v>16</v>
      </c>
      <c r="O60" s="11">
        <v>14.3</v>
      </c>
      <c r="P60" s="151" t="s">
        <v>110</v>
      </c>
      <c r="Q60" s="151">
        <f>Q6</f>
        <v>9.4749614687572983</v>
      </c>
      <c r="R60" s="151">
        <f t="shared" ref="R60:Y60" si="39">R6</f>
        <v>9.8627291615572759</v>
      </c>
      <c r="S60" s="151">
        <f t="shared" si="39"/>
        <v>10.020893085974283</v>
      </c>
      <c r="T60" s="151">
        <f t="shared" si="39"/>
        <v>10.068680330274431</v>
      </c>
      <c r="U60" s="151">
        <f t="shared" si="39"/>
        <v>10.194890064347838</v>
      </c>
      <c r="V60" s="151">
        <f t="shared" si="39"/>
        <v>10.347350101376065</v>
      </c>
      <c r="W60" s="151">
        <f t="shared" si="39"/>
        <v>10.501378744672182</v>
      </c>
      <c r="X60" s="151">
        <f t="shared" si="39"/>
        <v>10.648113208124064</v>
      </c>
      <c r="Y60" s="151">
        <f t="shared" si="39"/>
        <v>10.756621208037689</v>
      </c>
    </row>
    <row r="61" spans="1:26" ht="14.1" customHeight="1" thickBot="1">
      <c r="A61" s="4" t="str">
        <f t="shared" si="35"/>
        <v>BD</v>
      </c>
      <c r="B61" s="11">
        <f t="shared" si="35"/>
        <v>123.7</v>
      </c>
      <c r="C61" s="151"/>
      <c r="D61" s="151">
        <f>D4+((Q121+Q122+Q123)-(Q6+Q7+Q8))*D$12</f>
        <v>85.037118440244228</v>
      </c>
      <c r="E61" s="151">
        <f t="shared" ref="E61:L61" si="40">E4+((R121+R122+R123)-(R6+R7+R8))*E$12</f>
        <v>88.237968128309348</v>
      </c>
      <c r="F61" s="151">
        <f t="shared" si="40"/>
        <v>90.552671676779397</v>
      </c>
      <c r="G61" s="151">
        <f t="shared" si="40"/>
        <v>91.510913418616695</v>
      </c>
      <c r="H61" s="151">
        <f t="shared" si="40"/>
        <v>92.578977548589052</v>
      </c>
      <c r="I61" s="151">
        <f t="shared" si="40"/>
        <v>93.935646467826203</v>
      </c>
      <c r="J61" s="151">
        <f t="shared" si="40"/>
        <v>95.324367767899403</v>
      </c>
      <c r="K61" s="151">
        <f t="shared" si="40"/>
        <v>96.651783738891837</v>
      </c>
      <c r="L61" s="151">
        <f t="shared" si="40"/>
        <v>97.64716416017967</v>
      </c>
      <c r="N61" s="154"/>
      <c r="O61" s="11"/>
      <c r="P61" s="151"/>
      <c r="Q61" s="151"/>
      <c r="R61" s="151"/>
      <c r="S61" s="151"/>
      <c r="T61" s="151"/>
      <c r="U61" s="151"/>
      <c r="V61" s="151"/>
      <c r="W61" s="151"/>
      <c r="X61" s="151"/>
      <c r="Y61" s="151"/>
    </row>
    <row r="62" spans="1:26" ht="14.1" customHeight="1" thickBot="1">
      <c r="A62" s="4" t="str">
        <f t="shared" si="35"/>
        <v>COO</v>
      </c>
      <c r="B62" s="11">
        <f t="shared" si="35"/>
        <v>38</v>
      </c>
      <c r="C62" s="151"/>
      <c r="D62" s="151">
        <f>D5+((Q83+Q124+Q125+Q126+Q127+Q128)-(Q10+Q12+Q14+Q15+Q16+Q17))*D$12</f>
        <v>36.869914440950701</v>
      </c>
      <c r="E62" s="151">
        <f t="shared" ref="E62:L62" si="41">E5+((R83+R124+R125+R126+R127+R128)-(R10+R12+R14+R15+R16+R17))*E$12</f>
        <v>38.149943906035041</v>
      </c>
      <c r="F62" s="151">
        <f t="shared" si="41"/>
        <v>39.109692734053901</v>
      </c>
      <c r="G62" s="151">
        <f t="shared" si="41"/>
        <v>39.963428352372944</v>
      </c>
      <c r="H62" s="151">
        <f t="shared" si="41"/>
        <v>41.088386205424698</v>
      </c>
      <c r="I62" s="151">
        <f t="shared" si="41"/>
        <v>42.257734191977484</v>
      </c>
      <c r="J62" s="151">
        <f t="shared" si="41"/>
        <v>43.376600954818784</v>
      </c>
      <c r="K62" s="151">
        <f t="shared" si="41"/>
        <v>44.478296791812539</v>
      </c>
      <c r="L62" s="151">
        <f t="shared" si="41"/>
        <v>45.414691926596845</v>
      </c>
      <c r="N62" s="154"/>
      <c r="O62" s="11"/>
      <c r="P62" s="151"/>
      <c r="Q62" s="151"/>
      <c r="R62" s="151"/>
      <c r="S62" s="151"/>
      <c r="T62" s="151"/>
      <c r="U62" s="151"/>
      <c r="V62" s="151"/>
      <c r="W62" s="151"/>
      <c r="X62" s="151"/>
      <c r="Y62" s="151"/>
    </row>
    <row r="63" spans="1:26" ht="14.1" customHeight="1" thickBot="1">
      <c r="A63" s="4" t="str">
        <f t="shared" si="35"/>
        <v>BMS</v>
      </c>
      <c r="B63" s="11">
        <f t="shared" si="35"/>
        <v>38</v>
      </c>
      <c r="C63" s="151"/>
      <c r="D63" s="151">
        <f t="shared" ref="D63:L63" si="42">D6</f>
        <v>36.699558192305084</v>
      </c>
      <c r="E63" s="151">
        <f t="shared" si="42"/>
        <v>36.918772932742286</v>
      </c>
      <c r="F63" s="151">
        <f t="shared" si="42"/>
        <v>37.129945587705151</v>
      </c>
      <c r="G63" s="151">
        <f t="shared" si="42"/>
        <v>37.289955064768854</v>
      </c>
      <c r="H63" s="151">
        <f t="shared" si="42"/>
        <v>37.72405384309198</v>
      </c>
      <c r="I63" s="151">
        <f t="shared" si="42"/>
        <v>38.255425058405805</v>
      </c>
      <c r="J63" s="151">
        <f t="shared" si="42"/>
        <v>38.791729822797635</v>
      </c>
      <c r="K63" s="151">
        <f t="shared" si="42"/>
        <v>39.299888127975279</v>
      </c>
      <c r="L63" s="151">
        <f t="shared" si="42"/>
        <v>39.664651479612417</v>
      </c>
      <c r="N63" s="154"/>
      <c r="O63" s="11"/>
      <c r="P63" s="151"/>
      <c r="Q63" s="151"/>
      <c r="R63" s="151"/>
      <c r="S63" s="151"/>
      <c r="T63" s="151"/>
      <c r="U63" s="151"/>
      <c r="V63" s="151"/>
      <c r="W63" s="151"/>
      <c r="X63" s="151"/>
      <c r="Y63" s="151"/>
    </row>
    <row r="64" spans="1:26" ht="14.1" customHeight="1" thickBot="1">
      <c r="A64" s="4" t="str">
        <f t="shared" si="35"/>
        <v>SMTS-ST-SSS-SMTS</v>
      </c>
      <c r="B64" s="11">
        <f t="shared" si="35"/>
        <v>117.2</v>
      </c>
      <c r="C64" s="151"/>
      <c r="D64" s="151">
        <f>D59+D66</f>
        <v>96.772702831353683</v>
      </c>
      <c r="E64" s="151">
        <f t="shared" ref="E64:L64" si="43">E59+E66</f>
        <v>103.20478795093462</v>
      </c>
      <c r="F64" s="151">
        <f t="shared" si="43"/>
        <v>108.8874048911135</v>
      </c>
      <c r="G64" s="151">
        <f t="shared" si="43"/>
        <v>112.98963474548478</v>
      </c>
      <c r="H64" s="151">
        <f t="shared" si="43"/>
        <v>116.63135073356825</v>
      </c>
      <c r="I64" s="151">
        <f t="shared" si="43"/>
        <v>120.6522250108049</v>
      </c>
      <c r="J64" s="151">
        <f t="shared" si="43"/>
        <v>124.70351373082428</v>
      </c>
      <c r="K64" s="151">
        <f t="shared" si="43"/>
        <v>128.74005492013504</v>
      </c>
      <c r="L64" s="151">
        <f t="shared" si="43"/>
        <v>132.15158573006784</v>
      </c>
      <c r="N64" s="154"/>
      <c r="O64" s="11"/>
      <c r="P64" s="151"/>
      <c r="Q64" s="151"/>
      <c r="R64" s="151"/>
      <c r="S64" s="151"/>
      <c r="T64" s="151"/>
      <c r="U64" s="151"/>
      <c r="V64" s="151"/>
      <c r="W64" s="151"/>
      <c r="X64" s="151"/>
      <c r="Y64" s="151"/>
    </row>
    <row r="65" spans="1:25" ht="14.1" customHeight="1" thickBot="1">
      <c r="A65" s="4" t="str">
        <f t="shared" si="35"/>
        <v>TTS-COO-VCO-BD-BMS-TTS</v>
      </c>
      <c r="B65" s="11">
        <f t="shared" si="35"/>
        <v>196.3</v>
      </c>
      <c r="C65" s="151"/>
      <c r="D65" s="151">
        <f t="shared" ref="D65:L65" si="44">D62+D9+D61+D63</f>
        <v>184.5263364931487</v>
      </c>
      <c r="E65" s="151">
        <f t="shared" si="44"/>
        <v>189.13193689777208</v>
      </c>
      <c r="F65" s="151">
        <f t="shared" si="44"/>
        <v>192.70474970221213</v>
      </c>
      <c r="G65" s="151">
        <f t="shared" si="44"/>
        <v>194.77429677180064</v>
      </c>
      <c r="H65" s="151">
        <f t="shared" si="44"/>
        <v>197.67488291930141</v>
      </c>
      <c r="I65" s="151">
        <f t="shared" si="44"/>
        <v>201.07208199714461</v>
      </c>
      <c r="J65" s="151">
        <f t="shared" si="44"/>
        <v>204.45835243491356</v>
      </c>
      <c r="K65" s="151">
        <f t="shared" si="44"/>
        <v>207.71783455542698</v>
      </c>
      <c r="L65" s="151">
        <f t="shared" si="44"/>
        <v>210.23742453212134</v>
      </c>
      <c r="N65" s="154"/>
      <c r="O65" s="1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14.1" customHeight="1" thickBot="1">
      <c r="A66" s="4" t="str">
        <f>Ratings!A10</f>
        <v>GVE</v>
      </c>
      <c r="B66" s="11">
        <f>Ratings!D10</f>
        <v>38</v>
      </c>
      <c r="C66" s="151"/>
      <c r="D66" s="151">
        <f>(Q80+Q81+Q82+Q89+Q90)*D$12</f>
        <v>30.150390815354591</v>
      </c>
      <c r="E66" s="151">
        <f t="shared" ref="E66:L66" si="45">(R80+R81+R82+R89+R90)*E$12</f>
        <v>34.355727269201878</v>
      </c>
      <c r="F66" s="151">
        <f t="shared" si="45"/>
        <v>38.581215066593643</v>
      </c>
      <c r="G66" s="151">
        <f t="shared" si="45"/>
        <v>41.777079548751317</v>
      </c>
      <c r="H66" s="151">
        <f t="shared" si="45"/>
        <v>44.924570902020747</v>
      </c>
      <c r="I66" s="151">
        <f t="shared" si="45"/>
        <v>47.828355471044652</v>
      </c>
      <c r="J66" s="151">
        <f t="shared" si="45"/>
        <v>50.416112582360022</v>
      </c>
      <c r="K66" s="151">
        <f t="shared" si="45"/>
        <v>53.007800302087148</v>
      </c>
      <c r="L66" s="151">
        <f t="shared" si="45"/>
        <v>55.163194783498795</v>
      </c>
      <c r="N66" s="154"/>
      <c r="O66" s="11"/>
      <c r="P66" s="151"/>
      <c r="Q66" s="151"/>
      <c r="R66" s="151"/>
      <c r="S66" s="151"/>
      <c r="T66" s="151"/>
      <c r="U66" s="151"/>
      <c r="V66" s="151"/>
      <c r="W66" s="151"/>
      <c r="X66" s="151"/>
      <c r="Y66" s="151"/>
    </row>
    <row r="67" spans="1:25" ht="14.1" customHeight="1" thickBot="1">
      <c r="A67" s="4" t="str">
        <f>A55</f>
        <v>COO Bus No.1</v>
      </c>
      <c r="B67" s="11">
        <f>B10</f>
        <v>33</v>
      </c>
      <c r="C67" s="151"/>
      <c r="D67" s="151">
        <f>(Q124+Q125+Q11+Q13)*D$12</f>
        <v>15.625266932363457</v>
      </c>
      <c r="E67" s="151">
        <f t="shared" ref="E67:L67" si="46">(R124+R125+R11+R13)*E$12</f>
        <v>15.966751397646554</v>
      </c>
      <c r="F67" s="151">
        <f t="shared" si="46"/>
        <v>15.984271913473973</v>
      </c>
      <c r="G67" s="151">
        <f t="shared" si="46"/>
        <v>16.060462079856048</v>
      </c>
      <c r="H67" s="151">
        <f t="shared" si="46"/>
        <v>16.294143545488993</v>
      </c>
      <c r="I67" s="151">
        <f t="shared" si="46"/>
        <v>16.608696574314731</v>
      </c>
      <c r="J67" s="151">
        <f t="shared" si="46"/>
        <v>16.927622914554256</v>
      </c>
      <c r="K67" s="151">
        <f t="shared" si="46"/>
        <v>17.235974793784948</v>
      </c>
      <c r="L67" s="151">
        <f t="shared" si="46"/>
        <v>17.481030867789933</v>
      </c>
      <c r="M67" s="28" t="s">
        <v>98</v>
      </c>
      <c r="N67" s="4"/>
      <c r="O67" s="155"/>
      <c r="P67" s="151"/>
      <c r="Q67" s="151"/>
      <c r="R67" s="151"/>
      <c r="S67" s="151"/>
      <c r="T67" s="151"/>
      <c r="U67" s="151"/>
      <c r="V67" s="151"/>
      <c r="W67" s="151"/>
      <c r="X67" s="151"/>
      <c r="Y67" s="151"/>
    </row>
    <row r="68" spans="1:25" ht="14.1" customHeight="1" thickBot="1">
      <c r="A68" s="4" t="str">
        <f>A56</f>
        <v>COO Bus No.2</v>
      </c>
      <c r="B68" s="11">
        <f>B11</f>
        <v>33</v>
      </c>
      <c r="C68" s="151"/>
      <c r="D68" s="151">
        <f>(Q83+Q126+Q127+Q128)*D$12</f>
        <v>21.244647508587246</v>
      </c>
      <c r="E68" s="151">
        <f t="shared" ref="E68:L68" si="47">(R83+R126+R127+R128)*E$12</f>
        <v>22.183192508388476</v>
      </c>
      <c r="F68" s="151">
        <f t="shared" si="47"/>
        <v>23.125420820579926</v>
      </c>
      <c r="G68" s="151">
        <f t="shared" si="47"/>
        <v>23.902966272516906</v>
      </c>
      <c r="H68" s="151">
        <f t="shared" si="47"/>
        <v>24.794242659935716</v>
      </c>
      <c r="I68" s="151">
        <f t="shared" si="47"/>
        <v>25.649037617662753</v>
      </c>
      <c r="J68" s="151">
        <f t="shared" si="47"/>
        <v>26.448978040264528</v>
      </c>
      <c r="K68" s="151">
        <f t="shared" si="47"/>
        <v>27.242321998027599</v>
      </c>
      <c r="L68" s="151">
        <f t="shared" si="47"/>
        <v>27.933661058806898</v>
      </c>
      <c r="M68" s="42">
        <f>B68+B67*L67/L68</f>
        <v>53.651572216853815</v>
      </c>
      <c r="N68" s="4"/>
      <c r="O68" s="155"/>
      <c r="P68" s="151"/>
      <c r="Q68" s="151"/>
      <c r="R68" s="151"/>
      <c r="S68" s="151"/>
      <c r="T68" s="151"/>
      <c r="U68" s="151"/>
      <c r="V68" s="151"/>
      <c r="W68" s="151"/>
      <c r="X68" s="151"/>
      <c r="Y68" s="151"/>
    </row>
    <row r="69" spans="1:25" ht="14.1" customHeight="1" thickBot="1">
      <c r="A69" s="4"/>
      <c r="B69" s="1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N69" s="4"/>
      <c r="O69" s="155"/>
      <c r="P69" s="151"/>
      <c r="Q69" s="151"/>
      <c r="R69" s="151"/>
      <c r="S69" s="151"/>
      <c r="T69" s="151"/>
      <c r="U69" s="151"/>
      <c r="V69" s="151"/>
      <c r="W69" s="151"/>
      <c r="X69" s="151"/>
      <c r="Y69" s="151"/>
    </row>
    <row r="70" spans="1:25" ht="14.1" customHeight="1" thickBot="1">
      <c r="A70" s="4"/>
      <c r="B70" s="11"/>
      <c r="C70" s="151"/>
      <c r="D70" s="151"/>
      <c r="E70" s="151"/>
      <c r="F70" s="151"/>
      <c r="G70" s="151"/>
      <c r="H70" s="151"/>
      <c r="I70" s="151"/>
      <c r="J70" s="151"/>
      <c r="K70" s="151"/>
      <c r="L70" s="151"/>
      <c r="N70" s="154"/>
      <c r="O70" s="1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1:25" ht="14.1" customHeight="1" thickBot="1">
      <c r="A71" s="4"/>
      <c r="B71" s="11"/>
      <c r="C71" s="151"/>
      <c r="D71" s="151"/>
      <c r="E71" s="151"/>
      <c r="F71" s="151"/>
      <c r="G71" s="151"/>
      <c r="H71" s="151"/>
      <c r="I71" s="151"/>
      <c r="J71" s="151"/>
      <c r="K71" s="151"/>
      <c r="L71" s="151"/>
      <c r="N71" s="154"/>
      <c r="O71" s="11"/>
      <c r="P71" s="151"/>
      <c r="Q71" s="151"/>
      <c r="R71" s="151"/>
      <c r="S71" s="151"/>
      <c r="T71" s="151"/>
      <c r="U71" s="151"/>
      <c r="V71" s="151"/>
      <c r="W71" s="151"/>
      <c r="X71" s="151"/>
      <c r="Y71" s="151"/>
    </row>
    <row r="72" spans="1:25" ht="14.1" customHeight="1" thickBot="1">
      <c r="A72" s="4"/>
      <c r="B72" s="1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N72" s="154"/>
      <c r="O72" s="1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1:25" ht="14.1" customHeight="1" thickBot="1">
      <c r="A73" s="4"/>
      <c r="B73" s="1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N73" s="4"/>
      <c r="O73" s="155"/>
      <c r="P73" s="151"/>
      <c r="Q73" s="151"/>
      <c r="R73" s="151"/>
      <c r="S73" s="151"/>
      <c r="T73" s="151"/>
      <c r="U73" s="151"/>
      <c r="V73" s="151"/>
      <c r="W73" s="151"/>
      <c r="X73" s="151"/>
      <c r="Y73" s="151"/>
    </row>
    <row r="74" spans="1:25" ht="14.1" customHeight="1" thickBot="1">
      <c r="A74" s="4"/>
      <c r="B74" s="1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N74" s="4"/>
      <c r="O74" s="11"/>
      <c r="P74" s="151"/>
      <c r="Q74" s="151"/>
      <c r="R74" s="151"/>
      <c r="S74" s="151"/>
      <c r="T74" s="151"/>
      <c r="U74" s="151"/>
      <c r="V74" s="151"/>
      <c r="W74" s="151"/>
      <c r="X74" s="151"/>
      <c r="Y74" s="151"/>
    </row>
    <row r="75" spans="1:25" ht="14.1" customHeight="1" thickBot="1">
      <c r="A75" s="4"/>
      <c r="B75" s="1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N75" s="154"/>
      <c r="O75" s="11"/>
      <c r="P75" s="151"/>
      <c r="Q75" s="151"/>
      <c r="R75" s="151"/>
      <c r="S75" s="151"/>
      <c r="T75" s="151"/>
      <c r="U75" s="151"/>
      <c r="V75" s="151"/>
      <c r="W75" s="151"/>
      <c r="X75" s="151"/>
      <c r="Y75" s="151"/>
    </row>
    <row r="76" spans="1:25" ht="14.1" customHeight="1" thickBot="1">
      <c r="A76" s="6"/>
      <c r="B76" s="1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N76" s="154"/>
      <c r="O76" s="11"/>
      <c r="P76" s="151"/>
      <c r="Q76" s="151"/>
      <c r="R76" s="151"/>
      <c r="S76" s="151"/>
      <c r="T76" s="151"/>
      <c r="U76" s="151"/>
      <c r="V76" s="151"/>
      <c r="W76" s="151"/>
      <c r="X76" s="151"/>
      <c r="Y76" s="151"/>
    </row>
    <row r="77" spans="1:25" ht="14.1" customHeight="1" thickBot="1">
      <c r="A77" s="4"/>
      <c r="B77" s="1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N77" s="154"/>
      <c r="O77" s="11"/>
      <c r="P77" s="151"/>
      <c r="Q77" s="151"/>
      <c r="R77" s="151"/>
      <c r="S77" s="151"/>
      <c r="T77" s="151"/>
      <c r="U77" s="151"/>
      <c r="V77" s="151"/>
      <c r="W77" s="151"/>
      <c r="X77" s="151"/>
      <c r="Y77" s="151"/>
    </row>
    <row r="78" spans="1:25" ht="14.1" customHeight="1" thickBot="1">
      <c r="A78" s="4"/>
      <c r="B78" s="1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N78" s="154"/>
      <c r="O78" s="11"/>
      <c r="P78" s="151"/>
      <c r="Q78" s="151"/>
      <c r="R78" s="151"/>
      <c r="S78" s="151"/>
      <c r="T78" s="151"/>
      <c r="U78" s="151"/>
      <c r="V78" s="151"/>
      <c r="W78" s="151"/>
      <c r="X78" s="151"/>
      <c r="Y78" s="151"/>
    </row>
    <row r="79" spans="1:25" ht="14.1" customHeight="1" thickBot="1">
      <c r="A79" s="4"/>
      <c r="B79" s="1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N79" s="156" t="str">
        <f>A58</f>
        <v>Option 3</v>
      </c>
      <c r="O79" s="155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1:25" ht="14.1" customHeight="1" thickBot="1">
      <c r="A80" s="4"/>
      <c r="B80" s="11"/>
      <c r="C80" s="151"/>
      <c r="D80" s="151"/>
      <c r="E80" s="151"/>
      <c r="F80" s="151"/>
      <c r="G80" s="151"/>
      <c r="H80" s="151"/>
      <c r="I80" s="151"/>
      <c r="J80" s="151"/>
      <c r="K80" s="151"/>
      <c r="L80" s="151"/>
      <c r="N80" s="154" t="str">
        <f>Ratings!H36</f>
        <v>GVE11 new</v>
      </c>
      <c r="O80" s="155">
        <f>Ratings!I36</f>
        <v>12.7</v>
      </c>
      <c r="P80" s="151" t="s">
        <v>111</v>
      </c>
      <c r="Q80" s="151">
        <f>Q51</f>
        <v>8.0670605742181802</v>
      </c>
      <c r="R80" s="151">
        <f t="shared" ref="R80:Y80" si="48">R51</f>
        <v>8.8950007770066399</v>
      </c>
      <c r="S80" s="151">
        <f t="shared" si="48"/>
        <v>9.4608242683711765</v>
      </c>
      <c r="T80" s="151">
        <f t="shared" si="48"/>
        <v>9.7673768315714877</v>
      </c>
      <c r="U80" s="151">
        <f t="shared" si="48"/>
        <v>10.133437842011473</v>
      </c>
      <c r="V80" s="151">
        <f t="shared" si="48"/>
        <v>10.469684001582506</v>
      </c>
      <c r="W80" s="151">
        <f t="shared" si="48"/>
        <v>10.816358107716688</v>
      </c>
      <c r="X80" s="151">
        <f t="shared" si="48"/>
        <v>11.164446194048754</v>
      </c>
      <c r="Y80" s="151">
        <f t="shared" si="48"/>
        <v>11.480769646872256</v>
      </c>
    </row>
    <row r="81" spans="1:26" ht="14.1" customHeight="1" thickBot="1">
      <c r="A81" s="4"/>
      <c r="B81" s="1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N81" s="154" t="str">
        <f>Ratings!H39</f>
        <v>GVE21 new</v>
      </c>
      <c r="O81" s="155">
        <f>Ratings!I39</f>
        <v>13.7</v>
      </c>
      <c r="P81" s="151" t="s">
        <v>112</v>
      </c>
      <c r="Q81" s="151">
        <f>25%*Q23+10%*Q31+35%*Q32</f>
        <v>8.308215389933439</v>
      </c>
      <c r="R81" s="151">
        <f t="shared" ref="R81:Y81" si="49">25%*R23+10%*R31+35%*R32</f>
        <v>9.1508662303298429</v>
      </c>
      <c r="S81" s="151">
        <f t="shared" si="49"/>
        <v>9.95129370596716</v>
      </c>
      <c r="T81" s="151">
        <f t="shared" si="49"/>
        <v>10.708492896676493</v>
      </c>
      <c r="U81" s="151">
        <f t="shared" si="49"/>
        <v>11.403239189410222</v>
      </c>
      <c r="V81" s="151">
        <f t="shared" si="49"/>
        <v>11.977717000773003</v>
      </c>
      <c r="W81" s="151">
        <f t="shared" si="49"/>
        <v>12.458809725598927</v>
      </c>
      <c r="X81" s="151">
        <f t="shared" si="49"/>
        <v>12.937586560415083</v>
      </c>
      <c r="Y81" s="151">
        <f t="shared" si="49"/>
        <v>13.356579708568203</v>
      </c>
    </row>
    <row r="82" spans="1:26" ht="14.1" customHeight="1" thickBot="1">
      <c r="A82" s="4"/>
      <c r="B82" s="11"/>
      <c r="C82" s="151"/>
      <c r="D82" s="151"/>
      <c r="E82" s="151"/>
      <c r="F82" s="151"/>
      <c r="G82" s="151"/>
      <c r="H82" s="151"/>
      <c r="I82" s="151"/>
      <c r="J82" s="151"/>
      <c r="K82" s="151"/>
      <c r="L82" s="151"/>
      <c r="N82" s="154" t="str">
        <f>Ratings!H38</f>
        <v>GVE13 new</v>
      </c>
      <c r="O82" s="155">
        <f>Ratings!I38</f>
        <v>13.7</v>
      </c>
      <c r="P82" s="151" t="s">
        <v>113</v>
      </c>
      <c r="Q82" s="151">
        <f>40%*Q23</f>
        <v>6.430980233948735</v>
      </c>
      <c r="R82" s="151">
        <f t="shared" ref="R82:Y82" si="50">40%*R23</f>
        <v>7.7363825196116638</v>
      </c>
      <c r="S82" s="151">
        <f t="shared" si="50"/>
        <v>8.9554296115131802</v>
      </c>
      <c r="T82" s="151">
        <f t="shared" si="50"/>
        <v>10.092280055819378</v>
      </c>
      <c r="U82" s="151">
        <f t="shared" si="50"/>
        <v>11.031048519443996</v>
      </c>
      <c r="V82" s="151">
        <f t="shared" si="50"/>
        <v>11.755031415581154</v>
      </c>
      <c r="W82" s="151">
        <f t="shared" si="50"/>
        <v>12.324363991771611</v>
      </c>
      <c r="X82" s="151">
        <f t="shared" si="50"/>
        <v>12.891113630181838</v>
      </c>
      <c r="Y82" s="151">
        <f t="shared" si="50"/>
        <v>13.386380186644354</v>
      </c>
    </row>
    <row r="83" spans="1:26" ht="14.1" customHeight="1" thickBot="1">
      <c r="A83" s="4"/>
      <c r="B83" s="11"/>
      <c r="C83" s="151"/>
      <c r="D83" s="151"/>
      <c r="E83" s="151"/>
      <c r="F83" s="151"/>
      <c r="G83" s="151"/>
      <c r="H83" s="151"/>
      <c r="I83" s="151"/>
      <c r="J83" s="151"/>
      <c r="K83" s="151"/>
      <c r="L83" s="151"/>
      <c r="N83" s="154" t="str">
        <f>Ratings!H35</f>
        <v>COO21 Option 3</v>
      </c>
      <c r="O83" s="155">
        <f>Ratings!I35</f>
        <v>12.7</v>
      </c>
      <c r="P83" s="151" t="s">
        <v>114</v>
      </c>
      <c r="Q83" s="151">
        <f>30%*Q31+20%*Q23+Q12</f>
        <v>5.6866222892150731</v>
      </c>
      <c r="R83" s="151">
        <f t="shared" ref="R83:Y83" si="51">30%*R31+20%*R23+R12</f>
        <v>6.3524438915966659</v>
      </c>
      <c r="S83" s="151">
        <f t="shared" si="51"/>
        <v>7.0002269089674538</v>
      </c>
      <c r="T83" s="151">
        <f t="shared" si="51"/>
        <v>7.6161140548298807</v>
      </c>
      <c r="U83" s="151">
        <f t="shared" si="51"/>
        <v>8.1903177011267569</v>
      </c>
      <c r="V83" s="151">
        <f t="shared" si="51"/>
        <v>8.6680590810334888</v>
      </c>
      <c r="W83" s="151">
        <f t="shared" si="51"/>
        <v>9.0732921815173349</v>
      </c>
      <c r="X83" s="151">
        <f t="shared" si="51"/>
        <v>9.4796995961644939</v>
      </c>
      <c r="Y83" s="151">
        <f t="shared" si="51"/>
        <v>9.8437917547144558</v>
      </c>
      <c r="Z83" s="15">
        <f>Y14</f>
        <v>4.913498025756196</v>
      </c>
    </row>
    <row r="84" spans="1:26" ht="14.1" customHeight="1" thickBot="1">
      <c r="A84" s="4"/>
      <c r="B84" s="11"/>
      <c r="C84" s="151"/>
      <c r="D84" s="151"/>
      <c r="E84" s="151"/>
      <c r="F84" s="151"/>
      <c r="G84" s="151"/>
      <c r="H84" s="151"/>
      <c r="I84" s="151"/>
      <c r="J84" s="151"/>
      <c r="K84" s="151"/>
      <c r="L84" s="151"/>
      <c r="N84" s="154" t="str">
        <f>Ratings!H22</f>
        <v>ST 11</v>
      </c>
      <c r="O84" s="155">
        <f>Ratings!I22</f>
        <v>22.482019482244024</v>
      </c>
      <c r="P84" s="151" t="s">
        <v>115</v>
      </c>
      <c r="Q84" s="151">
        <f>70%*Q22+4</f>
        <v>14.233348455913788</v>
      </c>
      <c r="R84" s="151">
        <f t="shared" ref="R84:Y84" si="52">70%*R22+4</f>
        <v>14.885309416595582</v>
      </c>
      <c r="S84" s="151">
        <f t="shared" si="52"/>
        <v>15.159131169575181</v>
      </c>
      <c r="T84" s="151">
        <f t="shared" si="52"/>
        <v>15.313156706562236</v>
      </c>
      <c r="U84" s="151">
        <f t="shared" si="52"/>
        <v>15.660743635790864</v>
      </c>
      <c r="V84" s="151">
        <f t="shared" si="52"/>
        <v>16.047731893052791</v>
      </c>
      <c r="W84" s="151">
        <f t="shared" si="52"/>
        <v>16.446720090949732</v>
      </c>
      <c r="X84" s="151">
        <f t="shared" si="52"/>
        <v>16.847354590066939</v>
      </c>
      <c r="Y84" s="151">
        <f t="shared" si="52"/>
        <v>17.211416269337441</v>
      </c>
      <c r="Z84" s="15">
        <f>Y22</f>
        <v>18.873451813339205</v>
      </c>
    </row>
    <row r="85" spans="1:26" ht="14.1" customHeight="1" thickBot="1">
      <c r="A85" s="4"/>
      <c r="B85" s="11"/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N85" s="154" t="str">
        <f>Ratings!H23</f>
        <v>ST 12</v>
      </c>
      <c r="O85" s="11">
        <f>Ratings!I23</f>
        <v>14.289419162443236</v>
      </c>
      <c r="P85" s="151" t="s">
        <v>116</v>
      </c>
      <c r="Q85" s="151">
        <f>15%*Q23+30%*Q22+1</f>
        <v>7.7973383545509698</v>
      </c>
      <c r="R85" s="151">
        <f t="shared" ref="R85:Y85" si="53">15%*R23+30%*R22+1</f>
        <v>8.5662760519667671</v>
      </c>
      <c r="S85" s="151">
        <f t="shared" si="53"/>
        <v>9.1407708912782333</v>
      </c>
      <c r="T85" s="151">
        <f t="shared" si="53"/>
        <v>9.6331007523160821</v>
      </c>
      <c r="U85" s="151">
        <f t="shared" si="53"/>
        <v>10.134104752987582</v>
      </c>
      <c r="V85" s="151">
        <f t="shared" si="53"/>
        <v>10.571450449294129</v>
      </c>
      <c r="W85" s="151">
        <f t="shared" si="53"/>
        <v>10.955945107321384</v>
      </c>
      <c r="X85" s="151">
        <f t="shared" si="53"/>
        <v>11.340176721346877</v>
      </c>
      <c r="Y85" s="151">
        <f t="shared" si="53"/>
        <v>11.681928113993393</v>
      </c>
      <c r="Z85" s="15">
        <f>Y23</f>
        <v>33.465950466610884</v>
      </c>
    </row>
    <row r="86" spans="1:26" ht="14.1" customHeight="1" thickBot="1">
      <c r="A86" s="4"/>
      <c r="B86" s="11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N86" s="154" t="str">
        <f>Ratings!H27</f>
        <v>ST 22</v>
      </c>
      <c r="O86" s="155">
        <f>Ratings!I27</f>
        <v>22.482019482244024</v>
      </c>
      <c r="P86" s="151" t="s">
        <v>117</v>
      </c>
      <c r="Q86" s="151">
        <f>75%*Q27-4</f>
        <v>9.233106705948865</v>
      </c>
      <c r="R86" s="151">
        <f t="shared" ref="R86:Y86" si="54">75%*R27-4</f>
        <v>11.524301743452034</v>
      </c>
      <c r="S86" s="151">
        <f t="shared" si="54"/>
        <v>13.272290315241364</v>
      </c>
      <c r="T86" s="151">
        <f t="shared" si="54"/>
        <v>14.515652085222531</v>
      </c>
      <c r="U86" s="151">
        <f t="shared" si="54"/>
        <v>15.271632668871696</v>
      </c>
      <c r="V86" s="151">
        <f t="shared" si="54"/>
        <v>16.106413459489005</v>
      </c>
      <c r="W86" s="151">
        <f t="shared" si="54"/>
        <v>16.975933166299917</v>
      </c>
      <c r="X86" s="151">
        <f t="shared" si="54"/>
        <v>17.86337135595889</v>
      </c>
      <c r="Y86" s="151">
        <f t="shared" si="54"/>
        <v>18.703345073883082</v>
      </c>
      <c r="Z86" s="15">
        <f>Y27</f>
        <v>30.271126765177442</v>
      </c>
    </row>
    <row r="87" spans="1:26" ht="14.1" customHeight="1" thickBot="1">
      <c r="A87" s="4"/>
      <c r="B87" s="1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N87" s="154" t="str">
        <f>Ratings!H31</f>
        <v>ST 32</v>
      </c>
      <c r="O87" s="155">
        <f>Ratings!I31</f>
        <v>12.384163274117471</v>
      </c>
      <c r="P87" s="151" t="s">
        <v>118</v>
      </c>
      <c r="Q87" s="151">
        <f>60%*Q31</f>
        <v>4.9313280558172368</v>
      </c>
      <c r="R87" s="151">
        <f t="shared" ref="R87:Y87" si="55">60%*R31</f>
        <v>4.9575704706372816</v>
      </c>
      <c r="S87" s="151">
        <f t="shared" si="55"/>
        <v>5.0339992499123163</v>
      </c>
      <c r="T87" s="151">
        <f t="shared" si="55"/>
        <v>5.1287465206117933</v>
      </c>
      <c r="U87" s="151">
        <f t="shared" si="55"/>
        <v>5.3381495041089382</v>
      </c>
      <c r="V87" s="151">
        <f t="shared" si="55"/>
        <v>5.5693797657084785</v>
      </c>
      <c r="W87" s="151">
        <f t="shared" si="55"/>
        <v>5.8102325399118291</v>
      </c>
      <c r="X87" s="151">
        <f t="shared" si="55"/>
        <v>6.0560486476309832</v>
      </c>
      <c r="Y87" s="151">
        <f t="shared" si="55"/>
        <v>6.2887173251034518</v>
      </c>
      <c r="Z87" s="15">
        <f>Y31</f>
        <v>10.481195541839087</v>
      </c>
    </row>
    <row r="88" spans="1:26" ht="14.1" customHeight="1" thickBot="1">
      <c r="A88" s="4"/>
      <c r="B88" s="11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N88" s="4" t="str">
        <f>Ratings!H32</f>
        <v>ST 33</v>
      </c>
      <c r="O88" s="155">
        <f>Ratings!I32</f>
        <v>12.5</v>
      </c>
      <c r="P88" s="151" t="s">
        <v>119</v>
      </c>
      <c r="Q88" s="151">
        <f>65%*Q32+5%*Q27</f>
        <v>7.3208559062104799</v>
      </c>
      <c r="R88" s="151">
        <f t="shared" ref="R88:Y88" si="56">65%*R32+5%*R27</f>
        <v>7.5152034975723874</v>
      </c>
      <c r="S88" s="151">
        <f t="shared" si="56"/>
        <v>7.6796223366187331</v>
      </c>
      <c r="T88" s="151">
        <f t="shared" si="56"/>
        <v>7.8198551021486065</v>
      </c>
      <c r="U88" s="151">
        <f t="shared" si="56"/>
        <v>8.0060397469173132</v>
      </c>
      <c r="V88" s="151">
        <f t="shared" si="56"/>
        <v>8.2166706019779046</v>
      </c>
      <c r="W88" s="151">
        <f t="shared" si="56"/>
        <v>8.4327143772532498</v>
      </c>
      <c r="X88" s="151">
        <f t="shared" si="56"/>
        <v>8.6471135623450959</v>
      </c>
      <c r="Y88" s="151">
        <f t="shared" si="56"/>
        <v>8.834362479760367</v>
      </c>
      <c r="Z88" s="15">
        <f>Y32</f>
        <v>11.262778679233067</v>
      </c>
    </row>
    <row r="89" spans="1:26" ht="14.1" customHeight="1" thickBot="1">
      <c r="A89" s="4"/>
      <c r="B89" s="11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N89" s="4" t="str">
        <f>Ratings!H37</f>
        <v>GVE12 new</v>
      </c>
      <c r="O89" s="11">
        <f>Ratings!I37</f>
        <v>13.7</v>
      </c>
      <c r="P89" s="151" t="s">
        <v>33</v>
      </c>
      <c r="Q89" s="151">
        <f>40%*Q20</f>
        <v>5.2121112202773867</v>
      </c>
      <c r="R89" s="151">
        <f t="shared" ref="R89:Y89" si="57">40%*R20</f>
        <v>6.4135405252149527</v>
      </c>
      <c r="S89" s="151">
        <f t="shared" si="57"/>
        <v>7.6860003233331486</v>
      </c>
      <c r="T89" s="151">
        <f t="shared" si="57"/>
        <v>8.5079044774354156</v>
      </c>
      <c r="U89" s="151">
        <f t="shared" si="57"/>
        <v>9.4165977506199496</v>
      </c>
      <c r="V89" s="151">
        <f t="shared" si="57"/>
        <v>10.32344712512106</v>
      </c>
      <c r="W89" s="151">
        <f t="shared" si="57"/>
        <v>11.176166076274241</v>
      </c>
      <c r="X89" s="151">
        <f t="shared" si="57"/>
        <v>12.041448565220758</v>
      </c>
      <c r="Y89" s="151">
        <f t="shared" si="57"/>
        <v>12.746869158706687</v>
      </c>
    </row>
    <row r="90" spans="1:26" ht="14.1" customHeight="1" thickBot="1">
      <c r="A90" s="4"/>
      <c r="B90" s="1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N90" s="154" t="str">
        <f>Ratings!H40</f>
        <v>GVE22 new</v>
      </c>
      <c r="O90" s="155">
        <f>Ratings!I40</f>
        <v>13.7</v>
      </c>
      <c r="P90" s="151" t="s">
        <v>33</v>
      </c>
      <c r="Q90" s="151">
        <f>40%*Q20</f>
        <v>5.2121112202773867</v>
      </c>
      <c r="R90" s="151">
        <f t="shared" ref="R90:Y90" si="58">40%*R20</f>
        <v>6.4135405252149527</v>
      </c>
      <c r="S90" s="151">
        <f t="shared" si="58"/>
        <v>7.6860003233331486</v>
      </c>
      <c r="T90" s="151">
        <f t="shared" si="58"/>
        <v>8.5079044774354156</v>
      </c>
      <c r="U90" s="151">
        <f t="shared" si="58"/>
        <v>9.4165977506199496</v>
      </c>
      <c r="V90" s="151">
        <f t="shared" si="58"/>
        <v>10.32344712512106</v>
      </c>
      <c r="W90" s="151">
        <f t="shared" si="58"/>
        <v>11.176166076274241</v>
      </c>
      <c r="X90" s="151">
        <f t="shared" si="58"/>
        <v>12.041448565220758</v>
      </c>
      <c r="Y90" s="151">
        <f t="shared" si="58"/>
        <v>12.746869158706687</v>
      </c>
    </row>
    <row r="91" spans="1:26" ht="14.1" customHeight="1" thickBot="1">
      <c r="A91" s="4"/>
      <c r="B91" s="1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N91" s="4" t="str">
        <f>N59</f>
        <v>KLO22</v>
      </c>
      <c r="O91" s="155">
        <f>O59</f>
        <v>14.289419162443236</v>
      </c>
      <c r="P91" s="151" t="s">
        <v>120</v>
      </c>
      <c r="Q91" s="151">
        <f>20%*Q20+0.5-1+20%*Q27</f>
        <v>5.6348840650583902</v>
      </c>
      <c r="R91" s="151">
        <f t="shared" ref="R91:Y91" si="59">20%*R20+0.5-1+20%*R27</f>
        <v>6.8465840608613515</v>
      </c>
      <c r="S91" s="151">
        <f t="shared" si="59"/>
        <v>7.9489442457309387</v>
      </c>
      <c r="T91" s="151">
        <f t="shared" si="59"/>
        <v>8.6914594614437171</v>
      </c>
      <c r="U91" s="151">
        <f t="shared" si="59"/>
        <v>9.3474009203424266</v>
      </c>
      <c r="V91" s="151">
        <f t="shared" si="59"/>
        <v>10.023433818424266</v>
      </c>
      <c r="W91" s="151">
        <f t="shared" si="59"/>
        <v>10.681665215817098</v>
      </c>
      <c r="X91" s="151">
        <f t="shared" si="59"/>
        <v>11.350956644199417</v>
      </c>
      <c r="Y91" s="151">
        <f t="shared" si="59"/>
        <v>11.927659932388831</v>
      </c>
      <c r="Z91" s="15">
        <f>Y20</f>
        <v>31.867172896766714</v>
      </c>
    </row>
    <row r="92" spans="1:26" ht="14.1" customHeight="1" thickBot="1">
      <c r="A92" s="4"/>
      <c r="B92" s="1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N92" s="154" t="s">
        <v>16</v>
      </c>
      <c r="O92" s="155">
        <v>14.3</v>
      </c>
      <c r="P92" s="151" t="s">
        <v>110</v>
      </c>
      <c r="Q92" s="151">
        <f>Q6</f>
        <v>9.4749614687572983</v>
      </c>
      <c r="R92" s="151">
        <f t="shared" ref="R92:Y92" si="60">R6</f>
        <v>9.8627291615572759</v>
      </c>
      <c r="S92" s="151">
        <f t="shared" si="60"/>
        <v>10.020893085974283</v>
      </c>
      <c r="T92" s="151">
        <f t="shared" si="60"/>
        <v>10.068680330274431</v>
      </c>
      <c r="U92" s="151">
        <f t="shared" si="60"/>
        <v>10.194890064347838</v>
      </c>
      <c r="V92" s="151">
        <f t="shared" si="60"/>
        <v>10.347350101376065</v>
      </c>
      <c r="W92" s="151">
        <f t="shared" si="60"/>
        <v>10.501378744672182</v>
      </c>
      <c r="X92" s="151">
        <f t="shared" si="60"/>
        <v>10.648113208124064</v>
      </c>
      <c r="Y92" s="151">
        <f t="shared" si="60"/>
        <v>10.756621208037689</v>
      </c>
    </row>
    <row r="93" spans="1:26" ht="14.1" customHeight="1" thickBot="1">
      <c r="A93" s="4"/>
      <c r="B93" s="1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N93" s="154"/>
      <c r="O93" s="11"/>
      <c r="P93" s="151"/>
      <c r="Q93" s="151"/>
      <c r="R93" s="151"/>
      <c r="S93" s="151"/>
      <c r="T93" s="151"/>
      <c r="U93" s="151"/>
      <c r="V93" s="151"/>
      <c r="W93" s="151"/>
      <c r="X93" s="151"/>
      <c r="Y93" s="151"/>
    </row>
    <row r="94" spans="1:26" ht="14.1" customHeight="1" thickBot="1">
      <c r="A94" s="4"/>
      <c r="B94" s="11"/>
      <c r="C94" s="151"/>
      <c r="D94" s="151"/>
      <c r="E94" s="151"/>
      <c r="F94" s="151"/>
      <c r="G94" s="151"/>
      <c r="H94" s="151"/>
      <c r="I94" s="151"/>
      <c r="J94" s="151"/>
      <c r="K94" s="151"/>
      <c r="L94" s="151"/>
      <c r="N94" s="154"/>
      <c r="O94" s="11"/>
      <c r="P94" s="151"/>
      <c r="Q94" s="151"/>
      <c r="R94" s="151"/>
      <c r="S94" s="151"/>
      <c r="T94" s="151"/>
      <c r="U94" s="151"/>
      <c r="V94" s="151"/>
      <c r="W94" s="151"/>
      <c r="X94" s="151"/>
      <c r="Y94" s="151"/>
    </row>
    <row r="95" spans="1:26" ht="14.1" customHeight="1" thickBot="1">
      <c r="A95" s="4"/>
      <c r="B95" s="1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N95" s="154"/>
      <c r="O95" s="11"/>
      <c r="P95" s="151"/>
      <c r="Q95" s="151"/>
      <c r="R95" s="151"/>
      <c r="S95" s="151"/>
      <c r="T95" s="151"/>
      <c r="U95" s="151"/>
      <c r="V95" s="151"/>
      <c r="W95" s="151"/>
      <c r="X95" s="151"/>
      <c r="Y95" s="151"/>
    </row>
    <row r="96" spans="1:26" ht="14.1" customHeight="1" thickBot="1">
      <c r="A96" s="4"/>
      <c r="B96" s="1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N96" s="154"/>
      <c r="O96" s="155"/>
      <c r="P96" s="151"/>
      <c r="Q96" s="151"/>
      <c r="R96" s="151"/>
      <c r="S96" s="151"/>
      <c r="T96" s="151"/>
      <c r="U96" s="151"/>
      <c r="V96" s="151"/>
      <c r="W96" s="151"/>
      <c r="X96" s="151"/>
      <c r="Y96" s="151"/>
    </row>
    <row r="97" spans="1:25" ht="14.1" customHeight="1" thickBot="1">
      <c r="A97" s="4"/>
      <c r="B97" s="11"/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N97" s="154"/>
      <c r="O97" s="155"/>
      <c r="P97" s="151"/>
      <c r="Q97" s="151"/>
      <c r="R97" s="151"/>
      <c r="S97" s="151"/>
      <c r="T97" s="151"/>
      <c r="U97" s="151"/>
      <c r="V97" s="151"/>
      <c r="W97" s="151"/>
      <c r="X97" s="151"/>
      <c r="Y97" s="151"/>
    </row>
    <row r="98" spans="1:25" ht="14.1" customHeight="1" thickBot="1">
      <c r="A98" s="4"/>
      <c r="B98" s="11"/>
      <c r="C98" s="151"/>
      <c r="D98" s="151"/>
      <c r="E98" s="151"/>
      <c r="F98" s="151"/>
      <c r="G98" s="151"/>
      <c r="H98" s="151"/>
      <c r="I98" s="151"/>
      <c r="J98" s="151"/>
      <c r="K98" s="151"/>
      <c r="L98" s="151"/>
      <c r="N98" s="154"/>
      <c r="O98" s="155"/>
      <c r="P98" s="151"/>
      <c r="Q98" s="151"/>
      <c r="R98" s="151"/>
      <c r="S98" s="151"/>
      <c r="T98" s="151"/>
      <c r="U98" s="151"/>
      <c r="V98" s="151"/>
      <c r="W98" s="151"/>
      <c r="X98" s="151"/>
      <c r="Y98" s="151"/>
    </row>
    <row r="99" spans="1:25" ht="14.1" customHeight="1" thickBot="1">
      <c r="A99" s="4"/>
      <c r="B99" s="11"/>
      <c r="C99" s="151"/>
      <c r="D99" s="151"/>
      <c r="E99" s="151"/>
      <c r="F99" s="151"/>
      <c r="G99" s="151"/>
      <c r="H99" s="151"/>
      <c r="I99" s="151"/>
      <c r="J99" s="151"/>
      <c r="K99" s="151"/>
      <c r="L99" s="151"/>
      <c r="N99" s="154"/>
      <c r="O99" s="155"/>
      <c r="P99" s="151"/>
      <c r="Q99" s="151"/>
      <c r="R99" s="151"/>
      <c r="S99" s="151"/>
      <c r="T99" s="151"/>
      <c r="U99" s="151"/>
      <c r="V99" s="151"/>
      <c r="W99" s="151"/>
      <c r="X99" s="151"/>
      <c r="Y99" s="151"/>
    </row>
    <row r="100" spans="1:25" ht="14.1" customHeight="1" thickBot="1">
      <c r="A100" s="4"/>
      <c r="B100" s="11"/>
      <c r="C100" s="151"/>
      <c r="D100" s="151"/>
      <c r="E100" s="151"/>
      <c r="F100" s="151"/>
      <c r="G100" s="151"/>
      <c r="H100" s="151"/>
      <c r="I100" s="151"/>
      <c r="J100" s="151"/>
      <c r="K100" s="151"/>
      <c r="L100" s="151"/>
      <c r="N100" s="4"/>
      <c r="O100" s="155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</row>
    <row r="101" spans="1:25" ht="14.1" customHeight="1" thickBot="1">
      <c r="A101" s="4"/>
      <c r="B101" s="11"/>
      <c r="C101" s="151"/>
      <c r="D101" s="151"/>
      <c r="E101" s="151"/>
      <c r="F101" s="151"/>
      <c r="G101" s="151"/>
      <c r="H101" s="151"/>
      <c r="I101" s="151"/>
      <c r="J101" s="151"/>
      <c r="K101" s="151"/>
      <c r="L101" s="151"/>
      <c r="N101" s="4"/>
      <c r="O101" s="155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</row>
    <row r="102" spans="1:25" ht="14.1" customHeight="1" thickBot="1">
      <c r="A102" s="4"/>
      <c r="B102" s="11"/>
      <c r="C102" s="151"/>
      <c r="D102" s="151"/>
      <c r="E102" s="151"/>
      <c r="F102" s="151"/>
      <c r="G102" s="151"/>
      <c r="H102" s="151"/>
      <c r="I102" s="151"/>
      <c r="J102" s="151"/>
      <c r="K102" s="151"/>
      <c r="L102" s="151"/>
      <c r="N102" s="4"/>
      <c r="O102" s="155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</row>
    <row r="103" spans="1:25" ht="14.1" customHeight="1" thickBot="1">
      <c r="A103" s="4"/>
      <c r="B103" s="11"/>
      <c r="C103" s="151"/>
      <c r="D103" s="151"/>
      <c r="E103" s="151"/>
      <c r="F103" s="151"/>
      <c r="G103" s="151"/>
      <c r="H103" s="151"/>
      <c r="I103" s="151"/>
      <c r="J103" s="151"/>
      <c r="K103" s="151"/>
      <c r="L103" s="151"/>
      <c r="N103" s="154"/>
      <c r="O103" s="155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</row>
    <row r="104" spans="1:25" ht="14.1" customHeight="1" thickBot="1">
      <c r="A104" s="4"/>
      <c r="B104" s="11"/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N104" s="154"/>
      <c r="O104" s="1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</row>
    <row r="105" spans="1:25" ht="14.1" customHeight="1" thickBot="1">
      <c r="A105" s="4"/>
      <c r="B105" s="11"/>
      <c r="C105" s="151"/>
      <c r="D105" s="151"/>
      <c r="E105" s="151"/>
      <c r="F105" s="151"/>
      <c r="G105" s="151"/>
      <c r="H105" s="151"/>
      <c r="I105" s="151"/>
      <c r="J105" s="151"/>
      <c r="K105" s="151"/>
      <c r="L105" s="151"/>
      <c r="N105" s="154"/>
      <c r="O105" s="1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</row>
    <row r="106" spans="1:25" ht="14.1" customHeight="1" thickBot="1">
      <c r="A106" s="4"/>
      <c r="B106" s="11"/>
      <c r="C106" s="151"/>
      <c r="D106" s="151"/>
      <c r="E106" s="151"/>
      <c r="F106" s="151"/>
      <c r="G106" s="151"/>
      <c r="H106" s="151"/>
      <c r="I106" s="151"/>
      <c r="J106" s="151"/>
      <c r="K106" s="151"/>
      <c r="L106" s="151"/>
      <c r="N106" s="4"/>
      <c r="O106" s="155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</row>
    <row r="107" spans="1:25" ht="14.1" customHeight="1" thickBot="1">
      <c r="A107" s="4"/>
      <c r="B107" s="11"/>
      <c r="C107" s="151"/>
      <c r="D107" s="151"/>
      <c r="E107" s="151"/>
      <c r="F107" s="151"/>
      <c r="G107" s="151"/>
      <c r="H107" s="151"/>
      <c r="I107" s="151"/>
      <c r="J107" s="151"/>
      <c r="K107" s="151"/>
      <c r="L107" s="151"/>
      <c r="N107" s="4"/>
      <c r="O107" s="155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</row>
    <row r="108" spans="1:25" ht="14.1" customHeight="1" thickBot="1">
      <c r="A108" s="4"/>
      <c r="B108" s="1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N108" s="154"/>
      <c r="O108" s="155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</row>
    <row r="109" spans="1:25" ht="14.1" customHeight="1" thickBot="1">
      <c r="A109" s="4"/>
      <c r="B109" s="11"/>
      <c r="C109" s="151"/>
      <c r="D109" s="151"/>
      <c r="E109" s="151"/>
      <c r="F109" s="151"/>
      <c r="G109" s="151"/>
      <c r="H109" s="151"/>
      <c r="I109" s="151"/>
      <c r="J109" s="151"/>
      <c r="K109" s="151"/>
      <c r="L109" s="151"/>
      <c r="N109" s="154"/>
      <c r="O109" s="1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</row>
    <row r="110" spans="1:25" ht="14.1" customHeight="1" thickBot="1">
      <c r="A110" s="4"/>
      <c r="B110" s="1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N110" s="154"/>
      <c r="O110" s="155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</row>
    <row r="111" spans="1:25" ht="14.1" customHeight="1" thickBot="1">
      <c r="A111" s="4"/>
      <c r="B111" s="11"/>
      <c r="C111" s="151"/>
      <c r="D111" s="151"/>
      <c r="E111" s="151"/>
      <c r="F111" s="151"/>
      <c r="G111" s="151"/>
      <c r="H111" s="151"/>
      <c r="I111" s="151"/>
      <c r="J111" s="151"/>
      <c r="K111" s="151"/>
      <c r="L111" s="151"/>
      <c r="N111" s="154"/>
      <c r="O111" s="155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</row>
    <row r="112" spans="1:25" ht="14.1" customHeight="1" thickBot="1">
      <c r="A112" s="4"/>
      <c r="B112" s="11"/>
      <c r="C112" s="151"/>
      <c r="D112" s="151"/>
      <c r="E112" s="151"/>
      <c r="F112" s="151"/>
      <c r="G112" s="151"/>
      <c r="H112" s="151"/>
      <c r="I112" s="151"/>
      <c r="J112" s="151"/>
      <c r="K112" s="151"/>
      <c r="L112" s="151"/>
      <c r="N112" s="156"/>
      <c r="O112" s="1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</row>
    <row r="113" spans="1:26" ht="14.1" customHeight="1" thickBot="1">
      <c r="A113" s="4"/>
      <c r="B113" s="11"/>
      <c r="C113" s="151"/>
      <c r="D113" s="151"/>
      <c r="E113" s="151"/>
      <c r="F113" s="151"/>
      <c r="G113" s="151"/>
      <c r="H113" s="151"/>
      <c r="I113" s="151"/>
      <c r="J113" s="151"/>
      <c r="K113" s="151"/>
      <c r="L113" s="151"/>
      <c r="N113" s="4"/>
      <c r="O113" s="155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</row>
    <row r="114" spans="1:26" ht="14.1" customHeight="1" thickBot="1">
      <c r="A114" s="4"/>
      <c r="B114" s="11"/>
      <c r="C114" s="151"/>
      <c r="D114" s="151"/>
      <c r="E114" s="151"/>
      <c r="F114" s="151"/>
      <c r="G114" s="151"/>
      <c r="H114" s="151"/>
      <c r="I114" s="151"/>
      <c r="J114" s="151"/>
      <c r="K114" s="151"/>
      <c r="L114" s="151"/>
      <c r="N114" s="4"/>
      <c r="O114" s="155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</row>
    <row r="115" spans="1:26" ht="14.1" customHeight="1" thickBot="1">
      <c r="A115" s="4"/>
      <c r="B115" s="11"/>
      <c r="C115" s="151"/>
      <c r="D115" s="151"/>
      <c r="E115" s="151"/>
      <c r="F115" s="151"/>
      <c r="G115" s="151"/>
      <c r="H115" s="151"/>
      <c r="I115" s="151"/>
      <c r="J115" s="151"/>
      <c r="K115" s="151"/>
      <c r="L115" s="151"/>
      <c r="N115" s="4"/>
      <c r="O115" s="155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</row>
    <row r="116" spans="1:26" ht="14.1" customHeight="1" thickBot="1">
      <c r="A116" s="4"/>
      <c r="B116" s="11"/>
      <c r="C116" s="151"/>
      <c r="D116" s="151"/>
      <c r="E116" s="151"/>
      <c r="F116" s="151"/>
      <c r="G116" s="151"/>
      <c r="H116" s="151"/>
      <c r="I116" s="151"/>
      <c r="J116" s="151"/>
      <c r="K116" s="151"/>
      <c r="L116" s="151"/>
      <c r="N116" s="4"/>
      <c r="O116" s="155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</row>
    <row r="117" spans="1:26" ht="14.1" customHeight="1" thickBot="1">
      <c r="A117" s="4"/>
      <c r="B117" s="11"/>
      <c r="C117" s="151"/>
      <c r="D117" s="151"/>
      <c r="E117" s="151"/>
      <c r="F117" s="151"/>
      <c r="G117" s="151"/>
      <c r="H117" s="151"/>
      <c r="I117" s="151"/>
      <c r="J117" s="151"/>
      <c r="K117" s="151"/>
      <c r="L117" s="151"/>
      <c r="N117" s="4"/>
      <c r="O117" s="155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</row>
    <row r="118" spans="1:26" ht="14.1" customHeight="1" thickBot="1">
      <c r="A118" s="4"/>
      <c r="B118" s="11"/>
      <c r="C118" s="151"/>
      <c r="D118" s="151"/>
      <c r="E118" s="151"/>
      <c r="F118" s="151"/>
      <c r="G118" s="151"/>
      <c r="H118" s="151"/>
      <c r="I118" s="151"/>
      <c r="J118" s="151"/>
      <c r="K118" s="151"/>
      <c r="L118" s="151"/>
      <c r="N118" s="154"/>
      <c r="O118" s="1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</row>
    <row r="119" spans="1:26" ht="14.1" customHeight="1" thickBot="1">
      <c r="A119" s="4"/>
      <c r="B119" s="11"/>
      <c r="C119" s="151"/>
      <c r="D119" s="151"/>
      <c r="E119" s="151"/>
      <c r="F119" s="151"/>
      <c r="G119" s="151"/>
      <c r="H119" s="151"/>
      <c r="I119" s="151"/>
      <c r="J119" s="151"/>
      <c r="K119" s="151"/>
      <c r="L119" s="151"/>
      <c r="N119" s="154"/>
      <c r="O119" s="1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</row>
    <row r="120" spans="1:26" ht="14.1" customHeight="1" thickBot="1">
      <c r="A120" s="4"/>
      <c r="B120" s="11"/>
      <c r="C120" s="151"/>
      <c r="D120" s="151"/>
      <c r="E120" s="151"/>
      <c r="F120" s="151"/>
      <c r="G120" s="151"/>
      <c r="H120" s="151"/>
      <c r="I120" s="151"/>
      <c r="J120" s="151"/>
      <c r="K120" s="151"/>
      <c r="L120" s="151"/>
      <c r="N120" s="156" t="s">
        <v>121</v>
      </c>
      <c r="O120" s="1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</row>
    <row r="121" spans="1:26" ht="14.1" customHeight="1" thickBot="1">
      <c r="A121" s="4"/>
      <c r="B121" s="11"/>
      <c r="C121" s="151"/>
      <c r="D121" s="151"/>
      <c r="E121" s="151"/>
      <c r="F121" s="151"/>
      <c r="G121" s="151"/>
      <c r="H121" s="151"/>
      <c r="I121" s="151"/>
      <c r="J121" s="151"/>
      <c r="K121" s="151"/>
      <c r="L121" s="151"/>
      <c r="N121" s="4" t="str">
        <f>Ratings!H6</f>
        <v>BD 08</v>
      </c>
      <c r="O121" s="155">
        <f>Ratings!I6</f>
        <v>11.622060918787167</v>
      </c>
      <c r="P121" s="151" t="s">
        <v>19</v>
      </c>
      <c r="Q121" s="151">
        <f>Q6-1</f>
        <v>8.4749614687572983</v>
      </c>
      <c r="R121" s="151">
        <f t="shared" ref="R121:Y121" si="61">R6-1</f>
        <v>8.8627291615572759</v>
      </c>
      <c r="S121" s="151">
        <f t="shared" si="61"/>
        <v>9.0208930859742829</v>
      </c>
      <c r="T121" s="151">
        <f t="shared" si="61"/>
        <v>9.0686803302744305</v>
      </c>
      <c r="U121" s="151">
        <f t="shared" si="61"/>
        <v>9.1948900643478382</v>
      </c>
      <c r="V121" s="151">
        <f t="shared" si="61"/>
        <v>9.3473501013760654</v>
      </c>
      <c r="W121" s="151">
        <f t="shared" si="61"/>
        <v>9.5013787446721825</v>
      </c>
      <c r="X121" s="151">
        <f t="shared" si="61"/>
        <v>9.6481132081240641</v>
      </c>
      <c r="Y121" s="151">
        <f t="shared" si="61"/>
        <v>9.7566212080376893</v>
      </c>
      <c r="Z121" s="15">
        <f>Y6</f>
        <v>10.756621208037689</v>
      </c>
    </row>
    <row r="122" spans="1:26" ht="14.1" customHeight="1" thickBot="1">
      <c r="A122" s="4"/>
      <c r="B122" s="1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N122" s="4" t="str">
        <f>Ratings!H7</f>
        <v>BD 09</v>
      </c>
      <c r="O122" s="155">
        <f>Ratings!I7</f>
        <v>13.146265629447777</v>
      </c>
      <c r="P122" s="151" t="s">
        <v>46</v>
      </c>
      <c r="Q122" s="151">
        <f>Q7+P29</f>
        <v>11.322919366311377</v>
      </c>
      <c r="R122" s="151">
        <f t="shared" ref="R122:Y122" si="62">R7+Q29</f>
        <v>11.8647764602152</v>
      </c>
      <c r="S122" s="151">
        <f t="shared" si="62"/>
        <v>12.295800243102301</v>
      </c>
      <c r="T122" s="151">
        <f t="shared" si="62"/>
        <v>12.783836325784932</v>
      </c>
      <c r="U122" s="151">
        <f t="shared" si="62"/>
        <v>12.872223945752429</v>
      </c>
      <c r="V122" s="151">
        <f t="shared" si="62"/>
        <v>13.028200360375457</v>
      </c>
      <c r="W122" s="151">
        <f t="shared" si="62"/>
        <v>13.20587039788083</v>
      </c>
      <c r="X122" s="151">
        <f t="shared" si="62"/>
        <v>13.381026594593507</v>
      </c>
      <c r="Y122" s="151">
        <f t="shared" si="62"/>
        <v>13.532378969317552</v>
      </c>
      <c r="Z122" s="15">
        <f>Y7</f>
        <v>4.903945231622262</v>
      </c>
    </row>
    <row r="123" spans="1:26" ht="14.1" customHeight="1" thickBot="1">
      <c r="A123" s="4"/>
      <c r="B123" s="11"/>
      <c r="C123" s="151"/>
      <c r="D123" s="151"/>
      <c r="E123" s="151"/>
      <c r="F123" s="151"/>
      <c r="G123" s="151"/>
      <c r="H123" s="151"/>
      <c r="I123" s="151"/>
      <c r="J123" s="151"/>
      <c r="K123" s="151"/>
      <c r="L123" s="151"/>
      <c r="N123" s="4" t="str">
        <f>Ratings!H8</f>
        <v>BD 13</v>
      </c>
      <c r="O123" s="155">
        <f>Ratings!I8</f>
        <v>12.003112096452318</v>
      </c>
      <c r="P123" s="151" t="s">
        <v>16</v>
      </c>
      <c r="Q123" s="151">
        <f>Q8+1</f>
        <v>9.2246423416046852</v>
      </c>
      <c r="R123" s="151">
        <f t="shared" ref="R123:Y123" si="63">R8+1</f>
        <v>9.3348811348536476</v>
      </c>
      <c r="S123" s="151">
        <f t="shared" si="63"/>
        <v>9.4715326933963109</v>
      </c>
      <c r="T123" s="151">
        <f t="shared" si="63"/>
        <v>9.5119314082556325</v>
      </c>
      <c r="U123" s="151">
        <f t="shared" si="63"/>
        <v>9.6186274760865764</v>
      </c>
      <c r="V123" s="151">
        <f t="shared" si="63"/>
        <v>9.7475152086509276</v>
      </c>
      <c r="W123" s="151">
        <f t="shared" si="63"/>
        <v>9.877729020554467</v>
      </c>
      <c r="X123" s="151">
        <f t="shared" si="63"/>
        <v>10.001776427678333</v>
      </c>
      <c r="Y123" s="151">
        <f t="shared" si="63"/>
        <v>10.093507679661247</v>
      </c>
      <c r="Z123" s="15">
        <f>Y8</f>
        <v>9.0935076796612471</v>
      </c>
    </row>
    <row r="124" spans="1:26" ht="14.1" customHeight="1" thickBot="1">
      <c r="A124" s="4"/>
      <c r="B124" s="11"/>
      <c r="C124" s="151"/>
      <c r="D124" s="151"/>
      <c r="E124" s="151"/>
      <c r="F124" s="151"/>
      <c r="G124" s="151"/>
      <c r="H124" s="151"/>
      <c r="I124" s="151"/>
      <c r="J124" s="151"/>
      <c r="K124" s="151"/>
      <c r="L124" s="151"/>
      <c r="N124" s="4" t="str">
        <f>Ratings!H10</f>
        <v>COO11</v>
      </c>
      <c r="O124" s="155">
        <f>Ratings!I10</f>
        <v>10.859958563456859</v>
      </c>
      <c r="P124" s="151" t="s">
        <v>33</v>
      </c>
      <c r="Q124" s="151">
        <f>Q10-0.5</f>
        <v>5.1364447434988021</v>
      </c>
      <c r="R124" s="151">
        <f t="shared" ref="R124:Y124" si="64">R10-0.5</f>
        <v>5.2166028810256346</v>
      </c>
      <c r="S124" s="151">
        <f t="shared" si="64"/>
        <v>5.2729275936763838</v>
      </c>
      <c r="T124" s="151">
        <f t="shared" si="64"/>
        <v>5.3267701250920272</v>
      </c>
      <c r="U124" s="151">
        <f t="shared" si="64"/>
        <v>5.4469122648537711</v>
      </c>
      <c r="V124" s="151">
        <f t="shared" si="64"/>
        <v>5.5840360719515951</v>
      </c>
      <c r="W124" s="151">
        <f t="shared" si="64"/>
        <v>5.7239000692650395</v>
      </c>
      <c r="X124" s="151">
        <f t="shared" si="64"/>
        <v>5.8612520079386199</v>
      </c>
      <c r="Y124" s="151">
        <f t="shared" si="64"/>
        <v>5.977381383182915</v>
      </c>
      <c r="Z124" s="15">
        <f>Y10</f>
        <v>6.477381383182915</v>
      </c>
    </row>
    <row r="125" spans="1:26" ht="14.1" customHeight="1" thickBot="1">
      <c r="A125" s="4"/>
      <c r="B125" s="1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N125" s="4" t="str">
        <f>Ratings!H12</f>
        <v>COO13</v>
      </c>
      <c r="O125" s="155">
        <f>Ratings!I12</f>
        <v>12.003112096452318</v>
      </c>
      <c r="P125" s="151" t="s">
        <v>27</v>
      </c>
      <c r="Q125" s="151">
        <f>Q14</f>
        <v>4.5723131945244377</v>
      </c>
      <c r="R125" s="151">
        <f t="shared" ref="R125:Y125" si="65">R14</f>
        <v>4.5583776740768922</v>
      </c>
      <c r="S125" s="151">
        <f t="shared" si="65"/>
        <v>4.577426074784209</v>
      </c>
      <c r="T125" s="151">
        <f t="shared" si="65"/>
        <v>4.5992547258061158</v>
      </c>
      <c r="U125" s="151">
        <f t="shared" si="65"/>
        <v>4.6569058475856515</v>
      </c>
      <c r="V125" s="151">
        <f t="shared" si="65"/>
        <v>4.7265477989434945</v>
      </c>
      <c r="W125" s="151">
        <f t="shared" si="65"/>
        <v>4.7969062711912542</v>
      </c>
      <c r="X125" s="151">
        <f t="shared" si="65"/>
        <v>4.8639328478957005</v>
      </c>
      <c r="Y125" s="151">
        <f t="shared" si="65"/>
        <v>4.913498025756196</v>
      </c>
      <c r="Z125" s="15">
        <f>Y12</f>
        <v>6.2429988405514518E-3</v>
      </c>
    </row>
    <row r="126" spans="1:26" ht="14.1" customHeight="1" thickBot="1">
      <c r="A126" s="4"/>
      <c r="B126" s="11"/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N126" s="4" t="str">
        <f>Ratings!H15</f>
        <v>COO22</v>
      </c>
      <c r="O126" s="155">
        <f>Ratings!I15</f>
        <v>12.003112096452318</v>
      </c>
      <c r="P126" s="151" t="s">
        <v>43</v>
      </c>
      <c r="Q126" s="151">
        <f>Q15*50%</f>
        <v>4.5595756521277986</v>
      </c>
      <c r="R126" s="151">
        <f t="shared" ref="R126:Y128" si="66">R15*50%</f>
        <v>4.5806732760579063</v>
      </c>
      <c r="S126" s="151">
        <f t="shared" si="66"/>
        <v>4.6145224862938781</v>
      </c>
      <c r="T126" s="151">
        <f t="shared" si="66"/>
        <v>4.6550556258172167</v>
      </c>
      <c r="U126" s="151">
        <f t="shared" si="66"/>
        <v>4.7510381910444304</v>
      </c>
      <c r="V126" s="151">
        <f t="shared" si="66"/>
        <v>4.8605875530340814</v>
      </c>
      <c r="W126" s="151">
        <f t="shared" si="66"/>
        <v>4.9723260760177652</v>
      </c>
      <c r="X126" s="151">
        <f t="shared" si="66"/>
        <v>5.0820576942406914</v>
      </c>
      <c r="Y126" s="151">
        <f t="shared" si="66"/>
        <v>5.1748344281684</v>
      </c>
      <c r="Z126" s="15">
        <f t="shared" ref="Z126:Z130" si="67">Y15</f>
        <v>10.3496688563368</v>
      </c>
    </row>
    <row r="127" spans="1:26" ht="14.1" customHeight="1" thickBot="1">
      <c r="A127" s="4"/>
      <c r="B127" s="1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N127" s="4" t="str">
        <f>Ratings!H16</f>
        <v>COO23</v>
      </c>
      <c r="O127" s="155">
        <f>Ratings!I16</f>
        <v>14.289419162443236</v>
      </c>
      <c r="P127" s="151" t="s">
        <v>27</v>
      </c>
      <c r="Q127" s="151">
        <f>Q16*50%</f>
        <v>8.0615924298860939</v>
      </c>
      <c r="R127" s="151">
        <f t="shared" si="66"/>
        <v>8.8895333805344467</v>
      </c>
      <c r="S127" s="151">
        <f t="shared" si="66"/>
        <v>9.45531179011647</v>
      </c>
      <c r="T127" s="151">
        <f t="shared" si="66"/>
        <v>9.7617760649571927</v>
      </c>
      <c r="U127" s="151">
        <f t="shared" si="66"/>
        <v>10.127719152661182</v>
      </c>
      <c r="V127" s="151">
        <f t="shared" si="66"/>
        <v>10.463830511193834</v>
      </c>
      <c r="W127" s="151">
        <f t="shared" si="66"/>
        <v>10.810364192041073</v>
      </c>
      <c r="X127" s="151">
        <f t="shared" si="66"/>
        <v>11.158327736790671</v>
      </c>
      <c r="Y127" s="151">
        <f t="shared" si="66"/>
        <v>11.474526648031704</v>
      </c>
      <c r="Z127" s="15">
        <f t="shared" si="67"/>
        <v>22.949053296063408</v>
      </c>
    </row>
    <row r="128" spans="1:26" ht="14.1" customHeight="1" thickBot="1">
      <c r="A128" s="4"/>
      <c r="B128" s="11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N128" s="4" t="str">
        <f>Ratings!H17</f>
        <v>COO24</v>
      </c>
      <c r="O128" s="155">
        <f>Ratings!I17</f>
        <v>12.193637685284894</v>
      </c>
      <c r="P128" s="151" t="s">
        <v>43</v>
      </c>
      <c r="Q128" s="151">
        <f>Q17*50%</f>
        <v>5.1071567033654874</v>
      </c>
      <c r="R128" s="151">
        <f t="shared" si="66"/>
        <v>5.1070564001419871</v>
      </c>
      <c r="S128" s="151">
        <f t="shared" si="66"/>
        <v>5.1472432108969484</v>
      </c>
      <c r="T128" s="151">
        <f t="shared" si="66"/>
        <v>5.192455673908567</v>
      </c>
      <c r="U128" s="151">
        <f t="shared" si="66"/>
        <v>5.2995188876425274</v>
      </c>
      <c r="V128" s="151">
        <f t="shared" si="66"/>
        <v>5.421715108689054</v>
      </c>
      <c r="W128" s="151">
        <f t="shared" si="66"/>
        <v>5.5463532170809229</v>
      </c>
      <c r="X128" s="151">
        <f t="shared" si="66"/>
        <v>5.6687527348200426</v>
      </c>
      <c r="Y128" s="151">
        <f t="shared" si="66"/>
        <v>5.772240022021915</v>
      </c>
      <c r="Z128" s="15">
        <f t="shared" si="67"/>
        <v>11.54448004404383</v>
      </c>
    </row>
    <row r="129" spans="1:26" ht="14.1" customHeight="1" thickBot="1">
      <c r="A129" s="4"/>
      <c r="B129" s="11"/>
      <c r="C129" s="151"/>
      <c r="D129" s="151"/>
      <c r="E129" s="151"/>
      <c r="F129" s="151"/>
      <c r="G129" s="151"/>
      <c r="H129" s="151"/>
      <c r="I129" s="151"/>
      <c r="J129" s="151"/>
      <c r="K129" s="151"/>
      <c r="L129" s="151"/>
      <c r="N129" s="154" t="str">
        <f>Ratings!H18</f>
        <v>KLO13</v>
      </c>
      <c r="O129" s="11">
        <f>Ratings!I18</f>
        <v>14.289419162443236</v>
      </c>
      <c r="P129" s="151" t="s">
        <v>36</v>
      </c>
      <c r="Q129" s="151">
        <f>Q18*60%</f>
        <v>9.0238527879729737</v>
      </c>
      <c r="R129" s="151">
        <f t="shared" ref="R129:Y129" si="68">R18*60%</f>
        <v>9.7682462570087196</v>
      </c>
      <c r="S129" s="151">
        <f t="shared" si="68"/>
        <v>10.113482088867194</v>
      </c>
      <c r="T129" s="151">
        <f t="shared" si="68"/>
        <v>10.303832698316512</v>
      </c>
      <c r="U129" s="151">
        <f t="shared" si="68"/>
        <v>10.724530679745614</v>
      </c>
      <c r="V129" s="151">
        <f t="shared" si="68"/>
        <v>11.18908043293276</v>
      </c>
      <c r="W129" s="151">
        <f t="shared" si="68"/>
        <v>11.672962153416124</v>
      </c>
      <c r="X129" s="151">
        <f t="shared" si="68"/>
        <v>12.166815386035502</v>
      </c>
      <c r="Y129" s="151">
        <f t="shared" si="68"/>
        <v>12.634254967457609</v>
      </c>
      <c r="Z129" s="15">
        <f t="shared" si="67"/>
        <v>21.05709161242935</v>
      </c>
    </row>
    <row r="130" spans="1:26" ht="14.1" customHeight="1" thickBot="1">
      <c r="A130" s="4"/>
      <c r="B130" s="11"/>
      <c r="C130" s="151"/>
      <c r="D130" s="151"/>
      <c r="E130" s="151"/>
      <c r="F130" s="151"/>
      <c r="G130" s="151"/>
      <c r="H130" s="151"/>
      <c r="I130" s="151"/>
      <c r="J130" s="151"/>
      <c r="K130" s="151"/>
      <c r="L130" s="151"/>
      <c r="N130" s="154" t="str">
        <f>Ratings!H19</f>
        <v>KLO21</v>
      </c>
      <c r="O130" s="11">
        <f>Ratings!I19</f>
        <v>14.289419162443236</v>
      </c>
      <c r="P130" s="151" t="s">
        <v>31</v>
      </c>
      <c r="Q130" s="151">
        <f>Q19*50%</f>
        <v>6.9611681355590243</v>
      </c>
      <c r="R130" s="151">
        <f t="shared" ref="R130:Y130" si="69">R19*50%</f>
        <v>8.2743917015604307</v>
      </c>
      <c r="S130" s="151">
        <f t="shared" si="69"/>
        <v>9.320520690983054</v>
      </c>
      <c r="T130" s="151">
        <f t="shared" si="69"/>
        <v>9.9701796520624146</v>
      </c>
      <c r="U130" s="151">
        <f t="shared" si="69"/>
        <v>10.677505796396254</v>
      </c>
      <c r="V130" s="151">
        <f t="shared" si="69"/>
        <v>11.140018593505234</v>
      </c>
      <c r="W130" s="151">
        <f t="shared" si="69"/>
        <v>11.621778591170125</v>
      </c>
      <c r="X130" s="151">
        <f t="shared" si="69"/>
        <v>12.113466377920671</v>
      </c>
      <c r="Y130" s="151">
        <f t="shared" si="69"/>
        <v>12.578856331956215</v>
      </c>
      <c r="Z130" s="15">
        <f t="shared" si="67"/>
        <v>25.157712663912431</v>
      </c>
    </row>
    <row r="131" spans="1:26" ht="14.1" customHeight="1" thickBot="1">
      <c r="A131" s="4"/>
      <c r="B131" s="1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N131" s="4" t="str">
        <f>Ratings!H48</f>
        <v>KLO23 reconfigured</v>
      </c>
      <c r="O131" s="155">
        <f>Ratings!I48</f>
        <v>24</v>
      </c>
      <c r="P131" s="151" t="s">
        <v>122</v>
      </c>
      <c r="Q131" s="151">
        <f t="shared" ref="Q131:Y131" si="70">Q21+Q18*40%+Q19*50%</f>
        <v>14.095936688277154</v>
      </c>
      <c r="R131" s="151">
        <f t="shared" si="70"/>
        <v>15.911376696076221</v>
      </c>
      <c r="S131" s="151">
        <f t="shared" si="70"/>
        <v>17.205003796378772</v>
      </c>
      <c r="T131" s="151">
        <f t="shared" si="70"/>
        <v>18.003060327268138</v>
      </c>
      <c r="U131" s="151">
        <f t="shared" si="70"/>
        <v>19.038363136602761</v>
      </c>
      <c r="V131" s="151">
        <f t="shared" si="70"/>
        <v>19.86303949403996</v>
      </c>
      <c r="W131" s="151">
        <f t="shared" si="70"/>
        <v>20.722034277571588</v>
      </c>
      <c r="X131" s="151">
        <f t="shared" si="70"/>
        <v>21.598730653343988</v>
      </c>
      <c r="Y131" s="151">
        <f t="shared" si="70"/>
        <v>22.428537081362599</v>
      </c>
      <c r="Z131" s="15">
        <f>Y21</f>
        <v>1.4268441044346414</v>
      </c>
    </row>
    <row r="132" spans="1:26" ht="14.1" customHeight="1" thickBot="1">
      <c r="A132" s="4"/>
      <c r="B132" s="11"/>
      <c r="C132" s="151"/>
      <c r="D132" s="151"/>
      <c r="E132" s="151"/>
      <c r="F132" s="151"/>
      <c r="G132" s="151"/>
      <c r="H132" s="151"/>
      <c r="I132" s="151"/>
      <c r="J132" s="151"/>
      <c r="K132" s="151"/>
      <c r="L132" s="151"/>
      <c r="N132" s="4" t="str">
        <f>Ratings!H29</f>
        <v>ST 24</v>
      </c>
      <c r="O132" s="155">
        <f>Ratings!I29</f>
        <v>14.289419162443236</v>
      </c>
      <c r="P132" s="151" t="s">
        <v>18</v>
      </c>
      <c r="Q132" s="151">
        <v>0</v>
      </c>
      <c r="R132" s="151">
        <v>0</v>
      </c>
      <c r="S132" s="151">
        <v>0</v>
      </c>
      <c r="T132" s="151">
        <v>0</v>
      </c>
      <c r="U132" s="151">
        <v>0</v>
      </c>
      <c r="V132" s="151">
        <v>0</v>
      </c>
      <c r="W132" s="151">
        <v>0</v>
      </c>
      <c r="X132" s="151">
        <v>0</v>
      </c>
      <c r="Y132" s="151">
        <v>0</v>
      </c>
      <c r="Z132" s="15">
        <f>Y29</f>
        <v>8.698962571871709</v>
      </c>
    </row>
    <row r="133" spans="1:26" ht="14.1" customHeight="1" thickBot="1">
      <c r="A133" s="4"/>
      <c r="B133" s="11"/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N133" s="4" t="str">
        <f>Ratings!H26</f>
        <v>ST 21</v>
      </c>
      <c r="O133" s="155">
        <f>Ratings!I26</f>
        <v>14.289419162443236</v>
      </c>
      <c r="P133" s="151" t="s">
        <v>123</v>
      </c>
      <c r="Q133" s="151">
        <f t="shared" ref="Q133:Y133" si="71">Q26+Q17*50%+Q15*50%</f>
        <v>10.960410442915308</v>
      </c>
      <c r="R133" s="151">
        <f t="shared" si="71"/>
        <v>10.976691507574772</v>
      </c>
      <c r="S133" s="151">
        <f t="shared" si="71"/>
        <v>11.055079149678486</v>
      </c>
      <c r="T133" s="151">
        <f t="shared" si="71"/>
        <v>11.145694072215452</v>
      </c>
      <c r="U133" s="151">
        <f t="shared" si="71"/>
        <v>11.36238875752225</v>
      </c>
      <c r="V133" s="151">
        <f t="shared" si="71"/>
        <v>11.611094614723253</v>
      </c>
      <c r="W133" s="151">
        <f t="shared" si="71"/>
        <v>11.864559624287264</v>
      </c>
      <c r="X133" s="151">
        <f t="shared" si="71"/>
        <v>12.112772654830588</v>
      </c>
      <c r="Y133" s="151">
        <f t="shared" si="71"/>
        <v>12.320169357846131</v>
      </c>
      <c r="Z133" s="15">
        <f>Y26</f>
        <v>1.3730949076558163</v>
      </c>
    </row>
    <row r="134" spans="1:26" ht="14.1" customHeight="1" thickBot="1">
      <c r="A134" s="4"/>
      <c r="B134" s="11"/>
      <c r="C134" s="151"/>
      <c r="D134" s="151"/>
      <c r="E134" s="151"/>
      <c r="F134" s="151"/>
      <c r="G134" s="151"/>
      <c r="H134" s="151"/>
      <c r="I134" s="151"/>
      <c r="J134" s="151"/>
      <c r="K134" s="151"/>
      <c r="L134" s="151"/>
      <c r="N134" s="4"/>
      <c r="O134" s="155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</row>
    <row r="135" spans="1:26" ht="14.1" customHeight="1" thickBot="1">
      <c r="A135" s="4"/>
      <c r="B135" s="1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N135" s="4"/>
      <c r="O135" s="155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</row>
    <row r="136" spans="1:26" ht="14.1" customHeight="1" thickBot="1">
      <c r="A136" s="4"/>
      <c r="B136" s="11"/>
      <c r="C136" s="151"/>
      <c r="D136" s="151"/>
      <c r="E136" s="151"/>
      <c r="F136" s="151"/>
      <c r="G136" s="151"/>
      <c r="H136" s="151"/>
      <c r="I136" s="151"/>
      <c r="J136" s="151"/>
      <c r="K136" s="151"/>
      <c r="L136" s="151"/>
      <c r="N136" s="4"/>
      <c r="O136" s="155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</row>
    <row r="137" spans="1:26" ht="14.1" customHeight="1" thickBot="1">
      <c r="A137" s="4"/>
      <c r="B137" s="11"/>
      <c r="C137" s="151"/>
      <c r="D137" s="151"/>
      <c r="E137" s="151"/>
      <c r="F137" s="151"/>
      <c r="G137" s="151"/>
      <c r="H137" s="151"/>
      <c r="I137" s="151"/>
      <c r="J137" s="151"/>
      <c r="K137" s="151"/>
      <c r="L137" s="151"/>
      <c r="N137" s="4"/>
      <c r="O137" s="155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</row>
    <row r="138" spans="1:26" ht="14.1" customHeight="1" thickBot="1">
      <c r="A138" s="4"/>
      <c r="B138" s="11"/>
      <c r="C138" s="151"/>
      <c r="D138" s="151"/>
      <c r="E138" s="151"/>
      <c r="F138" s="151"/>
      <c r="G138" s="151"/>
      <c r="H138" s="151"/>
      <c r="I138" s="151"/>
      <c r="J138" s="151"/>
      <c r="K138" s="151"/>
      <c r="L138" s="151"/>
      <c r="N138" s="4"/>
      <c r="O138" s="155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</row>
    <row r="139" spans="1:26" ht="14.1" customHeight="1" thickBot="1">
      <c r="A139" s="4"/>
      <c r="B139" s="11"/>
      <c r="C139" s="151"/>
      <c r="D139" s="151"/>
      <c r="E139" s="151"/>
      <c r="F139" s="151"/>
      <c r="G139" s="151"/>
      <c r="H139" s="151"/>
      <c r="I139" s="151"/>
      <c r="J139" s="151"/>
      <c r="K139" s="151"/>
      <c r="L139" s="151"/>
      <c r="N139" s="4"/>
      <c r="O139" s="155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</row>
    <row r="140" spans="1:26" ht="14.1" customHeight="1" thickBot="1">
      <c r="A140" s="4"/>
      <c r="B140" s="11"/>
      <c r="C140" s="151"/>
      <c r="D140" s="151"/>
      <c r="E140" s="151"/>
      <c r="F140" s="151"/>
      <c r="G140" s="151"/>
      <c r="H140" s="151"/>
      <c r="I140" s="151"/>
      <c r="J140" s="151"/>
      <c r="K140" s="151"/>
      <c r="L140" s="151"/>
      <c r="N140" s="4"/>
      <c r="O140" s="155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</row>
    <row r="141" spans="1:26" ht="14.1" customHeight="1" thickBot="1">
      <c r="A141" s="4"/>
      <c r="B141" s="11"/>
      <c r="C141" s="151"/>
      <c r="D141" s="151"/>
      <c r="E141" s="151"/>
      <c r="F141" s="151"/>
      <c r="G141" s="151"/>
      <c r="H141" s="151"/>
      <c r="I141" s="151"/>
      <c r="J141" s="151"/>
      <c r="K141" s="151"/>
      <c r="L141" s="151"/>
      <c r="N141" s="4"/>
      <c r="O141" s="155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</row>
    <row r="142" spans="1:26" ht="14.1" customHeight="1" thickBot="1">
      <c r="A142" s="4"/>
      <c r="B142" s="1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N142" s="154"/>
      <c r="O142" s="1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</row>
    <row r="143" spans="1:26" ht="14.1" customHeight="1" thickBot="1">
      <c r="A143" s="4"/>
      <c r="B143" s="11"/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N143" s="4"/>
      <c r="O143" s="155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</row>
    <row r="144" spans="1:26" ht="14.1" customHeight="1" thickBot="1">
      <c r="A144" s="4"/>
      <c r="B144" s="11"/>
      <c r="C144" s="151"/>
      <c r="D144" s="151"/>
      <c r="E144" s="151"/>
      <c r="F144" s="151"/>
      <c r="G144" s="151"/>
      <c r="H144" s="151"/>
      <c r="I144" s="151"/>
      <c r="J144" s="151"/>
      <c r="K144" s="151"/>
      <c r="L144" s="151"/>
      <c r="N144" s="4"/>
      <c r="O144" s="155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</row>
    <row r="145" spans="1:25" ht="14.1" customHeight="1" thickBot="1">
      <c r="A145" s="4"/>
      <c r="B145" s="11"/>
      <c r="C145" s="151"/>
      <c r="D145" s="151"/>
      <c r="E145" s="151"/>
      <c r="F145" s="151"/>
      <c r="G145" s="151"/>
      <c r="H145" s="151"/>
      <c r="I145" s="151"/>
      <c r="J145" s="151"/>
      <c r="K145" s="151"/>
      <c r="L145" s="151"/>
      <c r="N145" s="154"/>
      <c r="O145" s="1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</row>
    <row r="146" spans="1:25" ht="14.1" customHeight="1" thickBot="1">
      <c r="A146" s="4"/>
      <c r="B146" s="11"/>
      <c r="C146" s="151"/>
      <c r="D146" s="151"/>
      <c r="E146" s="151"/>
      <c r="F146" s="151"/>
      <c r="G146" s="151"/>
      <c r="H146" s="151"/>
      <c r="I146" s="151"/>
      <c r="J146" s="151"/>
      <c r="K146" s="151"/>
      <c r="L146" s="151"/>
      <c r="N146" s="154"/>
      <c r="O146" s="1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</row>
    <row r="147" spans="1:25" ht="14.1" customHeight="1" thickBot="1">
      <c r="A147" s="4"/>
      <c r="B147" s="11"/>
      <c r="C147" s="151"/>
      <c r="D147" s="151"/>
      <c r="E147" s="151"/>
      <c r="F147" s="151"/>
      <c r="G147" s="151"/>
      <c r="H147" s="151"/>
      <c r="I147" s="151"/>
      <c r="J147" s="151"/>
      <c r="K147" s="151"/>
      <c r="L147" s="151"/>
      <c r="N147" s="4"/>
      <c r="O147" s="155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</row>
    <row r="148" spans="1:25" ht="14.1" customHeight="1" thickBot="1">
      <c r="A148" s="4"/>
      <c r="B148" s="11"/>
      <c r="C148" s="151"/>
      <c r="D148" s="151"/>
      <c r="E148" s="151"/>
      <c r="F148" s="151"/>
      <c r="G148" s="151"/>
      <c r="H148" s="151"/>
      <c r="I148" s="151"/>
      <c r="J148" s="151"/>
      <c r="K148" s="151"/>
      <c r="L148" s="151"/>
      <c r="N148" s="4"/>
      <c r="O148" s="1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</row>
    <row r="149" spans="1:25" ht="14.1" customHeight="1" thickBot="1">
      <c r="A149" s="4"/>
      <c r="B149" s="11"/>
      <c r="C149" s="151"/>
      <c r="D149" s="151"/>
      <c r="E149" s="151"/>
      <c r="F149" s="151"/>
      <c r="G149" s="151"/>
      <c r="H149" s="151"/>
      <c r="I149" s="151"/>
      <c r="J149" s="151"/>
      <c r="K149" s="151"/>
      <c r="L149" s="151"/>
      <c r="N149" s="4"/>
      <c r="O149" s="1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</row>
    <row r="150" spans="1:25" ht="14.1" customHeight="1" thickBot="1">
      <c r="A150" s="4"/>
      <c r="B150" s="11"/>
      <c r="C150" s="151"/>
      <c r="D150" s="151"/>
      <c r="E150" s="151"/>
      <c r="F150" s="151"/>
      <c r="G150" s="151"/>
      <c r="H150" s="151"/>
      <c r="I150" s="151"/>
      <c r="J150" s="151"/>
      <c r="K150" s="151"/>
      <c r="L150" s="151"/>
      <c r="N150" s="4"/>
      <c r="O150" s="11"/>
      <c r="P150" s="152"/>
      <c r="Q150" s="151"/>
      <c r="R150" s="151"/>
      <c r="S150" s="151"/>
      <c r="T150" s="151"/>
      <c r="U150" s="151"/>
      <c r="V150" s="151"/>
      <c r="W150" s="151"/>
      <c r="X150" s="151"/>
      <c r="Y150" s="151"/>
    </row>
    <row r="151" spans="1:25" ht="14.1" customHeight="1" thickBot="1">
      <c r="A151" s="4"/>
      <c r="B151" s="11"/>
      <c r="C151" s="151"/>
      <c r="D151" s="151"/>
      <c r="E151" s="151"/>
      <c r="F151" s="151"/>
      <c r="G151" s="151"/>
      <c r="H151" s="151"/>
      <c r="I151" s="151"/>
      <c r="J151" s="151"/>
      <c r="K151" s="151"/>
      <c r="L151" s="151"/>
      <c r="N151" s="4"/>
      <c r="O151" s="11"/>
      <c r="P151" s="152"/>
      <c r="Q151" s="151"/>
      <c r="R151" s="151"/>
      <c r="S151" s="151"/>
      <c r="T151" s="151"/>
      <c r="U151" s="151"/>
      <c r="V151" s="151"/>
      <c r="W151" s="151"/>
      <c r="X151" s="151"/>
      <c r="Y151" s="151"/>
    </row>
    <row r="152" spans="1:25" ht="14.1" customHeight="1" thickBot="1">
      <c r="A152" s="4"/>
      <c r="B152" s="11"/>
      <c r="C152" s="151"/>
      <c r="D152" s="151"/>
      <c r="E152" s="151"/>
      <c r="F152" s="151"/>
      <c r="G152" s="151"/>
      <c r="H152" s="151"/>
      <c r="I152" s="151"/>
      <c r="J152" s="151"/>
      <c r="K152" s="151"/>
      <c r="L152" s="151"/>
      <c r="N152" s="4"/>
      <c r="O152" s="11"/>
      <c r="P152" s="152"/>
      <c r="Q152" s="151"/>
      <c r="R152" s="151"/>
      <c r="S152" s="151"/>
      <c r="T152" s="151"/>
      <c r="U152" s="151"/>
      <c r="V152" s="151"/>
      <c r="W152" s="151"/>
      <c r="X152" s="151"/>
      <c r="Y152" s="151"/>
    </row>
    <row r="153" spans="1:25" ht="14.1" customHeight="1" thickBot="1">
      <c r="A153" s="4"/>
      <c r="B153" s="11"/>
      <c r="C153" s="151"/>
      <c r="D153" s="151"/>
      <c r="E153" s="151"/>
      <c r="F153" s="151"/>
      <c r="G153" s="151"/>
      <c r="H153" s="151"/>
      <c r="I153" s="151"/>
      <c r="J153" s="151"/>
      <c r="K153" s="151"/>
      <c r="L153" s="151"/>
      <c r="N153" s="4"/>
      <c r="O153" s="11"/>
      <c r="P153" s="152"/>
      <c r="Q153" s="151"/>
      <c r="R153" s="151"/>
      <c r="S153" s="151"/>
      <c r="T153" s="151"/>
      <c r="U153" s="151"/>
      <c r="V153" s="151"/>
      <c r="W153" s="151"/>
      <c r="X153" s="151"/>
      <c r="Y153" s="151"/>
    </row>
  </sheetData>
  <conditionalFormatting sqref="C2:L43">
    <cfRule type="cellIs" dxfId="19" priority="4" operator="greaterThan">
      <formula>$B2</formula>
    </cfRule>
  </conditionalFormatting>
  <conditionalFormatting sqref="C46:L153">
    <cfRule type="cellIs" dxfId="18" priority="1" operator="greaterThan">
      <formula>$B46</formula>
    </cfRule>
  </conditionalFormatting>
  <conditionalFormatting sqref="P2:Y43">
    <cfRule type="cellIs" dxfId="17" priority="3" stopIfTrue="1" operator="greaterThan">
      <formula>$O2</formula>
    </cfRule>
  </conditionalFormatting>
  <conditionalFormatting sqref="Q47:Y153">
    <cfRule type="cellIs" dxfId="16" priority="2" operator="greaterThan">
      <formula>$O47</formula>
    </cfRule>
  </conditionalFormatting>
  <pageMargins left="0.7" right="0.7" top="0.75" bottom="0.75" header="0.3" footer="0.3"/>
  <pageSetup paperSize="9" orientation="portrait" horizontalDpi="0" verticalDpi="0" r:id="rId1"/>
  <customProperties>
    <customPr name="_pios_id" r:id="rId2"/>
    <customPr name="EpmWorksheetKeyString_GUID" r:id="rId3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90C2-D507-4721-A8CE-D12A9FD82AB7}">
  <sheetPr codeName="Sheet2">
    <tabColor theme="5"/>
  </sheetPr>
  <dimension ref="A1:Z153"/>
  <sheetViews>
    <sheetView topLeftCell="A76" zoomScale="25" zoomScaleNormal="25" workbookViewId="0">
      <selection activeCell="A46" sqref="A46:L153"/>
    </sheetView>
  </sheetViews>
  <sheetFormatPr defaultRowHeight="14.45"/>
  <cols>
    <col min="1" max="1" width="33.28515625" customWidth="1"/>
    <col min="2" max="2" width="7.7109375" customWidth="1"/>
    <col min="14" max="14" width="28" bestFit="1" customWidth="1"/>
    <col min="15" max="15" width="8.7109375" style="10" customWidth="1"/>
  </cols>
  <sheetData>
    <row r="1" spans="1:25" ht="14.1" customHeight="1" thickBot="1">
      <c r="A1" s="1" t="s">
        <v>96</v>
      </c>
      <c r="B1" s="2" t="s">
        <v>94</v>
      </c>
      <c r="C1" s="2">
        <f>Costs!B9</f>
        <v>2025</v>
      </c>
      <c r="D1" s="2">
        <f>C1+1</f>
        <v>2026</v>
      </c>
      <c r="E1" s="2">
        <f t="shared" ref="E1:L1" si="0">D1+1</f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9">
        <f>((L2+L3+L4+L5)-(C2+C3+C4+C5))/(C2+C3+C4+C5)/9</f>
        <v>4.4105604877564909E-2</v>
      </c>
      <c r="N1" s="1" t="str">
        <f>A1</f>
        <v>Option 1 - Do Nothing</v>
      </c>
      <c r="O1" s="2" t="str">
        <f>B1</f>
        <v>Rating</v>
      </c>
      <c r="P1" s="2">
        <f t="shared" ref="P1:Y1" si="1">C1</f>
        <v>2025</v>
      </c>
      <c r="Q1" s="2">
        <f t="shared" si="1"/>
        <v>2026</v>
      </c>
      <c r="R1" s="2">
        <f t="shared" si="1"/>
        <v>2027</v>
      </c>
      <c r="S1" s="2">
        <f t="shared" si="1"/>
        <v>2028</v>
      </c>
      <c r="T1" s="2">
        <f t="shared" si="1"/>
        <v>2029</v>
      </c>
      <c r="U1" s="2">
        <f t="shared" si="1"/>
        <v>2030</v>
      </c>
      <c r="V1" s="2">
        <f t="shared" si="1"/>
        <v>2031</v>
      </c>
      <c r="W1" s="2">
        <f t="shared" si="1"/>
        <v>2032</v>
      </c>
      <c r="X1" s="2">
        <f t="shared" si="1"/>
        <v>2033</v>
      </c>
      <c r="Y1" s="2">
        <f t="shared" si="1"/>
        <v>2034</v>
      </c>
    </row>
    <row r="2" spans="1:25" ht="14.1" customHeight="1" thickTop="1" thickBot="1">
      <c r="A2" s="4" t="str">
        <f>Historical!A2</f>
        <v>ST</v>
      </c>
      <c r="B2" s="11">
        <f>Ratings!E2</f>
        <v>89.3</v>
      </c>
      <c r="C2" s="11">
        <v>82.001492140834856</v>
      </c>
      <c r="D2" s="11">
        <v>87.88770546319445</v>
      </c>
      <c r="E2" s="11">
        <v>93.927873477817414</v>
      </c>
      <c r="F2" s="11">
        <v>98.659250482470071</v>
      </c>
      <c r="G2" s="11">
        <v>102.34686276070188</v>
      </c>
      <c r="H2" s="11">
        <v>104.78253430066096</v>
      </c>
      <c r="I2" s="11">
        <v>107.0160716585563</v>
      </c>
      <c r="J2" s="11">
        <v>109.24174852643999</v>
      </c>
      <c r="K2" s="11">
        <v>111.49367503322762</v>
      </c>
      <c r="L2" s="11">
        <v>113.76302831336636</v>
      </c>
      <c r="M2" s="28">
        <f>($L3-$C3)/$C3/9</f>
        <v>0.11542673086141181</v>
      </c>
      <c r="N2" s="4" t="str">
        <f>Historical!N2</f>
        <v>BD 01</v>
      </c>
      <c r="O2" s="11">
        <f>Ratings!J2</f>
        <v>14.289419162443236</v>
      </c>
      <c r="P2" s="151">
        <v>8.0393638525130697</v>
      </c>
      <c r="Q2" s="151">
        <v>9.7546145559737898</v>
      </c>
      <c r="R2" s="151">
        <v>11.378612101882569</v>
      </c>
      <c r="S2" s="151">
        <v>11.993156365442541</v>
      </c>
      <c r="T2" s="151">
        <v>12.126975467722314</v>
      </c>
      <c r="U2" s="151">
        <v>12.282226252727519</v>
      </c>
      <c r="V2" s="151">
        <v>12.434549434585003</v>
      </c>
      <c r="W2" s="151">
        <v>12.583535923482318</v>
      </c>
      <c r="X2" s="151">
        <v>12.734806791343976</v>
      </c>
      <c r="Y2" s="151">
        <v>12.886651474870364</v>
      </c>
    </row>
    <row r="3" spans="1:25" ht="14.1" customHeight="1" thickBot="1">
      <c r="A3" s="4" t="str">
        <f>Historical!A3</f>
        <v>KLO</v>
      </c>
      <c r="B3" s="11">
        <f>Ratings!E3</f>
        <v>49.1</v>
      </c>
      <c r="C3" s="11">
        <v>26.438097055402139</v>
      </c>
      <c r="D3" s="11">
        <v>31.822847496953717</v>
      </c>
      <c r="E3" s="11">
        <v>36.175592063327883</v>
      </c>
      <c r="F3" s="11">
        <v>40.006636809239154</v>
      </c>
      <c r="G3" s="11">
        <v>42.722649667513863</v>
      </c>
      <c r="H3" s="11">
        <v>45.149989378972357</v>
      </c>
      <c r="I3" s="11">
        <v>47.275247371293808</v>
      </c>
      <c r="J3" s="11">
        <v>49.444363050783615</v>
      </c>
      <c r="K3" s="11">
        <v>51.652237629131491</v>
      </c>
      <c r="L3" s="11">
        <v>53.903065075118221</v>
      </c>
      <c r="M3" s="28">
        <f>($L4-$C4)/$C4/9</f>
        <v>2.47914031647023E-2</v>
      </c>
      <c r="N3" s="4" t="str">
        <f>Historical!N3</f>
        <v>BD 02</v>
      </c>
      <c r="O3" s="11">
        <f>Ratings!J3</f>
        <v>22.482019482244024</v>
      </c>
      <c r="P3" s="151">
        <v>0</v>
      </c>
      <c r="Q3" s="151">
        <v>0</v>
      </c>
      <c r="R3" s="151">
        <v>0</v>
      </c>
      <c r="S3" s="151">
        <v>0</v>
      </c>
      <c r="T3" s="151">
        <v>0</v>
      </c>
      <c r="U3" s="151">
        <v>0</v>
      </c>
      <c r="V3" s="151">
        <v>0</v>
      </c>
      <c r="W3" s="151">
        <v>0</v>
      </c>
      <c r="X3" s="151">
        <v>0</v>
      </c>
      <c r="Y3" s="151">
        <f t="shared" ref="Y3:Y13" si="2">X3+X3-W3</f>
        <v>0</v>
      </c>
    </row>
    <row r="4" spans="1:25" ht="14.1" customHeight="1" thickBot="1">
      <c r="A4" s="4" t="str">
        <f>Historical!A4</f>
        <v>BD</v>
      </c>
      <c r="B4" s="11">
        <f>Ratings!E4</f>
        <v>125.1</v>
      </c>
      <c r="C4" s="11">
        <v>78.387918944765474</v>
      </c>
      <c r="D4" s="11">
        <v>83.114180062593633</v>
      </c>
      <c r="E4" s="11">
        <v>87.078112248661412</v>
      </c>
      <c r="F4" s="11">
        <v>89.560639493471115</v>
      </c>
      <c r="G4" s="11">
        <v>90.642695717413005</v>
      </c>
      <c r="H4" s="11">
        <v>91.714644385501941</v>
      </c>
      <c r="I4" s="11">
        <v>92.764505032074013</v>
      </c>
      <c r="J4" s="11">
        <v>93.789212504611356</v>
      </c>
      <c r="K4" s="11">
        <v>94.831385672498826</v>
      </c>
      <c r="L4" s="11">
        <v>95.87803746098065</v>
      </c>
      <c r="M4" s="28">
        <f>($L5-$C5)/$C5/9</f>
        <v>3.592749838063887E-2</v>
      </c>
      <c r="N4" s="4" t="str">
        <f>Historical!N4</f>
        <v>BD 04</v>
      </c>
      <c r="O4" s="11">
        <f>Ratings!J4</f>
        <v>11.6</v>
      </c>
      <c r="P4" s="151">
        <v>5.7051721870048624</v>
      </c>
      <c r="Q4" s="151">
        <v>6.1347861850751446</v>
      </c>
      <c r="R4" s="151">
        <v>6.6243551662553486</v>
      </c>
      <c r="S4" s="151">
        <v>6.999931871296079</v>
      </c>
      <c r="T4" s="151">
        <v>7.1900213845329839</v>
      </c>
      <c r="U4" s="151">
        <v>7.3960726631226041</v>
      </c>
      <c r="V4" s="151">
        <v>7.6039019075210872</v>
      </c>
      <c r="W4" s="151">
        <v>7.8132196382212911</v>
      </c>
      <c r="X4" s="151">
        <v>8.0275217723525856</v>
      </c>
      <c r="Y4" s="151">
        <v>8.2458262909011246</v>
      </c>
    </row>
    <row r="5" spans="1:25" ht="14.1" customHeight="1" thickBot="1">
      <c r="A5" s="4" t="str">
        <f>Historical!A5</f>
        <v>COO</v>
      </c>
      <c r="B5" s="11">
        <f>Ratings!E5</f>
        <v>39.6</v>
      </c>
      <c r="C5" s="11">
        <v>34.718175363553641</v>
      </c>
      <c r="D5" s="11">
        <v>37.06580786818062</v>
      </c>
      <c r="E5" s="11">
        <v>38.89329284363707</v>
      </c>
      <c r="F5" s="11">
        <v>40.079519383925636</v>
      </c>
      <c r="G5" s="11">
        <v>41.026359106687735</v>
      </c>
      <c r="H5" s="11">
        <v>42.116661215124552</v>
      </c>
      <c r="I5" s="11">
        <v>42.925511850150087</v>
      </c>
      <c r="J5" s="11">
        <v>43.921734515868479</v>
      </c>
      <c r="K5" s="11">
        <v>44.929176670992156</v>
      </c>
      <c r="L5" s="11">
        <v>45.944210065928928</v>
      </c>
      <c r="M5" s="28">
        <f>($L6-$C6)/$C6/9</f>
        <v>1.0392620783151889E-2</v>
      </c>
      <c r="N5" s="4" t="str">
        <f>Historical!N5</f>
        <v>BD 06</v>
      </c>
      <c r="O5" s="11">
        <f>Ratings!J5</f>
        <v>22.482019482244024</v>
      </c>
      <c r="P5" s="151">
        <v>0</v>
      </c>
      <c r="Q5" s="151">
        <v>0.78946589062780181</v>
      </c>
      <c r="R5" s="151">
        <v>1.8773471916499429</v>
      </c>
      <c r="S5" s="151">
        <v>2.7446266586530901</v>
      </c>
      <c r="T5" s="151">
        <v>2.8102844550440378</v>
      </c>
      <c r="U5" s="151">
        <v>2.8981725277309627</v>
      </c>
      <c r="V5" s="151">
        <v>2.9527320828668597</v>
      </c>
      <c r="W5" s="151">
        <v>3.0043342229788403</v>
      </c>
      <c r="X5" s="151">
        <v>3.0521662199304402</v>
      </c>
      <c r="Y5" s="151">
        <v>3.0967423453694609</v>
      </c>
    </row>
    <row r="6" spans="1:25" ht="14.1" customHeight="1" thickBot="1">
      <c r="A6" s="4" t="str">
        <f>Historical!A6</f>
        <v>BMS</v>
      </c>
      <c r="B6" s="11">
        <f>Ratings!E7</f>
        <v>39.6</v>
      </c>
      <c r="C6" s="11">
        <v>35.230568864565903</v>
      </c>
      <c r="D6" s="11">
        <v>35.945445755118442</v>
      </c>
      <c r="E6" s="11">
        <v>36.564608779097497</v>
      </c>
      <c r="F6" s="11">
        <v>36.931648616285628</v>
      </c>
      <c r="G6" s="11">
        <v>37.249561740713794</v>
      </c>
      <c r="H6" s="11">
        <v>37.613991756712963</v>
      </c>
      <c r="I6" s="11">
        <v>37.968410830308308</v>
      </c>
      <c r="J6" s="11">
        <v>37.835021975222837</v>
      </c>
      <c r="K6" s="11">
        <v>38.179999071934603</v>
      </c>
      <c r="L6" s="11">
        <v>38.525810344223267</v>
      </c>
      <c r="M6" s="30"/>
      <c r="N6" s="4" t="str">
        <f>Historical!N6</f>
        <v>BD 08</v>
      </c>
      <c r="O6" s="11">
        <f>Ratings!J6</f>
        <v>11.622060918787167</v>
      </c>
      <c r="P6" s="151">
        <v>10.19101375399082</v>
      </c>
      <c r="Q6" s="151">
        <v>10.717595513874752</v>
      </c>
      <c r="R6" s="151">
        <v>11.136855129712854</v>
      </c>
      <c r="S6" s="151">
        <v>11.253177819808361</v>
      </c>
      <c r="T6" s="151">
        <v>11.257259009800753</v>
      </c>
      <c r="U6" s="151">
        <v>11.28093847838081</v>
      </c>
      <c r="V6" s="151">
        <v>11.301462077707493</v>
      </c>
      <c r="W6" s="151">
        <v>11.3185597830586</v>
      </c>
      <c r="X6" s="151">
        <v>11.337341065146656</v>
      </c>
      <c r="Y6" s="151">
        <v>11.356247315381568</v>
      </c>
    </row>
    <row r="7" spans="1:25" ht="14.1" customHeight="1" thickBot="1">
      <c r="A7" s="4" t="str">
        <f>Historical!A7</f>
        <v>SMTS-ST-SSS-SMTS</v>
      </c>
      <c r="B7" s="11">
        <f>Ratings!C38</f>
        <v>126.3</v>
      </c>
      <c r="C7" s="11">
        <f>C2</f>
        <v>82.001492140834856</v>
      </c>
      <c r="D7" s="11">
        <f t="shared" ref="D7:K7" si="3">D2</f>
        <v>87.88770546319445</v>
      </c>
      <c r="E7" s="11">
        <f t="shared" si="3"/>
        <v>93.927873477817414</v>
      </c>
      <c r="F7" s="11">
        <f t="shared" si="3"/>
        <v>98.659250482470071</v>
      </c>
      <c r="G7" s="11">
        <f t="shared" si="3"/>
        <v>102.34686276070188</v>
      </c>
      <c r="H7" s="11">
        <f t="shared" si="3"/>
        <v>104.78253430066096</v>
      </c>
      <c r="I7" s="11">
        <f t="shared" si="3"/>
        <v>107.0160716585563</v>
      </c>
      <c r="J7" s="11">
        <f t="shared" si="3"/>
        <v>109.24174852643999</v>
      </c>
      <c r="K7" s="11">
        <f t="shared" si="3"/>
        <v>111.49367503322762</v>
      </c>
      <c r="L7" s="11">
        <f t="shared" ref="L7:L8" si="4">K7+K7-J7</f>
        <v>113.74560154001524</v>
      </c>
      <c r="M7" s="28"/>
      <c r="N7" s="4" t="str">
        <f>Historical!N7</f>
        <v>BD 09</v>
      </c>
      <c r="O7" s="11">
        <f>Ratings!J7</f>
        <v>13.146265629447777</v>
      </c>
      <c r="P7" s="151">
        <v>4.9382150971654175</v>
      </c>
      <c r="Q7" s="151">
        <v>5.2987861258841411</v>
      </c>
      <c r="R7" s="151">
        <v>5.5892765620476306</v>
      </c>
      <c r="S7" s="151">
        <v>5.6486691417072743</v>
      </c>
      <c r="T7" s="151">
        <v>5.7116967393292635</v>
      </c>
      <c r="U7" s="151">
        <v>5.7848184674017542</v>
      </c>
      <c r="V7" s="151">
        <v>5.8565613206346443</v>
      </c>
      <c r="W7" s="151">
        <v>5.9267326213933424</v>
      </c>
      <c r="X7" s="151">
        <v>5.997979844167121</v>
      </c>
      <c r="Y7" s="151">
        <v>6.0694973289753138</v>
      </c>
    </row>
    <row r="8" spans="1:25" ht="14.1" customHeight="1" thickBot="1">
      <c r="A8" s="4" t="str">
        <f>Historical!A8</f>
        <v>TTS-COO-VCO-BD-BMS-TTS</v>
      </c>
      <c r="B8" s="11">
        <f>Ratings!C49</f>
        <v>217.33903638151426</v>
      </c>
      <c r="C8" s="11">
        <f>C4+C5+C6+C9</f>
        <v>177.44211075621337</v>
      </c>
      <c r="D8" s="11">
        <f t="shared" ref="D8:K8" si="5">D4+D5+D6+D9</f>
        <v>185.18240229112808</v>
      </c>
      <c r="E8" s="11">
        <f t="shared" si="5"/>
        <v>191.55346613483212</v>
      </c>
      <c r="F8" s="11">
        <f t="shared" si="5"/>
        <v>195.55794953670326</v>
      </c>
      <c r="G8" s="11">
        <f t="shared" si="5"/>
        <v>197.88630332519043</v>
      </c>
      <c r="H8" s="11">
        <f t="shared" si="5"/>
        <v>200.41597583761495</v>
      </c>
      <c r="I8" s="11">
        <f t="shared" si="5"/>
        <v>202.62388212203177</v>
      </c>
      <c r="J8" s="11">
        <f t="shared" si="5"/>
        <v>204.49734178660802</v>
      </c>
      <c r="K8" s="11">
        <f t="shared" si="5"/>
        <v>206.88209117219554</v>
      </c>
      <c r="L8" s="11">
        <f t="shared" si="4"/>
        <v>209.26684055778307</v>
      </c>
      <c r="M8" s="28"/>
      <c r="N8" s="4" t="str">
        <f>Historical!N8</f>
        <v>BD 13</v>
      </c>
      <c r="O8" s="11">
        <f>Ratings!J8</f>
        <v>12.003112096452318</v>
      </c>
      <c r="P8" s="151">
        <v>9.2481631862026816</v>
      </c>
      <c r="Q8" s="151">
        <v>9.6265358663105136</v>
      </c>
      <c r="R8" s="151">
        <v>9.885759230311626</v>
      </c>
      <c r="S8" s="151">
        <v>10.112328011452348</v>
      </c>
      <c r="T8" s="151">
        <v>10.225160915086489</v>
      </c>
      <c r="U8" s="151">
        <v>10.356064474930987</v>
      </c>
      <c r="V8" s="151">
        <v>10.484499553383678</v>
      </c>
      <c r="W8" s="151">
        <v>10.610121216196763</v>
      </c>
      <c r="X8" s="151">
        <v>10.737669009937026</v>
      </c>
      <c r="Y8" s="151">
        <v>10.865700630623509</v>
      </c>
    </row>
    <row r="9" spans="1:25" ht="14.1" customHeight="1" thickBot="1">
      <c r="A9" s="4" t="s">
        <v>95</v>
      </c>
      <c r="B9" s="11"/>
      <c r="C9" s="11">
        <v>29.105447583328349</v>
      </c>
      <c r="D9" s="11">
        <v>29.056968605235383</v>
      </c>
      <c r="E9" s="11">
        <v>29.017452263436123</v>
      </c>
      <c r="F9" s="11">
        <v>28.986142043020902</v>
      </c>
      <c r="G9" s="11">
        <v>28.967686760375909</v>
      </c>
      <c r="H9" s="11">
        <v>28.970678480275538</v>
      </c>
      <c r="I9" s="11">
        <v>28.965454409499383</v>
      </c>
      <c r="J9" s="11">
        <v>28.951372790905335</v>
      </c>
      <c r="K9" s="11">
        <v>28.941529756769967</v>
      </c>
      <c r="L9" s="11">
        <v>28.931929049670355</v>
      </c>
      <c r="M9" s="28"/>
      <c r="N9" s="4" t="str">
        <f>Historical!N9</f>
        <v>BD 14</v>
      </c>
      <c r="O9" s="11">
        <f>Ratings!J9</f>
        <v>12.003112096452318</v>
      </c>
      <c r="P9" s="151">
        <v>9.2479439305048778</v>
      </c>
      <c r="Q9" s="151">
        <v>9.3392396360191707</v>
      </c>
      <c r="R9" s="151">
        <v>9.4350625583551579</v>
      </c>
      <c r="S9" s="151">
        <v>9.5353210977868752</v>
      </c>
      <c r="T9" s="151">
        <v>9.6417157840874683</v>
      </c>
      <c r="U9" s="151">
        <v>9.765150019463043</v>
      </c>
      <c r="V9" s="151">
        <v>9.8862566243792322</v>
      </c>
      <c r="W9" s="151">
        <v>10.004710346450363</v>
      </c>
      <c r="X9" s="151">
        <v>10.124980294898467</v>
      </c>
      <c r="Y9" s="151">
        <v>10.245706463247938</v>
      </c>
    </row>
    <row r="10" spans="1:25" ht="14.1" customHeight="1" thickBot="1">
      <c r="A10" s="4" t="s">
        <v>97</v>
      </c>
      <c r="B10" s="11">
        <v>33</v>
      </c>
      <c r="C10" s="11">
        <f>(P10+P11+P12+P13)*C$5/SUM(P$10:P$17)</f>
        <v>9.3286818585478049</v>
      </c>
      <c r="D10" s="11">
        <f t="shared" ref="D10:L10" si="6">(Q10+Q11+Q12+Q13)*D$5/SUM(Q$10:Q$17)</f>
        <v>10.139128642651931</v>
      </c>
      <c r="E10" s="11">
        <f t="shared" si="6"/>
        <v>10.769993809030924</v>
      </c>
      <c r="F10" s="11">
        <f t="shared" si="6"/>
        <v>10.94514628708229</v>
      </c>
      <c r="G10" s="11">
        <f t="shared" si="6"/>
        <v>11.144137292168898</v>
      </c>
      <c r="H10" s="11">
        <f t="shared" si="6"/>
        <v>11.373208164284389</v>
      </c>
      <c r="I10" s="11">
        <f t="shared" si="6"/>
        <v>11.588045125105998</v>
      </c>
      <c r="J10" s="11">
        <f t="shared" si="6"/>
        <v>11.854516725093166</v>
      </c>
      <c r="K10" s="11">
        <f t="shared" si="6"/>
        <v>12.127754721308705</v>
      </c>
      <c r="L10" s="11">
        <f t="shared" si="6"/>
        <v>12.405826722389383</v>
      </c>
      <c r="M10" s="28" t="s">
        <v>98</v>
      </c>
      <c r="N10" s="4" t="str">
        <f>Historical!N10</f>
        <v>COO11</v>
      </c>
      <c r="O10" s="11">
        <f>Ratings!J10</f>
        <v>10.859958563456859</v>
      </c>
      <c r="P10" s="151">
        <v>5.0986837231997848</v>
      </c>
      <c r="Q10" s="151">
        <v>5.3653902472124999</v>
      </c>
      <c r="R10" s="151">
        <v>5.547913948458719</v>
      </c>
      <c r="S10" s="151">
        <v>5.6719995362906417</v>
      </c>
      <c r="T10" s="151">
        <v>5.7945661663686039</v>
      </c>
      <c r="U10" s="151">
        <v>5.9488466636858313</v>
      </c>
      <c r="V10" s="151">
        <v>6.1039219610878854</v>
      </c>
      <c r="W10" s="151">
        <v>6.2595535776386093</v>
      </c>
      <c r="X10" s="151">
        <v>6.4185315676977206</v>
      </c>
      <c r="Y10" s="151">
        <v>6.5800505834144944</v>
      </c>
    </row>
    <row r="11" spans="1:25" ht="14.1" customHeight="1" thickBot="1">
      <c r="A11" s="4" t="s">
        <v>99</v>
      </c>
      <c r="B11" s="11">
        <v>33</v>
      </c>
      <c r="C11" s="11">
        <f>(P14+P15+P16+P17)*C$5/SUM(P$10:P$17)</f>
        <v>25.389493505005838</v>
      </c>
      <c r="D11" s="11">
        <f t="shared" ref="D11:L11" si="7">(Q14+Q15+Q16+Q17)*D$5/SUM(Q$10:Q$17)</f>
        <v>26.926679225528694</v>
      </c>
      <c r="E11" s="11">
        <f t="shared" si="7"/>
        <v>28.123299034606152</v>
      </c>
      <c r="F11" s="11">
        <f t="shared" si="7"/>
        <v>29.134373096843344</v>
      </c>
      <c r="G11" s="11">
        <f t="shared" si="7"/>
        <v>29.882221814518836</v>
      </c>
      <c r="H11" s="11">
        <f t="shared" si="7"/>
        <v>30.743453050840163</v>
      </c>
      <c r="I11" s="11">
        <f t="shared" si="7"/>
        <v>31.337466725044088</v>
      </c>
      <c r="J11" s="11">
        <f t="shared" si="7"/>
        <v>32.06721779077531</v>
      </c>
      <c r="K11" s="11">
        <f t="shared" si="7"/>
        <v>32.801421949683458</v>
      </c>
      <c r="L11" s="11">
        <f t="shared" si="7"/>
        <v>33.538383343539543</v>
      </c>
      <c r="M11" s="42">
        <f>B11+B10*L10/L11</f>
        <v>45.206679065158653</v>
      </c>
      <c r="N11" s="4" t="str">
        <f>Historical!N11</f>
        <v>COO12</v>
      </c>
      <c r="O11" s="11">
        <f>Ratings!J11</f>
        <v>14.3</v>
      </c>
      <c r="P11" s="151">
        <v>7.5257898895972115</v>
      </c>
      <c r="Q11" s="151">
        <v>8.7051610068792016</v>
      </c>
      <c r="R11" s="151">
        <v>9.6479008241690103</v>
      </c>
      <c r="S11" s="151">
        <v>9.8898047236725546</v>
      </c>
      <c r="T11" s="151">
        <v>10.126115779840875</v>
      </c>
      <c r="U11" s="151">
        <v>10.395723915040529</v>
      </c>
      <c r="V11" s="151">
        <v>10.666720978668945</v>
      </c>
      <c r="W11" s="151">
        <v>10.93869022070524</v>
      </c>
      <c r="X11" s="151">
        <v>11.216507314783538</v>
      </c>
      <c r="Y11" s="151">
        <v>11.498764900051388</v>
      </c>
    </row>
    <row r="12" spans="1:25" ht="14.1" customHeight="1" thickBot="1">
      <c r="A12" s="4" t="s">
        <v>100</v>
      </c>
      <c r="B12" s="11"/>
      <c r="C12" s="11">
        <v>0.85</v>
      </c>
      <c r="D12" s="11">
        <v>0.85</v>
      </c>
      <c r="E12" s="11">
        <v>0.85</v>
      </c>
      <c r="F12" s="11">
        <v>0.85</v>
      </c>
      <c r="G12" s="11">
        <v>0.85</v>
      </c>
      <c r="H12" s="11">
        <v>0.85</v>
      </c>
      <c r="I12" s="11">
        <v>0.85</v>
      </c>
      <c r="J12" s="11">
        <v>0.85</v>
      </c>
      <c r="K12" s="11">
        <v>0.85</v>
      </c>
      <c r="L12" s="11">
        <v>0.85</v>
      </c>
      <c r="M12" s="28"/>
      <c r="N12" s="4" t="str">
        <f>Historical!N12</f>
        <v>COO13</v>
      </c>
      <c r="O12" s="11">
        <f>Ratings!J12</f>
        <v>12.003112096452318</v>
      </c>
      <c r="P12" s="151">
        <v>-6.2740531282732799E-3</v>
      </c>
      <c r="Q12" s="151">
        <v>-6.4802393642637342E-3</v>
      </c>
      <c r="R12" s="151">
        <v>-6.7380751101023279E-3</v>
      </c>
      <c r="S12" s="151">
        <v>-7.0387290624641602E-3</v>
      </c>
      <c r="T12" s="151">
        <v>-7.3577643984199725E-3</v>
      </c>
      <c r="U12" s="151">
        <v>-7.6869517187022019E-3</v>
      </c>
      <c r="V12" s="151">
        <v>-7.9125254849807727E-3</v>
      </c>
      <c r="W12" s="151">
        <v>-8.1418444127342466E-3</v>
      </c>
      <c r="X12" s="151">
        <v>-8.3563454993284998E-3</v>
      </c>
      <c r="Y12" s="151">
        <f t="shared" si="2"/>
        <v>-8.570846585922753E-3</v>
      </c>
    </row>
    <row r="13" spans="1:25" ht="14.1" customHeight="1" thickBot="1">
      <c r="A13" s="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8"/>
      <c r="N13" s="4" t="str">
        <f>Historical!N13</f>
        <v>COO14</v>
      </c>
      <c r="O13" s="11">
        <f>Ratings!J13</f>
        <v>12.003112096452318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f t="shared" si="2"/>
        <v>0</v>
      </c>
    </row>
    <row r="14" spans="1:25" ht="14.1" customHeight="1" thickBot="1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N14" s="4" t="str">
        <f>Historical!N14</f>
        <v>COO21</v>
      </c>
      <c r="O14" s="11">
        <f>Ratings!J14</f>
        <v>14.289419162443236</v>
      </c>
      <c r="P14" s="151">
        <v>7.4450037302656114</v>
      </c>
      <c r="Q14" s="151">
        <v>7.4355761316659486</v>
      </c>
      <c r="R14" s="151">
        <v>7.4299193171215459</v>
      </c>
      <c r="S14" s="151">
        <v>7.4278398563341828</v>
      </c>
      <c r="T14" s="151">
        <v>7.4305337110099181</v>
      </c>
      <c r="U14" s="151">
        <v>7.4461637226663715</v>
      </c>
      <c r="V14" s="151">
        <v>7.4597106523883756</v>
      </c>
      <c r="W14" s="151">
        <v>7.4709962660427944</v>
      </c>
      <c r="X14" s="151">
        <v>7.483393151427574</v>
      </c>
      <c r="Y14" s="151">
        <v>7.4958725240347945</v>
      </c>
    </row>
    <row r="15" spans="1:25" ht="14.1" customHeight="1" thickBot="1">
      <c r="A15" s="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4" t="str">
        <f>Historical!N15</f>
        <v>COO22</v>
      </c>
      <c r="O15" s="11">
        <f>Ratings!J15</f>
        <v>12.003112096452318</v>
      </c>
      <c r="P15" s="151">
        <v>7.9301057272847766</v>
      </c>
      <c r="Q15" s="151">
        <v>8.1631543068179226</v>
      </c>
      <c r="R15" s="151">
        <v>8.3623770857216861</v>
      </c>
      <c r="S15" s="151">
        <v>8.5285754845569617</v>
      </c>
      <c r="T15" s="151">
        <v>8.7081875254653927</v>
      </c>
      <c r="U15" s="151">
        <v>8.9400432785255806</v>
      </c>
      <c r="V15" s="151">
        <v>9.1730934727199624</v>
      </c>
      <c r="W15" s="151">
        <v>9.4069797142268676</v>
      </c>
      <c r="X15" s="151">
        <v>9.6458949513832497</v>
      </c>
      <c r="Y15" s="151">
        <v>9.8886288916657428</v>
      </c>
    </row>
    <row r="16" spans="1:25" ht="14.1" customHeight="1" thickBot="1">
      <c r="A16" s="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4" t="str">
        <f>Historical!N16</f>
        <v>COO23</v>
      </c>
      <c r="O16" s="11">
        <f>Ratings!J16</f>
        <v>14.289419162443236</v>
      </c>
      <c r="P16" s="151">
        <v>10.215697201271118</v>
      </c>
      <c r="Q16" s="151">
        <v>12.839486817572261</v>
      </c>
      <c r="R16" s="151">
        <v>14.784494767740341</v>
      </c>
      <c r="S16" s="151">
        <v>16.177203532513186</v>
      </c>
      <c r="T16" s="151">
        <v>17.065611198018484</v>
      </c>
      <c r="U16" s="151">
        <v>18.056625082525446</v>
      </c>
      <c r="V16" s="151">
        <v>18.727027077628186</v>
      </c>
      <c r="W16" s="151">
        <v>19.396594682037602</v>
      </c>
      <c r="X16" s="151">
        <v>20.059397174858354</v>
      </c>
      <c r="Y16" s="151">
        <v>20.717970912658441</v>
      </c>
    </row>
    <row r="17" spans="1:25" ht="14.1" customHeight="1" thickBot="1">
      <c r="A17" s="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4" t="str">
        <f>Historical!N17</f>
        <v>COO24</v>
      </c>
      <c r="O17" s="11">
        <f>Ratings!J17</f>
        <v>12.193637685284894</v>
      </c>
      <c r="P17" s="151">
        <v>8.7516332081275525</v>
      </c>
      <c r="Q17" s="151">
        <v>8.9120070251076697</v>
      </c>
      <c r="R17" s="151">
        <v>9.0859007119006581</v>
      </c>
      <c r="S17" s="151">
        <v>9.2708841386780048</v>
      </c>
      <c r="T17" s="151">
        <v>9.4661292208360681</v>
      </c>
      <c r="U17" s="151">
        <v>9.7181651941822764</v>
      </c>
      <c r="V17" s="151">
        <v>9.9714995702201961</v>
      </c>
      <c r="W17" s="151">
        <v>10.225742761309686</v>
      </c>
      <c r="X17" s="151">
        <v>10.485452660888148</v>
      </c>
      <c r="Y17" s="151">
        <v>10.749313635204267</v>
      </c>
    </row>
    <row r="18" spans="1:25" ht="14.1" customHeight="1" thickBot="1">
      <c r="A18" s="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9"/>
      <c r="N18" s="4" t="str">
        <f>Historical!N18</f>
        <v>KLO13</v>
      </c>
      <c r="O18" s="11">
        <f>Ratings!J18</f>
        <v>14.5</v>
      </c>
      <c r="P18" s="151">
        <v>9.1772782705278004</v>
      </c>
      <c r="Q18" s="151">
        <v>12.070804395290118</v>
      </c>
      <c r="R18" s="151">
        <v>13.370118682646472</v>
      </c>
      <c r="S18" s="151">
        <v>14.107623066025655</v>
      </c>
      <c r="T18" s="151">
        <v>14.647139439148487</v>
      </c>
      <c r="U18" s="151">
        <v>15.527311778775637</v>
      </c>
      <c r="V18" s="151">
        <v>16.261686494611556</v>
      </c>
      <c r="W18" s="151">
        <v>17.008236628159498</v>
      </c>
      <c r="X18" s="151">
        <v>17.761871715104352</v>
      </c>
      <c r="Y18" s="151">
        <v>18.524868062267984</v>
      </c>
    </row>
    <row r="19" spans="1:25" ht="14.1" customHeight="1" thickBot="1">
      <c r="A19" s="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4" t="str">
        <f>Historical!N19</f>
        <v>KLO21</v>
      </c>
      <c r="O19" s="11">
        <f>Ratings!J19</f>
        <v>14.5</v>
      </c>
      <c r="P19" s="151">
        <v>12.161672280369421</v>
      </c>
      <c r="Q19" s="151">
        <v>15.565842388549195</v>
      </c>
      <c r="R19" s="151">
        <v>18.93493904192573</v>
      </c>
      <c r="S19" s="151">
        <v>21.737548569614695</v>
      </c>
      <c r="T19" s="151">
        <v>23.695616647454102</v>
      </c>
      <c r="U19" s="151">
        <v>25.846116293021879</v>
      </c>
      <c r="V19" s="151">
        <v>27.068525849716352</v>
      </c>
      <c r="W19" s="151">
        <v>28.311202099485886</v>
      </c>
      <c r="X19" s="151">
        <v>29.565671667508834</v>
      </c>
      <c r="Y19" s="151">
        <v>30.835723599286119</v>
      </c>
    </row>
    <row r="20" spans="1:25" ht="14.1" customHeight="1" thickBot="1">
      <c r="A20" s="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9"/>
      <c r="N20" s="4" t="str">
        <f>Historical!N20</f>
        <v>KLO22</v>
      </c>
      <c r="O20" s="11">
        <f>Ratings!J20</f>
        <v>14.289419162443236</v>
      </c>
      <c r="P20" s="151">
        <v>9.729536356538814</v>
      </c>
      <c r="Q20" s="151">
        <v>13.011380364733339</v>
      </c>
      <c r="R20" s="151">
        <v>16.378218854278238</v>
      </c>
      <c r="S20" s="151">
        <v>19.998091382042272</v>
      </c>
      <c r="T20" s="151">
        <v>22.555820799486018</v>
      </c>
      <c r="U20" s="151">
        <v>25.424759197782709</v>
      </c>
      <c r="V20" s="151">
        <v>27.9780681721648</v>
      </c>
      <c r="W20" s="151">
        <v>30.36544432601147</v>
      </c>
      <c r="X20" s="151">
        <v>32.778491676118414</v>
      </c>
      <c r="Y20" s="151">
        <v>34.850373282935756</v>
      </c>
    </row>
    <row r="21" spans="1:25" ht="14.1" customHeight="1" thickBot="1">
      <c r="A21" s="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9"/>
      <c r="N21" s="4" t="str">
        <f>Historical!N21</f>
        <v>KLO23</v>
      </c>
      <c r="O21" s="11">
        <f>Ratings!J21</f>
        <v>14.289419162443236</v>
      </c>
      <c r="P21" s="151">
        <v>1.3546196405488398</v>
      </c>
      <c r="Q21" s="151">
        <v>1.3842863748205745</v>
      </c>
      <c r="R21" s="151">
        <v>1.4188358954500979</v>
      </c>
      <c r="S21" s="151">
        <v>1.4585647625948919</v>
      </c>
      <c r="T21" s="151">
        <v>1.5041009058827868</v>
      </c>
      <c r="U21" s="151">
        <v>1.574724818382893</v>
      </c>
      <c r="V21" s="151">
        <v>1.6477704903111285</v>
      </c>
      <c r="W21" s="151">
        <v>1.7232447352706342</v>
      </c>
      <c r="X21" s="151">
        <v>1.8020014317592936</v>
      </c>
      <c r="Y21" s="151">
        <v>1.8839290083534626</v>
      </c>
    </row>
    <row r="22" spans="1:25" ht="14.1" customHeight="1" thickBot="1">
      <c r="A22" s="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9"/>
      <c r="N22" s="4" t="str">
        <f>Historical!N22</f>
        <v>ST 11</v>
      </c>
      <c r="O22" s="11">
        <f>Ratings!J22</f>
        <v>22.6</v>
      </c>
      <c r="P22" s="151">
        <v>17.269477903380462</v>
      </c>
      <c r="Q22" s="151">
        <v>18.649598042012069</v>
      </c>
      <c r="R22" s="151">
        <v>20.223072573606864</v>
      </c>
      <c r="S22" s="151">
        <v>20.988231258601644</v>
      </c>
      <c r="T22" s="151">
        <v>21.536862131858879</v>
      </c>
      <c r="U22" s="151">
        <v>22.329195410117638</v>
      </c>
      <c r="V22" s="151">
        <v>23.138120052653957</v>
      </c>
      <c r="W22" s="151">
        <v>23.963003799771808</v>
      </c>
      <c r="X22" s="151">
        <v>24.814891179918231</v>
      </c>
      <c r="Y22" s="151">
        <v>25.691219741005231</v>
      </c>
    </row>
    <row r="23" spans="1:25" ht="14.1" customHeight="1" thickBot="1">
      <c r="A23" s="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9"/>
      <c r="N23" s="4" t="str">
        <f>Historical!N23</f>
        <v>ST 12</v>
      </c>
      <c r="O23" s="11">
        <f>Ratings!J23</f>
        <v>14.6</v>
      </c>
      <c r="P23" s="151">
        <v>13.199080759422696</v>
      </c>
      <c r="Q23" s="151">
        <v>16.020378116665515</v>
      </c>
      <c r="R23" s="151">
        <v>19.723106095666072</v>
      </c>
      <c r="S23" s="151">
        <v>23.268409393558265</v>
      </c>
      <c r="T23" s="151">
        <v>26.721514561280163</v>
      </c>
      <c r="U23" s="151">
        <v>29.747277565545513</v>
      </c>
      <c r="V23" s="151">
        <v>31.820366715050206</v>
      </c>
      <c r="W23" s="151">
        <v>33.446608749706222</v>
      </c>
      <c r="X23" s="151">
        <v>35.051879579244762</v>
      </c>
      <c r="Y23" s="151">
        <v>36.55760242811774</v>
      </c>
    </row>
    <row r="24" spans="1:25" ht="14.1" customHeight="1" thickBot="1">
      <c r="A24" s="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9"/>
      <c r="N24" s="4" t="str">
        <f>Historical!N24</f>
        <v>ST 13</v>
      </c>
      <c r="O24" s="11">
        <f>Ratings!J24</f>
        <v>14.289419162443236</v>
      </c>
      <c r="P24" s="151">
        <v>10.023018712488399</v>
      </c>
      <c r="Q24" s="151">
        <v>11.202493548037832</v>
      </c>
      <c r="R24" s="151">
        <v>12.258334853380388</v>
      </c>
      <c r="S24" s="151">
        <v>12.621773890160872</v>
      </c>
      <c r="T24" s="151">
        <v>12.676806379653978</v>
      </c>
      <c r="U24" s="151">
        <v>12.80489676886662</v>
      </c>
      <c r="V24" s="151">
        <v>12.930613632945152</v>
      </c>
      <c r="W24" s="151">
        <v>13.053570660903647</v>
      </c>
      <c r="X24" s="151">
        <v>13.17962396835472</v>
      </c>
      <c r="Y24" s="151">
        <v>13.30700444122942</v>
      </c>
    </row>
    <row r="25" spans="1:25" ht="14.1" customHeight="1" thickBot="1">
      <c r="A25" s="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9"/>
      <c r="N25" s="4" t="str">
        <f>Historical!N25</f>
        <v>ST 14</v>
      </c>
      <c r="O25" s="11">
        <f>Ratings!J25</f>
        <v>14.289419162443236</v>
      </c>
      <c r="P25" s="151">
        <v>7.0287548445085113</v>
      </c>
      <c r="Q25" s="151">
        <v>7.0254679793526691</v>
      </c>
      <c r="R25" s="151">
        <v>7.0285422619571696</v>
      </c>
      <c r="S25" s="151">
        <v>7.7300414470744334</v>
      </c>
      <c r="T25" s="151">
        <v>8.4400871772416188</v>
      </c>
      <c r="U25" s="151">
        <v>9.1834680875177899</v>
      </c>
      <c r="V25" s="151">
        <v>9.2369029724154537</v>
      </c>
      <c r="W25" s="151">
        <v>9.2878069065583109</v>
      </c>
      <c r="X25" s="151">
        <v>9.3403570861415641</v>
      </c>
      <c r="Y25" s="151">
        <v>9.393282182754362</v>
      </c>
    </row>
    <row r="26" spans="1:25" ht="14.1" customHeight="1" thickBot="1">
      <c r="A26" s="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9"/>
      <c r="N26" s="4" t="str">
        <f>Historical!N26</f>
        <v>ST 21</v>
      </c>
      <c r="O26" s="11">
        <f>Ratings!J26</f>
        <v>14.289419162443236</v>
      </c>
      <c r="P26" s="151">
        <v>1.4758643930467927</v>
      </c>
      <c r="Q26" s="151">
        <v>1.4734061454155249</v>
      </c>
      <c r="R26" s="151">
        <v>1.4714023706363177</v>
      </c>
      <c r="S26" s="151">
        <v>1.4698147077317376</v>
      </c>
      <c r="T26" s="151">
        <v>1.4688788865442644</v>
      </c>
      <c r="U26" s="151">
        <v>1.4690305891717947</v>
      </c>
      <c r="V26" s="151">
        <v>1.4687656896191179</v>
      </c>
      <c r="W26" s="151">
        <v>1.4680516459879414</v>
      </c>
      <c r="X26" s="151">
        <v>1.4675525303650547</v>
      </c>
      <c r="Y26" s="151">
        <v>1.4670657025395826</v>
      </c>
    </row>
    <row r="27" spans="1:25" ht="14.1" customHeight="1" thickBot="1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9"/>
      <c r="N27" s="4" t="str">
        <f>Historical!N27</f>
        <v>ST 22</v>
      </c>
      <c r="O27" s="11">
        <f>Ratings!J27</f>
        <v>22.482019482244024</v>
      </c>
      <c r="P27" s="151">
        <v>15.068424360373728</v>
      </c>
      <c r="Q27" s="151">
        <v>18.759306699363059</v>
      </c>
      <c r="R27" s="151">
        <v>22.430022067762899</v>
      </c>
      <c r="S27" s="151">
        <v>25.260639053448671</v>
      </c>
      <c r="T27" s="151">
        <v>27.406211025292553</v>
      </c>
      <c r="U27" s="151">
        <v>28.693048791189458</v>
      </c>
      <c r="V27" s="151">
        <v>30.024013416980011</v>
      </c>
      <c r="W27" s="151">
        <v>31.399229053274578</v>
      </c>
      <c r="X27" s="151">
        <v>32.834254213608681</v>
      </c>
      <c r="Y27" s="151">
        <v>34.327055955931137</v>
      </c>
    </row>
    <row r="28" spans="1:25" ht="14.1" customHeight="1" thickBot="1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N28" s="4" t="str">
        <f>Historical!N28</f>
        <v>ST 23</v>
      </c>
      <c r="O28" s="11">
        <f>Ratings!J28</f>
        <v>22.482019482244024</v>
      </c>
      <c r="P28" s="151">
        <v>11.033513656969333</v>
      </c>
      <c r="Q28" s="151">
        <v>12.382499258714551</v>
      </c>
      <c r="R28" s="151">
        <v>13.885990588645472</v>
      </c>
      <c r="S28" s="151">
        <v>14.319742830635699</v>
      </c>
      <c r="T28" s="151">
        <v>14.501219465863148</v>
      </c>
      <c r="U28" s="151">
        <v>14.730838217690488</v>
      </c>
      <c r="V28" s="151">
        <v>14.958180172238109</v>
      </c>
      <c r="W28" s="151">
        <v>15.182725504171001</v>
      </c>
      <c r="X28" s="151">
        <v>15.411245812746799</v>
      </c>
      <c r="Y28" s="151">
        <v>15.641694898809089</v>
      </c>
    </row>
    <row r="29" spans="1:25" ht="14.1" customHeight="1" thickBot="1">
      <c r="A29" s="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N29" s="4" t="str">
        <f>Historical!N29</f>
        <v>ST 24</v>
      </c>
      <c r="O29" s="11">
        <f>Ratings!J29</f>
        <v>14.289419162443236</v>
      </c>
      <c r="P29" s="151">
        <v>7.379321965233963</v>
      </c>
      <c r="Q29" s="151">
        <v>7.8388290704327606</v>
      </c>
      <c r="R29" s="151">
        <v>8.2993252852723138</v>
      </c>
      <c r="S29" s="151">
        <v>8.7610185335357382</v>
      </c>
      <c r="T29" s="151">
        <v>8.7554404516697755</v>
      </c>
      <c r="U29" s="151">
        <v>8.7563446945817489</v>
      </c>
      <c r="V29" s="151">
        <v>8.7547657269211854</v>
      </c>
      <c r="W29" s="151">
        <v>8.7505095785416742</v>
      </c>
      <c r="X29" s="151">
        <v>8.7475345360417709</v>
      </c>
      <c r="Y29" s="151">
        <v>8.7446327365297893</v>
      </c>
    </row>
    <row r="30" spans="1:25" ht="14.1" customHeight="1" thickBot="1">
      <c r="A30" s="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N30" s="4" t="str">
        <f>Historical!N30</f>
        <v>ST 31</v>
      </c>
      <c r="O30" s="11">
        <f>Ratings!J30</f>
        <v>22.482019482244024</v>
      </c>
      <c r="P30" s="151">
        <v>2.3135171566679449</v>
      </c>
      <c r="Q30" s="151">
        <v>2.3096636874081202</v>
      </c>
      <c r="R30" s="151">
        <v>2.3065226350515253</v>
      </c>
      <c r="S30" s="151">
        <v>2.3040338661740742</v>
      </c>
      <c r="T30" s="151">
        <v>2.3025669032315501</v>
      </c>
      <c r="U30" s="151">
        <v>2.3028047073503815</v>
      </c>
      <c r="V30" s="151">
        <v>2.3023894594029417</v>
      </c>
      <c r="W30" s="151">
        <v>2.3012701477648805</v>
      </c>
      <c r="X30" s="151">
        <v>2.3004877503019774</v>
      </c>
      <c r="Y30" s="151">
        <v>2.2997246147917787</v>
      </c>
    </row>
    <row r="31" spans="1:25" ht="14.1" customHeight="1" thickBot="1">
      <c r="A31" s="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N31" s="4" t="str">
        <f>Historical!N31</f>
        <v>ST 32</v>
      </c>
      <c r="O31" s="11">
        <f>Ratings!J31</f>
        <v>12.6</v>
      </c>
      <c r="P31" s="151">
        <v>7.3000775913626823</v>
      </c>
      <c r="Q31" s="151">
        <v>7.7103619489273827</v>
      </c>
      <c r="R31" s="151">
        <v>7.9331128024308066</v>
      </c>
      <c r="S31" s="151">
        <v>8.2100305837368772</v>
      </c>
      <c r="T31" s="151">
        <v>8.5240059361427942</v>
      </c>
      <c r="U31" s="151">
        <v>9.0362284270243762</v>
      </c>
      <c r="V31" s="151">
        <v>9.4636029640897839</v>
      </c>
      <c r="W31" s="151">
        <v>9.8980630712273197</v>
      </c>
      <c r="X31" s="151">
        <v>10.336646316883707</v>
      </c>
      <c r="Y31" s="151">
        <v>10.780677413842813</v>
      </c>
    </row>
    <row r="32" spans="1:25" ht="14.1" customHeight="1" thickBo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N32" s="4" t="str">
        <f>Historical!N32</f>
        <v>ST 33</v>
      </c>
      <c r="O32" s="11">
        <f>Ratings!J32</f>
        <v>12.5</v>
      </c>
      <c r="P32" s="151">
        <v>8.9639592398337324</v>
      </c>
      <c r="Q32" s="151">
        <v>9.2115069994498437</v>
      </c>
      <c r="R32" s="151">
        <v>9.4520496328063892</v>
      </c>
      <c r="S32" s="151">
        <v>9.6399047723893965</v>
      </c>
      <c r="T32" s="151">
        <v>9.8429214395299969</v>
      </c>
      <c r="U32" s="151">
        <v>10.104989516957225</v>
      </c>
      <c r="V32" s="151">
        <v>10.368407679027627</v>
      </c>
      <c r="W32" s="151">
        <v>10.632770830855408</v>
      </c>
      <c r="X32" s="151">
        <v>10.902818289429318</v>
      </c>
      <c r="Y32" s="151">
        <v>11.177182053177097</v>
      </c>
    </row>
    <row r="33" spans="1:26" ht="14.1" customHeight="1" thickBot="1">
      <c r="A33" s="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N33" s="4" t="str">
        <f>Historical!N33</f>
        <v>ST 34</v>
      </c>
      <c r="O33" s="11">
        <f>Ratings!J33</f>
        <v>14.289419162443236</v>
      </c>
      <c r="P33" s="151">
        <v>13.195135753426186</v>
      </c>
      <c r="Q33" s="151">
        <v>13.966707433622094</v>
      </c>
      <c r="R33" s="151">
        <v>14.24087585168088</v>
      </c>
      <c r="S33" s="151">
        <v>14.44040742866572</v>
      </c>
      <c r="T33" s="151">
        <v>14.503369384489829</v>
      </c>
      <c r="U33" s="151">
        <v>14.649915933653476</v>
      </c>
      <c r="V33" s="151">
        <v>14.793746963566264</v>
      </c>
      <c r="W33" s="151">
        <v>14.934420500851118</v>
      </c>
      <c r="X33" s="151">
        <v>15.078636451252773</v>
      </c>
      <c r="Y33" s="151">
        <v>15.224370794362875</v>
      </c>
    </row>
    <row r="34" spans="1:26" ht="14.1" customHeight="1" thickBot="1">
      <c r="A34" s="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N34" s="4"/>
      <c r="O34" s="11"/>
      <c r="P34" s="151"/>
      <c r="Q34" s="151"/>
      <c r="R34" s="151"/>
      <c r="S34" s="151"/>
      <c r="T34" s="151"/>
      <c r="U34" s="151"/>
      <c r="V34" s="151"/>
      <c r="W34" s="151"/>
      <c r="X34" s="151"/>
      <c r="Y34" s="151"/>
    </row>
    <row r="35" spans="1:26" ht="14.1" customHeight="1" thickBot="1">
      <c r="A35" s="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N35" s="4"/>
      <c r="O35" s="11"/>
      <c r="P35" s="151"/>
      <c r="Q35" s="151"/>
      <c r="R35" s="151"/>
      <c r="S35" s="151"/>
      <c r="T35" s="151"/>
      <c r="U35" s="151"/>
      <c r="V35" s="151"/>
      <c r="W35" s="151"/>
      <c r="X35" s="151"/>
      <c r="Y35" s="151"/>
    </row>
    <row r="36" spans="1:26" ht="14.1" customHeight="1" thickBot="1">
      <c r="A36" s="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N36" s="4"/>
      <c r="O36" s="11"/>
      <c r="P36" s="151"/>
      <c r="Q36" s="151"/>
      <c r="R36" s="151"/>
      <c r="S36" s="151"/>
      <c r="T36" s="151"/>
      <c r="U36" s="151"/>
      <c r="V36" s="151"/>
      <c r="W36" s="151"/>
      <c r="X36" s="151"/>
      <c r="Y36" s="151"/>
    </row>
    <row r="37" spans="1:26" ht="14.1" customHeight="1" thickBot="1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N37" s="4"/>
      <c r="O37" s="11"/>
      <c r="P37" s="151"/>
      <c r="Q37" s="151"/>
      <c r="R37" s="151"/>
      <c r="S37" s="151"/>
      <c r="T37" s="151"/>
      <c r="U37" s="151"/>
      <c r="V37" s="151"/>
      <c r="W37" s="151"/>
      <c r="X37" s="151"/>
      <c r="Y37" s="151"/>
    </row>
    <row r="38" spans="1:26" ht="14.1" customHeight="1" thickBot="1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N38" s="4"/>
      <c r="O38" s="11"/>
      <c r="P38" s="151"/>
      <c r="Q38" s="151"/>
      <c r="R38" s="151"/>
      <c r="S38" s="151"/>
      <c r="T38" s="151"/>
      <c r="U38" s="151"/>
      <c r="V38" s="151"/>
      <c r="W38" s="151"/>
      <c r="X38" s="151"/>
      <c r="Y38" s="151"/>
    </row>
    <row r="39" spans="1:26" ht="14.1" customHeight="1" thickBot="1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N39" s="4"/>
      <c r="O39" s="11"/>
      <c r="P39" s="151"/>
      <c r="Q39" s="151"/>
      <c r="R39" s="151"/>
      <c r="S39" s="151"/>
      <c r="T39" s="151"/>
      <c r="U39" s="151"/>
      <c r="V39" s="151"/>
      <c r="W39" s="151"/>
      <c r="X39" s="151"/>
      <c r="Y39" s="151"/>
    </row>
    <row r="40" spans="1:26" ht="14.1" customHeight="1" thickBot="1">
      <c r="A40" s="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N40" s="4"/>
      <c r="O40" s="1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26" ht="14.1" customHeight="1" thickBot="1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N41" s="4"/>
      <c r="O41" s="11"/>
      <c r="P41" s="151"/>
      <c r="Q41" s="151"/>
      <c r="R41" s="151"/>
      <c r="S41" s="151"/>
      <c r="T41" s="151"/>
      <c r="U41" s="151"/>
      <c r="V41" s="151"/>
      <c r="W41" s="151"/>
      <c r="X41" s="151"/>
      <c r="Y41" s="151"/>
    </row>
    <row r="42" spans="1:26" ht="14.1" customHeight="1" thickBot="1">
      <c r="A42" s="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N42" s="4"/>
      <c r="O42" s="11"/>
      <c r="P42" s="151"/>
      <c r="Q42" s="151"/>
      <c r="R42" s="151"/>
      <c r="S42" s="151"/>
      <c r="T42" s="151"/>
      <c r="U42" s="151"/>
      <c r="V42" s="151"/>
      <c r="W42" s="151"/>
      <c r="X42" s="151"/>
      <c r="Y42" s="151"/>
    </row>
    <row r="43" spans="1:26" ht="14.1" customHeight="1" thickBot="1">
      <c r="A43" s="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N43" s="4"/>
      <c r="O43" s="1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6" ht="14.1" customHeight="1" thickBot="1"/>
    <row r="45" spans="1:26" ht="14.1" customHeight="1" thickBot="1">
      <c r="A45" s="1" t="s">
        <v>101</v>
      </c>
      <c r="B45" s="2" t="str">
        <f>B1</f>
        <v>Rating</v>
      </c>
      <c r="C45" s="2" t="s">
        <v>102</v>
      </c>
      <c r="D45" s="2">
        <f t="shared" ref="D45:L45" si="8">D1</f>
        <v>2026</v>
      </c>
      <c r="E45" s="2">
        <f t="shared" si="8"/>
        <v>2027</v>
      </c>
      <c r="F45" s="2">
        <f t="shared" si="8"/>
        <v>2028</v>
      </c>
      <c r="G45" s="2">
        <f t="shared" si="8"/>
        <v>2029</v>
      </c>
      <c r="H45" s="2">
        <f t="shared" si="8"/>
        <v>2030</v>
      </c>
      <c r="I45" s="2">
        <f t="shared" si="8"/>
        <v>2031</v>
      </c>
      <c r="J45" s="2">
        <f t="shared" si="8"/>
        <v>2032</v>
      </c>
      <c r="K45" s="2">
        <f t="shared" si="8"/>
        <v>2033</v>
      </c>
      <c r="L45" s="2">
        <f t="shared" si="8"/>
        <v>2034</v>
      </c>
      <c r="N45" s="1" t="s">
        <v>103</v>
      </c>
      <c r="O45" s="2" t="str">
        <f>O1</f>
        <v>Rating</v>
      </c>
      <c r="P45" s="2" t="s">
        <v>102</v>
      </c>
      <c r="Q45" s="2">
        <f t="shared" ref="Q45:T45" si="9">Q1</f>
        <v>2026</v>
      </c>
      <c r="R45" s="2">
        <f t="shared" si="9"/>
        <v>2027</v>
      </c>
      <c r="S45" s="2">
        <f t="shared" si="9"/>
        <v>2028</v>
      </c>
      <c r="T45" s="2">
        <f t="shared" si="9"/>
        <v>2029</v>
      </c>
      <c r="U45" s="2">
        <f>U1</f>
        <v>2030</v>
      </c>
      <c r="V45" s="2">
        <f>V1</f>
        <v>2031</v>
      </c>
      <c r="W45" s="2">
        <f t="shared" ref="W45:Y45" si="10">W1</f>
        <v>2032</v>
      </c>
      <c r="X45" s="2">
        <f t="shared" si="10"/>
        <v>2033</v>
      </c>
      <c r="Y45" s="2">
        <f t="shared" si="10"/>
        <v>2034</v>
      </c>
      <c r="Z45" t="s">
        <v>104</v>
      </c>
    </row>
    <row r="46" spans="1:26" ht="14.1" customHeight="1" thickTop="1" thickBot="1">
      <c r="A46" s="11" t="s">
        <v>105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N46" s="6" t="s">
        <v>105</v>
      </c>
      <c r="O46" s="11"/>
      <c r="P46" s="152"/>
      <c r="Q46" s="152"/>
      <c r="R46" s="151"/>
      <c r="S46" s="151"/>
      <c r="T46" s="151"/>
      <c r="U46" s="151"/>
      <c r="V46" s="151"/>
      <c r="W46" s="151"/>
      <c r="X46" s="151"/>
      <c r="Y46" s="151"/>
    </row>
    <row r="47" spans="1:26" ht="14.1" customHeight="1" thickBot="1">
      <c r="A47" s="11" t="str">
        <f>A2</f>
        <v>ST</v>
      </c>
      <c r="B47" s="11">
        <f>B2</f>
        <v>89.3</v>
      </c>
      <c r="C47" s="11"/>
      <c r="D47" s="11">
        <f>D2+((Q52+Q53+Q54+Q55+Q56+Q132+Q133)-(Q22+Q23+Q27+Q31+Q32+Q29+Q26))*D$12</f>
        <v>62.11857589346468</v>
      </c>
      <c r="E47" s="11">
        <f t="shared" ref="E47:K47" si="11">E2+((R52+R53+R54+R55+R56+R132+R133)-(R22+R23+R27+R31+R32+R29+R26))*E$12</f>
        <v>64.429531129334194</v>
      </c>
      <c r="F47" s="11">
        <f t="shared" si="11"/>
        <v>65.957626345515934</v>
      </c>
      <c r="G47" s="11">
        <f t="shared" si="11"/>
        <v>67.272657426605264</v>
      </c>
      <c r="H47" s="11">
        <f t="shared" si="11"/>
        <v>68.026651927338804</v>
      </c>
      <c r="I47" s="11">
        <f t="shared" si="11"/>
        <v>68.921074962460835</v>
      </c>
      <c r="J47" s="11">
        <f t="shared" si="11"/>
        <v>69.956498126497721</v>
      </c>
      <c r="K47" s="11">
        <f t="shared" si="11"/>
        <v>70.995672086034745</v>
      </c>
      <c r="L47" s="11">
        <f>L2+((Y52+Y53+Y54+Y55+Y56+Y132+Y133)-(Y22+Y23+Y27+Y31+Y32+Y29+Y26))*L$12</f>
        <v>72.060934757453126</v>
      </c>
      <c r="N47" s="154" t="str">
        <f>Ratings!H42</f>
        <v>CBN11 new</v>
      </c>
      <c r="O47" s="11">
        <f>Ratings!J42</f>
        <v>14.3</v>
      </c>
      <c r="P47" s="151">
        <f>0.2+2.5+1.9</f>
        <v>4.5999999999999996</v>
      </c>
      <c r="Q47" s="151">
        <f>$P47+Q23*30%</f>
        <v>9.4061134349996536</v>
      </c>
      <c r="R47" s="151">
        <f t="shared" ref="R47:Y47" si="12">$P47+R23*30%</f>
        <v>10.516931828699821</v>
      </c>
      <c r="S47" s="151">
        <f t="shared" si="12"/>
        <v>11.580522818067479</v>
      </c>
      <c r="T47" s="151">
        <f t="shared" si="12"/>
        <v>12.616454368384048</v>
      </c>
      <c r="U47" s="151">
        <f t="shared" si="12"/>
        <v>13.524183269663654</v>
      </c>
      <c r="V47" s="151">
        <f t="shared" si="12"/>
        <v>14.146110014515061</v>
      </c>
      <c r="W47" s="151">
        <f t="shared" si="12"/>
        <v>14.633982624911866</v>
      </c>
      <c r="X47" s="151">
        <f t="shared" si="12"/>
        <v>15.115563873773429</v>
      </c>
      <c r="Y47" s="151">
        <f t="shared" si="12"/>
        <v>15.567280728435321</v>
      </c>
    </row>
    <row r="48" spans="1:26" ht="14.1" customHeight="1" thickBot="1">
      <c r="A48" s="11" t="str">
        <f t="shared" ref="A48:B53" si="13">A3</f>
        <v>KLO</v>
      </c>
      <c r="B48" s="11">
        <f t="shared" si="13"/>
        <v>49.1</v>
      </c>
      <c r="C48" s="11"/>
      <c r="D48" s="11">
        <f>D3+((Q59+Q129+Q130+Q131)-(Q18+Q19+Q20+Q21))*D$12</f>
        <v>25.05905984543854</v>
      </c>
      <c r="E48" s="11">
        <f t="shared" ref="E48:L48" si="14">E3+((R59+R129+R130+R131)-(R18+R19+R20+R21))*E$12</f>
        <v>27.55162614633916</v>
      </c>
      <c r="F48" s="11">
        <f t="shared" si="14"/>
        <v>29.382691320660811</v>
      </c>
      <c r="G48" s="11">
        <f t="shared" si="14"/>
        <v>30.685558675797843</v>
      </c>
      <c r="H48" s="11">
        <f t="shared" si="14"/>
        <v>31.527809922197413</v>
      </c>
      <c r="I48" s="11">
        <f t="shared" si="14"/>
        <v>32.242364706172765</v>
      </c>
      <c r="J48" s="11">
        <f t="shared" si="14"/>
        <v>33.092455060662274</v>
      </c>
      <c r="K48" s="11">
        <f t="shared" si="14"/>
        <v>33.967120978076068</v>
      </c>
      <c r="L48" s="11">
        <f t="shared" si="14"/>
        <v>35.073233836296218</v>
      </c>
      <c r="N48" s="154" t="str">
        <f>Ratings!H46</f>
        <v>CBN22 new</v>
      </c>
      <c r="O48" s="11">
        <f>Ratings!J46</f>
        <v>12.7</v>
      </c>
      <c r="P48" s="151">
        <f>1.5+1.2+1.5</f>
        <v>4.2</v>
      </c>
      <c r="Q48" s="151">
        <f>$P48+Q23*15%+Q20*10%</f>
        <v>7.9041947539731616</v>
      </c>
      <c r="R48" s="151">
        <f t="shared" ref="R48:Y48" si="15">$P48+R23*15%+R20*10%</f>
        <v>8.7962877997777351</v>
      </c>
      <c r="S48" s="151">
        <f t="shared" si="15"/>
        <v>9.6900705472379673</v>
      </c>
      <c r="T48" s="151">
        <f t="shared" si="15"/>
        <v>10.463809264140625</v>
      </c>
      <c r="U48" s="151">
        <f t="shared" si="15"/>
        <v>11.204567554610099</v>
      </c>
      <c r="V48" s="151">
        <f t="shared" si="15"/>
        <v>11.770861824474013</v>
      </c>
      <c r="W48" s="151">
        <f t="shared" si="15"/>
        <v>12.25353574505708</v>
      </c>
      <c r="X48" s="151">
        <f t="shared" si="15"/>
        <v>12.735631104498555</v>
      </c>
      <c r="Y48" s="151">
        <f t="shared" si="15"/>
        <v>13.168677692511237</v>
      </c>
    </row>
    <row r="49" spans="1:26" ht="14.1" customHeight="1" thickBot="1">
      <c r="A49" s="11" t="str">
        <f t="shared" si="13"/>
        <v>BD</v>
      </c>
      <c r="B49" s="11">
        <f t="shared" si="13"/>
        <v>125.1</v>
      </c>
      <c r="C49" s="11"/>
      <c r="D49" s="11">
        <f>D4+((Q121+Q122+Q123)-(Q6+Q7+Q8))*D$12</f>
        <v>89.386603733042506</v>
      </c>
      <c r="E49" s="11">
        <f t="shared" ref="E49:L49" si="16">E4+((R121+R122+R123)-(R6+R7+R8))*E$12</f>
        <v>93.741116958529261</v>
      </c>
      <c r="F49" s="11">
        <f t="shared" si="16"/>
        <v>96.615065985952583</v>
      </c>
      <c r="G49" s="11">
        <f t="shared" si="16"/>
        <v>98.089561470918383</v>
      </c>
      <c r="H49" s="11">
        <f t="shared" si="16"/>
        <v>99.156768769421248</v>
      </c>
      <c r="I49" s="11">
        <f t="shared" si="16"/>
        <v>100.2073980224685</v>
      </c>
      <c r="J49" s="11">
        <f t="shared" si="16"/>
        <v>101.23076337249437</v>
      </c>
      <c r="K49" s="11">
        <f t="shared" si="16"/>
        <v>102.26931881425925</v>
      </c>
      <c r="L49" s="11">
        <f t="shared" si="16"/>
        <v>103.31344181661615</v>
      </c>
      <c r="N49" s="154" t="str">
        <f>Ratings!H44</f>
        <v>CBN13 new</v>
      </c>
      <c r="O49" s="11">
        <f>Ratings!J44</f>
        <v>12.7</v>
      </c>
      <c r="P49" s="151">
        <v>2.5</v>
      </c>
      <c r="Q49" s="151">
        <f>$P49+Q20*25%</f>
        <v>5.7528450911833353</v>
      </c>
      <c r="R49" s="151">
        <f t="shared" ref="R49:Y49" si="17">$P49+R20*25%</f>
        <v>6.5945547135695595</v>
      </c>
      <c r="S49" s="151">
        <f t="shared" si="17"/>
        <v>7.499522845510568</v>
      </c>
      <c r="T49" s="151">
        <f t="shared" si="17"/>
        <v>8.1389551998715035</v>
      </c>
      <c r="U49" s="151">
        <f t="shared" si="17"/>
        <v>8.8561897994456764</v>
      </c>
      <c r="V49" s="151">
        <f t="shared" si="17"/>
        <v>9.4945170430411991</v>
      </c>
      <c r="W49" s="151">
        <f t="shared" si="17"/>
        <v>10.091361081502868</v>
      </c>
      <c r="X49" s="151">
        <f t="shared" si="17"/>
        <v>10.694622919029603</v>
      </c>
      <c r="Y49" s="151">
        <f t="shared" si="17"/>
        <v>11.212593320733939</v>
      </c>
    </row>
    <row r="50" spans="1:26" ht="14.1" customHeight="1" thickBot="1">
      <c r="A50" s="11" t="str">
        <f t="shared" si="13"/>
        <v>COO</v>
      </c>
      <c r="B50" s="11">
        <f t="shared" si="13"/>
        <v>39.6</v>
      </c>
      <c r="C50" s="11"/>
      <c r="D50" s="11">
        <f>D5+((Q51+Q124+Q125+Q126+Q127+Q128)-(P10+P12+P14+P15+P17+P16))*D$12</f>
        <v>32.16700634130499</v>
      </c>
      <c r="E50" s="11">
        <f t="shared" ref="E50:L50" si="18">E5+((R51+R124+R125+R126+R127+R128)-(Q10+Q12+Q14+Q15+Q17+Q16))*E$12</f>
        <v>33.173298226445262</v>
      </c>
      <c r="F50" s="11">
        <f t="shared" si="18"/>
        <v>33.675505698006788</v>
      </c>
      <c r="G50" s="11">
        <f t="shared" si="18"/>
        <v>34.057249791800714</v>
      </c>
      <c r="H50" s="11">
        <f t="shared" si="18"/>
        <v>35.159736506905453</v>
      </c>
      <c r="I50" s="11">
        <f t="shared" si="18"/>
        <v>35.490465542789423</v>
      </c>
      <c r="J50" s="11">
        <f t="shared" si="18"/>
        <v>36.278554669806169</v>
      </c>
      <c r="K50" s="11">
        <f t="shared" si="18"/>
        <v>37.081053739102771</v>
      </c>
      <c r="L50" s="11">
        <f t="shared" si="18"/>
        <v>37.886194150699865</v>
      </c>
      <c r="N50" s="154" t="str">
        <f>Ratings!H45</f>
        <v>CBN21 new</v>
      </c>
      <c r="O50" s="11">
        <f>Ratings!J45</f>
        <v>12.7</v>
      </c>
      <c r="P50" s="151" t="s">
        <v>33</v>
      </c>
      <c r="Q50" s="151">
        <f>Q20*30%</f>
        <v>3.9034141094200017</v>
      </c>
      <c r="R50" s="151">
        <f t="shared" ref="R50:Y50" si="19">R20*30%</f>
        <v>4.9134656562834715</v>
      </c>
      <c r="S50" s="151">
        <f t="shared" si="19"/>
        <v>5.9994274146126818</v>
      </c>
      <c r="T50" s="151">
        <f t="shared" si="19"/>
        <v>6.7667462398458049</v>
      </c>
      <c r="U50" s="151">
        <f t="shared" si="19"/>
        <v>7.6274277593348128</v>
      </c>
      <c r="V50" s="151">
        <f t="shared" si="19"/>
        <v>8.3934204516494404</v>
      </c>
      <c r="W50" s="151">
        <f t="shared" si="19"/>
        <v>9.1096332978034411</v>
      </c>
      <c r="X50" s="151">
        <f t="shared" si="19"/>
        <v>9.8335475028355237</v>
      </c>
      <c r="Y50" s="151">
        <f t="shared" si="19"/>
        <v>10.455111984880727</v>
      </c>
    </row>
    <row r="51" spans="1:26" ht="14.1" customHeight="1" thickBot="1">
      <c r="A51" s="11" t="str">
        <f t="shared" si="13"/>
        <v>BMS</v>
      </c>
      <c r="B51" s="11">
        <f t="shared" si="13"/>
        <v>39.6</v>
      </c>
      <c r="C51" s="11"/>
      <c r="D51" s="11">
        <f>D6</f>
        <v>35.945445755118442</v>
      </c>
      <c r="E51" s="11">
        <f t="shared" ref="E51:L51" si="20">E6</f>
        <v>36.564608779097497</v>
      </c>
      <c r="F51" s="11">
        <f t="shared" si="20"/>
        <v>36.931648616285628</v>
      </c>
      <c r="G51" s="11">
        <f t="shared" si="20"/>
        <v>37.249561740713794</v>
      </c>
      <c r="H51" s="11">
        <f t="shared" si="20"/>
        <v>37.613991756712963</v>
      </c>
      <c r="I51" s="11">
        <f t="shared" si="20"/>
        <v>37.968410830308308</v>
      </c>
      <c r="J51" s="11">
        <f t="shared" si="20"/>
        <v>37.835021975222837</v>
      </c>
      <c r="K51" s="11">
        <f t="shared" si="20"/>
        <v>38.179999071934603</v>
      </c>
      <c r="L51" s="11">
        <f t="shared" si="20"/>
        <v>38.525810344223267</v>
      </c>
      <c r="N51" s="154" t="str">
        <f>Ratings!H14</f>
        <v>COO21</v>
      </c>
      <c r="O51" s="11">
        <f>Ratings!J14</f>
        <v>14.289419162443236</v>
      </c>
      <c r="P51" s="151" t="s">
        <v>29</v>
      </c>
      <c r="Q51" s="151">
        <f>Q16*50%+Q12</f>
        <v>6.4132631694218674</v>
      </c>
      <c r="R51" s="151">
        <f t="shared" ref="R51:Y51" si="21">R16*50%+R12</f>
        <v>7.3855093087600681</v>
      </c>
      <c r="S51" s="151">
        <f t="shared" si="21"/>
        <v>8.0815630371941296</v>
      </c>
      <c r="T51" s="151">
        <f t="shared" si="21"/>
        <v>8.5254478346108211</v>
      </c>
      <c r="U51" s="151">
        <f t="shared" si="21"/>
        <v>9.0206255895440215</v>
      </c>
      <c r="V51" s="151">
        <f t="shared" si="21"/>
        <v>9.3556010133291121</v>
      </c>
      <c r="W51" s="151">
        <f t="shared" si="21"/>
        <v>9.6901554966060672</v>
      </c>
      <c r="X51" s="151">
        <f t="shared" si="21"/>
        <v>10.021342241929849</v>
      </c>
      <c r="Y51" s="151">
        <f t="shared" si="21"/>
        <v>10.350414609743298</v>
      </c>
      <c r="Z51" s="15">
        <f>Y14</f>
        <v>7.4958725240347945</v>
      </c>
    </row>
    <row r="52" spans="1:26" ht="14.1" customHeight="1" thickBot="1">
      <c r="A52" s="11" t="str">
        <f t="shared" si="13"/>
        <v>SMTS-ST-SSS-SMTS</v>
      </c>
      <c r="B52" s="11">
        <f t="shared" si="13"/>
        <v>126.3</v>
      </c>
      <c r="C52" s="11"/>
      <c r="D52" s="11">
        <f>D47+D54</f>
        <v>95.67043197091013</v>
      </c>
      <c r="E52" s="11">
        <f t="shared" ref="E52:L52" si="22">E47+E54</f>
        <v>103.33793096631416</v>
      </c>
      <c r="F52" s="11">
        <f t="shared" si="22"/>
        <v>109.8261005574179</v>
      </c>
      <c r="G52" s="11">
        <f t="shared" si="22"/>
        <v>115.09091398567674</v>
      </c>
      <c r="H52" s="11">
        <f t="shared" si="22"/>
        <v>119.31655936794228</v>
      </c>
      <c r="I52" s="11">
        <f t="shared" si="22"/>
        <v>123.16885549904393</v>
      </c>
      <c r="J52" s="11">
        <f t="shared" si="22"/>
        <v>126.92463042690395</v>
      </c>
      <c r="K52" s="11">
        <f t="shared" si="22"/>
        <v>130.72421006386287</v>
      </c>
      <c r="L52" s="11">
        <f t="shared" si="22"/>
        <v>134.35604730005781</v>
      </c>
      <c r="N52" s="154" t="str">
        <f>Ratings!H22</f>
        <v>ST 11</v>
      </c>
      <c r="O52" s="11">
        <f>Ratings!J22</f>
        <v>22.6</v>
      </c>
      <c r="P52" s="151">
        <f>-2.5-1.5</f>
        <v>-4</v>
      </c>
      <c r="Q52" s="151">
        <f>Q22+$P52</f>
        <v>14.649598042012069</v>
      </c>
      <c r="R52" s="151">
        <f t="shared" ref="R52:Y52" si="23">R22+$P52</f>
        <v>16.223072573606864</v>
      </c>
      <c r="S52" s="151">
        <f t="shared" si="23"/>
        <v>16.988231258601644</v>
      </c>
      <c r="T52" s="151">
        <f t="shared" si="23"/>
        <v>17.536862131858879</v>
      </c>
      <c r="U52" s="151">
        <f t="shared" si="23"/>
        <v>18.329195410117638</v>
      </c>
      <c r="V52" s="151">
        <f t="shared" si="23"/>
        <v>19.138120052653957</v>
      </c>
      <c r="W52" s="151">
        <f t="shared" si="23"/>
        <v>19.963003799771808</v>
      </c>
      <c r="X52" s="151">
        <f t="shared" si="23"/>
        <v>20.814891179918231</v>
      </c>
      <c r="Y52" s="151">
        <f t="shared" si="23"/>
        <v>21.691219741005231</v>
      </c>
      <c r="Z52" s="15">
        <f>Y22</f>
        <v>25.691219741005231</v>
      </c>
    </row>
    <row r="53" spans="1:26" ht="14.1" customHeight="1" thickBot="1">
      <c r="A53" s="11" t="str">
        <f t="shared" si="13"/>
        <v>TTS-COO-VCO-BD-BMS-TTS</v>
      </c>
      <c r="B53" s="11">
        <f t="shared" si="13"/>
        <v>217.33903638151426</v>
      </c>
      <c r="C53" s="11"/>
      <c r="D53" s="11">
        <f>D50+D51+D49+D9</f>
        <v>186.55602443470133</v>
      </c>
      <c r="E53" s="11">
        <f t="shared" ref="E53:L53" si="24">E50+E51+E49+E9</f>
        <v>192.49647622750814</v>
      </c>
      <c r="F53" s="11">
        <f t="shared" si="24"/>
        <v>196.20836234326589</v>
      </c>
      <c r="G53" s="11">
        <f t="shared" si="24"/>
        <v>198.36405976380877</v>
      </c>
      <c r="H53" s="11">
        <f t="shared" si="24"/>
        <v>200.9011755133152</v>
      </c>
      <c r="I53" s="11">
        <f t="shared" si="24"/>
        <v>202.63172880506562</v>
      </c>
      <c r="J53" s="11">
        <f t="shared" si="24"/>
        <v>204.29571280842873</v>
      </c>
      <c r="K53" s="11">
        <f t="shared" si="24"/>
        <v>206.47190138206659</v>
      </c>
      <c r="L53" s="11">
        <f t="shared" si="24"/>
        <v>208.65737536120963</v>
      </c>
      <c r="N53" s="154" t="str">
        <f>Ratings!H23</f>
        <v>ST 12</v>
      </c>
      <c r="O53" s="11">
        <f>Ratings!J23</f>
        <v>14.6</v>
      </c>
      <c r="P53" s="151" t="s">
        <v>106</v>
      </c>
      <c r="Q53" s="151">
        <f>Q23*45%</f>
        <v>7.2091701524994818</v>
      </c>
      <c r="R53" s="151">
        <f t="shared" ref="R53:Y53" si="25">R23*45%</f>
        <v>8.8753977430497333</v>
      </c>
      <c r="S53" s="151">
        <f t="shared" si="25"/>
        <v>10.47078422710122</v>
      </c>
      <c r="T53" s="151">
        <f t="shared" si="25"/>
        <v>12.024681552576073</v>
      </c>
      <c r="U53" s="151">
        <f t="shared" si="25"/>
        <v>13.386274904495481</v>
      </c>
      <c r="V53" s="151">
        <f t="shared" si="25"/>
        <v>14.319165021772593</v>
      </c>
      <c r="W53" s="151">
        <f t="shared" si="25"/>
        <v>15.0509739373678</v>
      </c>
      <c r="X53" s="151">
        <f t="shared" si="25"/>
        <v>15.773345810660143</v>
      </c>
      <c r="Y53" s="151">
        <f t="shared" si="25"/>
        <v>16.450921092652983</v>
      </c>
      <c r="Z53" s="15">
        <f>Y23</f>
        <v>36.55760242811774</v>
      </c>
    </row>
    <row r="54" spans="1:26" ht="14.1" customHeight="1" thickBot="1">
      <c r="A54" s="11" t="str">
        <f>Ratings!A9</f>
        <v>CBN</v>
      </c>
      <c r="B54" s="11">
        <f>Ratings!E9</f>
        <v>39.6</v>
      </c>
      <c r="C54" s="11"/>
      <c r="D54" s="11">
        <f>(Q47+Q48+Q49+Q50+Q57+Q58)*D$12</f>
        <v>33.551856077445457</v>
      </c>
      <c r="E54" s="11">
        <f t="shared" ref="E54:L54" si="26">(R47+R48+R49+R50+R57+R58)*E$12</f>
        <v>38.908399836979967</v>
      </c>
      <c r="F54" s="11">
        <f t="shared" si="26"/>
        <v>43.868474211901969</v>
      </c>
      <c r="G54" s="11">
        <f t="shared" si="26"/>
        <v>47.818256559071472</v>
      </c>
      <c r="H54" s="11">
        <f t="shared" si="26"/>
        <v>51.289907440603471</v>
      </c>
      <c r="I54" s="11">
        <f t="shared" si="26"/>
        <v>54.247780536583086</v>
      </c>
      <c r="J54" s="11">
        <f t="shared" si="26"/>
        <v>56.968132300406225</v>
      </c>
      <c r="K54" s="11">
        <f t="shared" si="26"/>
        <v>59.728537977828125</v>
      </c>
      <c r="L54" s="11">
        <f t="shared" si="26"/>
        <v>62.295112542604684</v>
      </c>
      <c r="N54" s="154" t="str">
        <f>Ratings!H27</f>
        <v>ST 22</v>
      </c>
      <c r="O54" s="11">
        <f>Ratings!J27</f>
        <v>22.482019482244024</v>
      </c>
      <c r="P54" s="151" t="s">
        <v>20</v>
      </c>
      <c r="Q54" s="151">
        <f>Q27-0.2-1.5-2.5-Q57-Q58</f>
        <v>2.0531022331210202</v>
      </c>
      <c r="R54" s="151">
        <f t="shared" ref="R54:Y54" si="27">R27-0.2-1.5-2.5-R57-R58</f>
        <v>3.2766740225876321</v>
      </c>
      <c r="S54" s="151">
        <f t="shared" si="27"/>
        <v>4.2202130178162243</v>
      </c>
      <c r="T54" s="151">
        <f t="shared" si="27"/>
        <v>4.9354036750975183</v>
      </c>
      <c r="U54" s="151">
        <f t="shared" si="27"/>
        <v>5.3643495970631534</v>
      </c>
      <c r="V54" s="151">
        <f t="shared" si="27"/>
        <v>5.8080044723266724</v>
      </c>
      <c r="W54" s="151">
        <f t="shared" si="27"/>
        <v>6.2664096844248593</v>
      </c>
      <c r="X54" s="151">
        <f t="shared" si="27"/>
        <v>6.744751404536224</v>
      </c>
      <c r="Y54" s="151">
        <f t="shared" si="27"/>
        <v>7.2423519853103731</v>
      </c>
      <c r="Z54" s="15">
        <f>Y27</f>
        <v>34.327055955931137</v>
      </c>
    </row>
    <row r="55" spans="1:26" ht="14.1" customHeight="1" thickBot="1">
      <c r="A55" s="11" t="s">
        <v>97</v>
      </c>
      <c r="B55" s="11">
        <f>B10</f>
        <v>33</v>
      </c>
      <c r="C55" s="11"/>
      <c r="D55" s="11">
        <f>(Q124+Q125+Q11+Q13)*D$12</f>
        <v>17.855208277894004</v>
      </c>
      <c r="E55" s="11">
        <f t="shared" ref="E55:L55" si="28">(R124+R125+R11+R13)*E$12</f>
        <v>18.806873976286884</v>
      </c>
      <c r="F55" s="11">
        <f t="shared" si="28"/>
        <v>19.11619749885277</v>
      </c>
      <c r="G55" s="11">
        <f t="shared" si="28"/>
        <v>19.42353330863649</v>
      </c>
      <c r="H55" s="11">
        <f t="shared" si="28"/>
        <v>19.79712415618382</v>
      </c>
      <c r="I55" s="11">
        <f t="shared" si="28"/>
        <v>20.170800553323424</v>
      </c>
      <c r="J55" s="11">
        <f t="shared" si="28"/>
        <v>20.543854054728644</v>
      </c>
      <c r="K55" s="11">
        <f t="shared" si="28"/>
        <v>20.925667228822505</v>
      </c>
      <c r="L55" s="11">
        <f t="shared" si="28"/>
        <v>21.313484806375573</v>
      </c>
      <c r="M55" s="28" t="s">
        <v>98</v>
      </c>
      <c r="N55" s="4" t="str">
        <f>Ratings!H31</f>
        <v>ST 32</v>
      </c>
      <c r="O55" s="155">
        <f>Ratings!J31</f>
        <v>12.6</v>
      </c>
      <c r="P55" s="151" t="s">
        <v>107</v>
      </c>
      <c r="Q55" s="151">
        <f>Q31</f>
        <v>7.7103619489273827</v>
      </c>
      <c r="R55" s="151">
        <f t="shared" ref="R55:Y55" si="29">R31</f>
        <v>7.9331128024308066</v>
      </c>
      <c r="S55" s="151">
        <f t="shared" si="29"/>
        <v>8.2100305837368772</v>
      </c>
      <c r="T55" s="151">
        <f t="shared" si="29"/>
        <v>8.5240059361427942</v>
      </c>
      <c r="U55" s="151">
        <f t="shared" si="29"/>
        <v>9.0362284270243762</v>
      </c>
      <c r="V55" s="151">
        <f t="shared" si="29"/>
        <v>9.4636029640897839</v>
      </c>
      <c r="W55" s="151">
        <f t="shared" si="29"/>
        <v>9.8980630712273197</v>
      </c>
      <c r="X55" s="151">
        <f t="shared" si="29"/>
        <v>10.336646316883707</v>
      </c>
      <c r="Y55" s="151">
        <f t="shared" si="29"/>
        <v>10.780677413842813</v>
      </c>
      <c r="Z55" s="15">
        <f>Y31</f>
        <v>10.780677413842813</v>
      </c>
    </row>
    <row r="56" spans="1:26" ht="14.1" customHeight="1" thickBot="1">
      <c r="A56" s="11" t="s">
        <v>99</v>
      </c>
      <c r="B56" s="11">
        <f>B11</f>
        <v>33</v>
      </c>
      <c r="C56" s="11"/>
      <c r="D56" s="11">
        <f>(Q51+Q126+Q127+Q128)*D$12</f>
        <v>18.164999157545171</v>
      </c>
      <c r="E56" s="11">
        <f t="shared" ref="E56:L56" si="30">(R51+R126+R127+R128)*E$12</f>
        <v>19.976611252725199</v>
      </c>
      <c r="F56" s="11">
        <f t="shared" si="30"/>
        <v>21.309410422807971</v>
      </c>
      <c r="G56" s="11">
        <f t="shared" si="30"/>
        <v>22.223600035755176</v>
      </c>
      <c r="H56" s="11">
        <f t="shared" si="30"/>
        <v>23.271336012086572</v>
      </c>
      <c r="I56" s="11">
        <f t="shared" si="30"/>
        <v>24.047699412571294</v>
      </c>
      <c r="J56" s="11">
        <f t="shared" si="30"/>
        <v>24.824091964084172</v>
      </c>
      <c r="K56" s="11">
        <f t="shared" si="30"/>
        <v>25.599207440170517</v>
      </c>
      <c r="L56" s="11">
        <f t="shared" si="30"/>
        <v>26.374115630081395</v>
      </c>
      <c r="M56" s="42">
        <f>B56+B55*L55/L56</f>
        <v>59.668003146546575</v>
      </c>
      <c r="N56" s="4" t="str">
        <f>Ratings!H32</f>
        <v>ST 33</v>
      </c>
      <c r="O56" s="155">
        <f>Ratings!J32</f>
        <v>12.5</v>
      </c>
      <c r="P56" s="151">
        <f>-1.9-1.2</f>
        <v>-3.0999999999999996</v>
      </c>
      <c r="Q56" s="151">
        <f>Q32+$P56+Q23*10%</f>
        <v>7.713544811116396</v>
      </c>
      <c r="R56" s="151">
        <f t="shared" ref="R56:Y56" si="31">R32+$P56+R23*10%</f>
        <v>8.3243602423729968</v>
      </c>
      <c r="S56" s="151">
        <f t="shared" si="31"/>
        <v>8.8667457117452244</v>
      </c>
      <c r="T56" s="151">
        <f t="shared" si="31"/>
        <v>9.4150728956580139</v>
      </c>
      <c r="U56" s="151">
        <f t="shared" si="31"/>
        <v>9.9797172735117776</v>
      </c>
      <c r="V56" s="151">
        <f t="shared" si="31"/>
        <v>10.450444350532647</v>
      </c>
      <c r="W56" s="151">
        <f t="shared" si="31"/>
        <v>10.87743170582603</v>
      </c>
      <c r="X56" s="151">
        <f t="shared" si="31"/>
        <v>11.308006247353795</v>
      </c>
      <c r="Y56" s="151">
        <f t="shared" si="31"/>
        <v>11.73294229598887</v>
      </c>
      <c r="Z56" s="15">
        <f>Y32</f>
        <v>11.177182053177097</v>
      </c>
    </row>
    <row r="57" spans="1:26" ht="14.1" customHeight="1" thickBo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N57" s="154" t="str">
        <f>Ratings!H43</f>
        <v>CBN12 new</v>
      </c>
      <c r="O57" s="11">
        <f>Ratings!J43</f>
        <v>14.3</v>
      </c>
      <c r="P57" s="151" t="s">
        <v>108</v>
      </c>
      <c r="Q57" s="151">
        <f>Q27/3</f>
        <v>6.2531022331210195</v>
      </c>
      <c r="R57" s="151">
        <f t="shared" ref="R57:Y57" si="32">R27/3</f>
        <v>7.4766740225876331</v>
      </c>
      <c r="S57" s="151">
        <f t="shared" si="32"/>
        <v>8.4202130178162236</v>
      </c>
      <c r="T57" s="151">
        <f t="shared" si="32"/>
        <v>9.1354036750975176</v>
      </c>
      <c r="U57" s="151">
        <f t="shared" si="32"/>
        <v>9.5643495970631527</v>
      </c>
      <c r="V57" s="151">
        <f t="shared" si="32"/>
        <v>10.00800447232667</v>
      </c>
      <c r="W57" s="151">
        <f t="shared" si="32"/>
        <v>10.466409684424859</v>
      </c>
      <c r="X57" s="151">
        <f t="shared" si="32"/>
        <v>10.944751404536227</v>
      </c>
      <c r="Y57" s="151">
        <f t="shared" si="32"/>
        <v>11.442351985310379</v>
      </c>
    </row>
    <row r="58" spans="1:26" ht="14.1" customHeight="1" thickBot="1">
      <c r="A58" s="11" t="s">
        <v>109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N58" s="154" t="str">
        <f>Ratings!H47</f>
        <v>CBN23 new</v>
      </c>
      <c r="O58" s="11">
        <f>Ratings!J47</f>
        <v>14.3</v>
      </c>
      <c r="P58" s="151" t="s">
        <v>108</v>
      </c>
      <c r="Q58" s="151">
        <f>Q27/3</f>
        <v>6.2531022331210195</v>
      </c>
      <c r="R58" s="151">
        <f t="shared" ref="R58:Y58" si="33">R27/3</f>
        <v>7.4766740225876331</v>
      </c>
      <c r="S58" s="151">
        <f t="shared" si="33"/>
        <v>8.4202130178162236</v>
      </c>
      <c r="T58" s="151">
        <f t="shared" si="33"/>
        <v>9.1354036750975176</v>
      </c>
      <c r="U58" s="151">
        <f t="shared" si="33"/>
        <v>9.5643495970631527</v>
      </c>
      <c r="V58" s="151">
        <f t="shared" si="33"/>
        <v>10.00800447232667</v>
      </c>
      <c r="W58" s="151">
        <f t="shared" si="33"/>
        <v>10.466409684424859</v>
      </c>
      <c r="X58" s="151">
        <f t="shared" si="33"/>
        <v>10.944751404536227</v>
      </c>
      <c r="Y58" s="151">
        <f t="shared" si="33"/>
        <v>11.442351985310379</v>
      </c>
    </row>
    <row r="59" spans="1:26" ht="14.1" customHeight="1" thickBot="1">
      <c r="A59" s="11" t="str">
        <f t="shared" ref="A59:B65" si="34">A2</f>
        <v>ST</v>
      </c>
      <c r="B59" s="11">
        <f t="shared" si="34"/>
        <v>89.3</v>
      </c>
      <c r="C59" s="11"/>
      <c r="D59" s="11">
        <f>D2+((Q84+Q85+Q86+Q87+Q88+Q132+Q133)-(Q22+Q23+Q27+Q31+Q32+Q29+Q26))*D$12</f>
        <v>69.205892596240773</v>
      </c>
      <c r="E59" s="11">
        <f t="shared" ref="E59:L59" si="35">E2+((R84+R85+R86+R87+R88+R132+R133)-(R22+R23+R27+R31+R32+R29+R26))*E$12</f>
        <v>71.566674025100639</v>
      </c>
      <c r="F59" s="11">
        <f t="shared" si="35"/>
        <v>72.862138574651041</v>
      </c>
      <c r="G59" s="11">
        <f t="shared" si="35"/>
        <v>73.687041702587308</v>
      </c>
      <c r="H59" s="11">
        <f t="shared" si="35"/>
        <v>73.670601529075412</v>
      </c>
      <c r="I59" s="11">
        <f t="shared" si="35"/>
        <v>74.164449309111248</v>
      </c>
      <c r="J59" s="11">
        <f t="shared" si="35"/>
        <v>74.966087909666413</v>
      </c>
      <c r="K59" s="11">
        <f t="shared" si="35"/>
        <v>75.799239011643962</v>
      </c>
      <c r="L59" s="11">
        <f t="shared" si="35"/>
        <v>76.712106812885693</v>
      </c>
      <c r="N59" s="4" t="str">
        <f>Ratings!H20</f>
        <v>KLO22</v>
      </c>
      <c r="O59" s="155">
        <f>Ratings!J20</f>
        <v>14.289419162443236</v>
      </c>
      <c r="P59" s="151" t="s">
        <v>23</v>
      </c>
      <c r="Q59" s="151">
        <f t="shared" ref="Q59:Y59" si="36">Q20*35%+0.5</f>
        <v>5.0539831276566689</v>
      </c>
      <c r="R59" s="151">
        <f t="shared" si="36"/>
        <v>6.2323765989973827</v>
      </c>
      <c r="S59" s="151">
        <f t="shared" si="36"/>
        <v>7.4993319837147947</v>
      </c>
      <c r="T59" s="151">
        <f t="shared" si="36"/>
        <v>8.3945372798201063</v>
      </c>
      <c r="U59" s="151">
        <f t="shared" si="36"/>
        <v>9.3986657192239473</v>
      </c>
      <c r="V59" s="151">
        <f t="shared" si="36"/>
        <v>10.29232386025768</v>
      </c>
      <c r="W59" s="151">
        <f t="shared" si="36"/>
        <v>11.127905514104015</v>
      </c>
      <c r="X59" s="151">
        <f t="shared" si="36"/>
        <v>11.972472086641444</v>
      </c>
      <c r="Y59" s="151">
        <f t="shared" si="36"/>
        <v>12.697630649027515</v>
      </c>
      <c r="Z59" s="15">
        <f>Y20</f>
        <v>34.850373282935756</v>
      </c>
    </row>
    <row r="60" spans="1:26" ht="14.1" customHeight="1" thickBot="1">
      <c r="A60" s="11" t="str">
        <f t="shared" si="34"/>
        <v>KLO</v>
      </c>
      <c r="B60" s="11">
        <f t="shared" si="34"/>
        <v>49.1</v>
      </c>
      <c r="C60" s="11"/>
      <c r="D60" s="11">
        <f>D3+((Q91+Q129+Q130+Q131)-(Q18+Q19+Q20+Q21))*D$12</f>
        <v>25.739190987826767</v>
      </c>
      <c r="E60" s="11">
        <f t="shared" ref="E60:L60" si="37">E3+((R91+R129+R130+R131)-(R18+R19+R20+R21))*E$12</f>
        <v>28.426506993938371</v>
      </c>
      <c r="F60" s="11">
        <f t="shared" si="37"/>
        <v>30.27724330853669</v>
      </c>
      <c r="G60" s="11">
        <f t="shared" si="37"/>
        <v>31.618747398163116</v>
      </c>
      <c r="H60" s="11">
        <f t="shared" si="37"/>
        <v>32.313971418982334</v>
      </c>
      <c r="I60" s="11">
        <f t="shared" si="37"/>
        <v>32.92924329510835</v>
      </c>
      <c r="J60" s="11">
        <f t="shared" si="37"/>
        <v>33.708729848152494</v>
      </c>
      <c r="K60" s="11">
        <f t="shared" si="37"/>
        <v>34.519686505684433</v>
      </c>
      <c r="L60" s="11">
        <f t="shared" si="37"/>
        <v>35.615410755230201</v>
      </c>
      <c r="N60" s="154" t="s">
        <v>16</v>
      </c>
      <c r="O60" s="11">
        <v>14.3</v>
      </c>
      <c r="P60" s="151" t="s">
        <v>110</v>
      </c>
      <c r="Q60" s="151">
        <f>Q6</f>
        <v>10.717595513874752</v>
      </c>
      <c r="R60" s="151">
        <f t="shared" ref="R60:Y60" si="38">R6</f>
        <v>11.136855129712854</v>
      </c>
      <c r="S60" s="151">
        <f t="shared" si="38"/>
        <v>11.253177819808361</v>
      </c>
      <c r="T60" s="151">
        <f t="shared" si="38"/>
        <v>11.257259009800753</v>
      </c>
      <c r="U60" s="151">
        <f t="shared" si="38"/>
        <v>11.28093847838081</v>
      </c>
      <c r="V60" s="151">
        <f t="shared" si="38"/>
        <v>11.301462077707493</v>
      </c>
      <c r="W60" s="151">
        <f t="shared" si="38"/>
        <v>11.3185597830586</v>
      </c>
      <c r="X60" s="151">
        <f t="shared" si="38"/>
        <v>11.337341065146656</v>
      </c>
      <c r="Y60" s="151">
        <f t="shared" si="38"/>
        <v>11.356247315381568</v>
      </c>
    </row>
    <row r="61" spans="1:26" ht="14.1" customHeight="1" thickBot="1">
      <c r="A61" s="11" t="str">
        <f t="shared" si="34"/>
        <v>BD</v>
      </c>
      <c r="B61" s="11">
        <f t="shared" si="34"/>
        <v>125.1</v>
      </c>
      <c r="C61" s="11"/>
      <c r="D61" s="11">
        <f>D4+((Q121+Q122+Q123)-(Q6+Q7+Q8))*D$12</f>
        <v>89.386603733042506</v>
      </c>
      <c r="E61" s="11">
        <f t="shared" ref="E61:L61" si="39">E4+((R121+R122+R123)-(R6+R7+R8))*E$12</f>
        <v>93.741116958529261</v>
      </c>
      <c r="F61" s="11">
        <f t="shared" si="39"/>
        <v>96.615065985952583</v>
      </c>
      <c r="G61" s="11">
        <f t="shared" si="39"/>
        <v>98.089561470918383</v>
      </c>
      <c r="H61" s="11">
        <f t="shared" si="39"/>
        <v>99.156768769421248</v>
      </c>
      <c r="I61" s="11">
        <f t="shared" si="39"/>
        <v>100.2073980224685</v>
      </c>
      <c r="J61" s="11">
        <f t="shared" si="39"/>
        <v>101.23076337249437</v>
      </c>
      <c r="K61" s="11">
        <f t="shared" si="39"/>
        <v>102.26931881425925</v>
      </c>
      <c r="L61" s="11">
        <f t="shared" si="39"/>
        <v>103.31344181661615</v>
      </c>
      <c r="N61" s="154"/>
      <c r="O61" s="11"/>
      <c r="P61" s="151"/>
      <c r="Q61" s="151"/>
      <c r="R61" s="151"/>
      <c r="S61" s="151"/>
      <c r="T61" s="151"/>
      <c r="U61" s="151"/>
      <c r="V61" s="151"/>
      <c r="W61" s="151"/>
      <c r="X61" s="151"/>
      <c r="Y61" s="151"/>
    </row>
    <row r="62" spans="1:26" ht="14.1" customHeight="1" thickBot="1">
      <c r="A62" s="11" t="str">
        <f t="shared" si="34"/>
        <v>COO</v>
      </c>
      <c r="B62" s="11">
        <f t="shared" si="34"/>
        <v>39.6</v>
      </c>
      <c r="C62" s="11"/>
      <c r="D62" s="11">
        <f>D5+((Q83+Q124+Q125+Q126+Q127+Q128)-(Q10+Q12+Q14+Q15+Q16+Q17))*D$12</f>
        <v>28.616688981453652</v>
      </c>
      <c r="E62" s="11">
        <f t="shared" ref="E62:L62" si="40">E5+((R83+R124+R125+R126+R127+R128)-(R10+R12+R14+R15+R16+R17))*E$12</f>
        <v>30.145236304241017</v>
      </c>
      <c r="F62" s="11">
        <f t="shared" si="40"/>
        <v>31.263624938490466</v>
      </c>
      <c r="G62" s="11">
        <f t="shared" si="40"/>
        <v>32.340668719485791</v>
      </c>
      <c r="H62" s="11">
        <f t="shared" si="40"/>
        <v>33.449132389184356</v>
      </c>
      <c r="I62" s="11">
        <f t="shared" si="40"/>
        <v>34.227754396309976</v>
      </c>
      <c r="J62" s="11">
        <f t="shared" si="40"/>
        <v>35.119204294512492</v>
      </c>
      <c r="K62" s="11">
        <f t="shared" si="40"/>
        <v>36.01777447573896</v>
      </c>
      <c r="L62" s="11">
        <f t="shared" si="40"/>
        <v>36.906812007439271</v>
      </c>
      <c r="N62" s="154"/>
      <c r="O62" s="11"/>
      <c r="P62" s="151"/>
      <c r="Q62" s="151"/>
      <c r="R62" s="151"/>
      <c r="S62" s="151"/>
      <c r="T62" s="151"/>
      <c r="U62" s="151"/>
      <c r="V62" s="151"/>
      <c r="W62" s="151"/>
      <c r="X62" s="151"/>
      <c r="Y62" s="151"/>
    </row>
    <row r="63" spans="1:26" ht="14.1" customHeight="1" thickBot="1">
      <c r="A63" s="11" t="str">
        <f t="shared" si="34"/>
        <v>BMS</v>
      </c>
      <c r="B63" s="11">
        <f t="shared" si="34"/>
        <v>39.6</v>
      </c>
      <c r="C63" s="11"/>
      <c r="D63" s="11">
        <f t="shared" ref="D63:L63" si="41">D6</f>
        <v>35.945445755118442</v>
      </c>
      <c r="E63" s="11">
        <f t="shared" si="41"/>
        <v>36.564608779097497</v>
      </c>
      <c r="F63" s="11">
        <f t="shared" si="41"/>
        <v>36.931648616285628</v>
      </c>
      <c r="G63" s="11">
        <f t="shared" si="41"/>
        <v>37.249561740713794</v>
      </c>
      <c r="H63" s="11">
        <f t="shared" si="41"/>
        <v>37.613991756712963</v>
      </c>
      <c r="I63" s="11">
        <f t="shared" si="41"/>
        <v>37.968410830308308</v>
      </c>
      <c r="J63" s="11">
        <f t="shared" si="41"/>
        <v>37.835021975222837</v>
      </c>
      <c r="K63" s="11">
        <f t="shared" si="41"/>
        <v>38.179999071934603</v>
      </c>
      <c r="L63" s="11">
        <f t="shared" si="41"/>
        <v>38.525810344223267</v>
      </c>
      <c r="N63" s="154"/>
      <c r="O63" s="11"/>
      <c r="P63" s="151"/>
      <c r="Q63" s="151"/>
      <c r="R63" s="151"/>
      <c r="S63" s="151"/>
      <c r="T63" s="151"/>
      <c r="U63" s="151"/>
      <c r="V63" s="151"/>
      <c r="W63" s="151"/>
      <c r="X63" s="151"/>
      <c r="Y63" s="151"/>
    </row>
    <row r="64" spans="1:26" ht="14.1" customHeight="1" thickBot="1">
      <c r="A64" s="11" t="str">
        <f t="shared" si="34"/>
        <v>SMTS-ST-SSS-SMTS</v>
      </c>
      <c r="B64" s="11">
        <f t="shared" si="34"/>
        <v>126.3</v>
      </c>
      <c r="C64" s="11"/>
      <c r="D64" s="11">
        <f>D59+D66</f>
        <v>95.751967945720878</v>
      </c>
      <c r="E64" s="11">
        <f t="shared" ref="E64:L64" si="42">E59+E66</f>
        <v>103.36486123027792</v>
      </c>
      <c r="F64" s="11">
        <f t="shared" si="42"/>
        <v>109.75168975539921</v>
      </c>
      <c r="G64" s="11">
        <f t="shared" si="42"/>
        <v>114.68807693359661</v>
      </c>
      <c r="H64" s="11">
        <f t="shared" si="42"/>
        <v>118.83665418723581</v>
      </c>
      <c r="I64" s="11">
        <f t="shared" si="42"/>
        <v>122.61155667403665</v>
      </c>
      <c r="J64" s="11">
        <f t="shared" si="42"/>
        <v>126.33505824091586</v>
      </c>
      <c r="K64" s="11">
        <f t="shared" si="42"/>
        <v>130.09512110261792</v>
      </c>
      <c r="L64" s="11">
        <f t="shared" si="42"/>
        <v>133.6478576460957</v>
      </c>
      <c r="N64" s="154"/>
      <c r="O64" s="11"/>
      <c r="P64" s="151"/>
      <c r="Q64" s="151"/>
      <c r="R64" s="151"/>
      <c r="S64" s="151"/>
      <c r="T64" s="151"/>
      <c r="U64" s="151"/>
      <c r="V64" s="151"/>
      <c r="W64" s="151"/>
      <c r="X64" s="151"/>
      <c r="Y64" s="151"/>
    </row>
    <row r="65" spans="1:25" ht="14.1" customHeight="1" thickBot="1">
      <c r="A65" s="11" t="str">
        <f t="shared" si="34"/>
        <v>TTS-COO-VCO-BD-BMS-TTS</v>
      </c>
      <c r="B65" s="11">
        <f t="shared" si="34"/>
        <v>217.33903638151426</v>
      </c>
      <c r="C65" s="11"/>
      <c r="D65" s="11">
        <f t="shared" ref="D65:L65" si="43">D62+D9+D61+D63</f>
        <v>183.00570707484997</v>
      </c>
      <c r="E65" s="11">
        <f t="shared" si="43"/>
        <v>189.4684143053039</v>
      </c>
      <c r="F65" s="11">
        <f t="shared" si="43"/>
        <v>193.79648158374957</v>
      </c>
      <c r="G65" s="11">
        <f t="shared" si="43"/>
        <v>196.64747869149389</v>
      </c>
      <c r="H65" s="11">
        <f t="shared" si="43"/>
        <v>199.19057139559408</v>
      </c>
      <c r="I65" s="11">
        <f t="shared" si="43"/>
        <v>201.36901765858616</v>
      </c>
      <c r="J65" s="11">
        <f t="shared" si="43"/>
        <v>203.13636243313505</v>
      </c>
      <c r="K65" s="11">
        <f t="shared" si="43"/>
        <v>205.40862211870279</v>
      </c>
      <c r="L65" s="11">
        <f t="shared" si="43"/>
        <v>207.67799321794905</v>
      </c>
      <c r="N65" s="154"/>
      <c r="O65" s="1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14.1" customHeight="1" thickBot="1">
      <c r="A66" s="11" t="str">
        <f>Ratings!A10</f>
        <v>GVE</v>
      </c>
      <c r="B66" s="11">
        <f>Ratings!E10</f>
        <v>39.6</v>
      </c>
      <c r="C66" s="11"/>
      <c r="D66" s="11">
        <f>(Q80+Q81+Q82+Q89+Q90)*D$12</f>
        <v>26.546075349480112</v>
      </c>
      <c r="E66" s="11">
        <f t="shared" ref="E66:L66" si="44">(R80+R81+R82+R89+R90)*E$12</f>
        <v>31.798187205177285</v>
      </c>
      <c r="F66" s="11">
        <f t="shared" si="44"/>
        <v>36.889551180748178</v>
      </c>
      <c r="G66" s="11">
        <f t="shared" si="44"/>
        <v>41.001035231009297</v>
      </c>
      <c r="H66" s="11">
        <f t="shared" si="44"/>
        <v>45.166052658160403</v>
      </c>
      <c r="I66" s="11">
        <f t="shared" si="44"/>
        <v>48.447107364925401</v>
      </c>
      <c r="J66" s="11">
        <f t="shared" si="44"/>
        <v>51.36897033124945</v>
      </c>
      <c r="K66" s="11">
        <f t="shared" si="44"/>
        <v>54.295882090973954</v>
      </c>
      <c r="L66" s="11">
        <f t="shared" si="44"/>
        <v>56.935750833209994</v>
      </c>
      <c r="N66" s="154"/>
      <c r="O66" s="11"/>
      <c r="P66" s="151"/>
      <c r="Q66" s="151"/>
      <c r="R66" s="151"/>
      <c r="S66" s="151"/>
      <c r="T66" s="151"/>
      <c r="U66" s="151"/>
      <c r="V66" s="151"/>
      <c r="W66" s="151"/>
      <c r="X66" s="151"/>
      <c r="Y66" s="151"/>
    </row>
    <row r="67" spans="1:25" ht="14.1" customHeight="1" thickBot="1">
      <c r="A67" s="11" t="str">
        <f>A55</f>
        <v>COO Bus No.1</v>
      </c>
      <c r="B67" s="11">
        <f>B10</f>
        <v>33</v>
      </c>
      <c r="C67" s="11"/>
      <c r="D67" s="11">
        <f>(Q124+Q125+Q11+Q13)*D$12</f>
        <v>17.855208277894004</v>
      </c>
      <c r="E67" s="11">
        <f t="shared" ref="E67:L67" si="45">(R124+R125+R11+R13)*E$12</f>
        <v>18.806873976286884</v>
      </c>
      <c r="F67" s="11">
        <f t="shared" si="45"/>
        <v>19.11619749885277</v>
      </c>
      <c r="G67" s="11">
        <f t="shared" si="45"/>
        <v>19.42353330863649</v>
      </c>
      <c r="H67" s="11">
        <f t="shared" si="45"/>
        <v>19.79712415618382</v>
      </c>
      <c r="I67" s="11">
        <f t="shared" si="45"/>
        <v>20.170800553323424</v>
      </c>
      <c r="J67" s="11">
        <f t="shared" si="45"/>
        <v>20.543854054728644</v>
      </c>
      <c r="K67" s="11">
        <f t="shared" si="45"/>
        <v>20.925667228822505</v>
      </c>
      <c r="L67" s="11">
        <f t="shared" si="45"/>
        <v>21.313484806375573</v>
      </c>
      <c r="M67" s="28" t="s">
        <v>98</v>
      </c>
      <c r="N67" s="4"/>
      <c r="O67" s="155"/>
      <c r="P67" s="151"/>
      <c r="Q67" s="151"/>
      <c r="R67" s="151"/>
      <c r="S67" s="151"/>
      <c r="T67" s="151"/>
      <c r="U67" s="151"/>
      <c r="V67" s="151"/>
      <c r="W67" s="151"/>
      <c r="X67" s="151"/>
      <c r="Y67" s="151"/>
    </row>
    <row r="68" spans="1:25" ht="14.1" customHeight="1" thickBot="1">
      <c r="A68" s="11" t="str">
        <f>A56</f>
        <v>COO Bus No.2</v>
      </c>
      <c r="B68" s="11">
        <f>B11</f>
        <v>33</v>
      </c>
      <c r="C68" s="11"/>
      <c r="D68" s="11">
        <f>(Q83+Q126+Q127+Q128)*D$12</f>
        <v>17.397823836886584</v>
      </c>
      <c r="E68" s="11">
        <f t="shared" ref="E68:L68" si="46">(R83+R126+R127+R128)*E$12</f>
        <v>19.069072777318642</v>
      </c>
      <c r="F68" s="11">
        <f t="shared" si="46"/>
        <v>20.483286317247678</v>
      </c>
      <c r="G68" s="11">
        <f t="shared" si="46"/>
        <v>21.686994265731361</v>
      </c>
      <c r="H68" s="11">
        <f t="shared" si="46"/>
        <v>22.95854578704721</v>
      </c>
      <c r="I68" s="11">
        <f t="shared" si="46"/>
        <v>23.911394001980739</v>
      </c>
      <c r="J68" s="11">
        <f t="shared" si="46"/>
        <v>24.790468794831213</v>
      </c>
      <c r="K68" s="11">
        <f t="shared" si="46"/>
        <v>25.668627980132669</v>
      </c>
      <c r="L68" s="11">
        <f t="shared" si="46"/>
        <v>26.532843145511492</v>
      </c>
      <c r="M68" s="42">
        <f>B68+B67*L67/L68</f>
        <v>59.508467062994612</v>
      </c>
      <c r="N68" s="4"/>
      <c r="O68" s="155"/>
      <c r="P68" s="151"/>
      <c r="Q68" s="151"/>
      <c r="R68" s="151"/>
      <c r="S68" s="151"/>
      <c r="T68" s="151"/>
      <c r="U68" s="151"/>
      <c r="V68" s="151"/>
      <c r="W68" s="151"/>
      <c r="X68" s="151"/>
      <c r="Y68" s="151"/>
    </row>
    <row r="69" spans="1:25" ht="14.1" customHeight="1" thickBo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N69" s="4"/>
      <c r="O69" s="155"/>
      <c r="P69" s="151"/>
      <c r="Q69" s="151"/>
      <c r="R69" s="151"/>
      <c r="S69" s="151"/>
      <c r="T69" s="151"/>
      <c r="U69" s="151"/>
      <c r="V69" s="151"/>
      <c r="W69" s="151"/>
      <c r="X69" s="151"/>
      <c r="Y69" s="151"/>
    </row>
    <row r="70" spans="1:25" ht="14.1" customHeight="1" thickBo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N70" s="154"/>
      <c r="O70" s="1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1:25" ht="14.1" customHeight="1" thickBo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N71" s="154"/>
      <c r="O71" s="11"/>
      <c r="P71" s="151"/>
      <c r="Q71" s="151"/>
      <c r="R71" s="151"/>
      <c r="S71" s="151"/>
      <c r="T71" s="151"/>
      <c r="U71" s="151"/>
      <c r="V71" s="151"/>
      <c r="W71" s="151"/>
      <c r="X71" s="151"/>
      <c r="Y71" s="151"/>
    </row>
    <row r="72" spans="1:25" ht="14.1" customHeight="1" thickBo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N72" s="154"/>
      <c r="O72" s="1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1:25" ht="14.1" customHeight="1" thickBo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N73" s="4"/>
      <c r="O73" s="155"/>
      <c r="P73" s="151"/>
      <c r="Q73" s="151"/>
      <c r="R73" s="151"/>
      <c r="S73" s="151"/>
      <c r="T73" s="151"/>
      <c r="U73" s="151"/>
      <c r="V73" s="151"/>
      <c r="W73" s="151"/>
      <c r="X73" s="151"/>
      <c r="Y73" s="151"/>
    </row>
    <row r="74" spans="1:25" ht="14.1" customHeight="1" thickBo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N74" s="4"/>
      <c r="O74" s="11"/>
      <c r="P74" s="151"/>
      <c r="Q74" s="151"/>
      <c r="R74" s="151"/>
      <c r="S74" s="151"/>
      <c r="T74" s="151"/>
      <c r="U74" s="151"/>
      <c r="V74" s="151"/>
      <c r="W74" s="151"/>
      <c r="X74" s="151"/>
      <c r="Y74" s="151"/>
    </row>
    <row r="75" spans="1:25" ht="14.1" customHeight="1" thickBo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N75" s="154"/>
      <c r="O75" s="11"/>
      <c r="P75" s="151"/>
      <c r="Q75" s="151"/>
      <c r="R75" s="151"/>
      <c r="S75" s="151"/>
      <c r="T75" s="151"/>
      <c r="U75" s="151"/>
      <c r="V75" s="151"/>
      <c r="W75" s="151"/>
      <c r="X75" s="151"/>
      <c r="Y75" s="151"/>
    </row>
    <row r="76" spans="1:25" ht="14.1" customHeight="1" thickBo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N76" s="154"/>
      <c r="O76" s="11"/>
      <c r="P76" s="151"/>
      <c r="Q76" s="151"/>
      <c r="R76" s="151"/>
      <c r="S76" s="151"/>
      <c r="T76" s="151"/>
      <c r="U76" s="151"/>
      <c r="V76" s="151"/>
      <c r="W76" s="151"/>
      <c r="X76" s="151"/>
      <c r="Y76" s="151"/>
    </row>
    <row r="77" spans="1:25" ht="14.1" customHeight="1" thickBo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N77" s="154"/>
      <c r="O77" s="11"/>
      <c r="P77" s="151"/>
      <c r="Q77" s="151"/>
      <c r="R77" s="151"/>
      <c r="S77" s="151"/>
      <c r="T77" s="151"/>
      <c r="U77" s="151"/>
      <c r="V77" s="151"/>
      <c r="W77" s="151"/>
      <c r="X77" s="151"/>
      <c r="Y77" s="151"/>
    </row>
    <row r="78" spans="1:25" ht="14.1" customHeight="1" thickBo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N78" s="154"/>
      <c r="O78" s="11"/>
      <c r="P78" s="151"/>
      <c r="Q78" s="151"/>
      <c r="R78" s="151"/>
      <c r="S78" s="151"/>
      <c r="T78" s="151"/>
      <c r="U78" s="151"/>
      <c r="V78" s="151"/>
      <c r="W78" s="151"/>
      <c r="X78" s="151"/>
      <c r="Y78" s="151"/>
    </row>
    <row r="79" spans="1:25" ht="14.1" customHeight="1" thickBo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N79" s="156" t="str">
        <f>A58</f>
        <v>Option 3</v>
      </c>
      <c r="O79" s="155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1:25" ht="14.1" customHeight="1" thickBo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N80" s="154" t="str">
        <f>Ratings!H36</f>
        <v>GVE11 new</v>
      </c>
      <c r="O80" s="155">
        <f>Ratings!J36</f>
        <v>12.7</v>
      </c>
      <c r="P80" s="151" t="s">
        <v>111</v>
      </c>
      <c r="Q80" s="151">
        <f>Q51</f>
        <v>6.4132631694218674</v>
      </c>
      <c r="R80" s="151">
        <f t="shared" ref="R80:Y80" si="47">R51</f>
        <v>7.3855093087600681</v>
      </c>
      <c r="S80" s="151">
        <f t="shared" si="47"/>
        <v>8.0815630371941296</v>
      </c>
      <c r="T80" s="151">
        <f t="shared" si="47"/>
        <v>8.5254478346108211</v>
      </c>
      <c r="U80" s="151">
        <f t="shared" si="47"/>
        <v>9.0206255895440215</v>
      </c>
      <c r="V80" s="151">
        <f t="shared" si="47"/>
        <v>9.3556010133291121</v>
      </c>
      <c r="W80" s="151">
        <f t="shared" si="47"/>
        <v>9.6901554966060672</v>
      </c>
      <c r="X80" s="151">
        <f t="shared" si="47"/>
        <v>10.021342241929849</v>
      </c>
      <c r="Y80" s="151">
        <f t="shared" si="47"/>
        <v>10.350414609743298</v>
      </c>
    </row>
    <row r="81" spans="1:26" ht="14.1" customHeight="1" thickBo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N81" s="154" t="str">
        <f>Ratings!H39</f>
        <v>GVE21 new</v>
      </c>
      <c r="O81" s="155">
        <f>Ratings!J39</f>
        <v>13.7</v>
      </c>
      <c r="P81" s="151" t="s">
        <v>112</v>
      </c>
      <c r="Q81" s="151">
        <f>25%*Q23+10%*Q31+35%*Q32</f>
        <v>8.0001581738665628</v>
      </c>
      <c r="R81" s="151">
        <f t="shared" ref="R81:Y81" si="48">25%*R23+10%*R31+35%*R32</f>
        <v>9.0323051756418344</v>
      </c>
      <c r="S81" s="151">
        <f t="shared" si="48"/>
        <v>10.012072077099543</v>
      </c>
      <c r="T81" s="151">
        <f t="shared" si="48"/>
        <v>10.97780173776982</v>
      </c>
      <c r="U81" s="151">
        <f t="shared" si="48"/>
        <v>11.877188565023843</v>
      </c>
      <c r="V81" s="151">
        <f t="shared" si="48"/>
        <v>12.530394662831199</v>
      </c>
      <c r="W81" s="151">
        <f t="shared" si="48"/>
        <v>13.072928285348681</v>
      </c>
      <c r="X81" s="151">
        <f t="shared" si="48"/>
        <v>13.612620927799822</v>
      </c>
      <c r="Y81" s="151">
        <f t="shared" si="48"/>
        <v>14.1294820670257</v>
      </c>
    </row>
    <row r="82" spans="1:26" ht="14.1" customHeight="1" thickBo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N82" s="154" t="str">
        <f>Ratings!H38</f>
        <v>GVE13 new</v>
      </c>
      <c r="O82" s="155">
        <f>Ratings!J38</f>
        <v>13.7</v>
      </c>
      <c r="P82" s="151" t="s">
        <v>113</v>
      </c>
      <c r="Q82" s="151">
        <f t="shared" ref="Q82:Y82" si="49">40%*Q23</f>
        <v>6.4081512466662067</v>
      </c>
      <c r="R82" s="151">
        <f t="shared" si="49"/>
        <v>7.8892424382664288</v>
      </c>
      <c r="S82" s="151">
        <f t="shared" si="49"/>
        <v>9.3073637574233068</v>
      </c>
      <c r="T82" s="151">
        <f t="shared" si="49"/>
        <v>10.688605824512067</v>
      </c>
      <c r="U82" s="151">
        <f t="shared" si="49"/>
        <v>11.898911026218206</v>
      </c>
      <c r="V82" s="151">
        <f t="shared" si="49"/>
        <v>12.728146686020082</v>
      </c>
      <c r="W82" s="151">
        <f t="shared" si="49"/>
        <v>13.378643499882489</v>
      </c>
      <c r="X82" s="151">
        <f t="shared" si="49"/>
        <v>14.020751831697906</v>
      </c>
      <c r="Y82" s="151">
        <f t="shared" si="49"/>
        <v>14.623040971247097</v>
      </c>
    </row>
    <row r="83" spans="1:26" ht="14.1" customHeight="1" thickBo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N83" s="154" t="str">
        <f>Ratings!H35</f>
        <v>COO21 Option 3</v>
      </c>
      <c r="O83" s="155">
        <f>Ratings!J35</f>
        <v>12.7</v>
      </c>
      <c r="P83" s="151" t="s">
        <v>114</v>
      </c>
      <c r="Q83" s="151">
        <f>30%*Q31+20%*Q23+Q12</f>
        <v>5.5107039686470554</v>
      </c>
      <c r="R83" s="151">
        <f t="shared" ref="R83:Y83" si="50">30%*R31+20%*R23+R12</f>
        <v>6.317816984752354</v>
      </c>
      <c r="S83" s="151">
        <f t="shared" si="50"/>
        <v>7.1096523247702521</v>
      </c>
      <c r="T83" s="151">
        <f t="shared" si="50"/>
        <v>7.8941469287004518</v>
      </c>
      <c r="U83" s="151">
        <f t="shared" si="50"/>
        <v>8.6526370894977145</v>
      </c>
      <c r="V83" s="151">
        <f t="shared" si="50"/>
        <v>9.1952417067519949</v>
      </c>
      <c r="W83" s="151">
        <f t="shared" si="50"/>
        <v>9.6505988268967062</v>
      </c>
      <c r="X83" s="151">
        <f t="shared" si="50"/>
        <v>10.103013465414737</v>
      </c>
      <c r="Y83" s="151">
        <f t="shared" si="50"/>
        <v>10.537152863190471</v>
      </c>
      <c r="Z83" s="15">
        <f>Y14</f>
        <v>7.4958725240347945</v>
      </c>
    </row>
    <row r="84" spans="1:26" ht="14.1" customHeight="1" thickBo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N84" s="154" t="str">
        <f>Ratings!H22</f>
        <v>ST 11</v>
      </c>
      <c r="O84" s="155">
        <f>Ratings!J22</f>
        <v>22.6</v>
      </c>
      <c r="P84" s="151" t="s">
        <v>115</v>
      </c>
      <c r="Q84" s="151">
        <f>70%*Q22+4</f>
        <v>17.054718629408448</v>
      </c>
      <c r="R84" s="151">
        <f t="shared" ref="R84:Y84" si="51">70%*R22+4</f>
        <v>18.156150801524802</v>
      </c>
      <c r="S84" s="151">
        <f t="shared" si="51"/>
        <v>18.691761881021151</v>
      </c>
      <c r="T84" s="151">
        <f t="shared" si="51"/>
        <v>19.075803492301212</v>
      </c>
      <c r="U84" s="151">
        <f t="shared" si="51"/>
        <v>19.630436787082346</v>
      </c>
      <c r="V84" s="151">
        <f t="shared" si="51"/>
        <v>20.196684036857768</v>
      </c>
      <c r="W84" s="151">
        <f t="shared" si="51"/>
        <v>20.774102659840263</v>
      </c>
      <c r="X84" s="151">
        <f t="shared" si="51"/>
        <v>21.370423825942762</v>
      </c>
      <c r="Y84" s="151">
        <f t="shared" si="51"/>
        <v>21.983853818703661</v>
      </c>
      <c r="Z84" s="15">
        <f>Y22</f>
        <v>25.691219741005231</v>
      </c>
    </row>
    <row r="85" spans="1:26" ht="14.1" customHeight="1" thickBo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N85" s="154" t="str">
        <f>Ratings!H23</f>
        <v>ST 12</v>
      </c>
      <c r="O85" s="11">
        <f>Ratings!J23</f>
        <v>14.6</v>
      </c>
      <c r="P85" s="151" t="s">
        <v>116</v>
      </c>
      <c r="Q85" s="151">
        <f>15%*Q23+30%*Q22+1</f>
        <v>8.9979361301034473</v>
      </c>
      <c r="R85" s="151">
        <f t="shared" ref="R85:Y85" si="52">15%*R23+30%*R22+1</f>
        <v>10.025387686431969</v>
      </c>
      <c r="S85" s="151">
        <f t="shared" si="52"/>
        <v>10.786730786614232</v>
      </c>
      <c r="T85" s="151">
        <f t="shared" si="52"/>
        <v>11.469285823749686</v>
      </c>
      <c r="U85" s="151">
        <f t="shared" si="52"/>
        <v>12.160850257867118</v>
      </c>
      <c r="V85" s="151">
        <f t="shared" si="52"/>
        <v>12.714491023053718</v>
      </c>
      <c r="W85" s="151">
        <f t="shared" si="52"/>
        <v>13.205892452387475</v>
      </c>
      <c r="X85" s="151">
        <f t="shared" si="52"/>
        <v>13.702249290862184</v>
      </c>
      <c r="Y85" s="151">
        <f t="shared" si="52"/>
        <v>14.191006286519229</v>
      </c>
      <c r="Z85" s="15">
        <f>Y23</f>
        <v>36.55760242811774</v>
      </c>
    </row>
    <row r="86" spans="1:26" ht="14.1" customHeight="1" thickBo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N86" s="154" t="str">
        <f>Ratings!H27</f>
        <v>ST 22</v>
      </c>
      <c r="O86" s="155">
        <f>Ratings!J27</f>
        <v>22.482019482244024</v>
      </c>
      <c r="P86" s="151" t="s">
        <v>117</v>
      </c>
      <c r="Q86" s="151">
        <f>75%*Q27-4</f>
        <v>10.069480024522294</v>
      </c>
      <c r="R86" s="151">
        <f t="shared" ref="R86:Y86" si="53">75%*R27-4</f>
        <v>12.822516550822172</v>
      </c>
      <c r="S86" s="151">
        <f t="shared" si="53"/>
        <v>14.945479290086503</v>
      </c>
      <c r="T86" s="151">
        <f t="shared" si="53"/>
        <v>16.554658268969416</v>
      </c>
      <c r="U86" s="151">
        <f t="shared" si="53"/>
        <v>17.519786593392094</v>
      </c>
      <c r="V86" s="151">
        <f t="shared" si="53"/>
        <v>18.518010062735009</v>
      </c>
      <c r="W86" s="151">
        <f t="shared" si="53"/>
        <v>19.549421789955932</v>
      </c>
      <c r="X86" s="151">
        <f t="shared" si="53"/>
        <v>20.625690660206509</v>
      </c>
      <c r="Y86" s="151">
        <f t="shared" si="53"/>
        <v>21.745291966948351</v>
      </c>
      <c r="Z86" s="15">
        <f>Y27</f>
        <v>34.327055955931137</v>
      </c>
    </row>
    <row r="87" spans="1:26" ht="14.1" customHeight="1" thickBo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N87" s="154" t="str">
        <f>Ratings!H31</f>
        <v>ST 32</v>
      </c>
      <c r="O87" s="155">
        <f>Ratings!J31</f>
        <v>12.6</v>
      </c>
      <c r="P87" s="151" t="s">
        <v>118</v>
      </c>
      <c r="Q87" s="151">
        <f>60%*Q31</f>
        <v>4.6262171693564298</v>
      </c>
      <c r="R87" s="151">
        <f t="shared" ref="R87:Y87" si="54">60%*R31</f>
        <v>4.7598676814584842</v>
      </c>
      <c r="S87" s="151">
        <f t="shared" si="54"/>
        <v>4.926018350242126</v>
      </c>
      <c r="T87" s="151">
        <f t="shared" si="54"/>
        <v>5.114403561685676</v>
      </c>
      <c r="U87" s="151">
        <f t="shared" si="54"/>
        <v>5.4217370562146252</v>
      </c>
      <c r="V87" s="151">
        <f t="shared" si="54"/>
        <v>5.6781617784538705</v>
      </c>
      <c r="W87" s="151">
        <f t="shared" si="54"/>
        <v>5.9388378427363913</v>
      </c>
      <c r="X87" s="151">
        <f t="shared" si="54"/>
        <v>6.2019877901302243</v>
      </c>
      <c r="Y87" s="151">
        <f t="shared" si="54"/>
        <v>6.4684064483056876</v>
      </c>
      <c r="Z87" s="15">
        <f>Y31</f>
        <v>10.780677413842813</v>
      </c>
    </row>
    <row r="88" spans="1:26" ht="14.1" customHeight="1" thickBo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N88" s="4" t="str">
        <f>Ratings!H32</f>
        <v>ST 33</v>
      </c>
      <c r="O88" s="155">
        <f>Ratings!J32</f>
        <v>12.5</v>
      </c>
      <c r="P88" s="151" t="s">
        <v>119</v>
      </c>
      <c r="Q88" s="151">
        <f>65%*Q32+5%*Q27</f>
        <v>6.9254448846105516</v>
      </c>
      <c r="R88" s="151">
        <f t="shared" ref="R88:Y88" si="55">65%*R32+5%*R27</f>
        <v>7.2653333647122977</v>
      </c>
      <c r="S88" s="151">
        <f t="shared" si="55"/>
        <v>7.5289700547255407</v>
      </c>
      <c r="T88" s="151">
        <f t="shared" si="55"/>
        <v>7.7682094869591261</v>
      </c>
      <c r="U88" s="151">
        <f t="shared" si="55"/>
        <v>8.0028956255816688</v>
      </c>
      <c r="V88" s="151">
        <f t="shared" si="55"/>
        <v>8.2406656622169585</v>
      </c>
      <c r="W88" s="151">
        <f t="shared" si="55"/>
        <v>8.4812624927197433</v>
      </c>
      <c r="X88" s="151">
        <f t="shared" si="55"/>
        <v>8.7285445988094903</v>
      </c>
      <c r="Y88" s="151">
        <f t="shared" si="55"/>
        <v>8.9815211323616708</v>
      </c>
      <c r="Z88" s="15">
        <f>Y32</f>
        <v>11.177182053177097</v>
      </c>
    </row>
    <row r="89" spans="1:26" ht="14.1" customHeight="1" thickBo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N89" s="4" t="str">
        <f>Ratings!H37</f>
        <v>GVE12 new</v>
      </c>
      <c r="O89" s="11">
        <f>Ratings!I37</f>
        <v>13.7</v>
      </c>
      <c r="P89" s="151" t="s">
        <v>33</v>
      </c>
      <c r="Q89" s="151">
        <f>40%*Q20</f>
        <v>5.2045521458933361</v>
      </c>
      <c r="R89" s="151">
        <f t="shared" ref="R89:Y89" si="56">40%*R20</f>
        <v>6.5512875417112957</v>
      </c>
      <c r="S89" s="151">
        <f t="shared" si="56"/>
        <v>7.9992365528169094</v>
      </c>
      <c r="T89" s="151">
        <f t="shared" si="56"/>
        <v>9.0223283197944077</v>
      </c>
      <c r="U89" s="151">
        <f t="shared" si="56"/>
        <v>10.169903679113084</v>
      </c>
      <c r="V89" s="151">
        <f t="shared" si="56"/>
        <v>11.191227268865921</v>
      </c>
      <c r="W89" s="151">
        <f t="shared" si="56"/>
        <v>12.146177730404588</v>
      </c>
      <c r="X89" s="151">
        <f t="shared" si="56"/>
        <v>13.111396670447366</v>
      </c>
      <c r="Y89" s="151">
        <f t="shared" si="56"/>
        <v>13.940149313174302</v>
      </c>
    </row>
    <row r="90" spans="1:26" ht="14.1" customHeight="1" thickBo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N90" s="154" t="str">
        <f>Ratings!H40</f>
        <v>GVE22 new</v>
      </c>
      <c r="O90" s="155">
        <f>Ratings!J40</f>
        <v>14.5</v>
      </c>
      <c r="P90" s="151" t="s">
        <v>33</v>
      </c>
      <c r="Q90" s="151">
        <f>40%*Q20</f>
        <v>5.2045521458933361</v>
      </c>
      <c r="R90" s="151">
        <f t="shared" ref="R90:Y90" si="57">40%*R20</f>
        <v>6.5512875417112957</v>
      </c>
      <c r="S90" s="151">
        <f t="shared" si="57"/>
        <v>7.9992365528169094</v>
      </c>
      <c r="T90" s="151">
        <f t="shared" si="57"/>
        <v>9.0223283197944077</v>
      </c>
      <c r="U90" s="151">
        <f t="shared" si="57"/>
        <v>10.169903679113084</v>
      </c>
      <c r="V90" s="151">
        <f t="shared" si="57"/>
        <v>11.191227268865921</v>
      </c>
      <c r="W90" s="151">
        <f t="shared" si="57"/>
        <v>12.146177730404588</v>
      </c>
      <c r="X90" s="151">
        <f t="shared" si="57"/>
        <v>13.111396670447366</v>
      </c>
      <c r="Y90" s="151">
        <f t="shared" si="57"/>
        <v>13.940149313174302</v>
      </c>
    </row>
    <row r="91" spans="1:26" ht="14.1" customHeight="1" thickBo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N91" s="4" t="str">
        <f>N59</f>
        <v>KLO22</v>
      </c>
      <c r="O91" s="155">
        <f>O59</f>
        <v>14.289419162443236</v>
      </c>
      <c r="P91" s="151" t="s">
        <v>120</v>
      </c>
      <c r="Q91" s="151">
        <f>20%*Q20+0.5-1+20%*Q27</f>
        <v>5.8541374128192798</v>
      </c>
      <c r="R91" s="151">
        <f t="shared" ref="R91:Y91" si="58">20%*R20+0.5-1+20%*R27</f>
        <v>7.2616481844082283</v>
      </c>
      <c r="S91" s="151">
        <f t="shared" si="58"/>
        <v>8.5517460870981896</v>
      </c>
      <c r="T91" s="151">
        <f t="shared" si="58"/>
        <v>9.4924063649557144</v>
      </c>
      <c r="U91" s="151">
        <f t="shared" si="58"/>
        <v>10.323561597794434</v>
      </c>
      <c r="V91" s="151">
        <f t="shared" si="58"/>
        <v>11.100416317828962</v>
      </c>
      <c r="W91" s="151">
        <f t="shared" si="58"/>
        <v>11.85293467585721</v>
      </c>
      <c r="X91" s="151">
        <f t="shared" si="58"/>
        <v>12.62254917794542</v>
      </c>
      <c r="Y91" s="151">
        <f t="shared" si="58"/>
        <v>13.335485847773379</v>
      </c>
      <c r="Z91" s="15">
        <f>Y20</f>
        <v>34.850373282935756</v>
      </c>
    </row>
    <row r="92" spans="1:26" ht="14.1" customHeight="1" thickBo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N92" s="154" t="s">
        <v>16</v>
      </c>
      <c r="O92" s="155">
        <v>14.3</v>
      </c>
      <c r="P92" s="151" t="s">
        <v>110</v>
      </c>
      <c r="Q92" s="151">
        <f>Q6</f>
        <v>10.717595513874752</v>
      </c>
      <c r="R92" s="151">
        <f t="shared" ref="R92:Y92" si="59">R6</f>
        <v>11.136855129712854</v>
      </c>
      <c r="S92" s="151">
        <f t="shared" si="59"/>
        <v>11.253177819808361</v>
      </c>
      <c r="T92" s="151">
        <f t="shared" si="59"/>
        <v>11.257259009800753</v>
      </c>
      <c r="U92" s="151">
        <f t="shared" si="59"/>
        <v>11.28093847838081</v>
      </c>
      <c r="V92" s="151">
        <f t="shared" si="59"/>
        <v>11.301462077707493</v>
      </c>
      <c r="W92" s="151">
        <f t="shared" si="59"/>
        <v>11.3185597830586</v>
      </c>
      <c r="X92" s="151">
        <f t="shared" si="59"/>
        <v>11.337341065146656</v>
      </c>
      <c r="Y92" s="151">
        <f t="shared" si="59"/>
        <v>11.356247315381568</v>
      </c>
    </row>
    <row r="93" spans="1:26" ht="14.1" customHeight="1" thickBo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N93" s="154"/>
      <c r="O93" s="11"/>
      <c r="P93" s="151"/>
      <c r="Q93" s="151"/>
      <c r="R93" s="151"/>
      <c r="S93" s="151"/>
      <c r="T93" s="151"/>
      <c r="U93" s="151"/>
      <c r="V93" s="151"/>
      <c r="W93" s="151"/>
      <c r="X93" s="151"/>
      <c r="Y93" s="151"/>
    </row>
    <row r="94" spans="1:26" ht="14.1" customHeight="1" thickBo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N94" s="154"/>
      <c r="O94" s="11"/>
      <c r="P94" s="151"/>
      <c r="Q94" s="151"/>
      <c r="R94" s="151"/>
      <c r="S94" s="151"/>
      <c r="T94" s="151"/>
      <c r="U94" s="151"/>
      <c r="V94" s="151"/>
      <c r="W94" s="151"/>
      <c r="X94" s="151"/>
      <c r="Y94" s="151"/>
    </row>
    <row r="95" spans="1:26" ht="14.1" customHeight="1" thickBo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N95" s="154"/>
      <c r="O95" s="11"/>
      <c r="P95" s="151"/>
      <c r="Q95" s="151"/>
      <c r="R95" s="151"/>
      <c r="S95" s="151"/>
      <c r="T95" s="151"/>
      <c r="U95" s="151"/>
      <c r="V95" s="151"/>
      <c r="W95" s="151"/>
      <c r="X95" s="151"/>
      <c r="Y95" s="151"/>
    </row>
    <row r="96" spans="1:26" ht="14.1" customHeight="1" thickBo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N96" s="154"/>
      <c r="O96" s="155"/>
      <c r="P96" s="151"/>
      <c r="Q96" s="151"/>
      <c r="R96" s="151"/>
      <c r="S96" s="151"/>
      <c r="T96" s="151"/>
      <c r="U96" s="151"/>
      <c r="V96" s="151"/>
      <c r="W96" s="151"/>
      <c r="X96" s="151"/>
      <c r="Y96" s="151"/>
    </row>
    <row r="97" spans="1:25" ht="14.1" customHeight="1" thickBo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N97" s="154"/>
      <c r="O97" s="155"/>
      <c r="P97" s="151"/>
      <c r="Q97" s="151"/>
      <c r="R97" s="151"/>
      <c r="S97" s="151"/>
      <c r="T97" s="151"/>
      <c r="U97" s="151"/>
      <c r="V97" s="151"/>
      <c r="W97" s="151"/>
      <c r="X97" s="151"/>
      <c r="Y97" s="151"/>
    </row>
    <row r="98" spans="1:25" ht="14.1" customHeight="1" thickBo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154"/>
      <c r="O98" s="155"/>
      <c r="P98" s="151"/>
      <c r="Q98" s="151"/>
      <c r="R98" s="151"/>
      <c r="S98" s="151"/>
      <c r="T98" s="151"/>
      <c r="U98" s="151"/>
      <c r="V98" s="151"/>
      <c r="W98" s="151"/>
      <c r="X98" s="151"/>
      <c r="Y98" s="151"/>
    </row>
    <row r="99" spans="1:25" ht="14.1" customHeight="1" thickBo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N99" s="154"/>
      <c r="O99" s="155"/>
      <c r="P99" s="151"/>
      <c r="Q99" s="151"/>
      <c r="R99" s="151"/>
      <c r="S99" s="151"/>
      <c r="T99" s="151"/>
      <c r="U99" s="151"/>
      <c r="V99" s="151"/>
      <c r="W99" s="151"/>
      <c r="X99" s="151"/>
      <c r="Y99" s="151"/>
    </row>
    <row r="100" spans="1:25" ht="14.1" customHeight="1" thickBo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N100" s="4"/>
      <c r="O100" s="155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</row>
    <row r="101" spans="1:25" ht="14.1" customHeight="1" thickBo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N101" s="4"/>
      <c r="O101" s="155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</row>
    <row r="102" spans="1:25" ht="14.1" customHeight="1" thickBo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N102" s="4"/>
      <c r="O102" s="155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</row>
    <row r="103" spans="1:25" ht="14.1" customHeight="1" thickBo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N103" s="154"/>
      <c r="O103" s="155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</row>
    <row r="104" spans="1:25" ht="14.1" customHeight="1" thickBo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N104" s="154"/>
      <c r="O104" s="1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</row>
    <row r="105" spans="1:25" ht="14.1" customHeight="1" thickBo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N105" s="154"/>
      <c r="O105" s="1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</row>
    <row r="106" spans="1:25" ht="14.1" customHeight="1" thickBo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N106" s="4"/>
      <c r="O106" s="155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</row>
    <row r="107" spans="1:25" ht="14.1" customHeight="1" thickBo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N107" s="4"/>
      <c r="O107" s="155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</row>
    <row r="108" spans="1:25" ht="14.1" customHeight="1" thickBo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N108" s="154"/>
      <c r="O108" s="155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</row>
    <row r="109" spans="1:25" ht="14.1" customHeight="1" thickBo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N109" s="154"/>
      <c r="O109" s="1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</row>
    <row r="110" spans="1:25" ht="14.1" customHeight="1" thickBo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N110" s="154"/>
      <c r="O110" s="155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</row>
    <row r="111" spans="1:25" ht="14.1" customHeight="1" thickBo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154"/>
      <c r="O111" s="155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</row>
    <row r="112" spans="1:25" ht="14.1" customHeight="1" thickBo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N112" s="156"/>
      <c r="O112" s="1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</row>
    <row r="113" spans="1:26" ht="14.1" customHeight="1" thickBo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N113" s="4"/>
      <c r="O113" s="155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</row>
    <row r="114" spans="1:26" ht="14.1" customHeight="1" thickBo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N114" s="4"/>
      <c r="O114" s="155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</row>
    <row r="115" spans="1:26" ht="14.1" customHeight="1" thickBo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N115" s="4"/>
      <c r="O115" s="155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</row>
    <row r="116" spans="1:26" ht="14.1" customHeight="1" thickBo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4"/>
      <c r="O116" s="155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</row>
    <row r="117" spans="1:26" ht="14.1" customHeight="1" thickBo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4"/>
      <c r="O117" s="155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</row>
    <row r="118" spans="1:26" ht="14.1" customHeight="1" thickBo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154"/>
      <c r="O118" s="1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</row>
    <row r="119" spans="1:26" ht="14.1" customHeight="1" thickBo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154"/>
      <c r="O119" s="1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</row>
    <row r="120" spans="1:26" ht="14.1" customHeight="1" thickBo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156" t="s">
        <v>121</v>
      </c>
      <c r="O120" s="1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</row>
    <row r="121" spans="1:26" ht="14.1" customHeight="1" thickBo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N121" s="4" t="str">
        <f>Ratings!H6</f>
        <v>BD 08</v>
      </c>
      <c r="O121" s="155">
        <f>Ratings!J6</f>
        <v>11.622060918787167</v>
      </c>
      <c r="P121" s="151" t="s">
        <v>19</v>
      </c>
      <c r="Q121" s="151">
        <f>Q6-1</f>
        <v>9.7175955138747518</v>
      </c>
      <c r="R121" s="151">
        <f t="shared" ref="R121:Y121" si="60">R6-1</f>
        <v>10.136855129712854</v>
      </c>
      <c r="S121" s="151">
        <f t="shared" si="60"/>
        <v>10.253177819808361</v>
      </c>
      <c r="T121" s="151">
        <f t="shared" si="60"/>
        <v>10.257259009800753</v>
      </c>
      <c r="U121" s="151">
        <f t="shared" si="60"/>
        <v>10.28093847838081</v>
      </c>
      <c r="V121" s="151">
        <f t="shared" si="60"/>
        <v>10.301462077707493</v>
      </c>
      <c r="W121" s="151">
        <f t="shared" si="60"/>
        <v>10.3185597830586</v>
      </c>
      <c r="X121" s="151">
        <f t="shared" si="60"/>
        <v>10.337341065146656</v>
      </c>
      <c r="Y121" s="151">
        <f t="shared" si="60"/>
        <v>10.356247315381568</v>
      </c>
      <c r="Z121" s="15">
        <f>Y6</f>
        <v>11.356247315381568</v>
      </c>
    </row>
    <row r="122" spans="1:26" ht="14.1" customHeight="1" thickBo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N122" s="157" t="str">
        <f>Ratings!H7</f>
        <v>BD 09</v>
      </c>
      <c r="O122" s="155">
        <f>Ratings!J7</f>
        <v>13.146265629447777</v>
      </c>
      <c r="P122" s="151" t="s">
        <v>46</v>
      </c>
      <c r="Q122" s="151">
        <f>Q7+P29</f>
        <v>12.678108091118105</v>
      </c>
      <c r="R122" s="151">
        <f t="shared" ref="R122:Y122" si="61">R7+Q29</f>
        <v>13.428105632480392</v>
      </c>
      <c r="S122" s="151">
        <f t="shared" si="61"/>
        <v>13.947994426979587</v>
      </c>
      <c r="T122" s="151">
        <f t="shared" si="61"/>
        <v>14.472715272865003</v>
      </c>
      <c r="U122" s="151">
        <f t="shared" si="61"/>
        <v>14.54025891907153</v>
      </c>
      <c r="V122" s="151">
        <f t="shared" si="61"/>
        <v>14.612906015216392</v>
      </c>
      <c r="W122" s="151">
        <f t="shared" si="61"/>
        <v>14.681498348314527</v>
      </c>
      <c r="X122" s="151">
        <f t="shared" si="61"/>
        <v>14.748489422708795</v>
      </c>
      <c r="Y122" s="151">
        <f t="shared" si="61"/>
        <v>14.817031865017086</v>
      </c>
      <c r="Z122" s="15">
        <f>Y7</f>
        <v>6.0694973289753138</v>
      </c>
    </row>
    <row r="123" spans="1:26" ht="14.1" customHeight="1" thickBo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4" t="str">
        <f>Ratings!H8</f>
        <v>BD 13</v>
      </c>
      <c r="O123" s="155">
        <f>Ratings!J8</f>
        <v>12.003112096452318</v>
      </c>
      <c r="P123" s="151" t="s">
        <v>16</v>
      </c>
      <c r="Q123" s="151">
        <f>Q8+1</f>
        <v>10.626535866310514</v>
      </c>
      <c r="R123" s="151">
        <f t="shared" ref="R123:Y123" si="62">R8+1</f>
        <v>10.885759230311626</v>
      </c>
      <c r="S123" s="151">
        <f t="shared" si="62"/>
        <v>11.112328011452348</v>
      </c>
      <c r="T123" s="151">
        <f t="shared" si="62"/>
        <v>11.225160915086489</v>
      </c>
      <c r="U123" s="151">
        <f t="shared" si="62"/>
        <v>11.356064474930987</v>
      </c>
      <c r="V123" s="151">
        <f t="shared" si="62"/>
        <v>11.484499553383678</v>
      </c>
      <c r="W123" s="151">
        <f t="shared" si="62"/>
        <v>11.610121216196763</v>
      </c>
      <c r="X123" s="151">
        <f t="shared" si="62"/>
        <v>11.737669009937026</v>
      </c>
      <c r="Y123" s="151">
        <f t="shared" si="62"/>
        <v>11.865700630623509</v>
      </c>
      <c r="Z123" s="15">
        <f>Y8</f>
        <v>10.865700630623509</v>
      </c>
    </row>
    <row r="124" spans="1:26" ht="14.1" customHeight="1" thickBo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N124" s="4" t="str">
        <f>Ratings!H10</f>
        <v>COO11</v>
      </c>
      <c r="O124" s="155">
        <f>Ratings!J10</f>
        <v>10.859958563456859</v>
      </c>
      <c r="P124" s="151" t="s">
        <v>33</v>
      </c>
      <c r="Q124" s="151">
        <f>Q10-0.5</f>
        <v>4.8653902472124999</v>
      </c>
      <c r="R124" s="151">
        <f t="shared" ref="R124:Y124" si="63">R10-0.5</f>
        <v>5.047913948458719</v>
      </c>
      <c r="S124" s="151">
        <f t="shared" si="63"/>
        <v>5.1719995362906417</v>
      </c>
      <c r="T124" s="151">
        <f t="shared" si="63"/>
        <v>5.2945661663686039</v>
      </c>
      <c r="U124" s="151">
        <f t="shared" si="63"/>
        <v>5.4488466636858313</v>
      </c>
      <c r="V124" s="151">
        <f t="shared" si="63"/>
        <v>5.6039219610878854</v>
      </c>
      <c r="W124" s="151">
        <f t="shared" si="63"/>
        <v>5.7595535776386093</v>
      </c>
      <c r="X124" s="151">
        <f t="shared" si="63"/>
        <v>5.9185315676977206</v>
      </c>
      <c r="Y124" s="151">
        <f t="shared" si="63"/>
        <v>6.0800505834144944</v>
      </c>
      <c r="Z124" s="15">
        <f>Y10</f>
        <v>6.5800505834144944</v>
      </c>
    </row>
    <row r="125" spans="1:26" ht="14.1" customHeight="1" thickBo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N125" s="4" t="str">
        <f>Ratings!H12</f>
        <v>COO13</v>
      </c>
      <c r="O125" s="155">
        <f>Ratings!J12</f>
        <v>12.003112096452318</v>
      </c>
      <c r="P125" s="151" t="s">
        <v>27</v>
      </c>
      <c r="Q125" s="151">
        <f>Q14</f>
        <v>7.4355761316659486</v>
      </c>
      <c r="R125" s="151">
        <f t="shared" ref="R125:Y125" si="64">R14</f>
        <v>7.4299193171215459</v>
      </c>
      <c r="S125" s="151">
        <f t="shared" si="64"/>
        <v>7.4278398563341828</v>
      </c>
      <c r="T125" s="151">
        <f t="shared" si="64"/>
        <v>7.4305337110099181</v>
      </c>
      <c r="U125" s="151">
        <f t="shared" si="64"/>
        <v>7.4461637226663715</v>
      </c>
      <c r="V125" s="151">
        <f t="shared" si="64"/>
        <v>7.4597106523883756</v>
      </c>
      <c r="W125" s="151">
        <f t="shared" si="64"/>
        <v>7.4709962660427944</v>
      </c>
      <c r="X125" s="151">
        <f t="shared" si="64"/>
        <v>7.483393151427574</v>
      </c>
      <c r="Y125" s="151">
        <f t="shared" si="64"/>
        <v>7.4958725240347945</v>
      </c>
      <c r="Z125" s="15">
        <f>Y12</f>
        <v>-8.570846585922753E-3</v>
      </c>
    </row>
    <row r="126" spans="1:26" ht="14.1" customHeight="1" thickBo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N126" s="4" t="str">
        <f>Ratings!H15</f>
        <v>COO22</v>
      </c>
      <c r="O126" s="155">
        <f>Ratings!J15</f>
        <v>12.003112096452318</v>
      </c>
      <c r="P126" s="151" t="s">
        <v>43</v>
      </c>
      <c r="Q126" s="151">
        <f>Q15*50%</f>
        <v>4.0815771534089613</v>
      </c>
      <c r="R126" s="151">
        <f t="shared" ref="R126:Y128" si="65">R15*50%</f>
        <v>4.1811885428608431</v>
      </c>
      <c r="S126" s="151">
        <f t="shared" si="65"/>
        <v>4.2642877422784808</v>
      </c>
      <c r="T126" s="151">
        <f t="shared" si="65"/>
        <v>4.3540937627326963</v>
      </c>
      <c r="U126" s="151">
        <f t="shared" si="65"/>
        <v>4.4700216392627903</v>
      </c>
      <c r="V126" s="151">
        <f t="shared" si="65"/>
        <v>4.5865467363599812</v>
      </c>
      <c r="W126" s="151">
        <f t="shared" si="65"/>
        <v>4.7034898571134338</v>
      </c>
      <c r="X126" s="151">
        <f t="shared" si="65"/>
        <v>4.8229474756916249</v>
      </c>
      <c r="Y126" s="151">
        <f t="shared" si="65"/>
        <v>4.9443144458328714</v>
      </c>
      <c r="Z126" s="15">
        <f t="shared" ref="Z126:Z130" si="66">Y15</f>
        <v>9.8886288916657428</v>
      </c>
    </row>
    <row r="127" spans="1:26" ht="14.1" customHeight="1" thickBo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N127" s="4" t="str">
        <f>Ratings!H16</f>
        <v>COO23</v>
      </c>
      <c r="O127" s="155">
        <f>Ratings!J16</f>
        <v>14.289419162443236</v>
      </c>
      <c r="P127" s="151" t="s">
        <v>27</v>
      </c>
      <c r="Q127" s="151">
        <f>Q16*50%</f>
        <v>6.4197434087861307</v>
      </c>
      <c r="R127" s="151">
        <f t="shared" si="65"/>
        <v>7.3922473838701706</v>
      </c>
      <c r="S127" s="151">
        <f t="shared" si="65"/>
        <v>8.088601766256593</v>
      </c>
      <c r="T127" s="151">
        <f t="shared" si="65"/>
        <v>8.532805599009242</v>
      </c>
      <c r="U127" s="151">
        <f t="shared" si="65"/>
        <v>9.0283125412627232</v>
      </c>
      <c r="V127" s="151">
        <f t="shared" si="65"/>
        <v>9.3635135388140931</v>
      </c>
      <c r="W127" s="151">
        <f t="shared" si="65"/>
        <v>9.6982973410188009</v>
      </c>
      <c r="X127" s="151">
        <f t="shared" si="65"/>
        <v>10.029698587429177</v>
      </c>
      <c r="Y127" s="151">
        <f t="shared" si="65"/>
        <v>10.35898545632922</v>
      </c>
      <c r="Z127" s="15">
        <f t="shared" si="66"/>
        <v>20.717970912658441</v>
      </c>
    </row>
    <row r="128" spans="1:26" ht="14.1" customHeight="1" thickBo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N128" s="4" t="str">
        <f>Ratings!H17</f>
        <v>COO24</v>
      </c>
      <c r="O128" s="155">
        <f>Ratings!J17</f>
        <v>12.193637685284894</v>
      </c>
      <c r="P128" s="151" t="s">
        <v>43</v>
      </c>
      <c r="Q128" s="151">
        <f>Q17*50%</f>
        <v>4.4560035125538349</v>
      </c>
      <c r="R128" s="151">
        <f t="shared" si="65"/>
        <v>4.542950355950329</v>
      </c>
      <c r="S128" s="151">
        <f t="shared" si="65"/>
        <v>4.6354420693390024</v>
      </c>
      <c r="T128" s="151">
        <f t="shared" si="65"/>
        <v>4.7330646104180341</v>
      </c>
      <c r="U128" s="151">
        <f t="shared" si="65"/>
        <v>4.8590825970911382</v>
      </c>
      <c r="V128" s="151">
        <f t="shared" si="65"/>
        <v>4.985749785110098</v>
      </c>
      <c r="W128" s="151">
        <f t="shared" si="65"/>
        <v>5.1128713806548429</v>
      </c>
      <c r="X128" s="151">
        <f t="shared" si="65"/>
        <v>5.2427263304440741</v>
      </c>
      <c r="Y128" s="151">
        <f t="shared" si="65"/>
        <v>5.3746568176021334</v>
      </c>
      <c r="Z128" s="15">
        <f t="shared" si="66"/>
        <v>10.749313635204267</v>
      </c>
    </row>
    <row r="129" spans="1:26" ht="14.1" customHeight="1" thickBo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154" t="str">
        <f>Ratings!H18</f>
        <v>KLO13</v>
      </c>
      <c r="O129" s="11">
        <f>Ratings!J18</f>
        <v>14.5</v>
      </c>
      <c r="P129" s="151" t="s">
        <v>36</v>
      </c>
      <c r="Q129" s="151">
        <f>Q18*60%</f>
        <v>7.2424826371740707</v>
      </c>
      <c r="R129" s="151">
        <f t="shared" ref="R129:Y129" si="67">R18*60%</f>
        <v>8.0220712095878834</v>
      </c>
      <c r="S129" s="151">
        <f t="shared" si="67"/>
        <v>8.464573839615392</v>
      </c>
      <c r="T129" s="151">
        <f t="shared" si="67"/>
        <v>8.7882836634890928</v>
      </c>
      <c r="U129" s="151">
        <f t="shared" si="67"/>
        <v>9.3163870672653815</v>
      </c>
      <c r="V129" s="151">
        <f t="shared" si="67"/>
        <v>9.757011896766933</v>
      </c>
      <c r="W129" s="151">
        <f t="shared" si="67"/>
        <v>10.204941976895698</v>
      </c>
      <c r="X129" s="151">
        <f t="shared" si="67"/>
        <v>10.65712302906261</v>
      </c>
      <c r="Y129" s="151">
        <f t="shared" si="67"/>
        <v>11.11492083736079</v>
      </c>
      <c r="Z129" s="15">
        <f t="shared" si="66"/>
        <v>18.524868062267984</v>
      </c>
    </row>
    <row r="130" spans="1:26" ht="14.1" customHeight="1" thickBo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N130" s="154" t="str">
        <f>Ratings!H19</f>
        <v>KLO21</v>
      </c>
      <c r="O130" s="11">
        <f>Ratings!J19</f>
        <v>14.5</v>
      </c>
      <c r="P130" s="151" t="s">
        <v>31</v>
      </c>
      <c r="Q130" s="151">
        <f>Q19*50%</f>
        <v>7.7829211942745973</v>
      </c>
      <c r="R130" s="151">
        <f t="shared" ref="R130:Y130" si="68">R19*50%</f>
        <v>9.4674695209628652</v>
      </c>
      <c r="S130" s="151">
        <f t="shared" si="68"/>
        <v>10.868774284807348</v>
      </c>
      <c r="T130" s="151">
        <f t="shared" si="68"/>
        <v>11.847808323727051</v>
      </c>
      <c r="U130" s="151">
        <f t="shared" si="68"/>
        <v>12.92305814651094</v>
      </c>
      <c r="V130" s="151">
        <f t="shared" si="68"/>
        <v>13.534262924858176</v>
      </c>
      <c r="W130" s="151">
        <f t="shared" si="68"/>
        <v>14.155601049742943</v>
      </c>
      <c r="X130" s="151">
        <f t="shared" si="68"/>
        <v>14.782835833754417</v>
      </c>
      <c r="Y130" s="151">
        <f t="shared" si="68"/>
        <v>15.41786179964306</v>
      </c>
      <c r="Z130" s="15">
        <f t="shared" si="66"/>
        <v>30.835723599286119</v>
      </c>
    </row>
    <row r="131" spans="1:26" ht="14.1" customHeight="1" thickBo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N131" s="4" t="str">
        <f>Ratings!H48</f>
        <v>KLO23 reconfigured</v>
      </c>
      <c r="O131" s="155">
        <f>Ratings!J48</f>
        <v>24</v>
      </c>
      <c r="P131" s="151" t="s">
        <v>122</v>
      </c>
      <c r="Q131" s="151">
        <f t="shared" ref="Q131:Y131" si="69">Q21+Q18*40%+Q19*50%</f>
        <v>13.995529327211219</v>
      </c>
      <c r="R131" s="151">
        <f t="shared" si="69"/>
        <v>16.234352889471552</v>
      </c>
      <c r="S131" s="151">
        <f t="shared" si="69"/>
        <v>17.970388273812503</v>
      </c>
      <c r="T131" s="151">
        <f t="shared" si="69"/>
        <v>19.210765005269234</v>
      </c>
      <c r="U131" s="151">
        <f t="shared" si="69"/>
        <v>20.708707676404089</v>
      </c>
      <c r="V131" s="151">
        <f t="shared" si="69"/>
        <v>21.686708013013927</v>
      </c>
      <c r="W131" s="151">
        <f t="shared" si="69"/>
        <v>22.682140436277379</v>
      </c>
      <c r="X131" s="151">
        <f t="shared" si="69"/>
        <v>23.689585951555451</v>
      </c>
      <c r="Y131" s="151">
        <f t="shared" si="69"/>
        <v>24.711738032903718</v>
      </c>
      <c r="Z131" s="15">
        <f>Y21</f>
        <v>1.8839290083534626</v>
      </c>
    </row>
    <row r="132" spans="1:26" ht="14.1" customHeight="1" thickBo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4" t="str">
        <f>Ratings!H29</f>
        <v>ST 24</v>
      </c>
      <c r="O132" s="155">
        <f>Ratings!J29</f>
        <v>14.289419162443236</v>
      </c>
      <c r="P132" s="151" t="s">
        <v>18</v>
      </c>
      <c r="Q132" s="151">
        <v>0</v>
      </c>
      <c r="R132" s="151">
        <v>0</v>
      </c>
      <c r="S132" s="151">
        <v>0</v>
      </c>
      <c r="T132" s="151">
        <v>0</v>
      </c>
      <c r="U132" s="151">
        <v>0</v>
      </c>
      <c r="V132" s="151">
        <v>0</v>
      </c>
      <c r="W132" s="151">
        <v>0</v>
      </c>
      <c r="X132" s="151">
        <v>0</v>
      </c>
      <c r="Y132" s="151">
        <v>0</v>
      </c>
      <c r="Z132" s="15">
        <f>Y29</f>
        <v>8.7446327365297893</v>
      </c>
    </row>
    <row r="133" spans="1:26" ht="14.1" customHeight="1" thickBo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4" t="str">
        <f>Ratings!H26</f>
        <v>ST 21</v>
      </c>
      <c r="O133" s="155">
        <f>Ratings!I26</f>
        <v>14.289419162443236</v>
      </c>
      <c r="P133" s="151" t="s">
        <v>123</v>
      </c>
      <c r="Q133" s="151">
        <f t="shared" ref="Q133:Y133" si="70">Q26+Q17*50%+Q15*50%</f>
        <v>10.01098681137832</v>
      </c>
      <c r="R133" s="151">
        <f t="shared" si="70"/>
        <v>10.195541269447489</v>
      </c>
      <c r="S133" s="151">
        <f t="shared" si="70"/>
        <v>10.369544519349221</v>
      </c>
      <c r="T133" s="151">
        <f t="shared" si="70"/>
        <v>10.556037259694996</v>
      </c>
      <c r="U133" s="151">
        <f t="shared" si="70"/>
        <v>10.798134825525723</v>
      </c>
      <c r="V133" s="151">
        <f t="shared" si="70"/>
        <v>11.041062211089198</v>
      </c>
      <c r="W133" s="151">
        <f t="shared" si="70"/>
        <v>11.284412883756218</v>
      </c>
      <c r="X133" s="151">
        <f t="shared" si="70"/>
        <v>11.533226336500753</v>
      </c>
      <c r="Y133" s="151">
        <f t="shared" si="70"/>
        <v>11.786036965974588</v>
      </c>
      <c r="Z133" s="15">
        <f>Y26</f>
        <v>1.4670657025395826</v>
      </c>
    </row>
    <row r="134" spans="1:26" ht="14.1" customHeight="1" thickBo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N134" s="4"/>
      <c r="O134" s="155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</row>
    <row r="135" spans="1:26" ht="14.1" customHeight="1" thickBo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4"/>
      <c r="O135" s="155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</row>
    <row r="136" spans="1:26" ht="14.1" customHeight="1" thickBo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N136" s="4"/>
      <c r="O136" s="155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</row>
    <row r="137" spans="1:26" ht="14.1" customHeight="1" thickBo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N137" s="4"/>
      <c r="O137" s="155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</row>
    <row r="138" spans="1:26" ht="14.1" customHeight="1" thickBo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N138" s="4"/>
      <c r="O138" s="155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</row>
    <row r="139" spans="1:26" ht="14.1" customHeight="1" thickBo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N139" s="4"/>
      <c r="O139" s="155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</row>
    <row r="140" spans="1:26" ht="14.1" customHeight="1" thickBo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N140" s="4"/>
      <c r="O140" s="155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</row>
    <row r="141" spans="1:26" ht="14.1" customHeight="1" thickBo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4"/>
      <c r="O141" s="155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</row>
    <row r="142" spans="1:26" ht="14.1" customHeight="1" thickBo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N142" s="154"/>
      <c r="O142" s="1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</row>
    <row r="143" spans="1:26" ht="14.1" customHeight="1" thickBo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N143" s="4"/>
      <c r="O143" s="155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</row>
    <row r="144" spans="1:26" ht="14.1" customHeight="1" thickBo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N144" s="4"/>
      <c r="O144" s="155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</row>
    <row r="145" spans="1:25" ht="14.1" customHeight="1" thickBo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N145" s="154"/>
      <c r="O145" s="1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</row>
    <row r="146" spans="1:25" ht="14.1" customHeight="1" thickBo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N146" s="154"/>
      <c r="O146" s="1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</row>
    <row r="147" spans="1:25" ht="14.1" customHeight="1" thickBo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4"/>
      <c r="O147" s="155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</row>
    <row r="148" spans="1:25" ht="14.1" customHeight="1" thickBo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N148" s="4"/>
      <c r="O148" s="1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</row>
    <row r="149" spans="1:25" ht="14.1" customHeight="1" thickBo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N149" s="4"/>
      <c r="O149" s="1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</row>
    <row r="150" spans="1:25" ht="14.1" customHeight="1" thickBo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N150" s="4"/>
      <c r="O150" s="11"/>
      <c r="P150" s="152"/>
      <c r="Q150" s="151"/>
      <c r="R150" s="151"/>
      <c r="S150" s="151"/>
      <c r="T150" s="151"/>
      <c r="U150" s="151"/>
      <c r="V150" s="151"/>
      <c r="W150" s="151"/>
      <c r="X150" s="151"/>
      <c r="Y150" s="151"/>
    </row>
    <row r="151" spans="1:25" ht="14.1" customHeight="1" thickBo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N151" s="4"/>
      <c r="O151" s="11"/>
      <c r="P151" s="152"/>
      <c r="Q151" s="151"/>
      <c r="R151" s="151"/>
      <c r="S151" s="151"/>
      <c r="T151" s="151"/>
      <c r="U151" s="151"/>
      <c r="V151" s="151"/>
      <c r="W151" s="151"/>
      <c r="X151" s="151"/>
      <c r="Y151" s="151"/>
    </row>
    <row r="152" spans="1:25" ht="14.1" customHeight="1" thickBo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N152" s="4"/>
      <c r="O152" s="11"/>
      <c r="P152" s="152"/>
      <c r="Q152" s="151"/>
      <c r="R152" s="151"/>
      <c r="S152" s="151"/>
      <c r="T152" s="151"/>
      <c r="U152" s="151"/>
      <c r="V152" s="151"/>
      <c r="W152" s="151"/>
      <c r="X152" s="151"/>
      <c r="Y152" s="151"/>
    </row>
    <row r="153" spans="1:25" ht="14.1" customHeight="1" thickBo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N153" s="4"/>
      <c r="O153" s="11"/>
      <c r="P153" s="152"/>
      <c r="Q153" s="151"/>
      <c r="R153" s="151"/>
      <c r="S153" s="151"/>
      <c r="T153" s="151"/>
      <c r="U153" s="151"/>
      <c r="V153" s="151"/>
      <c r="W153" s="151"/>
      <c r="X153" s="151"/>
      <c r="Y153" s="151"/>
    </row>
  </sheetData>
  <conditionalFormatting sqref="P2:Y43">
    <cfRule type="cellIs" dxfId="15" priority="4" stopIfTrue="1" operator="greaterThan">
      <formula>$O2</formula>
    </cfRule>
  </conditionalFormatting>
  <conditionalFormatting sqref="Q47:Y153">
    <cfRule type="cellIs" dxfId="14" priority="3" operator="greaterThan">
      <formula>$O47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6D73-0657-4A9B-95C3-F4CC624BD0B8}">
  <sheetPr codeName="Sheet7">
    <tabColor theme="5"/>
  </sheetPr>
  <dimension ref="A1:Z154"/>
  <sheetViews>
    <sheetView topLeftCell="A93" zoomScale="40" zoomScaleNormal="40" workbookViewId="0">
      <selection activeCell="N164" sqref="N164"/>
    </sheetView>
  </sheetViews>
  <sheetFormatPr defaultRowHeight="14.45"/>
  <cols>
    <col min="1" max="1" width="33.28515625" customWidth="1"/>
    <col min="2" max="2" width="7.7109375" customWidth="1"/>
    <col min="14" max="14" width="28" bestFit="1" customWidth="1"/>
    <col min="15" max="15" width="8.7109375" style="10" customWidth="1"/>
  </cols>
  <sheetData>
    <row r="1" spans="1:25" ht="14.1" customHeight="1" thickBot="1">
      <c r="A1" s="1" t="s">
        <v>96</v>
      </c>
      <c r="B1" s="2" t="s">
        <v>94</v>
      </c>
      <c r="C1" s="2">
        <f>Costs!B9</f>
        <v>2025</v>
      </c>
      <c r="D1" s="2">
        <f>C1+1</f>
        <v>2026</v>
      </c>
      <c r="E1" s="2">
        <f t="shared" ref="E1:L1" si="0">D1+1</f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9">
        <f>((L2+L3+L4+L5)-(C2+C3+C4+C5))/(C2+C3+C4+C5)/9</f>
        <v>3.8590589394207495E-2</v>
      </c>
      <c r="N1" s="1" t="str">
        <f>A1</f>
        <v>Option 1 - Do Nothing</v>
      </c>
      <c r="O1" s="2" t="str">
        <f>B1</f>
        <v>Rating</v>
      </c>
      <c r="P1" s="2">
        <f t="shared" ref="P1:Y1" si="1">C1</f>
        <v>2025</v>
      </c>
      <c r="Q1" s="2">
        <f t="shared" si="1"/>
        <v>2026</v>
      </c>
      <c r="R1" s="2">
        <f t="shared" si="1"/>
        <v>2027</v>
      </c>
      <c r="S1" s="2">
        <f t="shared" si="1"/>
        <v>2028</v>
      </c>
      <c r="T1" s="2">
        <f t="shared" si="1"/>
        <v>2029</v>
      </c>
      <c r="U1" s="2">
        <f t="shared" si="1"/>
        <v>2030</v>
      </c>
      <c r="V1" s="2">
        <f t="shared" si="1"/>
        <v>2031</v>
      </c>
      <c r="W1" s="2">
        <f t="shared" si="1"/>
        <v>2032</v>
      </c>
      <c r="X1" s="2">
        <f t="shared" si="1"/>
        <v>2033</v>
      </c>
      <c r="Y1" s="2">
        <f t="shared" si="1"/>
        <v>2034</v>
      </c>
    </row>
    <row r="2" spans="1:25" ht="14.1" customHeight="1" thickTop="1" thickBot="1">
      <c r="A2" s="4" t="str">
        <f>Historical!A2</f>
        <v>ST</v>
      </c>
      <c r="B2" s="11">
        <f>Historical!B2</f>
        <v>79.7</v>
      </c>
      <c r="C2" s="11">
        <v>77.494955357225081</v>
      </c>
      <c r="D2" s="11">
        <v>82.153178603826603</v>
      </c>
      <c r="E2" s="11">
        <v>87.199097398473398</v>
      </c>
      <c r="F2" s="11">
        <v>91.634701677602166</v>
      </c>
      <c r="G2" s="11">
        <v>94.74080495974188</v>
      </c>
      <c r="H2" s="11">
        <v>96.985662709935937</v>
      </c>
      <c r="I2" s="11">
        <v>99.486673391721951</v>
      </c>
      <c r="J2" s="11">
        <v>102.25087286634658</v>
      </c>
      <c r="K2" s="11">
        <v>104.8862679478117</v>
      </c>
      <c r="L2" s="11">
        <v>107.50352114867378</v>
      </c>
      <c r="M2" s="28">
        <f>($L3-$C3)/$C3/9</f>
        <v>9.2953443670213631E-2</v>
      </c>
      <c r="N2" s="4" t="str">
        <f>Historical!N2</f>
        <v>BD 01</v>
      </c>
      <c r="O2" s="11">
        <f>Historical!O2</f>
        <v>14.289419162443236</v>
      </c>
      <c r="P2" s="151">
        <v>7.5856287407931493</v>
      </c>
      <c r="Q2" s="151">
        <v>9.0368913592831284</v>
      </c>
      <c r="R2" s="151">
        <v>10.400291082819368</v>
      </c>
      <c r="S2" s="151">
        <v>10.917877806312534</v>
      </c>
      <c r="T2" s="151">
        <v>10.96775705314136</v>
      </c>
      <c r="U2" s="151">
        <v>11.099842713307465</v>
      </c>
      <c r="V2" s="151">
        <v>11.255985803371917</v>
      </c>
      <c r="W2" s="151">
        <v>11.436081022982702</v>
      </c>
      <c r="X2" s="151">
        <v>11.596871956319191</v>
      </c>
      <c r="Y2" s="151">
        <v>11.750765961294954</v>
      </c>
    </row>
    <row r="3" spans="1:25" ht="14.1" customHeight="1" thickBot="1">
      <c r="A3" s="4" t="str">
        <f>Historical!A3</f>
        <v>KLO</v>
      </c>
      <c r="B3" s="11">
        <f>Historical!B3</f>
        <v>49.1</v>
      </c>
      <c r="C3" s="11">
        <v>25.629667816156111</v>
      </c>
      <c r="D3" s="11">
        <v>30.073457352213655</v>
      </c>
      <c r="E3" s="11">
        <v>33.454949798808983</v>
      </c>
      <c r="F3" s="11">
        <v>36.466294508080232</v>
      </c>
      <c r="G3" s="11">
        <v>38.278701068881539</v>
      </c>
      <c r="H3" s="11">
        <v>39.822241185581532</v>
      </c>
      <c r="I3" s="11">
        <v>41.510877439130105</v>
      </c>
      <c r="J3" s="11">
        <v>43.353593733522871</v>
      </c>
      <c r="K3" s="11">
        <v>45.191654880983755</v>
      </c>
      <c r="L3" s="11">
        <v>47.070960768874301</v>
      </c>
      <c r="M3" s="28">
        <f>($L4-$C4)/$C4/9</f>
        <v>2.2670769509980648E-2</v>
      </c>
      <c r="N3" s="4" t="str">
        <f>Historical!N3</f>
        <v>BD 02</v>
      </c>
      <c r="O3" s="11">
        <f>Historical!O3</f>
        <v>22.482019482244024</v>
      </c>
      <c r="P3" s="151">
        <v>0</v>
      </c>
      <c r="Q3" s="151">
        <v>0</v>
      </c>
      <c r="R3" s="151">
        <v>0</v>
      </c>
      <c r="S3" s="151">
        <v>0</v>
      </c>
      <c r="T3" s="151">
        <v>0</v>
      </c>
      <c r="U3" s="151">
        <v>0</v>
      </c>
      <c r="V3" s="151">
        <v>0</v>
      </c>
      <c r="W3" s="151">
        <v>0</v>
      </c>
      <c r="X3" s="151">
        <v>0</v>
      </c>
      <c r="Y3" s="151">
        <f t="shared" ref="Y3:Y13" si="2">X3+X3-W3</f>
        <v>0</v>
      </c>
    </row>
    <row r="4" spans="1:25" ht="14.1" customHeight="1" thickBot="1">
      <c r="A4" s="4" t="str">
        <f>Historical!A4</f>
        <v>BD</v>
      </c>
      <c r="B4" s="11">
        <f>Historical!B4</f>
        <v>123.7</v>
      </c>
      <c r="C4" s="11">
        <v>71.780801523593667</v>
      </c>
      <c r="D4" s="11">
        <v>75.108257094368213</v>
      </c>
      <c r="E4" s="11">
        <v>77.944317812836616</v>
      </c>
      <c r="F4" s="11">
        <v>80.046657981583806</v>
      </c>
      <c r="G4" s="11">
        <v>80.584339786933128</v>
      </c>
      <c r="H4" s="11">
        <v>81.568312091228478</v>
      </c>
      <c r="I4" s="11">
        <v>82.732364520743289</v>
      </c>
      <c r="J4" s="11">
        <v>84.076095544300017</v>
      </c>
      <c r="K4" s="11">
        <v>85.276757941542968</v>
      </c>
      <c r="L4" s="11">
        <v>86.426735582841204</v>
      </c>
      <c r="M4" s="28">
        <f>($L5-$C5)/$C5/9</f>
        <v>2.464798597137819E-2</v>
      </c>
      <c r="N4" s="4" t="str">
        <f>Historical!N4</f>
        <v>BD 04</v>
      </c>
      <c r="O4" s="11">
        <f>Historical!O4</f>
        <v>11.6</v>
      </c>
      <c r="P4" s="151">
        <v>6.2220204321565715</v>
      </c>
      <c r="Q4" s="151">
        <v>6.5279091516247751</v>
      </c>
      <c r="R4" s="151">
        <v>6.9122371965085625</v>
      </c>
      <c r="S4" s="151">
        <v>7.2318177970659807</v>
      </c>
      <c r="T4" s="151">
        <v>7.3374329611165994</v>
      </c>
      <c r="U4" s="151">
        <v>7.4999080734001389</v>
      </c>
      <c r="V4" s="151">
        <v>7.6813126621527479</v>
      </c>
      <c r="W4" s="151">
        <v>7.8820996473545772</v>
      </c>
      <c r="X4" s="151">
        <v>8.0726913940504161</v>
      </c>
      <c r="Y4" s="151">
        <v>8.261453369779316</v>
      </c>
    </row>
    <row r="5" spans="1:25" ht="14.1" customHeight="1" thickBot="1">
      <c r="A5" s="4" t="str">
        <f>Historical!A5</f>
        <v>COO</v>
      </c>
      <c r="B5" s="11">
        <f>Historical!B5</f>
        <v>38</v>
      </c>
      <c r="C5" s="11">
        <v>42.622854056343101</v>
      </c>
      <c r="D5" s="11">
        <v>44.075248742485343</v>
      </c>
      <c r="E5" s="11">
        <v>45.181078067684524</v>
      </c>
      <c r="F5" s="11">
        <v>46.070999552645318</v>
      </c>
      <c r="G5" s="11">
        <v>46.615200204373323</v>
      </c>
      <c r="H5" s="11">
        <v>47.571212050388013</v>
      </c>
      <c r="I5" s="11">
        <v>48.645953880662482</v>
      </c>
      <c r="J5" s="11">
        <v>49.841797717450831</v>
      </c>
      <c r="K5" s="11">
        <v>50.967795388058519</v>
      </c>
      <c r="L5" s="11">
        <v>52.077961635910704</v>
      </c>
      <c r="M5" s="28">
        <f>($L6-$C6)/$C6/9</f>
        <v>1.0021514377244422E-2</v>
      </c>
      <c r="N5" s="4" t="str">
        <f>Historical!N5</f>
        <v>BD 06</v>
      </c>
      <c r="O5" s="11">
        <f>Historical!O5</f>
        <v>22.482019482244024</v>
      </c>
      <c r="P5" s="151">
        <v>0</v>
      </c>
      <c r="Q5" s="151">
        <v>0.80411074045019804</v>
      </c>
      <c r="R5" s="151">
        <v>1.8679307061639183</v>
      </c>
      <c r="S5" s="151">
        <v>2.6857666636927591</v>
      </c>
      <c r="T5" s="151">
        <v>2.6980368155225865</v>
      </c>
      <c r="U5" s="151">
        <v>2.7305295095350499</v>
      </c>
      <c r="V5" s="151">
        <v>2.7689402623847119</v>
      </c>
      <c r="W5" s="151">
        <v>2.8132431704866332</v>
      </c>
      <c r="X5" s="151">
        <v>2.8527972794664485</v>
      </c>
      <c r="Y5" s="151">
        <v>2.8906547638272913</v>
      </c>
    </row>
    <row r="6" spans="1:25" ht="14.1" customHeight="1" thickBot="1">
      <c r="A6" s="4" t="str">
        <f>Historical!A6</f>
        <v>BMS</v>
      </c>
      <c r="B6" s="11">
        <f>Historical!B6</f>
        <v>38</v>
      </c>
      <c r="C6" s="11">
        <v>34.879385320351069</v>
      </c>
      <c r="D6" s="11">
        <v>35.014758724275872</v>
      </c>
      <c r="E6" s="11">
        <v>35.215348399232255</v>
      </c>
      <c r="F6" s="11">
        <v>35.501121572037029</v>
      </c>
      <c r="G6" s="11">
        <v>35.646825380678948</v>
      </c>
      <c r="H6" s="11">
        <v>36.043804515741485</v>
      </c>
      <c r="I6" s="11">
        <v>36.518876314313751</v>
      </c>
      <c r="J6" s="11">
        <v>37.071536447390422</v>
      </c>
      <c r="K6" s="11">
        <v>37.560111317897103</v>
      </c>
      <c r="L6" s="11">
        <v>38.025283673467186</v>
      </c>
      <c r="M6" s="30"/>
      <c r="N6" s="4" t="str">
        <f>Historical!N6</f>
        <v>BD 08</v>
      </c>
      <c r="O6" s="11">
        <f>Historical!O6</f>
        <v>11.622060918787167</v>
      </c>
      <c r="P6" s="151">
        <v>8.9122980450172768</v>
      </c>
      <c r="Q6" s="151">
        <v>9.3570802656387038</v>
      </c>
      <c r="R6" s="151">
        <v>9.7377258586320607</v>
      </c>
      <c r="S6" s="151">
        <v>9.9172805237715984</v>
      </c>
      <c r="T6" s="151">
        <v>9.96258845740957</v>
      </c>
      <c r="U6" s="151">
        <v>10.082568784014567</v>
      </c>
      <c r="V6" s="151">
        <v>10.224401734839715</v>
      </c>
      <c r="W6" s="151">
        <v>10.387991660057395</v>
      </c>
      <c r="X6" s="151">
        <v>10.534046490480119</v>
      </c>
      <c r="Y6" s="151">
        <v>10.673836479463958</v>
      </c>
    </row>
    <row r="7" spans="1:25" ht="14.1" customHeight="1" thickBot="1">
      <c r="A7" s="4" t="str">
        <f>Historical!A7</f>
        <v>SMTS-ST-SSS-SMTS</v>
      </c>
      <c r="B7" s="11">
        <f>Historical!B7</f>
        <v>117.2</v>
      </c>
      <c r="C7" s="11">
        <f>C2</f>
        <v>77.494955357225081</v>
      </c>
      <c r="D7" s="11">
        <f t="shared" ref="D7:K7" si="3">D2</f>
        <v>82.153178603826603</v>
      </c>
      <c r="E7" s="11">
        <f t="shared" si="3"/>
        <v>87.199097398473398</v>
      </c>
      <c r="F7" s="11">
        <f t="shared" si="3"/>
        <v>91.634701677602166</v>
      </c>
      <c r="G7" s="11">
        <f t="shared" si="3"/>
        <v>94.74080495974188</v>
      </c>
      <c r="H7" s="11">
        <f t="shared" si="3"/>
        <v>96.985662709935937</v>
      </c>
      <c r="I7" s="11">
        <f t="shared" si="3"/>
        <v>99.486673391721951</v>
      </c>
      <c r="J7" s="11">
        <f t="shared" si="3"/>
        <v>102.25087286634658</v>
      </c>
      <c r="K7" s="11">
        <f t="shared" si="3"/>
        <v>104.8862679478117</v>
      </c>
      <c r="L7" s="11">
        <f t="shared" ref="L7:L8" si="4">K7+K7-J7</f>
        <v>107.52166302927682</v>
      </c>
      <c r="M7" s="28"/>
      <c r="N7" s="4" t="str">
        <f>Historical!N7</f>
        <v>BD 09</v>
      </c>
      <c r="O7" s="11">
        <f>Historical!O7</f>
        <v>13.146265629447777</v>
      </c>
      <c r="P7" s="151">
        <v>4.0970113836031565</v>
      </c>
      <c r="Q7" s="151">
        <v>4.3162288516393996</v>
      </c>
      <c r="R7" s="151">
        <v>4.4918533281362691</v>
      </c>
      <c r="S7" s="151">
        <v>4.5212896870319588</v>
      </c>
      <c r="T7" s="151">
        <v>4.5419455808132296</v>
      </c>
      <c r="U7" s="151">
        <v>4.5966446298141745</v>
      </c>
      <c r="V7" s="151">
        <v>4.6613062934940457</v>
      </c>
      <c r="W7" s="151">
        <v>4.735886965081999</v>
      </c>
      <c r="X7" s="151">
        <v>4.8024733843073708</v>
      </c>
      <c r="Y7" s="151">
        <v>4.8662036613755628</v>
      </c>
    </row>
    <row r="8" spans="1:25" ht="14.1" customHeight="1" thickBot="1">
      <c r="A8" s="4" t="str">
        <f>Historical!A8</f>
        <v>TTS-COO-VCO-BD-BMS-TTS</v>
      </c>
      <c r="B8" s="11">
        <f>Historical!B8</f>
        <v>196.3</v>
      </c>
      <c r="C8" s="11">
        <f>C4+C5+C6+C9</f>
        <v>175.11009976345716</v>
      </c>
      <c r="D8" s="11">
        <f t="shared" ref="D8:K8" si="5">D4+D5+D6+D9</f>
        <v>179.79553365360033</v>
      </c>
      <c r="E8" s="11">
        <f t="shared" si="5"/>
        <v>183.83867891952153</v>
      </c>
      <c r="F8" s="11">
        <f t="shared" si="5"/>
        <v>187.26329316223703</v>
      </c>
      <c r="G8" s="11">
        <f t="shared" si="5"/>
        <v>188.5823026189845</v>
      </c>
      <c r="H8" s="11">
        <f t="shared" si="5"/>
        <v>191.17721827467108</v>
      </c>
      <c r="I8" s="11">
        <f t="shared" si="5"/>
        <v>194.20413026023743</v>
      </c>
      <c r="J8" s="11">
        <f t="shared" si="5"/>
        <v>197.6639259369033</v>
      </c>
      <c r="K8" s="11">
        <f t="shared" si="5"/>
        <v>200.80021234349883</v>
      </c>
      <c r="L8" s="11">
        <f t="shared" si="4"/>
        <v>203.93649875009436</v>
      </c>
      <c r="M8" s="28"/>
      <c r="N8" s="4" t="str">
        <f>Historical!N8</f>
        <v>BD 13</v>
      </c>
      <c r="O8" s="11">
        <f>Historical!O8</f>
        <v>12.003112096452318</v>
      </c>
      <c r="P8" s="151">
        <v>7.9476152043608881</v>
      </c>
      <c r="Q8" s="151">
        <v>8.1223167820079087</v>
      </c>
      <c r="R8" s="151">
        <v>8.2292422539436014</v>
      </c>
      <c r="S8" s="151">
        <v>8.3839399807891724</v>
      </c>
      <c r="T8" s="151">
        <v>8.4222427186580724</v>
      </c>
      <c r="U8" s="151">
        <v>8.5236725264285198</v>
      </c>
      <c r="V8" s="151">
        <v>8.6435762585218061</v>
      </c>
      <c r="W8" s="151">
        <v>8.7818730538175789</v>
      </c>
      <c r="X8" s="151">
        <v>8.9053459080172086</v>
      </c>
      <c r="Y8" s="151">
        <v>9.0235225467385227</v>
      </c>
    </row>
    <row r="9" spans="1:25" ht="14.1" customHeight="1" thickBot="1">
      <c r="A9" s="4" t="s">
        <v>95</v>
      </c>
      <c r="B9" s="11"/>
      <c r="C9" s="11">
        <v>25.827058863169327</v>
      </c>
      <c r="D9" s="11">
        <v>25.597269092470899</v>
      </c>
      <c r="E9" s="11">
        <v>25.49793463976815</v>
      </c>
      <c r="F9" s="11">
        <v>25.64451405597088</v>
      </c>
      <c r="G9" s="11">
        <v>25.735937246999111</v>
      </c>
      <c r="H9" s="11">
        <v>25.993889617313084</v>
      </c>
      <c r="I9" s="11">
        <v>26.306935544517902</v>
      </c>
      <c r="J9" s="11">
        <v>26.674496227761992</v>
      </c>
      <c r="K9" s="11">
        <v>26.995547696000223</v>
      </c>
      <c r="L9" s="11">
        <v>27.299188417355083</v>
      </c>
      <c r="M9" s="28"/>
      <c r="N9" s="4" t="str">
        <f>Historical!N9</f>
        <v>BD 14</v>
      </c>
      <c r="O9" s="11">
        <f>Historical!O9</f>
        <v>12.003112096452318</v>
      </c>
      <c r="P9" s="151">
        <v>8.9883313683225783</v>
      </c>
      <c r="Q9" s="151">
        <v>8.9119232910477955</v>
      </c>
      <c r="R9" s="151">
        <v>8.8826654965000351</v>
      </c>
      <c r="S9" s="151">
        <v>8.9408760635876803</v>
      </c>
      <c r="T9" s="151">
        <v>8.9817232109869458</v>
      </c>
      <c r="U9" s="151">
        <v>9.0898908913981984</v>
      </c>
      <c r="V9" s="151">
        <v>9.217759698983194</v>
      </c>
      <c r="W9" s="151">
        <v>9.3652434011046459</v>
      </c>
      <c r="X9" s="151">
        <v>9.4969184237247877</v>
      </c>
      <c r="Y9" s="151">
        <v>9.6229454089894428</v>
      </c>
    </row>
    <row r="10" spans="1:25" ht="14.1" customHeight="1" thickBot="1">
      <c r="A10" s="4" t="s">
        <v>97</v>
      </c>
      <c r="B10" s="11">
        <v>33</v>
      </c>
      <c r="C10" s="11">
        <f>(P10+P11+P12+P13)*C$5/SUM(P$10:P$17)</f>
        <v>10.333769140374681</v>
      </c>
      <c r="D10" s="11">
        <f t="shared" ref="D10:L10" si="6">(Q10+Q11+Q12+Q13)*D$5/SUM(Q$10:Q$17)</f>
        <v>10.853367120066251</v>
      </c>
      <c r="E10" s="11">
        <f t="shared" si="6"/>
        <v>11.239340070938528</v>
      </c>
      <c r="F10" s="11">
        <f t="shared" si="6"/>
        <v>11.296734844047842</v>
      </c>
      <c r="G10" s="11">
        <f t="shared" si="6"/>
        <v>11.362189757628949</v>
      </c>
      <c r="H10" s="11">
        <f t="shared" si="6"/>
        <v>11.538898208705387</v>
      </c>
      <c r="I10" s="11">
        <f t="shared" si="6"/>
        <v>11.767737361121689</v>
      </c>
      <c r="J10" s="11">
        <f t="shared" si="6"/>
        <v>12.024111317800255</v>
      </c>
      <c r="K10" s="11">
        <f t="shared" si="6"/>
        <v>12.261817139554493</v>
      </c>
      <c r="L10" s="11">
        <f t="shared" si="6"/>
        <v>12.493932654475939</v>
      </c>
      <c r="M10" s="28" t="s">
        <v>98</v>
      </c>
      <c r="N10" s="4" t="str">
        <f>Historical!N10</f>
        <v>COO11</v>
      </c>
      <c r="O10" s="11">
        <f>Historical!O10</f>
        <v>10.859958563456859</v>
      </c>
      <c r="P10" s="151">
        <v>5.1521374793027643</v>
      </c>
      <c r="Q10" s="151">
        <v>5.2899515090811624</v>
      </c>
      <c r="R10" s="151">
        <v>5.3639163375723049</v>
      </c>
      <c r="S10" s="151">
        <v>5.4295747275933133</v>
      </c>
      <c r="T10" s="151">
        <v>5.4791230958404791</v>
      </c>
      <c r="U10" s="151">
        <v>5.5893809804517884</v>
      </c>
      <c r="V10" s="151">
        <v>5.7132611634793724</v>
      </c>
      <c r="W10" s="151">
        <v>5.8510177563824968</v>
      </c>
      <c r="X10" s="151">
        <v>5.9806543988507901</v>
      </c>
      <c r="Y10" s="151">
        <v>6.1084028841791795</v>
      </c>
    </row>
    <row r="11" spans="1:25" ht="14.1" customHeight="1" thickBot="1">
      <c r="A11" s="4" t="s">
        <v>99</v>
      </c>
      <c r="B11" s="11">
        <v>33</v>
      </c>
      <c r="C11" s="11">
        <f>(P14+P15+P16+P17)*C$5/SUM(P$10:P$17)</f>
        <v>32.289084915968417</v>
      </c>
      <c r="D11" s="11">
        <f t="shared" ref="D11:L11" si="7">(Q14+Q15+Q16+Q17)*D$5/SUM(Q$10:Q$17)</f>
        <v>33.22188162241909</v>
      </c>
      <c r="E11" s="11">
        <f t="shared" si="7"/>
        <v>33.941737996745992</v>
      </c>
      <c r="F11" s="11">
        <f t="shared" si="7"/>
        <v>34.774264708597485</v>
      </c>
      <c r="G11" s="11">
        <f t="shared" si="7"/>
        <v>35.253010446744376</v>
      </c>
      <c r="H11" s="11">
        <f t="shared" si="7"/>
        <v>36.032313841682623</v>
      </c>
      <c r="I11" s="11">
        <f t="shared" si="7"/>
        <v>36.878216519540786</v>
      </c>
      <c r="J11" s="11">
        <f t="shared" si="7"/>
        <v>37.817686399650576</v>
      </c>
      <c r="K11" s="11">
        <f t="shared" si="7"/>
        <v>38.705978248504024</v>
      </c>
      <c r="L11" s="11">
        <f t="shared" si="7"/>
        <v>39.584028981434763</v>
      </c>
      <c r="M11" s="42">
        <f>B11+B10*L10/L11</f>
        <v>43.415811331157776</v>
      </c>
      <c r="N11" s="4" t="str">
        <f>Historical!N11</f>
        <v>COO12</v>
      </c>
      <c r="O11" s="11">
        <f>Historical!O11</f>
        <v>14.3</v>
      </c>
      <c r="P11" s="151">
        <v>6.2618741400067455</v>
      </c>
      <c r="Q11" s="151">
        <v>7.0677909611089129</v>
      </c>
      <c r="R11" s="151">
        <v>7.6818100505388065</v>
      </c>
      <c r="S11" s="151">
        <v>7.796442381600472</v>
      </c>
      <c r="T11" s="151">
        <v>7.8852017834455328</v>
      </c>
      <c r="U11" s="151">
        <v>8.0438778440429033</v>
      </c>
      <c r="V11" s="151">
        <v>8.2221582409341902</v>
      </c>
      <c r="W11" s="151">
        <v>8.4204086749983045</v>
      </c>
      <c r="X11" s="151">
        <v>8.6069733983145067</v>
      </c>
      <c r="Y11" s="151">
        <v>8.7908208072381324</v>
      </c>
    </row>
    <row r="12" spans="1:25" ht="14.1" customHeight="1" thickBot="1">
      <c r="A12" s="4" t="s">
        <v>100</v>
      </c>
      <c r="B12" s="11"/>
      <c r="C12" s="11">
        <f>MIN(1,C$5/SUM(P$10:P$17))</f>
        <v>0.9060436330368985</v>
      </c>
      <c r="D12" s="11">
        <f t="shared" ref="D12:L12" si="8">MIN(1,D$5/SUM(Q$10:Q$17))</f>
        <v>0.87887295071588611</v>
      </c>
      <c r="E12" s="11">
        <f t="shared" si="8"/>
        <v>0.86209957942248427</v>
      </c>
      <c r="F12" s="11">
        <f t="shared" si="8"/>
        <v>0.85468696882337536</v>
      </c>
      <c r="G12" s="11">
        <f t="shared" si="8"/>
        <v>0.85074657772200291</v>
      </c>
      <c r="H12" s="11">
        <f t="shared" si="8"/>
        <v>0.84693522205193306</v>
      </c>
      <c r="I12" s="11">
        <f t="shared" si="8"/>
        <v>0.84500370221574284</v>
      </c>
      <c r="J12" s="11">
        <f t="shared" si="8"/>
        <v>0.84308430252048427</v>
      </c>
      <c r="K12" s="11">
        <f t="shared" si="8"/>
        <v>0.84111462148836702</v>
      </c>
      <c r="L12" s="11">
        <f t="shared" si="8"/>
        <v>0.83911265012750336</v>
      </c>
      <c r="M12" s="28"/>
      <c r="N12" s="4" t="str">
        <f>Historical!N12</f>
        <v>COO13</v>
      </c>
      <c r="O12" s="11">
        <f>Historical!O12</f>
        <v>12.003112096452318</v>
      </c>
      <c r="P12" s="151">
        <v>5.2948332631582301E-3</v>
      </c>
      <c r="Q12" s="151">
        <v>5.245759287287018E-3</v>
      </c>
      <c r="R12" s="151">
        <v>5.2458896586326399E-3</v>
      </c>
      <c r="S12" s="151">
        <v>5.2874170750896836E-3</v>
      </c>
      <c r="T12" s="151">
        <v>5.379853819816747E-3</v>
      </c>
      <c r="U12" s="151">
        <v>5.4945559942141996E-3</v>
      </c>
      <c r="V12" s="151">
        <v>5.6194122370259655E-3</v>
      </c>
      <c r="W12" s="151">
        <v>5.7490544383226663E-3</v>
      </c>
      <c r="X12" s="151">
        <v>5.8686741911147299E-3</v>
      </c>
      <c r="Y12" s="151">
        <f t="shared" si="2"/>
        <v>5.9882939439067934E-3</v>
      </c>
    </row>
    <row r="13" spans="1:25" ht="14.1" customHeight="1" thickBot="1">
      <c r="A13" s="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8"/>
      <c r="N13" s="4" t="str">
        <f>Historical!N13</f>
        <v>COO14</v>
      </c>
      <c r="O13" s="11">
        <f>Historical!O13</f>
        <v>12.003112096452318</v>
      </c>
      <c r="P13" s="151">
        <v>-1.392953298910584E-2</v>
      </c>
      <c r="Q13" s="151">
        <v>-1.3800430233300288E-2</v>
      </c>
      <c r="R13" s="151">
        <v>-1.3800773211420545E-2</v>
      </c>
      <c r="S13" s="151">
        <v>-1.3910022641712462E-2</v>
      </c>
      <c r="T13" s="151">
        <v>-1.415320323326015E-2</v>
      </c>
      <c r="U13" s="151">
        <v>-1.4454959236288369E-2</v>
      </c>
      <c r="V13" s="151">
        <v>-1.4783428343189936E-2</v>
      </c>
      <c r="W13" s="151">
        <v>-1.5124488246304914E-2</v>
      </c>
      <c r="X13" s="151">
        <v>-1.5439181308362141E-2</v>
      </c>
      <c r="Y13" s="151">
        <f t="shared" si="2"/>
        <v>-1.575387437041937E-2</v>
      </c>
    </row>
    <row r="14" spans="1:25" ht="14.1" customHeight="1" thickBot="1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N14" s="4" t="str">
        <f>Historical!N14</f>
        <v>COO21</v>
      </c>
      <c r="O14" s="11">
        <f>Historical!O14</f>
        <v>14.289419162443236</v>
      </c>
      <c r="P14" s="151">
        <v>4.5541413787300886</v>
      </c>
      <c r="Q14" s="151">
        <v>4.5154274982413627</v>
      </c>
      <c r="R14" s="151">
        <v>4.5006033749040855</v>
      </c>
      <c r="S14" s="151">
        <v>4.5300970752796053</v>
      </c>
      <c r="T14" s="151">
        <v>4.5507932063579144</v>
      </c>
      <c r="U14" s="151">
        <v>4.6055988080893142</v>
      </c>
      <c r="V14" s="151">
        <v>4.6703864314878025</v>
      </c>
      <c r="W14" s="151">
        <v>4.7451123848373573</v>
      </c>
      <c r="X14" s="151">
        <v>4.8118285131693641</v>
      </c>
      <c r="Y14" s="151">
        <v>4.875682935632371</v>
      </c>
    </row>
    <row r="15" spans="1:25" ht="14.1" customHeight="1" thickBot="1">
      <c r="A15" s="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4" t="str">
        <f>Historical!N15</f>
        <v>COO22</v>
      </c>
      <c r="O15" s="11">
        <f>Historical!O15</f>
        <v>12.003112096452318</v>
      </c>
      <c r="P15" s="151">
        <v>8.5279733917834637</v>
      </c>
      <c r="Q15" s="151">
        <v>8.562395953342488</v>
      </c>
      <c r="R15" s="151">
        <v>8.5999857519147564</v>
      </c>
      <c r="S15" s="151">
        <v>8.6840219981097722</v>
      </c>
      <c r="T15" s="151">
        <v>8.7585556088395133</v>
      </c>
      <c r="U15" s="151">
        <v>8.9348064060545465</v>
      </c>
      <c r="V15" s="151">
        <v>9.1328328881943595</v>
      </c>
      <c r="W15" s="151">
        <v>9.3530412606513025</v>
      </c>
      <c r="X15" s="151">
        <v>9.5602696295236438</v>
      </c>
      <c r="Y15" s="151">
        <v>9.7644797180947727</v>
      </c>
    </row>
    <row r="16" spans="1:25" ht="14.1" customHeight="1" thickBot="1">
      <c r="A16" s="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4" t="str">
        <f>Historical!N16</f>
        <v>COO23</v>
      </c>
      <c r="O16" s="11">
        <f>Historical!O16</f>
        <v>14.289419162443236</v>
      </c>
      <c r="P16" s="151">
        <v>12.902489088523307</v>
      </c>
      <c r="Q16" s="151">
        <v>15.132032683993364</v>
      </c>
      <c r="R16" s="151">
        <v>16.682184970906413</v>
      </c>
      <c r="S16" s="151">
        <v>17.785888045215412</v>
      </c>
      <c r="T16" s="151">
        <v>18.358703551252585</v>
      </c>
      <c r="U16" s="151">
        <v>19.03767141203441</v>
      </c>
      <c r="V16" s="151">
        <v>19.65228206204819</v>
      </c>
      <c r="W16" s="151">
        <v>20.325401158975549</v>
      </c>
      <c r="X16" s="151">
        <v>20.981436289451853</v>
      </c>
      <c r="Y16" s="151">
        <v>21.641780072855848</v>
      </c>
    </row>
    <row r="17" spans="1:25" ht="14.1" customHeight="1" thickBot="1">
      <c r="A17" s="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4" t="str">
        <f>Historical!N17</f>
        <v>COO24</v>
      </c>
      <c r="O17" s="11">
        <f>Historical!O17</f>
        <v>12.193637685284894</v>
      </c>
      <c r="P17" s="151">
        <v>9.6528464122498505</v>
      </c>
      <c r="Q17" s="151">
        <v>9.5906946668546986</v>
      </c>
      <c r="R17" s="151">
        <v>9.5882438297900006</v>
      </c>
      <c r="S17" s="151">
        <v>9.6865436035505788</v>
      </c>
      <c r="T17" s="151">
        <v>9.7696817013606552</v>
      </c>
      <c r="U17" s="151">
        <v>9.9662796640046416</v>
      </c>
      <c r="V17" s="151">
        <v>10.187167192194067</v>
      </c>
      <c r="W17" s="151">
        <v>10.432797385454215</v>
      </c>
      <c r="X17" s="151">
        <v>10.663949106558968</v>
      </c>
      <c r="Y17" s="151">
        <v>10.891734103840152</v>
      </c>
    </row>
    <row r="18" spans="1:25" ht="14.1" customHeight="1" thickBot="1">
      <c r="A18" s="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9"/>
      <c r="N18" s="4" t="str">
        <f>Historical!N18</f>
        <v>KLO13</v>
      </c>
      <c r="O18" s="11">
        <f>Historical!O18</f>
        <v>14.289419162443236</v>
      </c>
      <c r="P18" s="151">
        <v>10.860732538060491</v>
      </c>
      <c r="Q18" s="151">
        <v>13.90562657745509</v>
      </c>
      <c r="R18" s="151">
        <v>15.049175082041707</v>
      </c>
      <c r="S18" s="151">
        <v>15.617896396559718</v>
      </c>
      <c r="T18" s="151">
        <v>15.908678118269334</v>
      </c>
      <c r="U18" s="151">
        <v>16.55017540510331</v>
      </c>
      <c r="V18" s="151">
        <v>17.251974835763281</v>
      </c>
      <c r="W18" s="151">
        <v>18.017810132473915</v>
      </c>
      <c r="X18" s="151">
        <v>18.781710744044656</v>
      </c>
      <c r="Y18" s="151">
        <v>19.562752723562713</v>
      </c>
    </row>
    <row r="19" spans="1:25" ht="14.1" customHeight="1" thickBot="1">
      <c r="A19" s="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4" t="str">
        <f>Historical!N19</f>
        <v>KLO21</v>
      </c>
      <c r="O19" s="11">
        <f>Historical!O19</f>
        <v>14.289419162443236</v>
      </c>
      <c r="P19" s="151">
        <v>10.339198582405849</v>
      </c>
      <c r="Q19" s="151">
        <v>12.872471248419879</v>
      </c>
      <c r="R19" s="151">
        <v>15.297251867477947</v>
      </c>
      <c r="S19" s="151">
        <v>17.272024638161326</v>
      </c>
      <c r="T19" s="151">
        <v>18.472238458440152</v>
      </c>
      <c r="U19" s="151">
        <v>19.773127506990207</v>
      </c>
      <c r="V19" s="151">
        <v>20.611594126654786</v>
      </c>
      <c r="W19" s="151">
        <v>21.526566844499428</v>
      </c>
      <c r="X19" s="151">
        <v>22.439228120016693</v>
      </c>
      <c r="Y19" s="151">
        <v>23.372368843380901</v>
      </c>
    </row>
    <row r="20" spans="1:25" ht="14.1" customHeight="1" thickBot="1">
      <c r="A20" s="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9"/>
      <c r="N20" s="4" t="str">
        <f>Historical!N20</f>
        <v>KLO22</v>
      </c>
      <c r="O20" s="11">
        <f>Historical!O20</f>
        <v>14.289419162443236</v>
      </c>
      <c r="P20" s="151">
        <v>9.25493067996584</v>
      </c>
      <c r="Q20" s="151">
        <v>12.047681962288822</v>
      </c>
      <c r="R20" s="151">
        <v>14.821262443677263</v>
      </c>
      <c r="S20" s="151">
        <v>17.803831909567432</v>
      </c>
      <c r="T20" s="151">
        <v>19.703762340970929</v>
      </c>
      <c r="U20" s="151">
        <v>21.797645390636074</v>
      </c>
      <c r="V20" s="151">
        <v>23.875936600212611</v>
      </c>
      <c r="W20" s="151">
        <v>25.876470221276318</v>
      </c>
      <c r="X20" s="151">
        <v>27.882276098827276</v>
      </c>
      <c r="Y20" s="151">
        <v>29.605685099004241</v>
      </c>
    </row>
    <row r="21" spans="1:25" ht="14.1" customHeight="1" thickBot="1">
      <c r="A21" s="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9"/>
      <c r="N21" s="4" t="str">
        <f>Historical!N21</f>
        <v>KLO23</v>
      </c>
      <c r="O21" s="11">
        <f>Historical!O21</f>
        <v>14.289419162443236</v>
      </c>
      <c r="P21" s="151">
        <v>1.1082164340608369</v>
      </c>
      <c r="Q21" s="151">
        <v>1.1049464947672312</v>
      </c>
      <c r="R21" s="151">
        <v>1.1105644935347214</v>
      </c>
      <c r="S21" s="151">
        <v>1.1303521564737045</v>
      </c>
      <c r="T21" s="151">
        <v>1.1513976121389122</v>
      </c>
      <c r="U21" s="151">
        <v>1.197826261883608</v>
      </c>
      <c r="V21" s="151">
        <v>1.2486193059476767</v>
      </c>
      <c r="W21" s="151">
        <v>1.3040469741278313</v>
      </c>
      <c r="X21" s="151">
        <v>1.3593346186156494</v>
      </c>
      <c r="Y21" s="151">
        <v>1.4158628771869637</v>
      </c>
    </row>
    <row r="22" spans="1:25" ht="14.1" customHeight="1" thickBot="1">
      <c r="A22" s="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9"/>
      <c r="N22" s="4" t="str">
        <f>Historical!N22</f>
        <v>ST 11</v>
      </c>
      <c r="O22" s="11">
        <f>Historical!O22</f>
        <v>22.482019482244024</v>
      </c>
      <c r="P22" s="151">
        <v>13.700507642155969</v>
      </c>
      <c r="Q22" s="151">
        <v>14.437188433652956</v>
      </c>
      <c r="R22" s="151">
        <v>15.35335087550051</v>
      </c>
      <c r="S22" s="151">
        <v>15.776785171421643</v>
      </c>
      <c r="T22" s="151">
        <v>15.991360014362291</v>
      </c>
      <c r="U22" s="151">
        <v>16.474674923073465</v>
      </c>
      <c r="V22" s="151">
        <v>17.00654200093652</v>
      </c>
      <c r="W22" s="151">
        <v>17.589040672458978</v>
      </c>
      <c r="X22" s="151">
        <v>18.15675535136036</v>
      </c>
      <c r="Y22" s="151">
        <v>18.728198619478555</v>
      </c>
    </row>
    <row r="23" spans="1:25" ht="14.1" customHeight="1" thickBot="1">
      <c r="A23" s="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9"/>
      <c r="N23" s="4" t="str">
        <f>Historical!N23</f>
        <v>ST 12</v>
      </c>
      <c r="O23" s="11">
        <f>Historical!O23</f>
        <v>14.289419162443236</v>
      </c>
      <c r="P23" s="151">
        <v>12.591004604127114</v>
      </c>
      <c r="Q23" s="151">
        <v>14.865071233122446</v>
      </c>
      <c r="R23" s="151">
        <v>17.878261661720561</v>
      </c>
      <c r="S23" s="151">
        <v>20.744334735104388</v>
      </c>
      <c r="T23" s="151">
        <v>23.373074794832213</v>
      </c>
      <c r="U23" s="151">
        <v>25.534794018137919</v>
      </c>
      <c r="V23" s="151">
        <v>27.186886454715278</v>
      </c>
      <c r="W23" s="151">
        <v>28.534922946989933</v>
      </c>
      <c r="X23" s="151">
        <v>29.849696862571452</v>
      </c>
      <c r="Y23" s="151">
        <v>31.091003719187221</v>
      </c>
    </row>
    <row r="24" spans="1:25" ht="14.1" customHeight="1" thickBot="1">
      <c r="A24" s="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9"/>
      <c r="N24" s="4" t="str">
        <f>Historical!N24</f>
        <v>ST 13</v>
      </c>
      <c r="O24" s="11">
        <f>Historical!O24</f>
        <v>14.289419162443236</v>
      </c>
      <c r="P24" s="151">
        <v>8.6507043714242986</v>
      </c>
      <c r="Q24" s="151">
        <v>9.5995939498358407</v>
      </c>
      <c r="R24" s="151">
        <v>10.478587626200055</v>
      </c>
      <c r="S24" s="151">
        <v>10.863221153765057</v>
      </c>
      <c r="T24" s="151">
        <v>10.956458492053935</v>
      </c>
      <c r="U24" s="151">
        <v>11.17693828691063</v>
      </c>
      <c r="V24" s="151">
        <v>11.424658233987589</v>
      </c>
      <c r="W24" s="151">
        <v>11.700126473293192</v>
      </c>
      <c r="X24" s="151">
        <v>11.959357461064098</v>
      </c>
      <c r="Y24" s="151">
        <v>12.214812750613225</v>
      </c>
    </row>
    <row r="25" spans="1:25" ht="14.1" customHeight="1" thickBot="1">
      <c r="A25" s="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9"/>
      <c r="N25" s="4" t="str">
        <f>Historical!N25</f>
        <v>ST 14</v>
      </c>
      <c r="O25" s="11">
        <f>Historical!O25</f>
        <v>14.289419162443236</v>
      </c>
      <c r="P25" s="151">
        <v>7.4441354440710272</v>
      </c>
      <c r="Q25" s="151">
        <v>7.3867566020261375</v>
      </c>
      <c r="R25" s="151">
        <v>7.3713356305070405</v>
      </c>
      <c r="S25" s="151">
        <v>8.1628988518508088</v>
      </c>
      <c r="T25" s="151">
        <v>8.9505780608371328</v>
      </c>
      <c r="U25" s="151">
        <v>9.8358910702497866</v>
      </c>
      <c r="V25" s="151">
        <v>10.014071351177614</v>
      </c>
      <c r="W25" s="151">
        <v>10.214911952692832</v>
      </c>
      <c r="X25" s="151">
        <v>10.399884718258214</v>
      </c>
      <c r="Y25" s="151">
        <v>10.579961782345142</v>
      </c>
    </row>
    <row r="26" spans="1:25" ht="14.1" customHeight="1" thickBot="1">
      <c r="A26" s="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9"/>
      <c r="N26" s="4" t="str">
        <f>Historical!N26</f>
        <v>ST 21</v>
      </c>
      <c r="O26" s="11">
        <f>Historical!O26</f>
        <v>14.289419162443236</v>
      </c>
      <c r="P26" s="151">
        <v>1.2890520170199167</v>
      </c>
      <c r="Q26" s="151">
        <v>1.2775830003975186</v>
      </c>
      <c r="R26" s="151">
        <v>1.2726251274436353</v>
      </c>
      <c r="S26" s="151">
        <v>1.2799410395306745</v>
      </c>
      <c r="T26" s="151">
        <v>1.2845040542131321</v>
      </c>
      <c r="U26" s="151">
        <v>1.2973786918174348</v>
      </c>
      <c r="V26" s="151">
        <v>1.3130030989952377</v>
      </c>
      <c r="W26" s="151">
        <v>1.3313483872691836</v>
      </c>
      <c r="X26" s="151">
        <v>1.3473723582870323</v>
      </c>
      <c r="Y26" s="151">
        <v>1.3625273430797464</v>
      </c>
    </row>
    <row r="27" spans="1:25" ht="14.1" customHeight="1" thickBot="1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9"/>
      <c r="N27" s="4" t="str">
        <f>Historical!N27</f>
        <v>ST 22</v>
      </c>
      <c r="O27" s="11">
        <f>Historical!O27</f>
        <v>22.482019482244024</v>
      </c>
      <c r="P27" s="151">
        <v>13.986471850664387</v>
      </c>
      <c r="Q27" s="151">
        <v>16.997189261168323</v>
      </c>
      <c r="R27" s="151">
        <v>19.935397770615946</v>
      </c>
      <c r="S27" s="151">
        <v>22.232509771689546</v>
      </c>
      <c r="T27" s="151">
        <v>23.8281893675227</v>
      </c>
      <c r="U27" s="151">
        <v>24.789030910471389</v>
      </c>
      <c r="V27" s="151">
        <v>25.840193653690228</v>
      </c>
      <c r="W27" s="151">
        <v>26.987270006526707</v>
      </c>
      <c r="X27" s="151">
        <v>28.131448567130718</v>
      </c>
      <c r="Y27" s="151">
        <v>29.301301653200056</v>
      </c>
    </row>
    <row r="28" spans="1:25" ht="14.1" customHeight="1" thickBot="1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N28" s="4" t="str">
        <f>Historical!N28</f>
        <v>ST 23</v>
      </c>
      <c r="O28" s="11">
        <f>Historical!O28</f>
        <v>22.482019482244024</v>
      </c>
      <c r="P28" s="151">
        <v>10.814345619145717</v>
      </c>
      <c r="Q28" s="151">
        <v>11.916272601760593</v>
      </c>
      <c r="R28" s="151">
        <v>13.184542832033209</v>
      </c>
      <c r="S28" s="151">
        <v>13.541683933079671</v>
      </c>
      <c r="T28" s="151">
        <v>13.623935200241736</v>
      </c>
      <c r="U28" s="151">
        <v>13.829290912214693</v>
      </c>
      <c r="V28" s="151">
        <v>14.0658170577814</v>
      </c>
      <c r="W28" s="151">
        <v>14.333656473606238</v>
      </c>
      <c r="X28" s="151">
        <v>14.578705749709428</v>
      </c>
      <c r="Y28" s="151">
        <v>14.816397645359508</v>
      </c>
    </row>
    <row r="29" spans="1:25" ht="14.1" customHeight="1" thickBot="1">
      <c r="A29" s="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N29" s="4" t="str">
        <f>Historical!N29</f>
        <v>ST 24</v>
      </c>
      <c r="O29" s="11">
        <f>Historical!O29</f>
        <v>14.289419162443236</v>
      </c>
      <c r="P29" s="151">
        <v>6.8503907190201287</v>
      </c>
      <c r="Q29" s="151">
        <v>7.2242495169230008</v>
      </c>
      <c r="R29" s="151">
        <v>7.6293357000038835</v>
      </c>
      <c r="S29" s="151">
        <v>8.1088052508245294</v>
      </c>
      <c r="T29" s="151">
        <v>8.1377132991439023</v>
      </c>
      <c r="U29" s="151">
        <v>8.2192779382826799</v>
      </c>
      <c r="V29" s="151">
        <v>8.3182631813926662</v>
      </c>
      <c r="W29" s="151">
        <v>8.4344860114209972</v>
      </c>
      <c r="X29" s="151">
        <v>8.5360026096982402</v>
      </c>
      <c r="Y29" s="151">
        <v>8.6320139230852906</v>
      </c>
    </row>
    <row r="30" spans="1:25" ht="14.1" customHeight="1" thickBot="1">
      <c r="A30" s="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N30" s="4" t="str">
        <f>Historical!N30</f>
        <v>ST 31</v>
      </c>
      <c r="O30" s="11">
        <f>Historical!O30</f>
        <v>22.482019482244024</v>
      </c>
      <c r="P30" s="151">
        <v>1.6941826509404621</v>
      </c>
      <c r="Q30" s="151">
        <v>1.6791090862367384</v>
      </c>
      <c r="R30" s="151">
        <v>1.6725930246402065</v>
      </c>
      <c r="S30" s="151">
        <v>1.6822082233831726</v>
      </c>
      <c r="T30" s="151">
        <v>1.6882053283944021</v>
      </c>
      <c r="U30" s="151">
        <v>1.7051262806743426</v>
      </c>
      <c r="V30" s="151">
        <v>1.7256612158223124</v>
      </c>
      <c r="W30" s="151">
        <v>1.7497721661252126</v>
      </c>
      <c r="X30" s="151">
        <v>1.7708322423200995</v>
      </c>
      <c r="Y30" s="151">
        <v>1.7907502223333809</v>
      </c>
    </row>
    <row r="31" spans="1:25" ht="14.1" customHeight="1" thickBot="1">
      <c r="A31" s="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N31" s="4" t="str">
        <f>Historical!N31</f>
        <v>ST 32</v>
      </c>
      <c r="O31" s="11">
        <f>Historical!O31</f>
        <v>12.384163274117471</v>
      </c>
      <c r="P31" s="151">
        <v>7.3961071898985047</v>
      </c>
      <c r="Q31" s="151">
        <v>7.599105181161284</v>
      </c>
      <c r="R31" s="151">
        <v>7.6377421321303771</v>
      </c>
      <c r="S31" s="151">
        <v>7.7738288410115866</v>
      </c>
      <c r="T31" s="151">
        <v>7.9185658322982722</v>
      </c>
      <c r="U31" s="151">
        <v>8.2378719656722339</v>
      </c>
      <c r="V31" s="151">
        <v>8.587193571869582</v>
      </c>
      <c r="W31" s="151">
        <v>8.9683891161264384</v>
      </c>
      <c r="X31" s="151">
        <v>9.3486216682647107</v>
      </c>
      <c r="Y31" s="151">
        <v>9.7373863592480436</v>
      </c>
    </row>
    <row r="32" spans="1:25" ht="14.1" customHeight="1" thickBo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N32" s="4" t="str">
        <f>Historical!N32</f>
        <v>ST 33</v>
      </c>
      <c r="O32" s="11">
        <f>Historical!O32</f>
        <v>12.5</v>
      </c>
      <c r="P32" s="151">
        <v>9.1880588319372709</v>
      </c>
      <c r="Q32" s="151">
        <v>9.2122702021512612</v>
      </c>
      <c r="R32" s="151">
        <v>9.2696050280316697</v>
      </c>
      <c r="S32" s="151">
        <v>9.3601845746422878</v>
      </c>
      <c r="T32" s="151">
        <v>9.4405215836453475</v>
      </c>
      <c r="U32" s="151">
        <v>9.6304957676950451</v>
      </c>
      <c r="V32" s="151">
        <v>9.8439411532432679</v>
      </c>
      <c r="W32" s="151">
        <v>10.081295573986008</v>
      </c>
      <c r="X32" s="151">
        <v>10.304659331259931</v>
      </c>
      <c r="Y32" s="151">
        <v>10.524769796369975</v>
      </c>
    </row>
    <row r="33" spans="1:26" ht="14.1" customHeight="1" thickBot="1">
      <c r="A33" s="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N33" s="4" t="str">
        <f>Historical!N33</f>
        <v>ST 34</v>
      </c>
      <c r="O33" s="11">
        <f>Historical!O33</f>
        <v>14.289419162443236</v>
      </c>
      <c r="P33" s="151">
        <v>11.783193544380087</v>
      </c>
      <c r="Q33" s="151">
        <v>12.382440148486031</v>
      </c>
      <c r="R33" s="151">
        <v>12.593820200560662</v>
      </c>
      <c r="S33" s="151">
        <v>12.857671890361891</v>
      </c>
      <c r="T33" s="151">
        <v>12.968027289251435</v>
      </c>
      <c r="U33" s="151">
        <v>13.22898643024611</v>
      </c>
      <c r="V33" s="151">
        <v>13.522186923463487</v>
      </c>
      <c r="W33" s="151">
        <v>13.848230201702334</v>
      </c>
      <c r="X33" s="151">
        <v>14.155055123831209</v>
      </c>
      <c r="Y33" s="151">
        <v>14.457411142289114</v>
      </c>
    </row>
    <row r="34" spans="1:26" ht="14.1" customHeight="1" thickBot="1">
      <c r="A34" s="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N34" s="4"/>
      <c r="O34" s="11"/>
      <c r="P34" s="151"/>
      <c r="Q34" s="151"/>
      <c r="R34" s="151"/>
      <c r="S34" s="151"/>
      <c r="T34" s="151"/>
      <c r="U34" s="151"/>
      <c r="V34" s="151"/>
      <c r="W34" s="151"/>
      <c r="X34" s="151"/>
      <c r="Y34" s="151"/>
    </row>
    <row r="35" spans="1:26" ht="14.1" customHeight="1" thickBot="1">
      <c r="A35" s="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N35" s="4"/>
      <c r="O35" s="11"/>
      <c r="P35" s="151"/>
      <c r="Q35" s="151"/>
      <c r="R35" s="151"/>
      <c r="S35" s="151"/>
      <c r="T35" s="151"/>
      <c r="U35" s="151"/>
      <c r="V35" s="151"/>
      <c r="W35" s="151"/>
      <c r="X35" s="151"/>
      <c r="Y35" s="151"/>
    </row>
    <row r="36" spans="1:26" ht="14.1" customHeight="1" thickBot="1">
      <c r="A36" s="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N36" s="4"/>
      <c r="O36" s="11"/>
      <c r="P36" s="151"/>
      <c r="Q36" s="151"/>
      <c r="R36" s="151"/>
      <c r="S36" s="151"/>
      <c r="T36" s="151"/>
      <c r="U36" s="151"/>
      <c r="V36" s="151"/>
      <c r="W36" s="151"/>
      <c r="X36" s="151"/>
      <c r="Y36" s="151"/>
    </row>
    <row r="37" spans="1:26" ht="14.1" customHeight="1" thickBot="1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N37" s="4"/>
      <c r="O37" s="11"/>
      <c r="P37" s="151"/>
      <c r="Q37" s="151"/>
      <c r="R37" s="151"/>
      <c r="S37" s="151"/>
      <c r="T37" s="151"/>
      <c r="U37" s="151"/>
      <c r="V37" s="151"/>
      <c r="W37" s="151"/>
      <c r="X37" s="151"/>
      <c r="Y37" s="151"/>
    </row>
    <row r="38" spans="1:26" ht="14.1" customHeight="1" thickBot="1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N38" s="4"/>
      <c r="O38" s="11"/>
      <c r="P38" s="151"/>
      <c r="Q38" s="151"/>
      <c r="R38" s="151"/>
      <c r="S38" s="151"/>
      <c r="T38" s="151"/>
      <c r="U38" s="151"/>
      <c r="V38" s="151"/>
      <c r="W38" s="151"/>
      <c r="X38" s="151"/>
      <c r="Y38" s="151"/>
    </row>
    <row r="39" spans="1:26" ht="14.1" customHeight="1" thickBot="1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N39" s="4"/>
      <c r="O39" s="11"/>
      <c r="P39" s="151"/>
      <c r="Q39" s="151"/>
      <c r="R39" s="151"/>
      <c r="S39" s="151"/>
      <c r="T39" s="151"/>
      <c r="U39" s="151"/>
      <c r="V39" s="151"/>
      <c r="W39" s="151"/>
      <c r="X39" s="151"/>
      <c r="Y39" s="151"/>
    </row>
    <row r="40" spans="1:26" ht="14.1" customHeight="1" thickBot="1">
      <c r="A40" s="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N40" s="4"/>
      <c r="O40" s="1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26" ht="14.1" customHeight="1" thickBot="1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N41" s="4"/>
      <c r="O41" s="11"/>
      <c r="P41" s="151"/>
      <c r="Q41" s="151"/>
      <c r="R41" s="151"/>
      <c r="S41" s="151"/>
      <c r="T41" s="151"/>
      <c r="U41" s="151"/>
      <c r="V41" s="151"/>
      <c r="W41" s="151"/>
      <c r="X41" s="151"/>
      <c r="Y41" s="151"/>
    </row>
    <row r="42" spans="1:26" ht="14.1" customHeight="1" thickBot="1">
      <c r="A42" s="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N42" s="4"/>
      <c r="O42" s="11"/>
      <c r="P42" s="151"/>
      <c r="Q42" s="151"/>
      <c r="R42" s="151"/>
      <c r="S42" s="151"/>
      <c r="T42" s="151"/>
      <c r="U42" s="151"/>
      <c r="V42" s="151"/>
      <c r="W42" s="151"/>
      <c r="X42" s="151"/>
      <c r="Y42" s="151"/>
    </row>
    <row r="43" spans="1:26" ht="14.1" customHeight="1" thickBot="1">
      <c r="A43" s="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N43" s="4"/>
      <c r="O43" s="1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6" ht="14.1" customHeight="1" thickBot="1"/>
    <row r="45" spans="1:26" ht="14.1" customHeight="1" thickBot="1">
      <c r="A45" s="1" t="s">
        <v>101</v>
      </c>
      <c r="B45" s="2" t="str">
        <f>B1</f>
        <v>Rating</v>
      </c>
      <c r="C45" s="2" t="s">
        <v>102</v>
      </c>
      <c r="D45" s="2">
        <f t="shared" ref="D45:L45" si="9">D1</f>
        <v>2026</v>
      </c>
      <c r="E45" s="2">
        <f t="shared" si="9"/>
        <v>2027</v>
      </c>
      <c r="F45" s="2">
        <f t="shared" si="9"/>
        <v>2028</v>
      </c>
      <c r="G45" s="2">
        <f t="shared" si="9"/>
        <v>2029</v>
      </c>
      <c r="H45" s="2">
        <f t="shared" si="9"/>
        <v>2030</v>
      </c>
      <c r="I45" s="2">
        <f t="shared" si="9"/>
        <v>2031</v>
      </c>
      <c r="J45" s="2">
        <f t="shared" si="9"/>
        <v>2032</v>
      </c>
      <c r="K45" s="2">
        <f t="shared" si="9"/>
        <v>2033</v>
      </c>
      <c r="L45" s="2">
        <f t="shared" si="9"/>
        <v>2034</v>
      </c>
      <c r="N45" s="1" t="s">
        <v>103</v>
      </c>
      <c r="O45" s="2" t="str">
        <f>O1</f>
        <v>Rating</v>
      </c>
      <c r="P45" s="2" t="s">
        <v>102</v>
      </c>
      <c r="Q45" s="2">
        <f t="shared" ref="Q45:T45" si="10">Q1</f>
        <v>2026</v>
      </c>
      <c r="R45" s="2">
        <f t="shared" si="10"/>
        <v>2027</v>
      </c>
      <c r="S45" s="2">
        <f t="shared" si="10"/>
        <v>2028</v>
      </c>
      <c r="T45" s="2">
        <f t="shared" si="10"/>
        <v>2029</v>
      </c>
      <c r="U45" s="2">
        <f>U1</f>
        <v>2030</v>
      </c>
      <c r="V45" s="2">
        <f>V1</f>
        <v>2031</v>
      </c>
      <c r="W45" s="2">
        <f t="shared" ref="W45:Y45" si="11">W1</f>
        <v>2032</v>
      </c>
      <c r="X45" s="2">
        <f t="shared" si="11"/>
        <v>2033</v>
      </c>
      <c r="Y45" s="2">
        <f t="shared" si="11"/>
        <v>2034</v>
      </c>
      <c r="Z45" t="s">
        <v>104</v>
      </c>
    </row>
    <row r="46" spans="1:26" ht="14.1" customHeight="1" thickTop="1" thickBot="1">
      <c r="A46" s="11" t="s">
        <v>105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N46" s="6" t="s">
        <v>105</v>
      </c>
      <c r="O46" s="11"/>
      <c r="P46" s="152"/>
      <c r="Q46" s="152"/>
      <c r="R46" s="151"/>
      <c r="S46" s="151"/>
      <c r="T46" s="151"/>
      <c r="U46" s="151"/>
      <c r="V46" s="151"/>
      <c r="W46" s="151"/>
      <c r="X46" s="151"/>
      <c r="Y46" s="151"/>
    </row>
    <row r="47" spans="1:26" ht="14.1" customHeight="1" thickBot="1">
      <c r="A47" s="11" t="str">
        <f>A2</f>
        <v>ST</v>
      </c>
      <c r="B47" s="11">
        <f>B2</f>
        <v>79.7</v>
      </c>
      <c r="C47" s="11"/>
      <c r="D47" s="11">
        <f>D2+((Q52+Q53+Q54+Q55+Q56+Q132+Q133)-(Q22+Q23+Q27+Q31+Q32+Q29+Q26))*D$12</f>
        <v>58.011904619092434</v>
      </c>
      <c r="E47" s="11">
        <f t="shared" ref="E47:L47" si="12">E2+((R52+R53+R54+R55+R56+R132+R133)-(R22+R23+R27+R31+R32+R29+R26))*E$12</f>
        <v>60.326846730002892</v>
      </c>
      <c r="F47" s="11">
        <f t="shared" si="12"/>
        <v>62.250438681299428</v>
      </c>
      <c r="G47" s="11">
        <f t="shared" si="12"/>
        <v>63.623100234724781</v>
      </c>
      <c r="H47" s="11">
        <f t="shared" si="12"/>
        <v>64.729785147648116</v>
      </c>
      <c r="I47" s="11">
        <f t="shared" si="12"/>
        <v>66.17733909986498</v>
      </c>
      <c r="J47" s="11">
        <f t="shared" si="12"/>
        <v>67.959434480977649</v>
      </c>
      <c r="K47" s="11">
        <f t="shared" si="12"/>
        <v>69.634686607007467</v>
      </c>
      <c r="L47" s="11">
        <f t="shared" si="12"/>
        <v>71.313381492553674</v>
      </c>
      <c r="N47" s="154" t="str">
        <f>Ratings!H42</f>
        <v>CBN11 new</v>
      </c>
      <c r="O47" s="11">
        <f>Ratings!I42</f>
        <v>14.3</v>
      </c>
      <c r="P47" s="151">
        <f>0.2+2.5+1.9</f>
        <v>4.5999999999999996</v>
      </c>
      <c r="Q47" s="151">
        <f>$P47+Q23*30%</f>
        <v>9.0595213699367321</v>
      </c>
      <c r="R47" s="151">
        <f t="shared" ref="R47:Y47" si="13">$P47+R23*30%</f>
        <v>9.9634784985161673</v>
      </c>
      <c r="S47" s="151">
        <f t="shared" si="13"/>
        <v>10.823300420531316</v>
      </c>
      <c r="T47" s="151">
        <f t="shared" si="13"/>
        <v>11.611922438449664</v>
      </c>
      <c r="U47" s="151">
        <f t="shared" si="13"/>
        <v>12.260438205441375</v>
      </c>
      <c r="V47" s="151">
        <f t="shared" si="13"/>
        <v>12.756065936414583</v>
      </c>
      <c r="W47" s="151">
        <f t="shared" si="13"/>
        <v>13.16047688409698</v>
      </c>
      <c r="X47" s="151">
        <f t="shared" si="13"/>
        <v>13.554909058771434</v>
      </c>
      <c r="Y47" s="151">
        <f t="shared" si="13"/>
        <v>13.927301115756165</v>
      </c>
    </row>
    <row r="48" spans="1:26" ht="14.1" customHeight="1" thickBot="1">
      <c r="A48" s="11" t="str">
        <f t="shared" ref="A48:B53" si="14">A3</f>
        <v>KLO</v>
      </c>
      <c r="B48" s="11">
        <f t="shared" si="14"/>
        <v>49.1</v>
      </c>
      <c r="C48" s="11"/>
      <c r="D48" s="11">
        <f>D3+((Q59+Q129+Q130+Q131)-(Q18+Q19+Q20+Q21))*D$12</f>
        <v>23.63044566050743</v>
      </c>
      <c r="E48" s="11">
        <f t="shared" ref="E48:L48" si="15">E3+((R59+R129+R130+R131)-(R18+R19+R20+R21))*E$12</f>
        <v>25.580686911037343</v>
      </c>
      <c r="F48" s="11">
        <f t="shared" si="15"/>
        <v>27.002780959143024</v>
      </c>
      <c r="G48" s="11">
        <f t="shared" si="15"/>
        <v>27.808183910853877</v>
      </c>
      <c r="H48" s="11">
        <f t="shared" si="15"/>
        <v>28.245932931174526</v>
      </c>
      <c r="I48" s="11">
        <f t="shared" si="15"/>
        <v>28.819463656556763</v>
      </c>
      <c r="J48" s="11">
        <f t="shared" si="15"/>
        <v>29.594706083455176</v>
      </c>
      <c r="K48" s="11">
        <f t="shared" si="15"/>
        <v>30.368288622113425</v>
      </c>
      <c r="L48" s="11">
        <f t="shared" si="15"/>
        <v>31.342888920465285</v>
      </c>
      <c r="N48" s="154" t="str">
        <f>Ratings!H46</f>
        <v>CBN22 new</v>
      </c>
      <c r="O48" s="11">
        <f>Ratings!I46</f>
        <v>12.7</v>
      </c>
      <c r="P48" s="151">
        <f>1.5+1.2+1.5</f>
        <v>4.2</v>
      </c>
      <c r="Q48" s="151">
        <f>$P48+Q23*15%+Q20*10%</f>
        <v>7.6345288811972489</v>
      </c>
      <c r="R48" s="151">
        <f t="shared" ref="R48:Y48" si="16">$P48+R23*15%+R20*10%</f>
        <v>8.363865493625811</v>
      </c>
      <c r="S48" s="151">
        <f t="shared" si="16"/>
        <v>9.0920334012224018</v>
      </c>
      <c r="T48" s="151">
        <f t="shared" si="16"/>
        <v>9.676337453321926</v>
      </c>
      <c r="U48" s="151">
        <f t="shared" si="16"/>
        <v>10.209983641784294</v>
      </c>
      <c r="V48" s="151">
        <f t="shared" si="16"/>
        <v>10.665626628228553</v>
      </c>
      <c r="W48" s="151">
        <f t="shared" si="16"/>
        <v>11.067885464176122</v>
      </c>
      <c r="X48" s="151">
        <f t="shared" si="16"/>
        <v>11.465682139268445</v>
      </c>
      <c r="Y48" s="151">
        <f t="shared" si="16"/>
        <v>11.824219067778508</v>
      </c>
    </row>
    <row r="49" spans="1:26" ht="14.1" customHeight="1" thickBot="1">
      <c r="A49" s="11" t="str">
        <f t="shared" si="14"/>
        <v>BD</v>
      </c>
      <c r="B49" s="11">
        <f t="shared" si="14"/>
        <v>123.7</v>
      </c>
      <c r="C49" s="11"/>
      <c r="D49" s="11">
        <f>D4+((Q121+Q122+Q123)-(Q6+Q7+Q8))*D$12</f>
        <v>81.12888019915016</v>
      </c>
      <c r="E49" s="11">
        <f t="shared" ref="E49:L49" si="17">E4+((R121+R122+R123)-(R6+R7+R8))*E$12</f>
        <v>84.172340283019025</v>
      </c>
      <c r="F49" s="11">
        <f t="shared" si="17"/>
        <v>86.567351785156092</v>
      </c>
      <c r="G49" s="11">
        <f t="shared" si="17"/>
        <v>87.4828781034863</v>
      </c>
      <c r="H49" s="11">
        <f t="shared" si="17"/>
        <v>88.460428111233895</v>
      </c>
      <c r="I49" s="11">
        <f t="shared" si="17"/>
        <v>89.677684808132327</v>
      </c>
      <c r="J49" s="11">
        <f t="shared" si="17"/>
        <v>91.089092656766283</v>
      </c>
      <c r="K49" s="11">
        <f t="shared" si="17"/>
        <v>92.371127450488274</v>
      </c>
      <c r="L49" s="11">
        <f t="shared" si="17"/>
        <v>93.589403354160382</v>
      </c>
      <c r="N49" s="154" t="str">
        <f>Ratings!H44</f>
        <v>CBN13 new</v>
      </c>
      <c r="O49" s="11">
        <f>Ratings!I44</f>
        <v>12.7</v>
      </c>
      <c r="P49" s="151">
        <v>2.5</v>
      </c>
      <c r="Q49" s="151">
        <f>$P49+Q20*25%</f>
        <v>5.511920490572205</v>
      </c>
      <c r="R49" s="151">
        <f t="shared" ref="R49:Y49" si="18">$P49+R20*25%</f>
        <v>6.2053156109193157</v>
      </c>
      <c r="S49" s="151">
        <f t="shared" si="18"/>
        <v>6.9509579773918579</v>
      </c>
      <c r="T49" s="151">
        <f t="shared" si="18"/>
        <v>7.4259405852427323</v>
      </c>
      <c r="U49" s="151">
        <f t="shared" si="18"/>
        <v>7.9494113476590185</v>
      </c>
      <c r="V49" s="151">
        <f t="shared" si="18"/>
        <v>8.4689841500531529</v>
      </c>
      <c r="W49" s="151">
        <f t="shared" si="18"/>
        <v>8.9691175553190803</v>
      </c>
      <c r="X49" s="151">
        <f t="shared" si="18"/>
        <v>9.4705690247068191</v>
      </c>
      <c r="Y49" s="151">
        <f t="shared" si="18"/>
        <v>9.9014212747510602</v>
      </c>
    </row>
    <row r="50" spans="1:26" ht="14.1" customHeight="1" thickBot="1">
      <c r="A50" s="11" t="str">
        <f t="shared" si="14"/>
        <v>COO</v>
      </c>
      <c r="B50" s="11">
        <f t="shared" si="14"/>
        <v>38</v>
      </c>
      <c r="C50" s="11"/>
      <c r="D50" s="11">
        <f>D5+((Q51+Q124+Q125+Q126+Q127+Q128)-(P10+P12+P14+P15+P17+P16))*D$12</f>
        <v>37.680850547848706</v>
      </c>
      <c r="E50" s="11">
        <f t="shared" ref="E50:L50" si="19">E5+((R51+R124+R125+R126+R127+R128)-(Q10+Q12+Q14+Q15+Q17+Q16))*E$12</f>
        <v>38.327659949518193</v>
      </c>
      <c r="F50" s="11">
        <f t="shared" si="19"/>
        <v>38.973636153331881</v>
      </c>
      <c r="G50" s="11">
        <f t="shared" si="19"/>
        <v>38.989708079595587</v>
      </c>
      <c r="H50" s="11">
        <f t="shared" si="19"/>
        <v>40.17446244440815</v>
      </c>
      <c r="I50" s="11">
        <f t="shared" si="19"/>
        <v>41.093578895413771</v>
      </c>
      <c r="J50" s="11">
        <f t="shared" si="19"/>
        <v>42.219177904044265</v>
      </c>
      <c r="K50" s="11">
        <f t="shared" si="19"/>
        <v>43.12757947808106</v>
      </c>
      <c r="L50" s="11">
        <f t="shared" si="19"/>
        <v>44.069432311580549</v>
      </c>
      <c r="N50" s="154" t="str">
        <f>Ratings!H45</f>
        <v>CBN21 new</v>
      </c>
      <c r="O50" s="11">
        <f>Ratings!I45</f>
        <v>12.7</v>
      </c>
      <c r="P50" s="151" t="s">
        <v>33</v>
      </c>
      <c r="Q50" s="151">
        <f>Q20*30%</f>
        <v>3.6143045886866463</v>
      </c>
      <c r="R50" s="151">
        <f t="shared" ref="R50:Y50" si="20">R20*30%</f>
        <v>4.4463787331031783</v>
      </c>
      <c r="S50" s="151">
        <f t="shared" si="20"/>
        <v>5.3411495728702292</v>
      </c>
      <c r="T50" s="151">
        <f t="shared" si="20"/>
        <v>5.9111287022912782</v>
      </c>
      <c r="U50" s="151">
        <f t="shared" si="20"/>
        <v>6.5392936171908218</v>
      </c>
      <c r="V50" s="151">
        <f t="shared" si="20"/>
        <v>7.1627809800637836</v>
      </c>
      <c r="W50" s="151">
        <f t="shared" si="20"/>
        <v>7.7629410663828953</v>
      </c>
      <c r="X50" s="151">
        <f t="shared" si="20"/>
        <v>8.3646828296481832</v>
      </c>
      <c r="Y50" s="151">
        <f t="shared" si="20"/>
        <v>8.8817055297012715</v>
      </c>
    </row>
    <row r="51" spans="1:26" ht="14.1" customHeight="1" thickBot="1">
      <c r="A51" s="11" t="str">
        <f t="shared" si="14"/>
        <v>BMS</v>
      </c>
      <c r="B51" s="11">
        <f t="shared" si="14"/>
        <v>38</v>
      </c>
      <c r="C51" s="11"/>
      <c r="D51" s="11">
        <f>D6</f>
        <v>35.014758724275872</v>
      </c>
      <c r="E51" s="11">
        <f t="shared" ref="E51:L51" si="21">E6</f>
        <v>35.215348399232255</v>
      </c>
      <c r="F51" s="11">
        <f t="shared" si="21"/>
        <v>35.501121572037029</v>
      </c>
      <c r="G51" s="11">
        <f t="shared" si="21"/>
        <v>35.646825380678948</v>
      </c>
      <c r="H51" s="11">
        <f t="shared" si="21"/>
        <v>36.043804515741485</v>
      </c>
      <c r="I51" s="11">
        <f t="shared" si="21"/>
        <v>36.518876314313751</v>
      </c>
      <c r="J51" s="11">
        <f t="shared" si="21"/>
        <v>37.071536447390422</v>
      </c>
      <c r="K51" s="11">
        <f t="shared" si="21"/>
        <v>37.560111317897103</v>
      </c>
      <c r="L51" s="11">
        <f t="shared" si="21"/>
        <v>38.025283673467186</v>
      </c>
      <c r="N51" s="154" t="str">
        <f>Ratings!H14</f>
        <v>COO21</v>
      </c>
      <c r="O51" s="11">
        <f>Ratings!I14</f>
        <v>14.289419162443236</v>
      </c>
      <c r="P51" s="151" t="s">
        <v>29</v>
      </c>
      <c r="Q51" s="151">
        <f>Q16*50%+Q12</f>
        <v>7.5712621012839687</v>
      </c>
      <c r="R51" s="151">
        <f t="shared" ref="R51:Y51" si="22">R16*50%+R12</f>
        <v>8.3463383751118396</v>
      </c>
      <c r="S51" s="151">
        <f t="shared" si="22"/>
        <v>8.898231439682796</v>
      </c>
      <c r="T51" s="151">
        <f t="shared" si="22"/>
        <v>9.1847316294461088</v>
      </c>
      <c r="U51" s="151">
        <f t="shared" si="22"/>
        <v>9.5243302620114196</v>
      </c>
      <c r="V51" s="151">
        <f t="shared" si="22"/>
        <v>9.8317604432611212</v>
      </c>
      <c r="W51" s="151">
        <f t="shared" si="22"/>
        <v>10.168449633926096</v>
      </c>
      <c r="X51" s="151">
        <f t="shared" si="22"/>
        <v>10.496586818917041</v>
      </c>
      <c r="Y51" s="151">
        <f t="shared" si="22"/>
        <v>10.82687833037183</v>
      </c>
      <c r="Z51" s="15">
        <f>Y14</f>
        <v>4.875682935632371</v>
      </c>
    </row>
    <row r="52" spans="1:26" ht="14.1" customHeight="1" thickBot="1">
      <c r="A52" s="11" t="str">
        <f t="shared" si="14"/>
        <v>SMTS-ST-SSS-SMTS</v>
      </c>
      <c r="B52" s="11">
        <f t="shared" si="14"/>
        <v>117.2</v>
      </c>
      <c r="C52" s="11"/>
      <c r="D52" s="11">
        <f>D47+D54</f>
        <v>90.663559440237634</v>
      </c>
      <c r="E52" s="11">
        <f t="shared" ref="E52:L52" si="23">E47+E54</f>
        <v>96.767195514123614</v>
      </c>
      <c r="F52" s="11">
        <f t="shared" si="23"/>
        <v>102.4456100451718</v>
      </c>
      <c r="G52" s="11">
        <f t="shared" si="23"/>
        <v>106.594980908338</v>
      </c>
      <c r="H52" s="11">
        <f t="shared" si="23"/>
        <v>110.02824035348705</v>
      </c>
      <c r="I52" s="11">
        <f t="shared" si="23"/>
        <v>113.73436163848979</v>
      </c>
      <c r="J52" s="11">
        <f t="shared" si="23"/>
        <v>117.66088489898419</v>
      </c>
      <c r="K52" s="11">
        <f t="shared" si="23"/>
        <v>121.45587795689519</v>
      </c>
      <c r="L52" s="11">
        <f t="shared" si="23"/>
        <v>125.07436240407101</v>
      </c>
      <c r="N52" s="154" t="str">
        <f>Ratings!H22</f>
        <v>ST 11</v>
      </c>
      <c r="O52" s="11">
        <f>Ratings!I22</f>
        <v>22.482019482244024</v>
      </c>
      <c r="P52" s="151">
        <f>-2.5-1.5</f>
        <v>-4</v>
      </c>
      <c r="Q52" s="151">
        <f>Q22+$P52</f>
        <v>10.437188433652956</v>
      </c>
      <c r="R52" s="151">
        <f t="shared" ref="R52:Y52" si="24">R22+$P52</f>
        <v>11.35335087550051</v>
      </c>
      <c r="S52" s="151">
        <f t="shared" si="24"/>
        <v>11.776785171421643</v>
      </c>
      <c r="T52" s="151">
        <f t="shared" si="24"/>
        <v>11.991360014362291</v>
      </c>
      <c r="U52" s="151">
        <f t="shared" si="24"/>
        <v>12.474674923073465</v>
      </c>
      <c r="V52" s="151">
        <f t="shared" si="24"/>
        <v>13.00654200093652</v>
      </c>
      <c r="W52" s="151">
        <f t="shared" si="24"/>
        <v>13.589040672458978</v>
      </c>
      <c r="X52" s="151">
        <f t="shared" si="24"/>
        <v>14.15675535136036</v>
      </c>
      <c r="Y52" s="151">
        <f t="shared" si="24"/>
        <v>14.728198619478555</v>
      </c>
      <c r="Z52" s="15">
        <f>Y22</f>
        <v>18.728198619478555</v>
      </c>
    </row>
    <row r="53" spans="1:26" ht="14.1" customHeight="1" thickBot="1">
      <c r="A53" s="11" t="str">
        <f t="shared" si="14"/>
        <v>TTS-COO-VCO-BD-BMS-TTS</v>
      </c>
      <c r="B53" s="11">
        <f t="shared" si="14"/>
        <v>196.3</v>
      </c>
      <c r="C53" s="11"/>
      <c r="D53" s="11">
        <f>D50+D51+D49+D9</f>
        <v>179.42175856374564</v>
      </c>
      <c r="E53" s="11">
        <f t="shared" ref="E53:L53" si="25">E50+E51+E49+E9</f>
        <v>183.21328327153762</v>
      </c>
      <c r="F53" s="11">
        <f t="shared" si="25"/>
        <v>186.68662356649588</v>
      </c>
      <c r="G53" s="11">
        <f t="shared" si="25"/>
        <v>187.85534881075992</v>
      </c>
      <c r="H53" s="11">
        <f t="shared" si="25"/>
        <v>190.67258468869659</v>
      </c>
      <c r="I53" s="11">
        <f t="shared" si="25"/>
        <v>193.59707556237777</v>
      </c>
      <c r="J53" s="11">
        <f t="shared" si="25"/>
        <v>197.05430323596295</v>
      </c>
      <c r="K53" s="11">
        <f t="shared" si="25"/>
        <v>200.05436594246666</v>
      </c>
      <c r="L53" s="11">
        <f t="shared" si="25"/>
        <v>202.98330775656319</v>
      </c>
      <c r="N53" s="154" t="str">
        <f>Ratings!H23</f>
        <v>ST 12</v>
      </c>
      <c r="O53" s="11">
        <f>Ratings!I23</f>
        <v>14.289419162443236</v>
      </c>
      <c r="P53" s="151" t="s">
        <v>106</v>
      </c>
      <c r="Q53" s="151">
        <f>Q23*45%</f>
        <v>6.6892820549051013</v>
      </c>
      <c r="R53" s="151">
        <f t="shared" ref="R53:Y53" si="26">R23*45%</f>
        <v>8.0452177477742524</v>
      </c>
      <c r="S53" s="151">
        <f t="shared" si="26"/>
        <v>9.3349506307969747</v>
      </c>
      <c r="T53" s="151">
        <f t="shared" si="26"/>
        <v>10.517883657674496</v>
      </c>
      <c r="U53" s="151">
        <f t="shared" si="26"/>
        <v>11.490657308162064</v>
      </c>
      <c r="V53" s="151">
        <f t="shared" si="26"/>
        <v>12.234098904621876</v>
      </c>
      <c r="W53" s="151">
        <f t="shared" si="26"/>
        <v>12.840715326145471</v>
      </c>
      <c r="X53" s="151">
        <f t="shared" si="26"/>
        <v>13.432363588157154</v>
      </c>
      <c r="Y53" s="151">
        <f t="shared" si="26"/>
        <v>13.99095167363425</v>
      </c>
      <c r="Z53" s="15">
        <f>Y23</f>
        <v>31.091003719187221</v>
      </c>
    </row>
    <row r="54" spans="1:26" ht="14.1" customHeight="1" thickBot="1">
      <c r="A54" s="11" t="str">
        <f>Ratings!A9</f>
        <v>CBN</v>
      </c>
      <c r="B54" s="11">
        <f>Ratings!D9</f>
        <v>38</v>
      </c>
      <c r="C54" s="11"/>
      <c r="D54" s="11">
        <f>(Q47+Q48+Q49+Q50+Q57+Q58)*D$12</f>
        <v>32.6516548211452</v>
      </c>
      <c r="E54" s="11">
        <f t="shared" ref="E54:L54" si="27">(R47+R48+R49+R50+R57+R58)*E$12</f>
        <v>36.440348784120729</v>
      </c>
      <c r="F54" s="11">
        <f t="shared" si="27"/>
        <v>40.195171363872369</v>
      </c>
      <c r="G54" s="11">
        <f t="shared" si="27"/>
        <v>42.971880673613221</v>
      </c>
      <c r="H54" s="11">
        <f t="shared" si="27"/>
        <v>45.298455205838934</v>
      </c>
      <c r="I54" s="11">
        <f t="shared" si="27"/>
        <v>47.557022538624814</v>
      </c>
      <c r="J54" s="11">
        <f t="shared" si="27"/>
        <v>49.701450418006552</v>
      </c>
      <c r="K54" s="11">
        <f t="shared" si="27"/>
        <v>51.821191349887727</v>
      </c>
      <c r="L54" s="11">
        <f t="shared" si="27"/>
        <v>53.760980911517336</v>
      </c>
      <c r="N54" s="154" t="str">
        <f>Ratings!H27</f>
        <v>ST 22</v>
      </c>
      <c r="O54" s="11">
        <f>Ratings!I27</f>
        <v>22.482019482244024</v>
      </c>
      <c r="P54" s="151" t="s">
        <v>20</v>
      </c>
      <c r="Q54" s="151">
        <f>Q27-0.2-1.5-2.5-Q57-Q58</f>
        <v>1.4657297537227745</v>
      </c>
      <c r="R54" s="151">
        <f t="shared" ref="R54:Y54" si="28">R27-0.2-1.5-2.5-R57-R58</f>
        <v>2.4451325902053176</v>
      </c>
      <c r="S54" s="151">
        <f t="shared" si="28"/>
        <v>3.2108365905631828</v>
      </c>
      <c r="T54" s="151">
        <f t="shared" si="28"/>
        <v>3.7427297891742342</v>
      </c>
      <c r="U54" s="151">
        <f t="shared" si="28"/>
        <v>4.063010303490465</v>
      </c>
      <c r="V54" s="151">
        <f t="shared" si="28"/>
        <v>4.413397884563409</v>
      </c>
      <c r="W54" s="151">
        <f t="shared" si="28"/>
        <v>4.7957566688422375</v>
      </c>
      <c r="X54" s="151">
        <f t="shared" si="28"/>
        <v>5.177149522376908</v>
      </c>
      <c r="Y54" s="151">
        <f t="shared" si="28"/>
        <v>5.5671005510666873</v>
      </c>
      <c r="Z54" s="15">
        <f>Y27</f>
        <v>29.301301653200056</v>
      </c>
    </row>
    <row r="55" spans="1:26" ht="14.1" customHeight="1" thickBot="1">
      <c r="A55" s="11" t="s">
        <v>97</v>
      </c>
      <c r="B55" s="11">
        <f>B10</f>
        <v>33</v>
      </c>
      <c r="C55" s="11"/>
      <c r="D55" s="11">
        <f>(Q124+Q125+Q11+Q13)*D$12</f>
        <v>14.37780737788778</v>
      </c>
      <c r="E55" s="11">
        <f t="shared" ref="E55:L55" si="29">(R124+R125+R11+R13)*E$12</f>
        <v>14.683736078611107</v>
      </c>
      <c r="F55" s="11">
        <f t="shared" si="29"/>
        <v>14.736687210909702</v>
      </c>
      <c r="G55" s="11">
        <f t="shared" si="29"/>
        <v>14.803811322771628</v>
      </c>
      <c r="H55" s="11">
        <f t="shared" si="29"/>
        <v>15.011420913889626</v>
      </c>
      <c r="I55" s="11">
        <f t="shared" si="29"/>
        <v>15.286980911254618</v>
      </c>
      <c r="J55" s="11">
        <f t="shared" si="29"/>
        <v>15.598251994340645</v>
      </c>
      <c r="K55" s="11">
        <f t="shared" si="29"/>
        <v>15.883622919660796</v>
      </c>
      <c r="L55" s="11">
        <f t="shared" si="29"/>
        <v>16.160598705511099</v>
      </c>
      <c r="M55" s="28" t="s">
        <v>98</v>
      </c>
      <c r="N55" s="4" t="str">
        <f>Ratings!H31</f>
        <v>ST 32</v>
      </c>
      <c r="O55" s="155">
        <f>Ratings!I31</f>
        <v>12.384163274117471</v>
      </c>
      <c r="P55" s="151" t="s">
        <v>107</v>
      </c>
      <c r="Q55" s="151">
        <f>Q31</f>
        <v>7.599105181161284</v>
      </c>
      <c r="R55" s="151">
        <f t="shared" ref="R55:Y55" si="30">R31</f>
        <v>7.6377421321303771</v>
      </c>
      <c r="S55" s="151">
        <f t="shared" si="30"/>
        <v>7.7738288410115866</v>
      </c>
      <c r="T55" s="151">
        <f t="shared" si="30"/>
        <v>7.9185658322982722</v>
      </c>
      <c r="U55" s="151">
        <f t="shared" si="30"/>
        <v>8.2378719656722339</v>
      </c>
      <c r="V55" s="151">
        <f t="shared" si="30"/>
        <v>8.587193571869582</v>
      </c>
      <c r="W55" s="151">
        <f t="shared" si="30"/>
        <v>8.9683891161264384</v>
      </c>
      <c r="X55" s="151">
        <f t="shared" si="30"/>
        <v>9.3486216682647107</v>
      </c>
      <c r="Y55" s="151">
        <f t="shared" si="30"/>
        <v>9.7373863592480436</v>
      </c>
      <c r="Z55" s="15">
        <f>Y31</f>
        <v>9.7373863592480436</v>
      </c>
    </row>
    <row r="56" spans="1:26" ht="14.1" customHeight="1" thickBot="1">
      <c r="A56" s="11" t="s">
        <v>99</v>
      </c>
      <c r="B56" s="11">
        <f>B11</f>
        <v>33</v>
      </c>
      <c r="C56" s="11"/>
      <c r="D56" s="11">
        <f>(Q51+Q126+Q127+Q128)*D$12</f>
        <v>21.280874730246829</v>
      </c>
      <c r="E56" s="11">
        <f t="shared" ref="E56:L56" si="31">(R51+R126+R127+R128)*E$12</f>
        <v>22.226259662948539</v>
      </c>
      <c r="F56" s="11">
        <f t="shared" si="31"/>
        <v>23.056427342496907</v>
      </c>
      <c r="G56" s="11">
        <f t="shared" si="31"/>
        <v>23.504598351303731</v>
      </c>
      <c r="H56" s="11">
        <f t="shared" si="31"/>
        <v>24.13232576158828</v>
      </c>
      <c r="I56" s="11">
        <f t="shared" si="31"/>
        <v>24.773735320931653</v>
      </c>
      <c r="J56" s="11">
        <f t="shared" si="31"/>
        <v>25.481438584482586</v>
      </c>
      <c r="K56" s="11">
        <f t="shared" si="31"/>
        <v>26.158172114104516</v>
      </c>
      <c r="L56" s="11">
        <f t="shared" si="31"/>
        <v>26.831361444473767</v>
      </c>
      <c r="M56" s="42">
        <f>B56+B55*L55/L56</f>
        <v>52.875985733541881</v>
      </c>
      <c r="N56" s="4" t="str">
        <f>Ratings!H32</f>
        <v>ST 33</v>
      </c>
      <c r="O56" s="155">
        <f>Ratings!I32</f>
        <v>12.5</v>
      </c>
      <c r="P56" s="151">
        <f>-1.9-1.2</f>
        <v>-3.0999999999999996</v>
      </c>
      <c r="Q56" s="151">
        <f>Q32+$P56+Q23*10%</f>
        <v>7.598777325463506</v>
      </c>
      <c r="R56" s="151">
        <f t="shared" ref="R56:Y56" si="32">R32+$P56+R23*10%</f>
        <v>7.9574311942037266</v>
      </c>
      <c r="S56" s="151">
        <f t="shared" si="32"/>
        <v>8.334618048152727</v>
      </c>
      <c r="T56" s="151">
        <f t="shared" si="32"/>
        <v>8.6778290631285699</v>
      </c>
      <c r="U56" s="151">
        <f t="shared" si="32"/>
        <v>9.0839751695088378</v>
      </c>
      <c r="V56" s="151">
        <f t="shared" si="32"/>
        <v>9.4626297987147971</v>
      </c>
      <c r="W56" s="151">
        <f t="shared" si="32"/>
        <v>9.8347878686850017</v>
      </c>
      <c r="X56" s="151">
        <f t="shared" si="32"/>
        <v>10.189629017517076</v>
      </c>
      <c r="Y56" s="151">
        <f t="shared" si="32"/>
        <v>10.533870168288697</v>
      </c>
      <c r="Z56" s="15">
        <f>Y32</f>
        <v>10.524769796369975</v>
      </c>
    </row>
    <row r="57" spans="1:26" ht="14.1" customHeight="1" thickBo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N57" s="154" t="str">
        <f>Ratings!H43</f>
        <v>CBN12 new</v>
      </c>
      <c r="O57" s="11">
        <f>Ratings!I43</f>
        <v>14.3</v>
      </c>
      <c r="P57" s="151" t="s">
        <v>108</v>
      </c>
      <c r="Q57" s="151">
        <f>Q27/3</f>
        <v>5.6657297537227747</v>
      </c>
      <c r="R57" s="151">
        <f t="shared" ref="R57:Y57" si="33">R27/3</f>
        <v>6.6451325902053151</v>
      </c>
      <c r="S57" s="151">
        <f t="shared" si="33"/>
        <v>7.4108365905631821</v>
      </c>
      <c r="T57" s="151">
        <f t="shared" si="33"/>
        <v>7.9427297891742334</v>
      </c>
      <c r="U57" s="151">
        <f t="shared" si="33"/>
        <v>8.2630103034904625</v>
      </c>
      <c r="V57" s="151">
        <f t="shared" si="33"/>
        <v>8.61339788456341</v>
      </c>
      <c r="W57" s="151">
        <f t="shared" si="33"/>
        <v>8.995756668842235</v>
      </c>
      <c r="X57" s="151">
        <f t="shared" si="33"/>
        <v>9.3771495223769055</v>
      </c>
      <c r="Y57" s="151">
        <f t="shared" si="33"/>
        <v>9.7671005510666848</v>
      </c>
    </row>
    <row r="58" spans="1:26" ht="14.1" customHeight="1" thickBot="1">
      <c r="A58" s="11" t="s">
        <v>109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N58" s="154" t="str">
        <f>Ratings!H47</f>
        <v>CBN23 new</v>
      </c>
      <c r="O58" s="11">
        <f>Ratings!I47</f>
        <v>14.3</v>
      </c>
      <c r="P58" s="151" t="s">
        <v>108</v>
      </c>
      <c r="Q58" s="151">
        <f>Q27/3</f>
        <v>5.6657297537227747</v>
      </c>
      <c r="R58" s="151">
        <f t="shared" ref="R58:Y58" si="34">R27/3</f>
        <v>6.6451325902053151</v>
      </c>
      <c r="S58" s="151">
        <f t="shared" si="34"/>
        <v>7.4108365905631821</v>
      </c>
      <c r="T58" s="151">
        <f t="shared" si="34"/>
        <v>7.9427297891742334</v>
      </c>
      <c r="U58" s="151">
        <f t="shared" si="34"/>
        <v>8.2630103034904625</v>
      </c>
      <c r="V58" s="151">
        <f t="shared" si="34"/>
        <v>8.61339788456341</v>
      </c>
      <c r="W58" s="151">
        <f t="shared" si="34"/>
        <v>8.995756668842235</v>
      </c>
      <c r="X58" s="151">
        <f t="shared" si="34"/>
        <v>9.3771495223769055</v>
      </c>
      <c r="Y58" s="151">
        <f t="shared" si="34"/>
        <v>9.7671005510666848</v>
      </c>
    </row>
    <row r="59" spans="1:26" ht="14.1" customHeight="1" thickBot="1">
      <c r="A59" s="11" t="str">
        <f t="shared" ref="A59:B65" si="35">A2</f>
        <v>ST</v>
      </c>
      <c r="B59" s="11">
        <f t="shared" si="35"/>
        <v>79.7</v>
      </c>
      <c r="C59" s="11"/>
      <c r="D59" s="11">
        <f>D2+((Q84+Q85+Q86+Q87+Q88+Q132+Q133)-(Q22+Q23+Q27+Q31+Q32+Q29+Q26))*D$12</f>
        <v>65.062273102531847</v>
      </c>
      <c r="E59" s="11">
        <f t="shared" ref="E59:L59" si="36">E2+((R84+R85+R86+R87+R88+R132+R133)-(R22+R23+R27+R31+R32+R29+R26))*E$12</f>
        <v>67.355046608295055</v>
      </c>
      <c r="F59" s="11">
        <f t="shared" si="36"/>
        <v>69.080961207757468</v>
      </c>
      <c r="G59" s="11">
        <f t="shared" si="36"/>
        <v>70.087908930826075</v>
      </c>
      <c r="H59" s="11">
        <f t="shared" si="36"/>
        <v>70.648570360839983</v>
      </c>
      <c r="I59" s="11">
        <f t="shared" si="36"/>
        <v>71.757528600737146</v>
      </c>
      <c r="J59" s="11">
        <f t="shared" si="36"/>
        <v>73.325059939692295</v>
      </c>
      <c r="K59" s="11">
        <f t="shared" si="36"/>
        <v>74.800855637769189</v>
      </c>
      <c r="L59" s="11">
        <f t="shared" si="36"/>
        <v>76.313582711379297</v>
      </c>
      <c r="N59" s="4" t="str">
        <f>Ratings!H20</f>
        <v>KLO22</v>
      </c>
      <c r="O59" s="155">
        <f>Ratings!I20</f>
        <v>14.289419162443236</v>
      </c>
      <c r="P59" s="151" t="s">
        <v>23</v>
      </c>
      <c r="Q59" s="151">
        <f t="shared" ref="Q59:Y59" si="37">Q20*35%+0.5</f>
        <v>4.7166886868010875</v>
      </c>
      <c r="R59" s="151">
        <f t="shared" si="37"/>
        <v>5.6874418552870418</v>
      </c>
      <c r="S59" s="151">
        <f t="shared" si="37"/>
        <v>6.7313411683486004</v>
      </c>
      <c r="T59" s="151">
        <f t="shared" si="37"/>
        <v>7.396316819339825</v>
      </c>
      <c r="U59" s="151">
        <f t="shared" si="37"/>
        <v>8.1291758867226243</v>
      </c>
      <c r="V59" s="151">
        <f t="shared" si="37"/>
        <v>8.8565778100744144</v>
      </c>
      <c r="W59" s="151">
        <f t="shared" si="37"/>
        <v>9.5567645774467103</v>
      </c>
      <c r="X59" s="151">
        <f t="shared" si="37"/>
        <v>10.258796634589546</v>
      </c>
      <c r="Y59" s="151">
        <f t="shared" si="37"/>
        <v>10.861989784651483</v>
      </c>
      <c r="Z59" s="15">
        <f>Y20</f>
        <v>29.605685099004241</v>
      </c>
    </row>
    <row r="60" spans="1:26" ht="14.1" customHeight="1" thickBot="1">
      <c r="A60" s="11" t="str">
        <f t="shared" si="35"/>
        <v>KLO</v>
      </c>
      <c r="B60" s="11">
        <f t="shared" si="35"/>
        <v>49.1</v>
      </c>
      <c r="C60" s="11"/>
      <c r="D60" s="11">
        <f>D3+((Q91+Q129+Q130+Q131)-(Q18+Q19+Q20+Q21))*D$12</f>
        <v>24.150989416436914</v>
      </c>
      <c r="E60" s="11">
        <f t="shared" ref="E60:L60" si="38">E3+((R91+R129+R130+R131)-(R18+R19+R20+R21))*E$12</f>
        <v>26.239236320467782</v>
      </c>
      <c r="F60" s="11">
        <f t="shared" si="38"/>
        <v>27.665955798305568</v>
      </c>
      <c r="G60" s="11">
        <f t="shared" si="38"/>
        <v>28.49735118770392</v>
      </c>
      <c r="H60" s="11">
        <f t="shared" si="38"/>
        <v>28.828759342975903</v>
      </c>
      <c r="I60" s="11">
        <f t="shared" si="38"/>
        <v>29.315183591851813</v>
      </c>
      <c r="J60" s="11">
        <f t="shared" si="38"/>
        <v>30.029723645782084</v>
      </c>
      <c r="K60" s="11">
        <f t="shared" si="38"/>
        <v>30.741700027252499</v>
      </c>
      <c r="L60" s="11">
        <f t="shared" si="38"/>
        <v>31.694819114478335</v>
      </c>
      <c r="N60" s="154" t="s">
        <v>16</v>
      </c>
      <c r="O60" s="11">
        <v>14.3</v>
      </c>
      <c r="P60" s="151" t="s">
        <v>110</v>
      </c>
      <c r="Q60" s="151">
        <f>Q6</f>
        <v>9.3570802656387038</v>
      </c>
      <c r="R60" s="151">
        <f t="shared" ref="R60:Y60" si="39">R6</f>
        <v>9.7377258586320607</v>
      </c>
      <c r="S60" s="151">
        <f t="shared" si="39"/>
        <v>9.9172805237715984</v>
      </c>
      <c r="T60" s="151">
        <f t="shared" si="39"/>
        <v>9.96258845740957</v>
      </c>
      <c r="U60" s="151">
        <f t="shared" si="39"/>
        <v>10.082568784014567</v>
      </c>
      <c r="V60" s="151">
        <f t="shared" si="39"/>
        <v>10.224401734839715</v>
      </c>
      <c r="W60" s="151">
        <f t="shared" si="39"/>
        <v>10.387991660057395</v>
      </c>
      <c r="X60" s="151">
        <f t="shared" si="39"/>
        <v>10.534046490480119</v>
      </c>
      <c r="Y60" s="151">
        <f t="shared" si="39"/>
        <v>10.673836479463958</v>
      </c>
    </row>
    <row r="61" spans="1:26" ht="14.1" customHeight="1" thickBot="1">
      <c r="A61" s="11" t="str">
        <f t="shared" si="35"/>
        <v>BD</v>
      </c>
      <c r="B61" s="11">
        <f t="shared" si="35"/>
        <v>123.7</v>
      </c>
      <c r="C61" s="11"/>
      <c r="D61" s="11">
        <f>D4+((Q121+Q122+Q123)-(Q6+Q7+Q8))*D$12</f>
        <v>81.12888019915016</v>
      </c>
      <c r="E61" s="11">
        <f t="shared" ref="E61:L61" si="40">E4+((R121+R122+R123)-(R6+R7+R8))*E$12</f>
        <v>84.172340283019025</v>
      </c>
      <c r="F61" s="11">
        <f t="shared" si="40"/>
        <v>86.567351785156092</v>
      </c>
      <c r="G61" s="11">
        <f t="shared" si="40"/>
        <v>87.4828781034863</v>
      </c>
      <c r="H61" s="11">
        <f t="shared" si="40"/>
        <v>88.460428111233895</v>
      </c>
      <c r="I61" s="11">
        <f t="shared" si="40"/>
        <v>89.677684808132327</v>
      </c>
      <c r="J61" s="11">
        <f t="shared" si="40"/>
        <v>91.089092656766283</v>
      </c>
      <c r="K61" s="11">
        <f t="shared" si="40"/>
        <v>92.371127450488274</v>
      </c>
      <c r="L61" s="11">
        <f t="shared" si="40"/>
        <v>93.589403354160382</v>
      </c>
      <c r="N61" s="154"/>
      <c r="O61" s="11"/>
      <c r="P61" s="151"/>
      <c r="Q61" s="151"/>
      <c r="R61" s="151"/>
      <c r="S61" s="151"/>
      <c r="T61" s="151"/>
      <c r="U61" s="151"/>
      <c r="V61" s="151"/>
      <c r="W61" s="151"/>
      <c r="X61" s="151"/>
      <c r="Y61" s="151"/>
    </row>
    <row r="62" spans="1:26" ht="14.1" customHeight="1" thickBot="1">
      <c r="A62" s="11" t="str">
        <f t="shared" si="35"/>
        <v>COO</v>
      </c>
      <c r="B62" s="11">
        <f t="shared" si="35"/>
        <v>38</v>
      </c>
      <c r="C62" s="11"/>
      <c r="D62" s="11">
        <f>D5+((Q83+Q124+Q125+Q126+Q127+Q128)-(Q10+Q12+Q14+Q15+Q16+Q17))*D$12</f>
        <v>33.625611201940877</v>
      </c>
      <c r="E62" s="11">
        <f t="shared" ref="E62:L62" si="41">E5+((R83+R124+R125+R126+R127+R128)-(R10+R12+R14+R15+R16+R17))*E$12</f>
        <v>34.777060073755379</v>
      </c>
      <c r="F62" s="11">
        <f t="shared" si="41"/>
        <v>35.731670760291607</v>
      </c>
      <c r="G62" s="11">
        <f t="shared" si="41"/>
        <v>36.497028078451926</v>
      </c>
      <c r="H62" s="11">
        <f t="shared" si="41"/>
        <v>37.500255908231367</v>
      </c>
      <c r="I62" s="11">
        <f t="shared" si="41"/>
        <v>38.529057731629493</v>
      </c>
      <c r="J62" s="11">
        <f t="shared" si="41"/>
        <v>39.59147879589954</v>
      </c>
      <c r="K62" s="11">
        <f t="shared" si="41"/>
        <v>40.598280620726001</v>
      </c>
      <c r="L62" s="11">
        <f t="shared" si="41"/>
        <v>41.581014561932989</v>
      </c>
      <c r="N62" s="154"/>
      <c r="O62" s="11"/>
      <c r="P62" s="151"/>
      <c r="Q62" s="151"/>
      <c r="R62" s="151"/>
      <c r="S62" s="151"/>
      <c r="T62" s="151"/>
      <c r="U62" s="151"/>
      <c r="V62" s="151"/>
      <c r="W62" s="151"/>
      <c r="X62" s="151"/>
      <c r="Y62" s="151"/>
    </row>
    <row r="63" spans="1:26" ht="14.1" customHeight="1" thickBot="1">
      <c r="A63" s="11" t="str">
        <f t="shared" si="35"/>
        <v>BMS</v>
      </c>
      <c r="B63" s="11">
        <f t="shared" si="35"/>
        <v>38</v>
      </c>
      <c r="C63" s="11"/>
      <c r="D63" s="11">
        <f t="shared" ref="D63:L63" si="42">D6</f>
        <v>35.014758724275872</v>
      </c>
      <c r="E63" s="11">
        <f t="shared" si="42"/>
        <v>35.215348399232255</v>
      </c>
      <c r="F63" s="11">
        <f t="shared" si="42"/>
        <v>35.501121572037029</v>
      </c>
      <c r="G63" s="11">
        <f t="shared" si="42"/>
        <v>35.646825380678948</v>
      </c>
      <c r="H63" s="11">
        <f t="shared" si="42"/>
        <v>36.043804515741485</v>
      </c>
      <c r="I63" s="11">
        <f t="shared" si="42"/>
        <v>36.518876314313751</v>
      </c>
      <c r="J63" s="11">
        <f t="shared" si="42"/>
        <v>37.071536447390422</v>
      </c>
      <c r="K63" s="11">
        <f t="shared" si="42"/>
        <v>37.560111317897103</v>
      </c>
      <c r="L63" s="11">
        <f t="shared" si="42"/>
        <v>38.025283673467186</v>
      </c>
      <c r="N63" s="154"/>
      <c r="O63" s="11"/>
      <c r="P63" s="151"/>
      <c r="Q63" s="151"/>
      <c r="R63" s="151"/>
      <c r="S63" s="151"/>
      <c r="T63" s="151"/>
      <c r="U63" s="151"/>
      <c r="V63" s="151"/>
      <c r="W63" s="151"/>
      <c r="X63" s="151"/>
      <c r="Y63" s="151"/>
    </row>
    <row r="64" spans="1:26" ht="14.1" customHeight="1" thickBot="1">
      <c r="A64" s="11" t="str">
        <f t="shared" si="35"/>
        <v>SMTS-ST-SSS-SMTS</v>
      </c>
      <c r="B64" s="11">
        <f t="shared" si="35"/>
        <v>117.2</v>
      </c>
      <c r="C64" s="11"/>
      <c r="D64" s="11">
        <f>D59+D66</f>
        <v>92.180696946445437</v>
      </c>
      <c r="E64" s="11">
        <f t="shared" ref="E64:L64" si="43">E59+E66</f>
        <v>98.246104251765857</v>
      </c>
      <c r="F64" s="11">
        <f t="shared" si="43"/>
        <v>103.84839808559708</v>
      </c>
      <c r="G64" s="11">
        <f t="shared" si="43"/>
        <v>107.72177211933726</v>
      </c>
      <c r="H64" s="11">
        <f t="shared" si="43"/>
        <v>111.09355824193327</v>
      </c>
      <c r="I64" s="11">
        <f t="shared" si="43"/>
        <v>114.7750486278961</v>
      </c>
      <c r="J64" s="11">
        <f t="shared" si="43"/>
        <v>118.71892605713228</v>
      </c>
      <c r="K64" s="11">
        <f t="shared" si="43"/>
        <v>122.53091719246635</v>
      </c>
      <c r="L64" s="11">
        <f t="shared" si="43"/>
        <v>126.13840265131086</v>
      </c>
      <c r="N64" s="154"/>
      <c r="O64" s="11"/>
      <c r="P64" s="151"/>
      <c r="Q64" s="151"/>
      <c r="R64" s="151"/>
      <c r="S64" s="151"/>
      <c r="T64" s="151"/>
      <c r="U64" s="151"/>
      <c r="V64" s="151"/>
      <c r="W64" s="151"/>
      <c r="X64" s="151"/>
      <c r="Y64" s="151"/>
    </row>
    <row r="65" spans="1:25" ht="14.1" customHeight="1" thickBot="1">
      <c r="A65" s="11" t="str">
        <f t="shared" si="35"/>
        <v>TTS-COO-VCO-BD-BMS-TTS</v>
      </c>
      <c r="B65" s="11">
        <f t="shared" si="35"/>
        <v>196.3</v>
      </c>
      <c r="C65" s="11"/>
      <c r="D65" s="11">
        <f t="shared" ref="D65:L65" si="44">D62+D9+D61+D63</f>
        <v>175.3665192178378</v>
      </c>
      <c r="E65" s="11">
        <f t="shared" si="44"/>
        <v>179.66268339577482</v>
      </c>
      <c r="F65" s="11">
        <f t="shared" si="44"/>
        <v>183.44465817345559</v>
      </c>
      <c r="G65" s="11">
        <f t="shared" si="44"/>
        <v>185.36266880961625</v>
      </c>
      <c r="H65" s="11">
        <f t="shared" si="44"/>
        <v>187.99837815251982</v>
      </c>
      <c r="I65" s="11">
        <f t="shared" si="44"/>
        <v>191.03255439859348</v>
      </c>
      <c r="J65" s="11">
        <f t="shared" si="44"/>
        <v>194.42660412781822</v>
      </c>
      <c r="K65" s="11">
        <f t="shared" si="44"/>
        <v>197.5250670851116</v>
      </c>
      <c r="L65" s="11">
        <f t="shared" si="44"/>
        <v>200.49489000691563</v>
      </c>
      <c r="N65" s="154"/>
      <c r="O65" s="1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14.1" customHeight="1" thickBot="1">
      <c r="A66" s="11" t="str">
        <f>Ratings!A10</f>
        <v>GVE</v>
      </c>
      <c r="B66" s="11">
        <f>Ratings!D10</f>
        <v>38</v>
      </c>
      <c r="C66" s="11"/>
      <c r="D66" s="11">
        <f>(Q80+Q81+Q82+Q89+Q90)*D$12</f>
        <v>27.118423843913583</v>
      </c>
      <c r="E66" s="11">
        <f t="shared" ref="E66:L66" si="45">(R80+R81+R82+R89+R90)*E$12</f>
        <v>30.891057643470802</v>
      </c>
      <c r="F66" s="11">
        <f t="shared" si="45"/>
        <v>34.767436877839614</v>
      </c>
      <c r="G66" s="11">
        <f t="shared" si="45"/>
        <v>37.633863188511178</v>
      </c>
      <c r="H66" s="11">
        <f t="shared" si="45"/>
        <v>40.444987881093283</v>
      </c>
      <c r="I66" s="11">
        <f t="shared" si="45"/>
        <v>43.017520027158959</v>
      </c>
      <c r="J66" s="11">
        <f t="shared" si="45"/>
        <v>45.393866117439991</v>
      </c>
      <c r="K66" s="11">
        <f t="shared" si="45"/>
        <v>47.730061554697166</v>
      </c>
      <c r="L66" s="11">
        <f t="shared" si="45"/>
        <v>49.824819939931558</v>
      </c>
      <c r="N66" s="154"/>
      <c r="O66" s="11"/>
      <c r="P66" s="151"/>
      <c r="Q66" s="151"/>
      <c r="R66" s="151"/>
      <c r="S66" s="151"/>
      <c r="T66" s="151"/>
      <c r="U66" s="151"/>
      <c r="V66" s="151"/>
      <c r="W66" s="151"/>
      <c r="X66" s="151"/>
      <c r="Y66" s="151"/>
    </row>
    <row r="67" spans="1:25" ht="14.1" customHeight="1" thickBot="1">
      <c r="A67" s="11" t="str">
        <f>A55</f>
        <v>COO Bus No.1</v>
      </c>
      <c r="B67" s="11">
        <f>B10</f>
        <v>33</v>
      </c>
      <c r="C67" s="11"/>
      <c r="D67" s="11">
        <f>(Q124+Q125+Q11+Q13)*D$12</f>
        <v>14.37780737788778</v>
      </c>
      <c r="E67" s="11">
        <f t="shared" ref="E67:L67" si="46">(R124+R125+R11+R13)*E$12</f>
        <v>14.683736078611107</v>
      </c>
      <c r="F67" s="11">
        <f t="shared" si="46"/>
        <v>14.736687210909702</v>
      </c>
      <c r="G67" s="11">
        <f t="shared" si="46"/>
        <v>14.803811322771628</v>
      </c>
      <c r="H67" s="11">
        <f t="shared" si="46"/>
        <v>15.011420913889626</v>
      </c>
      <c r="I67" s="11">
        <f t="shared" si="46"/>
        <v>15.286980911254618</v>
      </c>
      <c r="J67" s="11">
        <f t="shared" si="46"/>
        <v>15.598251994340645</v>
      </c>
      <c r="K67" s="11">
        <f t="shared" si="46"/>
        <v>15.883622919660796</v>
      </c>
      <c r="L67" s="11">
        <f t="shared" si="46"/>
        <v>16.160598705511099</v>
      </c>
      <c r="M67" s="28" t="s">
        <v>98</v>
      </c>
      <c r="N67" s="4"/>
      <c r="O67" s="155"/>
      <c r="P67" s="151"/>
      <c r="Q67" s="151"/>
      <c r="R67" s="151"/>
      <c r="S67" s="151"/>
      <c r="T67" s="151"/>
      <c r="U67" s="151"/>
      <c r="V67" s="151"/>
      <c r="W67" s="151"/>
      <c r="X67" s="151"/>
      <c r="Y67" s="151"/>
    </row>
    <row r="68" spans="1:25" ht="14.1" customHeight="1" thickBot="1">
      <c r="A68" s="11" t="str">
        <f>A56</f>
        <v>COO Bus No.2</v>
      </c>
      <c r="B68" s="11">
        <f>B11</f>
        <v>33</v>
      </c>
      <c r="C68" s="11"/>
      <c r="D68" s="11">
        <f>(Q83+Q126+Q127+Q128)*D$12</f>
        <v>19.247803824053104</v>
      </c>
      <c r="E68" s="11">
        <f t="shared" ref="E68:L68" si="47">(R83+R126+R127+R128)*E$12</f>
        <v>20.093323995144267</v>
      </c>
      <c r="F68" s="11">
        <f t="shared" si="47"/>
        <v>20.994983549381914</v>
      </c>
      <c r="G68" s="11">
        <f t="shared" si="47"/>
        <v>21.693216755680297</v>
      </c>
      <c r="H68" s="11">
        <f t="shared" si="47"/>
        <v>22.488834994341733</v>
      </c>
      <c r="I68" s="11">
        <f t="shared" si="47"/>
        <v>23.242076820374873</v>
      </c>
      <c r="J68" s="11">
        <f t="shared" si="47"/>
        <v>23.993226801558897</v>
      </c>
      <c r="K68" s="11">
        <f t="shared" si="47"/>
        <v>24.714657701065203</v>
      </c>
      <c r="L68" s="11">
        <f t="shared" si="47"/>
        <v>25.420415856421894</v>
      </c>
      <c r="M68" s="42">
        <f>B68+B67*L67/L68</f>
        <v>53.979190910723837</v>
      </c>
      <c r="N68" s="4"/>
      <c r="O68" s="155"/>
      <c r="P68" s="151"/>
      <c r="Q68" s="151"/>
      <c r="R68" s="151"/>
      <c r="S68" s="151"/>
      <c r="T68" s="151"/>
      <c r="U68" s="151"/>
      <c r="V68" s="151"/>
      <c r="W68" s="151"/>
      <c r="X68" s="151"/>
      <c r="Y68" s="151"/>
    </row>
    <row r="69" spans="1:25" ht="14.1" customHeight="1" thickBo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N69" s="4"/>
      <c r="O69" s="155"/>
      <c r="P69" s="151"/>
      <c r="Q69" s="151"/>
      <c r="R69" s="151"/>
      <c r="S69" s="151"/>
      <c r="T69" s="151"/>
      <c r="U69" s="151"/>
      <c r="V69" s="151"/>
      <c r="W69" s="151"/>
      <c r="X69" s="151"/>
      <c r="Y69" s="151"/>
    </row>
    <row r="70" spans="1:25" ht="14.1" customHeight="1" thickBo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N70" s="154"/>
      <c r="O70" s="1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1:25" ht="14.1" customHeight="1" thickBo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N71" s="154"/>
      <c r="O71" s="11"/>
      <c r="P71" s="151"/>
      <c r="Q71" s="151"/>
      <c r="R71" s="151"/>
      <c r="S71" s="151"/>
      <c r="T71" s="151"/>
      <c r="U71" s="151"/>
      <c r="V71" s="151"/>
      <c r="W71" s="151"/>
      <c r="X71" s="151"/>
      <c r="Y71" s="151"/>
    </row>
    <row r="72" spans="1:25" ht="14.1" customHeight="1" thickBo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N72" s="154"/>
      <c r="O72" s="1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1:25" ht="14.1" customHeight="1" thickBo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N73" s="4"/>
      <c r="O73" s="155"/>
      <c r="P73" s="151"/>
      <c r="Q73" s="151"/>
      <c r="R73" s="151"/>
      <c r="S73" s="151"/>
      <c r="T73" s="151"/>
      <c r="U73" s="151"/>
      <c r="V73" s="151"/>
      <c r="W73" s="151"/>
      <c r="X73" s="151"/>
      <c r="Y73" s="151"/>
    </row>
    <row r="74" spans="1:25" ht="14.1" customHeight="1" thickBo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N74" s="4"/>
      <c r="O74" s="11"/>
      <c r="P74" s="151"/>
      <c r="Q74" s="151"/>
      <c r="R74" s="151"/>
      <c r="S74" s="151"/>
      <c r="T74" s="151"/>
      <c r="U74" s="151"/>
      <c r="V74" s="151"/>
      <c r="W74" s="151"/>
      <c r="X74" s="151"/>
      <c r="Y74" s="151"/>
    </row>
    <row r="75" spans="1:25" ht="14.1" customHeight="1" thickBo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N75" s="154"/>
      <c r="O75" s="11"/>
      <c r="P75" s="151"/>
      <c r="Q75" s="151"/>
      <c r="R75" s="151"/>
      <c r="S75" s="151"/>
      <c r="T75" s="151"/>
      <c r="U75" s="151"/>
      <c r="V75" s="151"/>
      <c r="W75" s="151"/>
      <c r="X75" s="151"/>
      <c r="Y75" s="151"/>
    </row>
    <row r="76" spans="1:25" ht="14.1" customHeight="1" thickBo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N76" s="154"/>
      <c r="O76" s="11"/>
      <c r="P76" s="151"/>
      <c r="Q76" s="151"/>
      <c r="R76" s="151"/>
      <c r="S76" s="151"/>
      <c r="T76" s="151"/>
      <c r="U76" s="151"/>
      <c r="V76" s="151"/>
      <c r="W76" s="151"/>
      <c r="X76" s="151"/>
      <c r="Y76" s="151"/>
    </row>
    <row r="77" spans="1:25" ht="14.1" customHeight="1" thickBo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N77" s="154"/>
      <c r="O77" s="11"/>
      <c r="P77" s="151"/>
      <c r="Q77" s="151"/>
      <c r="R77" s="151"/>
      <c r="S77" s="151"/>
      <c r="T77" s="151"/>
      <c r="U77" s="151"/>
      <c r="V77" s="151"/>
      <c r="W77" s="151"/>
      <c r="X77" s="151"/>
      <c r="Y77" s="151"/>
    </row>
    <row r="78" spans="1:25" ht="14.1" customHeight="1" thickBo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N78" s="154"/>
      <c r="O78" s="11"/>
      <c r="P78" s="151"/>
      <c r="Q78" s="151"/>
      <c r="R78" s="151"/>
      <c r="S78" s="151"/>
      <c r="T78" s="151"/>
      <c r="U78" s="151"/>
      <c r="V78" s="151"/>
      <c r="W78" s="151"/>
      <c r="X78" s="151"/>
      <c r="Y78" s="151"/>
    </row>
    <row r="79" spans="1:25" ht="14.1" customHeight="1" thickBo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N79" s="156" t="str">
        <f>A58</f>
        <v>Option 3</v>
      </c>
      <c r="O79" s="155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1:25" ht="14.1" customHeight="1" thickBo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N80" s="154" t="str">
        <f>Ratings!H36</f>
        <v>GVE11 new</v>
      </c>
      <c r="O80" s="155">
        <f>Ratings!I36</f>
        <v>12.7</v>
      </c>
      <c r="P80" s="151" t="s">
        <v>111</v>
      </c>
      <c r="Q80" s="151">
        <f>Q51</f>
        <v>7.5712621012839687</v>
      </c>
      <c r="R80" s="151">
        <f t="shared" ref="R80:Y80" si="48">R51</f>
        <v>8.3463383751118396</v>
      </c>
      <c r="S80" s="151">
        <f t="shared" si="48"/>
        <v>8.898231439682796</v>
      </c>
      <c r="T80" s="151">
        <f t="shared" si="48"/>
        <v>9.1847316294461088</v>
      </c>
      <c r="U80" s="151">
        <f t="shared" si="48"/>
        <v>9.5243302620114196</v>
      </c>
      <c r="V80" s="151">
        <f t="shared" si="48"/>
        <v>9.8317604432611212</v>
      </c>
      <c r="W80" s="151">
        <f t="shared" si="48"/>
        <v>10.168449633926096</v>
      </c>
      <c r="X80" s="151">
        <f t="shared" si="48"/>
        <v>10.496586818917041</v>
      </c>
      <c r="Y80" s="151">
        <f t="shared" si="48"/>
        <v>10.82687833037183</v>
      </c>
    </row>
    <row r="81" spans="1:26" ht="14.1" customHeight="1" thickBo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N81" s="154" t="str">
        <f>Ratings!H39</f>
        <v>GVE21 new</v>
      </c>
      <c r="O81" s="155">
        <f>Ratings!I39</f>
        <v>13.7</v>
      </c>
      <c r="P81" s="151" t="s">
        <v>112</v>
      </c>
      <c r="Q81" s="151">
        <f>25%*Q23+10%*Q31+35%*Q32</f>
        <v>7.7004728971496812</v>
      </c>
      <c r="R81" s="151">
        <f t="shared" ref="R81:Y81" si="49">25%*R23+10%*R31+35%*R32</f>
        <v>8.4777013884542622</v>
      </c>
      <c r="S81" s="151">
        <f t="shared" si="49"/>
        <v>9.2395311690020563</v>
      </c>
      <c r="T81" s="151">
        <f t="shared" si="49"/>
        <v>9.9393078362137519</v>
      </c>
      <c r="U81" s="151">
        <f t="shared" si="49"/>
        <v>10.578159219794969</v>
      </c>
      <c r="V81" s="151">
        <f t="shared" si="49"/>
        <v>11.100820374500922</v>
      </c>
      <c r="W81" s="151">
        <f t="shared" si="49"/>
        <v>11.559023099255231</v>
      </c>
      <c r="X81" s="151">
        <f t="shared" si="49"/>
        <v>12.003917148410309</v>
      </c>
      <c r="Y81" s="151">
        <f t="shared" si="49"/>
        <v>12.430158994451102</v>
      </c>
    </row>
    <row r="82" spans="1:26" ht="14.1" customHeight="1" thickBo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N82" s="154" t="str">
        <f>Ratings!H38</f>
        <v>GVE13 new</v>
      </c>
      <c r="O82" s="155">
        <f>Ratings!I38</f>
        <v>13.7</v>
      </c>
      <c r="P82" s="151" t="s">
        <v>113</v>
      </c>
      <c r="Q82" s="151">
        <f>40%*Q23</f>
        <v>5.9460284932489786</v>
      </c>
      <c r="R82" s="151">
        <f t="shared" ref="R82:Y82" si="50">40%*R23</f>
        <v>7.151304664688225</v>
      </c>
      <c r="S82" s="151">
        <f t="shared" si="50"/>
        <v>8.2977338940417553</v>
      </c>
      <c r="T82" s="151">
        <f t="shared" si="50"/>
        <v>9.3492299179328864</v>
      </c>
      <c r="U82" s="151">
        <f t="shared" si="50"/>
        <v>10.213917607255169</v>
      </c>
      <c r="V82" s="151">
        <f t="shared" si="50"/>
        <v>10.874754581886112</v>
      </c>
      <c r="W82" s="151">
        <f t="shared" si="50"/>
        <v>11.413969178795973</v>
      </c>
      <c r="X82" s="151">
        <f t="shared" si="50"/>
        <v>11.939878745028581</v>
      </c>
      <c r="Y82" s="151">
        <f t="shared" si="50"/>
        <v>12.436401487674889</v>
      </c>
    </row>
    <row r="83" spans="1:26" ht="14.1" customHeight="1" thickBo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N83" s="154" t="str">
        <f>Ratings!H35</f>
        <v>COO21 Option 3</v>
      </c>
      <c r="O83" s="155">
        <f>Ratings!I35</f>
        <v>12.7</v>
      </c>
      <c r="P83" s="151" t="s">
        <v>114</v>
      </c>
      <c r="Q83" s="151">
        <f>30%*Q31+20%*Q23+Q12</f>
        <v>5.2579915602601615</v>
      </c>
      <c r="R83" s="151">
        <f t="shared" ref="R83:Y83" si="51">30%*R31+20%*R23+R12</f>
        <v>5.8722208616418579</v>
      </c>
      <c r="S83" s="151">
        <f t="shared" si="51"/>
        <v>6.4863030163994431</v>
      </c>
      <c r="T83" s="151">
        <f t="shared" si="51"/>
        <v>7.0555645624757419</v>
      </c>
      <c r="U83" s="151">
        <f t="shared" si="51"/>
        <v>7.583814949323469</v>
      </c>
      <c r="V83" s="151">
        <f t="shared" si="51"/>
        <v>8.0191547747409562</v>
      </c>
      <c r="W83" s="151">
        <f t="shared" si="51"/>
        <v>8.4032503786742403</v>
      </c>
      <c r="X83" s="151">
        <f t="shared" si="51"/>
        <v>8.7803945471848177</v>
      </c>
      <c r="Y83" s="151">
        <f t="shared" si="51"/>
        <v>9.1454049455557627</v>
      </c>
      <c r="Z83" s="15">
        <f>Y14</f>
        <v>4.875682935632371</v>
      </c>
    </row>
    <row r="84" spans="1:26" ht="14.1" customHeight="1" thickBo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N84" s="154" t="str">
        <f>Ratings!H22</f>
        <v>ST 11</v>
      </c>
      <c r="O84" s="155">
        <f>Ratings!I22</f>
        <v>22.482019482244024</v>
      </c>
      <c r="P84" s="151" t="s">
        <v>115</v>
      </c>
      <c r="Q84" s="151">
        <f>70%*Q22+4</f>
        <v>14.106031903557069</v>
      </c>
      <c r="R84" s="151">
        <f t="shared" ref="R84:Y84" si="52">70%*R22+4</f>
        <v>14.747345612850356</v>
      </c>
      <c r="S84" s="151">
        <f t="shared" si="52"/>
        <v>15.04374961999515</v>
      </c>
      <c r="T84" s="151">
        <f t="shared" si="52"/>
        <v>15.193952010053604</v>
      </c>
      <c r="U84" s="151">
        <f t="shared" si="52"/>
        <v>15.532272446151424</v>
      </c>
      <c r="V84" s="151">
        <f t="shared" si="52"/>
        <v>15.904579400655564</v>
      </c>
      <c r="W84" s="151">
        <f t="shared" si="52"/>
        <v>16.312328470721283</v>
      </c>
      <c r="X84" s="151">
        <f t="shared" si="52"/>
        <v>16.709728745952251</v>
      </c>
      <c r="Y84" s="151">
        <f t="shared" si="52"/>
        <v>17.109739033634987</v>
      </c>
      <c r="Z84" s="15">
        <f>Y22</f>
        <v>18.728198619478555</v>
      </c>
    </row>
    <row r="85" spans="1:26" ht="14.1" customHeight="1" thickBo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N85" s="154" t="str">
        <f>Ratings!H23</f>
        <v>ST 12</v>
      </c>
      <c r="O85" s="11">
        <f>Ratings!I23</f>
        <v>14.289419162443236</v>
      </c>
      <c r="P85" s="151" t="s">
        <v>116</v>
      </c>
      <c r="Q85" s="151">
        <f>15%*Q23+30%*Q22+1</f>
        <v>7.5609172150642525</v>
      </c>
      <c r="R85" s="151">
        <f t="shared" ref="R85:Y85" si="53">15%*R23+30%*R22+1</f>
        <v>8.2877445119082367</v>
      </c>
      <c r="S85" s="151">
        <f t="shared" si="53"/>
        <v>8.8446857616921513</v>
      </c>
      <c r="T85" s="151">
        <f t="shared" si="53"/>
        <v>9.3033692235335188</v>
      </c>
      <c r="U85" s="151">
        <f t="shared" si="53"/>
        <v>9.7726215796427276</v>
      </c>
      <c r="V85" s="151">
        <f t="shared" si="53"/>
        <v>10.179995568488248</v>
      </c>
      <c r="W85" s="151">
        <f t="shared" si="53"/>
        <v>10.556950643786184</v>
      </c>
      <c r="X85" s="151">
        <f t="shared" si="53"/>
        <v>10.924481134793826</v>
      </c>
      <c r="Y85" s="151">
        <f t="shared" si="53"/>
        <v>11.282110143721649</v>
      </c>
      <c r="Z85" s="15">
        <f>Y23</f>
        <v>31.091003719187221</v>
      </c>
    </row>
    <row r="86" spans="1:26" ht="14.1" customHeight="1" thickBo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N86" s="154" t="str">
        <f>Ratings!H27</f>
        <v>ST 22</v>
      </c>
      <c r="O86" s="155">
        <f>Ratings!I27</f>
        <v>22.482019482244024</v>
      </c>
      <c r="P86" s="151" t="s">
        <v>117</v>
      </c>
      <c r="Q86" s="151">
        <f>75%*Q27-4</f>
        <v>8.7478919458762423</v>
      </c>
      <c r="R86" s="151">
        <f t="shared" ref="R86:Y86" si="54">75%*R27-4</f>
        <v>10.951548327961959</v>
      </c>
      <c r="S86" s="151">
        <f t="shared" si="54"/>
        <v>12.674382328767159</v>
      </c>
      <c r="T86" s="151">
        <f t="shared" si="54"/>
        <v>13.871142025642026</v>
      </c>
      <c r="U86" s="151">
        <f t="shared" si="54"/>
        <v>14.591773182853544</v>
      </c>
      <c r="V86" s="151">
        <f t="shared" si="54"/>
        <v>15.380145240267673</v>
      </c>
      <c r="W86" s="151">
        <f t="shared" si="54"/>
        <v>16.240452504895032</v>
      </c>
      <c r="X86" s="151">
        <f t="shared" si="54"/>
        <v>17.098586425348039</v>
      </c>
      <c r="Y86" s="151">
        <f t="shared" si="54"/>
        <v>17.975976239900042</v>
      </c>
      <c r="Z86" s="15">
        <f>Y27</f>
        <v>29.301301653200056</v>
      </c>
    </row>
    <row r="87" spans="1:26" ht="14.1" customHeight="1" thickBo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N87" s="154" t="str">
        <f>Ratings!H31</f>
        <v>ST 32</v>
      </c>
      <c r="O87" s="155">
        <f>Ratings!I31</f>
        <v>12.384163274117471</v>
      </c>
      <c r="P87" s="151" t="s">
        <v>118</v>
      </c>
      <c r="Q87" s="151">
        <f>60%*Q31</f>
        <v>4.5594631086967699</v>
      </c>
      <c r="R87" s="151">
        <f t="shared" ref="R87:Y87" si="55">60%*R31</f>
        <v>4.5826452792782257</v>
      </c>
      <c r="S87" s="151">
        <f t="shared" si="55"/>
        <v>4.6642973046069516</v>
      </c>
      <c r="T87" s="151">
        <f t="shared" si="55"/>
        <v>4.7511394993789633</v>
      </c>
      <c r="U87" s="151">
        <f t="shared" si="55"/>
        <v>4.9427231794033402</v>
      </c>
      <c r="V87" s="151">
        <f t="shared" si="55"/>
        <v>5.152316143121749</v>
      </c>
      <c r="W87" s="151">
        <f t="shared" si="55"/>
        <v>5.381033469675863</v>
      </c>
      <c r="X87" s="151">
        <f t="shared" si="55"/>
        <v>5.6091730009588261</v>
      </c>
      <c r="Y87" s="151">
        <f t="shared" si="55"/>
        <v>5.8424318155488262</v>
      </c>
      <c r="Z87" s="15">
        <f>Y31</f>
        <v>9.7373863592480436</v>
      </c>
    </row>
    <row r="88" spans="1:26" ht="14.1" customHeight="1" thickBo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N88" s="4" t="str">
        <f>Ratings!H32</f>
        <v>ST 33</v>
      </c>
      <c r="O88" s="155">
        <f>Ratings!I32</f>
        <v>12.5</v>
      </c>
      <c r="P88" s="151" t="s">
        <v>119</v>
      </c>
      <c r="Q88" s="151">
        <f>65%*Q32+5%*Q27</f>
        <v>6.8378350944567359</v>
      </c>
      <c r="R88" s="151">
        <f t="shared" ref="R88:Y88" si="56">65%*R32+5%*R27</f>
        <v>7.0220131567513828</v>
      </c>
      <c r="S88" s="151">
        <f t="shared" si="56"/>
        <v>7.1957454621019643</v>
      </c>
      <c r="T88" s="151">
        <f t="shared" si="56"/>
        <v>7.3277484977456115</v>
      </c>
      <c r="U88" s="151">
        <f t="shared" si="56"/>
        <v>7.4992737945253491</v>
      </c>
      <c r="V88" s="151">
        <f t="shared" si="56"/>
        <v>7.6905714322926357</v>
      </c>
      <c r="W88" s="151">
        <f t="shared" si="56"/>
        <v>7.9022056234172409</v>
      </c>
      <c r="X88" s="151">
        <f t="shared" si="56"/>
        <v>8.1046009936754917</v>
      </c>
      <c r="Y88" s="151">
        <f t="shared" si="56"/>
        <v>8.3061654503004867</v>
      </c>
      <c r="Z88" s="15">
        <f>Y32</f>
        <v>10.524769796369975</v>
      </c>
    </row>
    <row r="89" spans="1:26" ht="14.1" customHeight="1" thickBo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N89" s="4" t="str">
        <f>Ratings!H37</f>
        <v>GVE12 new</v>
      </c>
      <c r="O89" s="11">
        <f>Ratings!I37</f>
        <v>13.7</v>
      </c>
      <c r="P89" s="151" t="s">
        <v>33</v>
      </c>
      <c r="Q89" s="151">
        <f>40%*Q20</f>
        <v>4.8190727849155293</v>
      </c>
      <c r="R89" s="151">
        <f t="shared" ref="R89:Y89" si="57">40%*R20</f>
        <v>5.9285049774709053</v>
      </c>
      <c r="S89" s="151">
        <f t="shared" si="57"/>
        <v>7.1215327638269734</v>
      </c>
      <c r="T89" s="151">
        <f t="shared" si="57"/>
        <v>7.8815049363883718</v>
      </c>
      <c r="U89" s="151">
        <f t="shared" si="57"/>
        <v>8.7190581562544303</v>
      </c>
      <c r="V89" s="151">
        <f t="shared" si="57"/>
        <v>9.5503746400850442</v>
      </c>
      <c r="W89" s="151">
        <f t="shared" si="57"/>
        <v>10.350588088510527</v>
      </c>
      <c r="X89" s="151">
        <f t="shared" si="57"/>
        <v>11.152910439530912</v>
      </c>
      <c r="Y89" s="151">
        <f t="shared" si="57"/>
        <v>11.842274039601698</v>
      </c>
    </row>
    <row r="90" spans="1:26" ht="14.1" customHeight="1" thickBo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N90" s="154" t="str">
        <f>Ratings!H40</f>
        <v>GVE22 new</v>
      </c>
      <c r="O90" s="155">
        <f>Ratings!I40</f>
        <v>13.7</v>
      </c>
      <c r="P90" s="151" t="s">
        <v>33</v>
      </c>
      <c r="Q90" s="151">
        <f>40%*Q20</f>
        <v>4.8190727849155293</v>
      </c>
      <c r="R90" s="151">
        <f t="shared" ref="R90:Y90" si="58">40%*R20</f>
        <v>5.9285049774709053</v>
      </c>
      <c r="S90" s="151">
        <f t="shared" si="58"/>
        <v>7.1215327638269734</v>
      </c>
      <c r="T90" s="151">
        <f t="shared" si="58"/>
        <v>7.8815049363883718</v>
      </c>
      <c r="U90" s="151">
        <f t="shared" si="58"/>
        <v>8.7190581562544303</v>
      </c>
      <c r="V90" s="151">
        <f t="shared" si="58"/>
        <v>9.5503746400850442</v>
      </c>
      <c r="W90" s="151">
        <f t="shared" si="58"/>
        <v>10.350588088510527</v>
      </c>
      <c r="X90" s="151">
        <f t="shared" si="58"/>
        <v>11.152910439530912</v>
      </c>
      <c r="Y90" s="151">
        <f t="shared" si="58"/>
        <v>11.842274039601698</v>
      </c>
    </row>
    <row r="91" spans="1:26" ht="14.1" customHeight="1" thickBo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N91" s="4" t="str">
        <f>N59</f>
        <v>KLO22</v>
      </c>
      <c r="O91" s="155">
        <f>O59</f>
        <v>14.289419162443236</v>
      </c>
      <c r="P91" s="151" t="s">
        <v>120</v>
      </c>
      <c r="Q91" s="151">
        <f>20%*Q20+0.5-1+20%*Q27</f>
        <v>5.308974244691429</v>
      </c>
      <c r="R91" s="151">
        <f t="shared" ref="R91:Y91" si="59">20%*R20+0.5-1+20%*R27</f>
        <v>6.4513320428586418</v>
      </c>
      <c r="S91" s="151">
        <f t="shared" si="59"/>
        <v>7.5072683362513963</v>
      </c>
      <c r="T91" s="151">
        <f t="shared" si="59"/>
        <v>8.2063903416987252</v>
      </c>
      <c r="U91" s="151">
        <f t="shared" si="59"/>
        <v>8.8173352602214941</v>
      </c>
      <c r="V91" s="151">
        <f t="shared" si="59"/>
        <v>9.4432260507805683</v>
      </c>
      <c r="W91" s="151">
        <f t="shared" si="59"/>
        <v>10.072748045560605</v>
      </c>
      <c r="X91" s="151">
        <f t="shared" si="59"/>
        <v>10.7027449331916</v>
      </c>
      <c r="Y91" s="151">
        <f t="shared" si="59"/>
        <v>11.28139735044086</v>
      </c>
      <c r="Z91" s="15">
        <f>Y20</f>
        <v>29.605685099004241</v>
      </c>
    </row>
    <row r="92" spans="1:26" ht="14.1" customHeight="1" thickBo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N92" s="154" t="s">
        <v>16</v>
      </c>
      <c r="O92" s="11">
        <v>14.3</v>
      </c>
      <c r="P92" s="151" t="s">
        <v>110</v>
      </c>
      <c r="Q92" s="151">
        <f>Q6</f>
        <v>9.3570802656387038</v>
      </c>
      <c r="R92" s="151">
        <f t="shared" ref="R92:Y92" si="60">R6</f>
        <v>9.7377258586320607</v>
      </c>
      <c r="S92" s="151">
        <f t="shared" si="60"/>
        <v>9.9172805237715984</v>
      </c>
      <c r="T92" s="151">
        <f t="shared" si="60"/>
        <v>9.96258845740957</v>
      </c>
      <c r="U92" s="151">
        <f t="shared" si="60"/>
        <v>10.082568784014567</v>
      </c>
      <c r="V92" s="151">
        <f t="shared" si="60"/>
        <v>10.224401734839715</v>
      </c>
      <c r="W92" s="151">
        <f t="shared" si="60"/>
        <v>10.387991660057395</v>
      </c>
      <c r="X92" s="151">
        <f t="shared" si="60"/>
        <v>10.534046490480119</v>
      </c>
      <c r="Y92" s="151">
        <f t="shared" si="60"/>
        <v>10.673836479463958</v>
      </c>
    </row>
    <row r="93" spans="1:26" ht="14.1" customHeight="1" thickBo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N93" s="154"/>
      <c r="O93" s="11"/>
      <c r="P93" s="151"/>
      <c r="Q93" s="151"/>
      <c r="R93" s="151"/>
      <c r="S93" s="151"/>
      <c r="T93" s="151"/>
      <c r="U93" s="151"/>
      <c r="V93" s="151"/>
      <c r="W93" s="151"/>
      <c r="X93" s="151"/>
      <c r="Y93" s="151"/>
    </row>
    <row r="94" spans="1:26" ht="14.1" customHeight="1" thickBo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N94" s="154"/>
      <c r="O94" s="11"/>
      <c r="P94" s="151"/>
      <c r="Q94" s="151"/>
      <c r="R94" s="151"/>
      <c r="S94" s="151"/>
      <c r="T94" s="151"/>
      <c r="U94" s="151"/>
      <c r="V94" s="151"/>
      <c r="W94" s="151"/>
      <c r="X94" s="151"/>
      <c r="Y94" s="151"/>
    </row>
    <row r="95" spans="1:26" ht="14.1" customHeight="1" thickBo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N95" s="154"/>
      <c r="O95" s="11"/>
      <c r="P95" s="151"/>
      <c r="Q95" s="151"/>
      <c r="R95" s="151"/>
      <c r="S95" s="151"/>
      <c r="T95" s="151"/>
      <c r="U95" s="151"/>
      <c r="V95" s="151"/>
      <c r="W95" s="151"/>
      <c r="X95" s="151"/>
      <c r="Y95" s="151"/>
    </row>
    <row r="96" spans="1:26" ht="14.1" customHeight="1" thickBo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N96" s="154"/>
      <c r="O96" s="155"/>
      <c r="P96" s="151"/>
      <c r="Q96" s="151"/>
      <c r="R96" s="151"/>
      <c r="S96" s="151"/>
      <c r="T96" s="151"/>
      <c r="U96" s="151"/>
      <c r="V96" s="151"/>
      <c r="W96" s="151"/>
      <c r="X96" s="151"/>
      <c r="Y96" s="151"/>
    </row>
    <row r="97" spans="1:25" ht="14.1" customHeight="1" thickBo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N97" s="154"/>
      <c r="O97" s="155"/>
      <c r="P97" s="151"/>
      <c r="Q97" s="151"/>
      <c r="R97" s="151"/>
      <c r="S97" s="151"/>
      <c r="T97" s="151"/>
      <c r="U97" s="151"/>
      <c r="V97" s="151"/>
      <c r="W97" s="151"/>
      <c r="X97" s="151"/>
      <c r="Y97" s="151"/>
    </row>
    <row r="98" spans="1:25" ht="14.1" customHeight="1" thickBo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154"/>
      <c r="O98" s="155"/>
      <c r="P98" s="151"/>
      <c r="Q98" s="151"/>
      <c r="R98" s="151"/>
      <c r="S98" s="151"/>
      <c r="T98" s="151"/>
      <c r="U98" s="151"/>
      <c r="V98" s="151"/>
      <c r="W98" s="151"/>
      <c r="X98" s="151"/>
      <c r="Y98" s="151"/>
    </row>
    <row r="99" spans="1:25" ht="14.1" customHeight="1" thickBo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N99" s="154"/>
      <c r="O99" s="155"/>
      <c r="P99" s="151"/>
      <c r="Q99" s="151"/>
      <c r="R99" s="151"/>
      <c r="S99" s="151"/>
      <c r="T99" s="151"/>
      <c r="U99" s="151"/>
      <c r="V99" s="151"/>
      <c r="W99" s="151"/>
      <c r="X99" s="151"/>
      <c r="Y99" s="151"/>
    </row>
    <row r="100" spans="1:25" ht="14.1" customHeight="1" thickBo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N100" s="4"/>
      <c r="O100" s="155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</row>
    <row r="101" spans="1:25" ht="14.1" customHeight="1" thickBo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N101" s="4"/>
      <c r="O101" s="155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</row>
    <row r="102" spans="1:25" ht="14.1" customHeight="1" thickBo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N102" s="4"/>
      <c r="O102" s="155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</row>
    <row r="103" spans="1:25" ht="14.1" customHeight="1" thickBo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N103" s="154"/>
      <c r="O103" s="155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</row>
    <row r="104" spans="1:25" ht="14.1" customHeight="1" thickBo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N104" s="154"/>
      <c r="O104" s="1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</row>
    <row r="105" spans="1:25" ht="14.1" customHeight="1" thickBo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N105" s="154"/>
      <c r="O105" s="1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</row>
    <row r="106" spans="1:25" ht="14.1" customHeight="1" thickBo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N106" s="4"/>
      <c r="O106" s="155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</row>
    <row r="107" spans="1:25" ht="14.1" customHeight="1" thickBo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N107" s="4"/>
      <c r="O107" s="155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</row>
    <row r="108" spans="1:25" ht="14.1" customHeight="1" thickBo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N108" s="154"/>
      <c r="O108" s="155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</row>
    <row r="109" spans="1:25" ht="14.1" customHeight="1" thickBo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N109" s="154"/>
      <c r="O109" s="1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</row>
    <row r="110" spans="1:25" ht="14.1" customHeight="1" thickBo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N110" s="154"/>
      <c r="O110" s="155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</row>
    <row r="111" spans="1:25" ht="14.1" customHeight="1" thickBo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154"/>
      <c r="O111" s="155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</row>
    <row r="112" spans="1:25" ht="14.1" customHeight="1" thickBo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N112" s="156"/>
      <c r="O112" s="1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</row>
    <row r="113" spans="1:26" ht="14.1" customHeight="1" thickBo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N113" s="4"/>
      <c r="O113" s="155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</row>
    <row r="114" spans="1:26" ht="14.1" customHeight="1" thickBo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N114" s="4"/>
      <c r="O114" s="155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</row>
    <row r="115" spans="1:26" ht="14.1" customHeight="1" thickBo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N115" s="4"/>
      <c r="O115" s="155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</row>
    <row r="116" spans="1:26" ht="14.1" customHeight="1" thickBo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4"/>
      <c r="O116" s="155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</row>
    <row r="117" spans="1:26" ht="14.1" customHeight="1" thickBo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4"/>
      <c r="O117" s="155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</row>
    <row r="118" spans="1:26" ht="14.1" customHeight="1" thickBo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154"/>
      <c r="O118" s="1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</row>
    <row r="119" spans="1:26" ht="14.1" customHeight="1" thickBo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154"/>
      <c r="O119" s="1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</row>
    <row r="120" spans="1:26" ht="14.1" customHeight="1" thickBo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156" t="s">
        <v>121</v>
      </c>
      <c r="O120" s="1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</row>
    <row r="121" spans="1:26" ht="14.1" customHeight="1" thickBo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N121" s="4" t="str">
        <f>Ratings!H6</f>
        <v>BD 08</v>
      </c>
      <c r="O121" s="155">
        <f>Ratings!I6</f>
        <v>11.622060918787167</v>
      </c>
      <c r="P121" s="151" t="s">
        <v>19</v>
      </c>
      <c r="Q121" s="151">
        <f>Q6-1</f>
        <v>8.3570802656387038</v>
      </c>
      <c r="R121" s="151">
        <f t="shared" ref="R121:Y121" si="61">R6-1</f>
        <v>8.7377258586320607</v>
      </c>
      <c r="S121" s="151">
        <f t="shared" si="61"/>
        <v>8.9172805237715984</v>
      </c>
      <c r="T121" s="151">
        <f t="shared" si="61"/>
        <v>8.96258845740957</v>
      </c>
      <c r="U121" s="151">
        <f t="shared" si="61"/>
        <v>9.0825687840145672</v>
      </c>
      <c r="V121" s="151">
        <f t="shared" si="61"/>
        <v>9.2244017348397147</v>
      </c>
      <c r="W121" s="151">
        <f t="shared" si="61"/>
        <v>9.3879916600573949</v>
      </c>
      <c r="X121" s="151">
        <f t="shared" si="61"/>
        <v>9.5340464904801188</v>
      </c>
      <c r="Y121" s="151">
        <f t="shared" si="61"/>
        <v>9.673836479463958</v>
      </c>
      <c r="Z121" s="15">
        <f>Y6</f>
        <v>10.673836479463958</v>
      </c>
    </row>
    <row r="122" spans="1:26" ht="14.1" customHeight="1" thickBo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N122" s="157" t="str">
        <f>Ratings!H7</f>
        <v>BD 09</v>
      </c>
      <c r="O122" s="155">
        <f>Ratings!I7</f>
        <v>13.146265629447777</v>
      </c>
      <c r="P122" s="151" t="s">
        <v>46</v>
      </c>
      <c r="Q122" s="151">
        <f>Q7+P29</f>
        <v>11.166619570659527</v>
      </c>
      <c r="R122" s="151">
        <f t="shared" ref="R122:Y122" si="62">R7+Q29</f>
        <v>11.71610284505927</v>
      </c>
      <c r="S122" s="151">
        <f t="shared" si="62"/>
        <v>12.150625387035841</v>
      </c>
      <c r="T122" s="151">
        <f t="shared" si="62"/>
        <v>12.650750831637758</v>
      </c>
      <c r="U122" s="151">
        <f t="shared" si="62"/>
        <v>12.734357928958076</v>
      </c>
      <c r="V122" s="151">
        <f t="shared" si="62"/>
        <v>12.880584231776727</v>
      </c>
      <c r="W122" s="151">
        <f t="shared" si="62"/>
        <v>13.054150146474665</v>
      </c>
      <c r="X122" s="151">
        <f t="shared" si="62"/>
        <v>13.236959395728368</v>
      </c>
      <c r="Y122" s="151">
        <f t="shared" si="62"/>
        <v>13.402206271073803</v>
      </c>
      <c r="Z122" s="15">
        <f>Y7</f>
        <v>4.8662036613755628</v>
      </c>
    </row>
    <row r="123" spans="1:26" ht="14.1" customHeight="1" thickBo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4" t="str">
        <f>Ratings!H8</f>
        <v>BD 13</v>
      </c>
      <c r="O123" s="155">
        <f>Ratings!I8</f>
        <v>12.003112096452318</v>
      </c>
      <c r="P123" s="151" t="s">
        <v>16</v>
      </c>
      <c r="Q123" s="151">
        <f>Q8+1</f>
        <v>9.1223167820079087</v>
      </c>
      <c r="R123" s="151">
        <f t="shared" ref="R123:Y123" si="63">R8+1</f>
        <v>9.2292422539436014</v>
      </c>
      <c r="S123" s="151">
        <f t="shared" si="63"/>
        <v>9.3839399807891724</v>
      </c>
      <c r="T123" s="151">
        <f t="shared" si="63"/>
        <v>9.4222427186580724</v>
      </c>
      <c r="U123" s="151">
        <f t="shared" si="63"/>
        <v>9.5236725264285198</v>
      </c>
      <c r="V123" s="151">
        <f t="shared" si="63"/>
        <v>9.6435762585218061</v>
      </c>
      <c r="W123" s="151">
        <f t="shared" si="63"/>
        <v>9.7818730538175789</v>
      </c>
      <c r="X123" s="151">
        <f t="shared" si="63"/>
        <v>9.9053459080172086</v>
      </c>
      <c r="Y123" s="151">
        <f t="shared" si="63"/>
        <v>10.023522546738523</v>
      </c>
      <c r="Z123" s="15">
        <f>Y8</f>
        <v>9.0235225467385227</v>
      </c>
    </row>
    <row r="124" spans="1:26" ht="14.1" customHeight="1" thickBo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N124" s="4" t="str">
        <f>Ratings!H10</f>
        <v>COO11</v>
      </c>
      <c r="O124" s="155">
        <f>Ratings!I10</f>
        <v>10.859958563456859</v>
      </c>
      <c r="P124" s="151" t="s">
        <v>33</v>
      </c>
      <c r="Q124" s="151">
        <f>Q10-0.5</f>
        <v>4.7899515090811624</v>
      </c>
      <c r="R124" s="151">
        <f t="shared" ref="R124:Y124" si="64">R10-0.5</f>
        <v>4.8639163375723049</v>
      </c>
      <c r="S124" s="151">
        <f t="shared" si="64"/>
        <v>4.9295747275933133</v>
      </c>
      <c r="T124" s="151">
        <f t="shared" si="64"/>
        <v>4.9791230958404791</v>
      </c>
      <c r="U124" s="151">
        <f t="shared" si="64"/>
        <v>5.0893809804517884</v>
      </c>
      <c r="V124" s="151">
        <f t="shared" si="64"/>
        <v>5.2132611634793724</v>
      </c>
      <c r="W124" s="151">
        <f t="shared" si="64"/>
        <v>5.3510177563824968</v>
      </c>
      <c r="X124" s="151">
        <f t="shared" si="64"/>
        <v>5.4806543988507901</v>
      </c>
      <c r="Y124" s="151">
        <f t="shared" si="64"/>
        <v>5.6084028841791795</v>
      </c>
      <c r="Z124" s="15">
        <f>Y10</f>
        <v>6.1084028841791795</v>
      </c>
    </row>
    <row r="125" spans="1:26" ht="14.1" customHeight="1" thickBo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N125" s="4" t="str">
        <f>Ratings!H12</f>
        <v>COO13</v>
      </c>
      <c r="O125" s="155">
        <f>Ratings!I12</f>
        <v>12.003112096452318</v>
      </c>
      <c r="P125" s="151" t="s">
        <v>27</v>
      </c>
      <c r="Q125" s="151">
        <f>Q14</f>
        <v>4.5154274982413627</v>
      </c>
      <c r="R125" s="151">
        <f t="shared" ref="R125:Y125" si="65">R14</f>
        <v>4.5006033749040855</v>
      </c>
      <c r="S125" s="151">
        <f t="shared" si="65"/>
        <v>4.5300970752796053</v>
      </c>
      <c r="T125" s="151">
        <f t="shared" si="65"/>
        <v>4.5507932063579144</v>
      </c>
      <c r="U125" s="151">
        <f t="shared" si="65"/>
        <v>4.6055988080893142</v>
      </c>
      <c r="V125" s="151">
        <f t="shared" si="65"/>
        <v>4.6703864314878025</v>
      </c>
      <c r="W125" s="151">
        <f t="shared" si="65"/>
        <v>4.7451123848373573</v>
      </c>
      <c r="X125" s="151">
        <f t="shared" si="65"/>
        <v>4.8118285131693641</v>
      </c>
      <c r="Y125" s="151">
        <f t="shared" si="65"/>
        <v>4.875682935632371</v>
      </c>
      <c r="Z125" s="15">
        <f>Y12</f>
        <v>5.9882939439067934E-3</v>
      </c>
    </row>
    <row r="126" spans="1:26" ht="14.1" customHeight="1" thickBo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N126" s="4" t="str">
        <f>Ratings!H15</f>
        <v>COO22</v>
      </c>
      <c r="O126" s="155">
        <f>Ratings!I15</f>
        <v>12.003112096452318</v>
      </c>
      <c r="P126" s="151" t="s">
        <v>43</v>
      </c>
      <c r="Q126" s="151">
        <f>Q15*50%</f>
        <v>4.281197976671244</v>
      </c>
      <c r="R126" s="151">
        <f t="shared" ref="R126:Y128" si="66">R15*50%</f>
        <v>4.2999928759573782</v>
      </c>
      <c r="S126" s="151">
        <f t="shared" si="66"/>
        <v>4.3420109990548861</v>
      </c>
      <c r="T126" s="151">
        <f t="shared" si="66"/>
        <v>4.3792778044197567</v>
      </c>
      <c r="U126" s="151">
        <f t="shared" si="66"/>
        <v>4.4674032030272732</v>
      </c>
      <c r="V126" s="151">
        <f t="shared" si="66"/>
        <v>4.5664164440971797</v>
      </c>
      <c r="W126" s="151">
        <f t="shared" si="66"/>
        <v>4.6765206303256512</v>
      </c>
      <c r="X126" s="151">
        <f t="shared" si="66"/>
        <v>4.7801348147618219</v>
      </c>
      <c r="Y126" s="151">
        <f t="shared" si="66"/>
        <v>4.8822398590473863</v>
      </c>
      <c r="Z126" s="15">
        <f t="shared" ref="Z126:Z130" si="67">Y15</f>
        <v>9.7644797180947727</v>
      </c>
    </row>
    <row r="127" spans="1:26" ht="14.1" customHeight="1" thickBo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N127" s="4" t="str">
        <f>Ratings!H16</f>
        <v>COO23</v>
      </c>
      <c r="O127" s="155">
        <f>Ratings!I16</f>
        <v>14.289419162443236</v>
      </c>
      <c r="P127" s="151" t="s">
        <v>27</v>
      </c>
      <c r="Q127" s="151">
        <f>Q16*50%</f>
        <v>7.5660163419966819</v>
      </c>
      <c r="R127" s="151">
        <f t="shared" si="66"/>
        <v>8.3410924854532063</v>
      </c>
      <c r="S127" s="151">
        <f t="shared" si="66"/>
        <v>8.8929440226077059</v>
      </c>
      <c r="T127" s="151">
        <f t="shared" si="66"/>
        <v>9.1793517756262926</v>
      </c>
      <c r="U127" s="151">
        <f t="shared" si="66"/>
        <v>9.5188357060172049</v>
      </c>
      <c r="V127" s="151">
        <f t="shared" si="66"/>
        <v>9.8261410310240951</v>
      </c>
      <c r="W127" s="151">
        <f t="shared" si="66"/>
        <v>10.162700579487774</v>
      </c>
      <c r="X127" s="151">
        <f t="shared" si="66"/>
        <v>10.490718144725927</v>
      </c>
      <c r="Y127" s="151">
        <f t="shared" si="66"/>
        <v>10.820890036427924</v>
      </c>
      <c r="Z127" s="15">
        <f t="shared" si="67"/>
        <v>21.641780072855848</v>
      </c>
    </row>
    <row r="128" spans="1:26" ht="14.1" customHeight="1" thickBo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N128" s="4" t="str">
        <f>Ratings!H17</f>
        <v>COO24</v>
      </c>
      <c r="O128" s="155">
        <f>Ratings!I17</f>
        <v>12.193637685284894</v>
      </c>
      <c r="P128" s="151" t="s">
        <v>43</v>
      </c>
      <c r="Q128" s="151">
        <f>Q17*50%</f>
        <v>4.7953473334273493</v>
      </c>
      <c r="R128" s="151">
        <f t="shared" si="66"/>
        <v>4.7941219148950003</v>
      </c>
      <c r="S128" s="151">
        <f t="shared" si="66"/>
        <v>4.8432718017752894</v>
      </c>
      <c r="T128" s="151">
        <f t="shared" si="66"/>
        <v>4.8848408506803276</v>
      </c>
      <c r="U128" s="151">
        <f t="shared" si="66"/>
        <v>4.9831398320023208</v>
      </c>
      <c r="V128" s="151">
        <f t="shared" si="66"/>
        <v>5.0935835960970337</v>
      </c>
      <c r="W128" s="151">
        <f t="shared" si="66"/>
        <v>5.2163986927271075</v>
      </c>
      <c r="X128" s="151">
        <f t="shared" si="66"/>
        <v>5.3319745532794842</v>
      </c>
      <c r="Y128" s="151">
        <f t="shared" si="66"/>
        <v>5.445867051920076</v>
      </c>
      <c r="Z128" s="15">
        <f t="shared" si="67"/>
        <v>10.891734103840152</v>
      </c>
    </row>
    <row r="129" spans="1:26" ht="14.1" customHeight="1" thickBo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154" t="str">
        <f>Ratings!H18</f>
        <v>KLO13</v>
      </c>
      <c r="O129" s="11">
        <f>Ratings!I18</f>
        <v>14.289419162443236</v>
      </c>
      <c r="P129" s="151" t="s">
        <v>36</v>
      </c>
      <c r="Q129" s="151">
        <f>Q18*60%</f>
        <v>8.3433759464730528</v>
      </c>
      <c r="R129" s="151">
        <f t="shared" ref="R129:Y129" si="68">R18*60%</f>
        <v>9.0295050492250244</v>
      </c>
      <c r="S129" s="151">
        <f t="shared" si="68"/>
        <v>9.370737837935831</v>
      </c>
      <c r="T129" s="151">
        <f t="shared" si="68"/>
        <v>9.5452068709616</v>
      </c>
      <c r="U129" s="151">
        <f t="shared" si="68"/>
        <v>9.9301052430619858</v>
      </c>
      <c r="V129" s="151">
        <f t="shared" si="68"/>
        <v>10.351184901457968</v>
      </c>
      <c r="W129" s="151">
        <f t="shared" si="68"/>
        <v>10.810686079484348</v>
      </c>
      <c r="X129" s="151">
        <f t="shared" si="68"/>
        <v>11.269026446426793</v>
      </c>
      <c r="Y129" s="151">
        <f t="shared" si="68"/>
        <v>11.737651634137627</v>
      </c>
      <c r="Z129" s="15">
        <f t="shared" si="67"/>
        <v>19.562752723562713</v>
      </c>
    </row>
    <row r="130" spans="1:26" ht="14.1" customHeight="1" thickBo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N130" s="154" t="str">
        <f>Ratings!H19</f>
        <v>KLO21</v>
      </c>
      <c r="O130" s="11">
        <f>Ratings!I19</f>
        <v>14.289419162443236</v>
      </c>
      <c r="P130" s="151" t="s">
        <v>31</v>
      </c>
      <c r="Q130" s="151">
        <f>Q19*50%</f>
        <v>6.4362356242099397</v>
      </c>
      <c r="R130" s="151">
        <f t="shared" ref="R130:Y130" si="69">R19*50%</f>
        <v>7.6486259337389733</v>
      </c>
      <c r="S130" s="151">
        <f t="shared" si="69"/>
        <v>8.6360123190806632</v>
      </c>
      <c r="T130" s="151">
        <f t="shared" si="69"/>
        <v>9.2361192292200762</v>
      </c>
      <c r="U130" s="151">
        <f t="shared" si="69"/>
        <v>9.8865637534951034</v>
      </c>
      <c r="V130" s="151">
        <f t="shared" si="69"/>
        <v>10.305797063327393</v>
      </c>
      <c r="W130" s="151">
        <f t="shared" si="69"/>
        <v>10.763283422249714</v>
      </c>
      <c r="X130" s="151">
        <f t="shared" si="69"/>
        <v>11.219614060008347</v>
      </c>
      <c r="Y130" s="151">
        <f t="shared" si="69"/>
        <v>11.68618442169045</v>
      </c>
      <c r="Z130" s="15">
        <f t="shared" si="67"/>
        <v>23.372368843380901</v>
      </c>
    </row>
    <row r="131" spans="1:26" ht="14.1" customHeight="1" thickBo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N131" s="4" t="str">
        <f>Ratings!H48</f>
        <v>KLO23 reconfigured</v>
      </c>
      <c r="O131" s="155">
        <f>Ratings!I48</f>
        <v>24</v>
      </c>
      <c r="P131" s="151" t="s">
        <v>122</v>
      </c>
      <c r="Q131" s="151">
        <f t="shared" ref="Q131:Y131" si="70">Q21+Q18*40%+Q19*50%</f>
        <v>13.103432749959207</v>
      </c>
      <c r="R131" s="151">
        <f t="shared" si="70"/>
        <v>14.778860460090378</v>
      </c>
      <c r="S131" s="151">
        <f t="shared" si="70"/>
        <v>16.013523034178256</v>
      </c>
      <c r="T131" s="151">
        <f t="shared" si="70"/>
        <v>16.750988088666723</v>
      </c>
      <c r="U131" s="151">
        <f t="shared" si="70"/>
        <v>17.704460177420035</v>
      </c>
      <c r="V131" s="151">
        <f t="shared" si="70"/>
        <v>18.455206303580383</v>
      </c>
      <c r="W131" s="151">
        <f t="shared" si="70"/>
        <v>19.274454449367113</v>
      </c>
      <c r="X131" s="151">
        <f t="shared" si="70"/>
        <v>20.091632976241861</v>
      </c>
      <c r="Y131" s="151">
        <f t="shared" si="70"/>
        <v>20.927148388302498</v>
      </c>
      <c r="Z131" s="15">
        <f>Y21</f>
        <v>1.4158628771869637</v>
      </c>
    </row>
    <row r="132" spans="1:26" ht="14.1" customHeight="1" thickBo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4" t="str">
        <f>Ratings!H29</f>
        <v>ST 24</v>
      </c>
      <c r="O132" s="155">
        <f>Ratings!I29</f>
        <v>14.289419162443236</v>
      </c>
      <c r="P132" s="151" t="s">
        <v>18</v>
      </c>
      <c r="Q132" s="151">
        <v>0</v>
      </c>
      <c r="R132" s="151">
        <v>0</v>
      </c>
      <c r="S132" s="151">
        <v>0</v>
      </c>
      <c r="T132" s="151">
        <v>0</v>
      </c>
      <c r="U132" s="151">
        <v>0</v>
      </c>
      <c r="V132" s="151">
        <v>0</v>
      </c>
      <c r="W132" s="151">
        <v>0</v>
      </c>
      <c r="X132" s="151">
        <v>0</v>
      </c>
      <c r="Y132" s="151">
        <v>0</v>
      </c>
      <c r="Z132" s="15">
        <f>Y29</f>
        <v>8.6320139230852906</v>
      </c>
    </row>
    <row r="133" spans="1:26" ht="14.1" customHeight="1" thickBo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4" t="str">
        <f>Ratings!H26</f>
        <v>ST 21</v>
      </c>
      <c r="O133" s="155">
        <f>Ratings!I26</f>
        <v>14.289419162443236</v>
      </c>
      <c r="P133" s="151" t="s">
        <v>123</v>
      </c>
      <c r="Q133" s="151">
        <f t="shared" ref="Q133:Y133" si="71">Q26+Q17*50%+Q15*50%</f>
        <v>10.354128310496112</v>
      </c>
      <c r="R133" s="151">
        <f t="shared" si="71"/>
        <v>10.366739918296012</v>
      </c>
      <c r="S133" s="151">
        <f t="shared" si="71"/>
        <v>10.465223840360849</v>
      </c>
      <c r="T133" s="151">
        <f t="shared" si="71"/>
        <v>10.548622709313216</v>
      </c>
      <c r="U133" s="151">
        <f t="shared" si="71"/>
        <v>10.747921726847029</v>
      </c>
      <c r="V133" s="151">
        <f t="shared" si="71"/>
        <v>10.973003139189451</v>
      </c>
      <c r="W133" s="151">
        <f t="shared" si="71"/>
        <v>11.224267710321943</v>
      </c>
      <c r="X133" s="151">
        <f t="shared" si="71"/>
        <v>11.459481726328338</v>
      </c>
      <c r="Y133" s="151">
        <f t="shared" si="71"/>
        <v>11.690634254047209</v>
      </c>
      <c r="Z133" s="15">
        <f>Y26</f>
        <v>1.3625273430797464</v>
      </c>
    </row>
    <row r="134" spans="1:26" ht="14.1" customHeight="1" thickBo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N134" s="4"/>
      <c r="O134" s="155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</row>
    <row r="135" spans="1:26" ht="14.1" customHeight="1" thickBo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4"/>
      <c r="O135" s="155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</row>
    <row r="136" spans="1:26" ht="14.1" customHeight="1" thickBo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N136" s="4"/>
      <c r="O136" s="155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</row>
    <row r="137" spans="1:26" ht="14.1" customHeight="1" thickBo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N137" s="4"/>
      <c r="O137" s="155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</row>
    <row r="138" spans="1:26" ht="14.1" customHeight="1" thickBo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N138" s="4"/>
      <c r="O138" s="155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</row>
    <row r="139" spans="1:26" ht="14.1" customHeight="1" thickBo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N139" s="4"/>
      <c r="O139" s="155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</row>
    <row r="140" spans="1:26" ht="14.1" customHeight="1" thickBo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N140" s="4"/>
      <c r="O140" s="155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</row>
    <row r="141" spans="1:26" ht="14.1" customHeight="1" thickBo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4"/>
      <c r="O141" s="155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</row>
    <row r="142" spans="1:26" ht="14.1" customHeight="1" thickBo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N142" s="154"/>
      <c r="O142" s="1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</row>
    <row r="143" spans="1:26" ht="14.1" customHeight="1" thickBo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N143" s="4"/>
      <c r="O143" s="155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</row>
    <row r="144" spans="1:26" ht="14.1" customHeight="1" thickBo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N144" s="4"/>
      <c r="O144" s="155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</row>
    <row r="145" spans="1:25" ht="14.1" customHeight="1" thickBo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N145" s="154"/>
      <c r="O145" s="1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</row>
    <row r="146" spans="1:25" ht="14.1" customHeight="1" thickBo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N146" s="154"/>
      <c r="O146" s="1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</row>
    <row r="147" spans="1:25" ht="14.1" customHeight="1" thickBo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4"/>
      <c r="O147" s="155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</row>
    <row r="148" spans="1:25" ht="14.1" customHeight="1" thickBo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N148" s="4"/>
      <c r="O148" s="1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</row>
    <row r="149" spans="1:25" ht="14.1" customHeight="1" thickBo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N149" s="4"/>
      <c r="O149" s="1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</row>
    <row r="150" spans="1:25" ht="14.1" customHeight="1" thickBo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N150" s="4"/>
      <c r="O150" s="11"/>
      <c r="P150" s="152"/>
      <c r="Q150" s="151"/>
      <c r="R150" s="151"/>
      <c r="S150" s="151"/>
      <c r="T150" s="151"/>
      <c r="U150" s="151"/>
      <c r="V150" s="151"/>
      <c r="W150" s="151"/>
      <c r="X150" s="151"/>
      <c r="Y150" s="151"/>
    </row>
    <row r="151" spans="1:25" ht="14.1" customHeight="1" thickBo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N151" s="4"/>
      <c r="O151" s="11"/>
      <c r="P151" s="152"/>
      <c r="Q151" s="151"/>
      <c r="R151" s="151"/>
      <c r="S151" s="151"/>
      <c r="T151" s="151"/>
      <c r="U151" s="151"/>
      <c r="V151" s="151"/>
      <c r="W151" s="151"/>
      <c r="X151" s="151"/>
      <c r="Y151" s="151"/>
    </row>
    <row r="152" spans="1:25" ht="14.1" customHeight="1" thickBo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N152" s="4"/>
      <c r="O152" s="11"/>
      <c r="P152" s="152"/>
      <c r="Q152" s="151"/>
      <c r="R152" s="151"/>
      <c r="S152" s="151"/>
      <c r="T152" s="151"/>
      <c r="U152" s="151"/>
      <c r="V152" s="151"/>
      <c r="W152" s="151"/>
      <c r="X152" s="151"/>
      <c r="Y152" s="151"/>
    </row>
    <row r="153" spans="1:25" ht="14.1" customHeight="1" thickBo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N153" s="4"/>
      <c r="O153" s="11"/>
      <c r="P153" s="152"/>
      <c r="Q153" s="151"/>
      <c r="R153" s="151"/>
      <c r="S153" s="151"/>
      <c r="T153" s="151"/>
      <c r="U153" s="151"/>
      <c r="V153" s="151"/>
      <c r="W153" s="151"/>
      <c r="X153" s="151"/>
      <c r="Y153" s="151"/>
    </row>
    <row r="154" spans="1:25" ht="15" thickBo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</row>
  </sheetData>
  <conditionalFormatting sqref="C2:L43">
    <cfRule type="cellIs" dxfId="13" priority="4" operator="greaterThan">
      <formula>$B2</formula>
    </cfRule>
  </conditionalFormatting>
  <conditionalFormatting sqref="P2:Y43">
    <cfRule type="cellIs" dxfId="12" priority="3" stopIfTrue="1" operator="greaterThan">
      <formula>$O2</formula>
    </cfRule>
  </conditionalFormatting>
  <conditionalFormatting sqref="Q47:Y153">
    <cfRule type="cellIs" dxfId="11" priority="2" operator="greaterThan">
      <formula>$O47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155C1-D9D8-4564-96C3-52277E525C81}">
  <sheetPr codeName="Sheet3">
    <tabColor theme="5"/>
  </sheetPr>
  <dimension ref="A1:Z153"/>
  <sheetViews>
    <sheetView topLeftCell="A44" zoomScale="78" zoomScaleNormal="100" workbookViewId="0">
      <selection activeCell="J59" sqref="J59"/>
    </sheetView>
  </sheetViews>
  <sheetFormatPr defaultRowHeight="14.45"/>
  <cols>
    <col min="1" max="1" width="33.28515625" customWidth="1"/>
    <col min="2" max="2" width="7.7109375" customWidth="1"/>
    <col min="14" max="14" width="28" bestFit="1" customWidth="1"/>
    <col min="15" max="15" width="8.7109375" style="10" customWidth="1"/>
  </cols>
  <sheetData>
    <row r="1" spans="1:25" ht="14.1" customHeight="1" thickBot="1">
      <c r="A1" s="1" t="s">
        <v>96</v>
      </c>
      <c r="B1" s="2" t="s">
        <v>94</v>
      </c>
      <c r="C1" s="2">
        <f>Costs!B9</f>
        <v>2025</v>
      </c>
      <c r="D1" s="2">
        <f>C1+1</f>
        <v>2026</v>
      </c>
      <c r="E1" s="2">
        <f t="shared" ref="E1:L1" si="0">D1+1</f>
        <v>2027</v>
      </c>
      <c r="F1" s="2">
        <f t="shared" si="0"/>
        <v>2028</v>
      </c>
      <c r="G1" s="2">
        <f t="shared" si="0"/>
        <v>2029</v>
      </c>
      <c r="H1" s="2">
        <f t="shared" si="0"/>
        <v>2030</v>
      </c>
      <c r="I1" s="2">
        <f t="shared" si="0"/>
        <v>2031</v>
      </c>
      <c r="J1" s="2">
        <f t="shared" si="0"/>
        <v>2032</v>
      </c>
      <c r="K1" s="2">
        <f t="shared" si="0"/>
        <v>2033</v>
      </c>
      <c r="L1" s="2">
        <f t="shared" si="0"/>
        <v>2034</v>
      </c>
      <c r="M1" s="29">
        <f>((L2+L3+L4+L5)-(C2+C3+C4+C5))/(C2+C3+C4+C5)/9</f>
        <v>4.4890361866290057E-2</v>
      </c>
      <c r="N1" s="1" t="str">
        <f>A1</f>
        <v>Option 1 - Do Nothing</v>
      </c>
      <c r="O1" s="2" t="str">
        <f>B1</f>
        <v>Rating</v>
      </c>
      <c r="P1" s="2">
        <f t="shared" ref="P1:Y1" si="1">C1</f>
        <v>2025</v>
      </c>
      <c r="Q1" s="2">
        <f t="shared" si="1"/>
        <v>2026</v>
      </c>
      <c r="R1" s="2">
        <f t="shared" si="1"/>
        <v>2027</v>
      </c>
      <c r="S1" s="2">
        <f t="shared" si="1"/>
        <v>2028</v>
      </c>
      <c r="T1" s="2">
        <f t="shared" si="1"/>
        <v>2029</v>
      </c>
      <c r="U1" s="2">
        <f t="shared" si="1"/>
        <v>2030</v>
      </c>
      <c r="V1" s="2">
        <f t="shared" si="1"/>
        <v>2031</v>
      </c>
      <c r="W1" s="2">
        <f t="shared" si="1"/>
        <v>2032</v>
      </c>
      <c r="X1" s="2">
        <f t="shared" si="1"/>
        <v>2033</v>
      </c>
      <c r="Y1" s="2">
        <f t="shared" si="1"/>
        <v>2034</v>
      </c>
    </row>
    <row r="2" spans="1:25" ht="14.1" customHeight="1" thickTop="1" thickBot="1">
      <c r="A2" s="4" t="str">
        <f>Historical!A2</f>
        <v>ST</v>
      </c>
      <c r="B2" s="11">
        <f>Ratings!E2</f>
        <v>89.3</v>
      </c>
      <c r="C2" s="11">
        <v>78.480094107088405</v>
      </c>
      <c r="D2" s="11">
        <v>84.041552609021224</v>
      </c>
      <c r="E2" s="11">
        <v>89.936034299516095</v>
      </c>
      <c r="F2" s="11">
        <v>94.56636426652652</v>
      </c>
      <c r="G2" s="11">
        <v>98.162150613078794</v>
      </c>
      <c r="H2" s="11">
        <v>100.48679003146584</v>
      </c>
      <c r="I2" s="11">
        <v>102.64654285405199</v>
      </c>
      <c r="J2" s="11">
        <v>104.83185627059073</v>
      </c>
      <c r="K2" s="11">
        <v>107.02883335268758</v>
      </c>
      <c r="L2" s="11">
        <v>109.24321293955865</v>
      </c>
      <c r="M2" s="28">
        <f>($L3-$C3)/$C3/9</f>
        <v>0.11680583570131292</v>
      </c>
      <c r="N2" s="4" t="str">
        <f>Historical!N2</f>
        <v>BD 01</v>
      </c>
      <c r="O2" s="11">
        <f>Ratings!J2</f>
        <v>14.289419162443236</v>
      </c>
      <c r="P2" s="151">
        <v>7.6750696537300538</v>
      </c>
      <c r="Q2" s="151">
        <v>9.3283963724968277</v>
      </c>
      <c r="R2" s="151">
        <v>10.896494340535147</v>
      </c>
      <c r="S2" s="151">
        <v>11.497567092391654</v>
      </c>
      <c r="T2" s="151">
        <v>11.633357095064339</v>
      </c>
      <c r="U2" s="151">
        <v>11.781115581054291</v>
      </c>
      <c r="V2" s="151">
        <v>11.929416580289073</v>
      </c>
      <c r="W2" s="151">
        <v>12.078263665691244</v>
      </c>
      <c r="X2" s="151">
        <v>12.227658685805041</v>
      </c>
      <c r="Y2" s="151">
        <v>12.377603972803351</v>
      </c>
    </row>
    <row r="3" spans="1:25" ht="14.1" customHeight="1" thickBot="1">
      <c r="A3" s="4" t="str">
        <f>Historical!A3</f>
        <v>KLO</v>
      </c>
      <c r="B3" s="11">
        <f>Ratings!E3</f>
        <v>49.1</v>
      </c>
      <c r="C3" s="11">
        <v>25.240086172845228</v>
      </c>
      <c r="D3" s="11">
        <v>30.43237981877061</v>
      </c>
      <c r="E3" s="11">
        <v>34.642813258248168</v>
      </c>
      <c r="F3" s="11">
        <v>38.353455657475685</v>
      </c>
      <c r="G3" s="11">
        <v>40.983660019134874</v>
      </c>
      <c r="H3" s="11">
        <v>43.307885102582603</v>
      </c>
      <c r="I3" s="11">
        <v>45.354769209392089</v>
      </c>
      <c r="J3" s="11">
        <v>47.459001773506209</v>
      </c>
      <c r="K3" s="11">
        <v>49.595250437282907</v>
      </c>
      <c r="L3" s="11">
        <v>51.773790400176281</v>
      </c>
      <c r="M3" s="28">
        <f>($L4-$C4)/$C4/9</f>
        <v>2.5580835357361505E-2</v>
      </c>
      <c r="N3" s="4" t="str">
        <f>Historical!N3</f>
        <v>BD 02</v>
      </c>
      <c r="O3" s="11">
        <f>Ratings!J3</f>
        <v>22.482019482244024</v>
      </c>
      <c r="P3" s="151">
        <v>0</v>
      </c>
      <c r="Q3" s="151">
        <v>0</v>
      </c>
      <c r="R3" s="151">
        <v>0</v>
      </c>
      <c r="S3" s="151">
        <v>0</v>
      </c>
      <c r="T3" s="151">
        <v>0</v>
      </c>
      <c r="U3" s="151">
        <v>0</v>
      </c>
      <c r="V3" s="151">
        <v>0</v>
      </c>
      <c r="W3" s="151">
        <v>0</v>
      </c>
      <c r="X3" s="151">
        <v>0</v>
      </c>
      <c r="Y3" s="151">
        <f t="shared" ref="Y3:Y13" si="2">X3+X3-W3</f>
        <v>0</v>
      </c>
    </row>
    <row r="4" spans="1:25" ht="14.1" customHeight="1" thickBot="1">
      <c r="A4" s="4" t="str">
        <f>Historical!A4</f>
        <v>BD</v>
      </c>
      <c r="B4" s="11">
        <f>Ratings!E4</f>
        <v>125.1</v>
      </c>
      <c r="C4" s="11">
        <v>74.805529434857036</v>
      </c>
      <c r="D4" s="11">
        <v>79.440725792230282</v>
      </c>
      <c r="E4" s="11">
        <v>83.338773053728644</v>
      </c>
      <c r="F4" s="11">
        <v>85.805968684177259</v>
      </c>
      <c r="G4" s="11">
        <v>86.898012965145981</v>
      </c>
      <c r="H4" s="11">
        <v>87.915407155567664</v>
      </c>
      <c r="I4" s="11">
        <v>88.937077212786534</v>
      </c>
      <c r="J4" s="11">
        <v>89.963035578091549</v>
      </c>
      <c r="K4" s="11">
        <v>90.993282118111324</v>
      </c>
      <c r="L4" s="11">
        <v>92.027820825497074</v>
      </c>
      <c r="M4" s="28">
        <f>($L5-$C5)/$C5/9</f>
        <v>3.6867333133955217E-2</v>
      </c>
      <c r="N4" s="4" t="str">
        <f>Historical!N4</f>
        <v>BD 04</v>
      </c>
      <c r="O4" s="11">
        <f>Ratings!J4</f>
        <v>11.6</v>
      </c>
      <c r="P4" s="151">
        <v>5.4466491037220486</v>
      </c>
      <c r="Q4" s="151">
        <v>5.8667328028714376</v>
      </c>
      <c r="R4" s="151">
        <v>6.3436777642550775</v>
      </c>
      <c r="S4" s="151">
        <v>6.7106759788691877</v>
      </c>
      <c r="T4" s="151">
        <v>6.8973575901140274</v>
      </c>
      <c r="U4" s="151">
        <v>7.0943154031846278</v>
      </c>
      <c r="V4" s="151">
        <v>7.2950060609494995</v>
      </c>
      <c r="W4" s="151">
        <v>7.4994919903465327</v>
      </c>
      <c r="X4" s="151">
        <v>7.7078355355901707</v>
      </c>
      <c r="Y4" s="151">
        <v>7.9201003035065654</v>
      </c>
    </row>
    <row r="5" spans="1:25" ht="14.1" customHeight="1" thickBot="1">
      <c r="A5" s="4" t="str">
        <f>Historical!A5</f>
        <v>COO</v>
      </c>
      <c r="B5" s="11">
        <f>Ratings!E5</f>
        <v>39.6</v>
      </c>
      <c r="C5" s="11">
        <v>33.131863656436245</v>
      </c>
      <c r="D5" s="11">
        <v>35.432319815434568</v>
      </c>
      <c r="E5" s="11">
        <v>37.230973234483443</v>
      </c>
      <c r="F5" s="11">
        <v>38.408776699758128</v>
      </c>
      <c r="G5" s="11">
        <v>39.341701464996646</v>
      </c>
      <c r="H5" s="11">
        <v>40.383154424263601</v>
      </c>
      <c r="I5" s="11">
        <v>41.361369271859942</v>
      </c>
      <c r="J5" s="11">
        <v>42.156590479379652</v>
      </c>
      <c r="K5" s="11">
        <v>43.137068502034303</v>
      </c>
      <c r="L5" s="11">
        <v>44.125214749371814</v>
      </c>
      <c r="M5" s="28">
        <f>($L6-$C6)/$C6/9</f>
        <v>1.267158395567153E-2</v>
      </c>
      <c r="N5" s="4" t="str">
        <f>Historical!N5</f>
        <v>BD 06</v>
      </c>
      <c r="O5" s="11">
        <f>Ratings!J5</f>
        <v>22.482019482244024</v>
      </c>
      <c r="P5" s="151">
        <v>0</v>
      </c>
      <c r="Q5" s="151">
        <v>0.75497096354589688</v>
      </c>
      <c r="R5" s="151">
        <v>1.7978030067171962</v>
      </c>
      <c r="S5" s="151">
        <v>2.631211350029472</v>
      </c>
      <c r="T5" s="151">
        <v>2.6958941816327413</v>
      </c>
      <c r="U5" s="151">
        <v>2.7799280700803282</v>
      </c>
      <c r="V5" s="151">
        <v>2.8327822613766465</v>
      </c>
      <c r="W5" s="151">
        <v>2.883699868276461</v>
      </c>
      <c r="X5" s="151">
        <v>2.9306174330827437</v>
      </c>
      <c r="Y5" s="151">
        <v>2.9744150706286558</v>
      </c>
    </row>
    <row r="6" spans="1:25" ht="14.1" customHeight="1" thickBot="1">
      <c r="A6" s="4" t="str">
        <f>Historical!A6</f>
        <v>BMS</v>
      </c>
      <c r="B6" s="11">
        <f>Ratings!E7</f>
        <v>39.6</v>
      </c>
      <c r="C6" s="11">
        <v>33.634137593057403</v>
      </c>
      <c r="D6" s="11">
        <v>34.374845245369556</v>
      </c>
      <c r="E6" s="11">
        <v>35.015347131782349</v>
      </c>
      <c r="F6" s="11">
        <v>35.405534194643096</v>
      </c>
      <c r="G6" s="11">
        <v>35.733349549338143</v>
      </c>
      <c r="H6" s="11">
        <v>36.079353631207674</v>
      </c>
      <c r="I6" s="11">
        <v>36.42600739730171</v>
      </c>
      <c r="J6" s="11">
        <v>36.773317928149027</v>
      </c>
      <c r="K6" s="11">
        <v>37.121286986315539</v>
      </c>
      <c r="L6" s="11">
        <v>37.469917777640717</v>
      </c>
      <c r="M6" s="30"/>
      <c r="N6" s="4" t="str">
        <f>Historical!N6</f>
        <v>BD 08</v>
      </c>
      <c r="O6" s="11">
        <f>Ratings!J6</f>
        <v>11.622060918787167</v>
      </c>
      <c r="P6" s="151">
        <v>9.7292201023530414</v>
      </c>
      <c r="Q6" s="151">
        <v>10.249300834986897</v>
      </c>
      <c r="R6" s="151">
        <v>10.664980738046109</v>
      </c>
      <c r="S6" s="151">
        <v>10.788166437875512</v>
      </c>
      <c r="T6" s="151">
        <v>10.79904171664325</v>
      </c>
      <c r="U6" s="151">
        <v>10.820680008809763</v>
      </c>
      <c r="V6" s="151">
        <v>10.842359009513359</v>
      </c>
      <c r="W6" s="151">
        <v>10.864080669135062</v>
      </c>
      <c r="X6" s="151">
        <v>10.885845323024672</v>
      </c>
      <c r="Y6" s="151">
        <v>10.90765371913019</v>
      </c>
    </row>
    <row r="7" spans="1:25" ht="14.1" customHeight="1" thickBot="1">
      <c r="A7" s="4" t="str">
        <f>Historical!A7</f>
        <v>SMTS-ST-SSS-SMTS</v>
      </c>
      <c r="B7" s="11">
        <f>Ratings!C38</f>
        <v>126.3</v>
      </c>
      <c r="C7" s="11">
        <f>C2</f>
        <v>78.480094107088405</v>
      </c>
      <c r="D7" s="11">
        <f t="shared" ref="D7:K7" si="3">D2</f>
        <v>84.041552609021224</v>
      </c>
      <c r="E7" s="11">
        <f t="shared" si="3"/>
        <v>89.936034299516095</v>
      </c>
      <c r="F7" s="11">
        <f t="shared" si="3"/>
        <v>94.56636426652652</v>
      </c>
      <c r="G7" s="11">
        <f t="shared" si="3"/>
        <v>98.162150613078794</v>
      </c>
      <c r="H7" s="11">
        <f t="shared" si="3"/>
        <v>100.48679003146584</v>
      </c>
      <c r="I7" s="11">
        <f t="shared" si="3"/>
        <v>102.64654285405199</v>
      </c>
      <c r="J7" s="11">
        <f t="shared" si="3"/>
        <v>104.83185627059073</v>
      </c>
      <c r="K7" s="11">
        <f t="shared" si="3"/>
        <v>107.02883335268758</v>
      </c>
      <c r="L7" s="11">
        <f t="shared" ref="L7:L8" si="4">K7+K7-J7</f>
        <v>109.22581043478444</v>
      </c>
      <c r="M7" s="28"/>
      <c r="N7" s="4" t="str">
        <f>Historical!N7</f>
        <v>BD 09</v>
      </c>
      <c r="O7" s="11">
        <f>Ratings!J7</f>
        <v>13.146265629447777</v>
      </c>
      <c r="P7" s="151">
        <v>4.7144457610284896</v>
      </c>
      <c r="Q7" s="151">
        <v>5.0672609349862414</v>
      </c>
      <c r="R7" s="151">
        <v>5.3524559832707022</v>
      </c>
      <c r="S7" s="151">
        <v>5.4152510365527373</v>
      </c>
      <c r="T7" s="151">
        <v>5.4792069105926755</v>
      </c>
      <c r="U7" s="151">
        <v>5.5487998329898023</v>
      </c>
      <c r="V7" s="151">
        <v>5.6186482742621626</v>
      </c>
      <c r="W7" s="151">
        <v>5.6887539172242603</v>
      </c>
      <c r="X7" s="151">
        <v>5.7591176325238571</v>
      </c>
      <c r="Y7" s="151">
        <v>5.8297405185934785</v>
      </c>
    </row>
    <row r="8" spans="1:25" ht="14.1" customHeight="1" thickBot="1">
      <c r="A8" s="4" t="str">
        <f>Historical!A8</f>
        <v>TTS-COO-VCO-BD-BMS-TTS</v>
      </c>
      <c r="B8" s="11">
        <f>Ratings!C49</f>
        <v>217.33903638151426</v>
      </c>
      <c r="C8" s="11">
        <f>C4+C5+C6+C9</f>
        <v>169.35809957253511</v>
      </c>
      <c r="D8" s="11">
        <f t="shared" ref="D8:K8" si="5">D4+D5+D6+D9</f>
        <v>177.03524410799577</v>
      </c>
      <c r="E8" s="11">
        <f t="shared" si="5"/>
        <v>183.37306101517839</v>
      </c>
      <c r="F8" s="11">
        <f t="shared" si="5"/>
        <v>187.40863676614276</v>
      </c>
      <c r="G8" s="11">
        <f t="shared" si="5"/>
        <v>189.76164532842236</v>
      </c>
      <c r="H8" s="11">
        <f t="shared" si="5"/>
        <v>192.1665998203861</v>
      </c>
      <c r="I8" s="11">
        <f t="shared" si="5"/>
        <v>194.51323496373104</v>
      </c>
      <c r="J8" s="11">
        <f t="shared" si="5"/>
        <v>196.68181955911678</v>
      </c>
      <c r="K8" s="11">
        <f t="shared" si="5"/>
        <v>199.04060633674416</v>
      </c>
      <c r="L8" s="11">
        <f t="shared" si="4"/>
        <v>201.39939311437155</v>
      </c>
      <c r="M8" s="28"/>
      <c r="N8" s="4" t="str">
        <f>Historical!N8</f>
        <v>BD 13</v>
      </c>
      <c r="O8" s="11">
        <f>Ratings!J8</f>
        <v>12.003112096452318</v>
      </c>
      <c r="P8" s="151">
        <v>8.8290936851899708</v>
      </c>
      <c r="Q8" s="151">
        <v>9.2059139538227459</v>
      </c>
      <c r="R8" s="151">
        <v>9.4668944279383282</v>
      </c>
      <c r="S8" s="151">
        <v>9.6944595925523629</v>
      </c>
      <c r="T8" s="151">
        <v>9.8089543098612122</v>
      </c>
      <c r="U8" s="151">
        <v>9.9335405514874289</v>
      </c>
      <c r="V8" s="151">
        <v>10.058584226646158</v>
      </c>
      <c r="W8" s="151">
        <v>10.184088347935905</v>
      </c>
      <c r="X8" s="151">
        <v>10.31005447400271</v>
      </c>
      <c r="Y8" s="151">
        <v>10.436484571276138</v>
      </c>
    </row>
    <row r="9" spans="1:25" ht="14.1" customHeight="1" thickBot="1">
      <c r="A9" s="4" t="s">
        <v>95</v>
      </c>
      <c r="B9" s="11"/>
      <c r="C9" s="11">
        <v>27.786568888184426</v>
      </c>
      <c r="D9" s="11">
        <v>27.787353254961381</v>
      </c>
      <c r="E9" s="11">
        <v>27.787967595183932</v>
      </c>
      <c r="F9" s="11">
        <v>27.788357187564259</v>
      </c>
      <c r="G9" s="11">
        <v>27.78858134894158</v>
      </c>
      <c r="H9" s="11">
        <v>27.788684609347133</v>
      </c>
      <c r="I9" s="11">
        <v>27.788781081782837</v>
      </c>
      <c r="J9" s="11">
        <v>27.788875573496544</v>
      </c>
      <c r="K9" s="11">
        <v>27.788968730282992</v>
      </c>
      <c r="L9" s="11">
        <v>27.789062243546628</v>
      </c>
      <c r="M9" s="28"/>
      <c r="N9" s="4" t="str">
        <f>Historical!N9</f>
        <v>BD 14</v>
      </c>
      <c r="O9" s="11">
        <f>Ratings!J9</f>
        <v>12.003112096452318</v>
      </c>
      <c r="P9" s="151">
        <v>8.8288843648029971</v>
      </c>
      <c r="Q9" s="151">
        <v>8.9311708466396436</v>
      </c>
      <c r="R9" s="151">
        <v>9.0352940103039892</v>
      </c>
      <c r="S9" s="151">
        <v>9.1412961466259386</v>
      </c>
      <c r="T9" s="151">
        <v>9.2492578239275236</v>
      </c>
      <c r="U9" s="151">
        <v>9.3667352056864068</v>
      </c>
      <c r="V9" s="151">
        <v>9.4846439199345518</v>
      </c>
      <c r="W9" s="151">
        <v>9.6029868073723446</v>
      </c>
      <c r="X9" s="151">
        <v>9.7217653377098685</v>
      </c>
      <c r="Y9" s="151">
        <v>9.8409813651727092</v>
      </c>
    </row>
    <row r="10" spans="1:25" ht="14.1" customHeight="1" thickBot="1">
      <c r="A10" s="4" t="s">
        <v>97</v>
      </c>
      <c r="B10" s="11">
        <v>33</v>
      </c>
      <c r="C10" s="11">
        <f>(P10+P11+P12+P13)*C$5/SUM(P$10:P$17)</f>
        <v>8.9026020757580664</v>
      </c>
      <c r="D10" s="11">
        <f t="shared" ref="D10:L10" si="6">(Q10+Q11+Q12+Q13)*D$5/SUM(Q$10:Q$17)</f>
        <v>9.6924548404949498</v>
      </c>
      <c r="E10" s="11">
        <f t="shared" si="6"/>
        <v>10.309838390131755</v>
      </c>
      <c r="F10" s="11">
        <f t="shared" si="6"/>
        <v>10.489059706209996</v>
      </c>
      <c r="G10" s="11">
        <f t="shared" si="6"/>
        <v>10.686699736737056</v>
      </c>
      <c r="H10" s="11">
        <f t="shared" si="6"/>
        <v>10.905245964294622</v>
      </c>
      <c r="I10" s="11">
        <f t="shared" si="6"/>
        <v>11.16595549975113</v>
      </c>
      <c r="J10" s="11">
        <f t="shared" si="6"/>
        <v>11.378263213419652</v>
      </c>
      <c r="K10" s="11">
        <f t="shared" si="6"/>
        <v>11.64416842497973</v>
      </c>
      <c r="L10" s="11">
        <f t="shared" si="6"/>
        <v>11.914818990705141</v>
      </c>
      <c r="M10" s="28" t="s">
        <v>98</v>
      </c>
      <c r="N10" s="4" t="str">
        <f>Historical!N10</f>
        <v>COO11</v>
      </c>
      <c r="O10" s="11">
        <f>Ratings!J10</f>
        <v>10.859958563456859</v>
      </c>
      <c r="P10" s="151">
        <v>4.8676429423784962</v>
      </c>
      <c r="Q10" s="151">
        <v>5.1309548554612752</v>
      </c>
      <c r="R10" s="151">
        <v>5.31284592530882</v>
      </c>
      <c r="S10" s="151">
        <v>5.4376173568808159</v>
      </c>
      <c r="T10" s="151">
        <v>5.5587032070581861</v>
      </c>
      <c r="U10" s="151">
        <v>5.7061357344144676</v>
      </c>
      <c r="V10" s="151">
        <v>5.855960300810259</v>
      </c>
      <c r="W10" s="151">
        <v>6.0082109670902053</v>
      </c>
      <c r="X10" s="151">
        <v>6.162921398008117</v>
      </c>
      <c r="Y10" s="151">
        <v>6.3201259381725903</v>
      </c>
    </row>
    <row r="11" spans="1:25" ht="14.1" customHeight="1" thickBot="1">
      <c r="A11" s="4" t="s">
        <v>99</v>
      </c>
      <c r="B11" s="11">
        <v>33</v>
      </c>
      <c r="C11" s="11">
        <f>(P14+P15+P16+P17)*C$5/SUM(P$10:P$17)</f>
        <v>24.22926158067818</v>
      </c>
      <c r="D11" s="11">
        <f t="shared" ref="D11:L11" si="7">(Q14+Q15+Q16+Q17)*D$5/SUM(Q$10:Q$17)</f>
        <v>25.739864974939621</v>
      </c>
      <c r="E11" s="11">
        <f t="shared" si="7"/>
        <v>26.921134844351684</v>
      </c>
      <c r="F11" s="11">
        <f t="shared" si="7"/>
        <v>27.919716993548128</v>
      </c>
      <c r="G11" s="11">
        <f t="shared" si="7"/>
        <v>28.655001728259595</v>
      </c>
      <c r="H11" s="11">
        <f t="shared" si="7"/>
        <v>29.477908459968983</v>
      </c>
      <c r="I11" s="11">
        <f t="shared" si="7"/>
        <v>30.195413772108811</v>
      </c>
      <c r="J11" s="11">
        <f t="shared" si="7"/>
        <v>30.778327265960002</v>
      </c>
      <c r="K11" s="11">
        <f t="shared" si="7"/>
        <v>31.492900077054575</v>
      </c>
      <c r="L11" s="11">
        <f t="shared" si="7"/>
        <v>32.210395758666678</v>
      </c>
      <c r="M11" s="42">
        <f>B11+B10*L10/L11</f>
        <v>45.206898345465888</v>
      </c>
      <c r="N11" s="4" t="str">
        <f>Historical!N11</f>
        <v>COO12</v>
      </c>
      <c r="O11" s="11">
        <f>Ratings!J11</f>
        <v>14.3</v>
      </c>
      <c r="P11" s="151">
        <v>7.1847676833211365</v>
      </c>
      <c r="Q11" s="151">
        <v>8.3247976527009122</v>
      </c>
      <c r="R11" s="151">
        <v>9.2391142071895338</v>
      </c>
      <c r="S11" s="151">
        <v>9.4811315617230605</v>
      </c>
      <c r="T11" s="151">
        <v>9.71394072383492</v>
      </c>
      <c r="U11" s="151">
        <v>9.9715818998713743</v>
      </c>
      <c r="V11" s="151">
        <v>10.233403210117796</v>
      </c>
      <c r="W11" s="151">
        <v>10.499464176555056</v>
      </c>
      <c r="X11" s="151">
        <v>10.769823628987645</v>
      </c>
      <c r="Y11" s="151">
        <v>11.044541585279399</v>
      </c>
    </row>
    <row r="12" spans="1:25" ht="14.1" customHeight="1" thickBot="1">
      <c r="A12" s="4" t="s">
        <v>100</v>
      </c>
      <c r="B12" s="11"/>
      <c r="C12" s="11">
        <v>0.85</v>
      </c>
      <c r="D12" s="11">
        <v>0.85</v>
      </c>
      <c r="E12" s="11">
        <v>0.85</v>
      </c>
      <c r="F12" s="11">
        <v>0.85</v>
      </c>
      <c r="G12" s="11">
        <v>0.85</v>
      </c>
      <c r="H12" s="11">
        <v>0.85</v>
      </c>
      <c r="I12" s="11">
        <v>0.85</v>
      </c>
      <c r="J12" s="11">
        <v>0.85</v>
      </c>
      <c r="K12" s="11">
        <v>0.85</v>
      </c>
      <c r="L12" s="11">
        <v>0.85</v>
      </c>
      <c r="M12" s="28"/>
      <c r="N12" s="4" t="str">
        <f>Historical!N12</f>
        <v>COO13</v>
      </c>
      <c r="O12" s="11">
        <f>Ratings!J12</f>
        <v>12.003112096452318</v>
      </c>
      <c r="P12" s="151">
        <v>-5.6974412428558467E-3</v>
      </c>
      <c r="Q12" s="151">
        <v>-5.8971500205911567E-3</v>
      </c>
      <c r="R12" s="151">
        <v>-6.1409185514015837E-3</v>
      </c>
      <c r="S12" s="151">
        <v>-6.4164267224521739E-3</v>
      </c>
      <c r="T12" s="151">
        <v>-6.7208401376794369E-3</v>
      </c>
      <c r="U12" s="151">
        <v>-7.0681938944494151E-3</v>
      </c>
      <c r="V12" s="151">
        <v>-7.2720560184243374E-3</v>
      </c>
      <c r="W12" s="151">
        <v>-7.4961411935622379E-3</v>
      </c>
      <c r="X12" s="151">
        <v>-7.7083162695689893E-3</v>
      </c>
      <c r="Y12" s="151">
        <f t="shared" si="2"/>
        <v>-7.9204913455757399E-3</v>
      </c>
    </row>
    <row r="13" spans="1:25" ht="14.1" customHeight="1" thickBot="1">
      <c r="A13" s="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8"/>
      <c r="N13" s="4" t="str">
        <f>Historical!N13</f>
        <v>COO14</v>
      </c>
      <c r="O13" s="11">
        <f>Ratings!J13</f>
        <v>12.003112096452318</v>
      </c>
      <c r="P13" s="151">
        <v>0</v>
      </c>
      <c r="Q13" s="151">
        <v>0</v>
      </c>
      <c r="R13" s="151">
        <v>0</v>
      </c>
      <c r="S13" s="151">
        <v>0</v>
      </c>
      <c r="T13" s="151">
        <v>0</v>
      </c>
      <c r="U13" s="151">
        <v>0</v>
      </c>
      <c r="V13" s="151">
        <v>0</v>
      </c>
      <c r="W13" s="151">
        <v>0</v>
      </c>
      <c r="X13" s="151">
        <v>0</v>
      </c>
      <c r="Y13" s="151">
        <f t="shared" si="2"/>
        <v>0</v>
      </c>
    </row>
    <row r="14" spans="1:25" ht="14.1" customHeight="1" thickBot="1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N14" s="4" t="str">
        <f>Historical!N14</f>
        <v>COO21</v>
      </c>
      <c r="O14" s="11">
        <f>Ratings!J14</f>
        <v>14.289419162443236</v>
      </c>
      <c r="P14" s="151">
        <v>7.107642252590253</v>
      </c>
      <c r="Q14" s="151">
        <v>7.1106860261924831</v>
      </c>
      <c r="R14" s="151">
        <v>7.1151097396362619</v>
      </c>
      <c r="S14" s="151">
        <v>7.1209016623699926</v>
      </c>
      <c r="T14" s="151">
        <v>7.1280800639178272</v>
      </c>
      <c r="U14" s="151">
        <v>7.1423627644625993</v>
      </c>
      <c r="V14" s="151">
        <v>7.1566723353278379</v>
      </c>
      <c r="W14" s="151">
        <v>7.1710100638937018</v>
      </c>
      <c r="X14" s="151">
        <v>7.1853761715131874</v>
      </c>
      <c r="Y14" s="151">
        <v>7.1997711518813228</v>
      </c>
    </row>
    <row r="15" spans="1:25" ht="14.1" customHeight="1" thickBot="1">
      <c r="A15" s="4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N15" s="4" t="str">
        <f>Historical!N15</f>
        <v>COO22</v>
      </c>
      <c r="O15" s="11">
        <f>Ratings!J15</f>
        <v>12.003112096452318</v>
      </c>
      <c r="P15" s="151">
        <v>7.570762430329415</v>
      </c>
      <c r="Q15" s="151">
        <v>7.8064733964519322</v>
      </c>
      <c r="R15" s="151">
        <v>8.0080587836289325</v>
      </c>
      <c r="S15" s="151">
        <v>8.1761519526892332</v>
      </c>
      <c r="T15" s="151">
        <v>8.3537280506720428</v>
      </c>
      <c r="U15" s="151">
        <v>8.5752925403526223</v>
      </c>
      <c r="V15" s="151">
        <v>8.800451833151536</v>
      </c>
      <c r="W15" s="151">
        <v>9.0292571163732358</v>
      </c>
      <c r="X15" s="151">
        <v>9.2617589820690789</v>
      </c>
      <c r="Y15" s="151">
        <v>9.4980090439895424</v>
      </c>
    </row>
    <row r="16" spans="1:25" ht="14.1" customHeight="1" thickBot="1">
      <c r="A16" s="4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9"/>
      <c r="N16" s="4" t="str">
        <f>Historical!N16</f>
        <v>COO23</v>
      </c>
      <c r="O16" s="11">
        <f>Ratings!J16</f>
        <v>14.289419162443236</v>
      </c>
      <c r="P16" s="151">
        <v>9.7527850486157011</v>
      </c>
      <c r="Q16" s="151">
        <v>12.278478208081822</v>
      </c>
      <c r="R16" s="151">
        <v>14.158067971901479</v>
      </c>
      <c r="S16" s="151">
        <v>15.508718248541104</v>
      </c>
      <c r="T16" s="151">
        <v>16.370969797085415</v>
      </c>
      <c r="U16" s="151">
        <v>17.319920894125843</v>
      </c>
      <c r="V16" s="151">
        <v>17.966272802616917</v>
      </c>
      <c r="W16" s="151">
        <v>18.617754676490154</v>
      </c>
      <c r="X16" s="151">
        <v>19.260556215418177</v>
      </c>
      <c r="Y16" s="151">
        <v>19.899571240598412</v>
      </c>
    </row>
    <row r="17" spans="1:25" ht="14.1" customHeight="1" thickBot="1">
      <c r="A17" s="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9"/>
      <c r="N17" s="4" t="str">
        <f>Historical!N17</f>
        <v>COO24</v>
      </c>
      <c r="O17" s="11">
        <f>Ratings!J17</f>
        <v>12.193637685284894</v>
      </c>
      <c r="P17" s="151">
        <v>8.3550633717466489</v>
      </c>
      <c r="Q17" s="151">
        <v>8.5226057398411879</v>
      </c>
      <c r="R17" s="151">
        <v>8.7009263343733902</v>
      </c>
      <c r="S17" s="151">
        <v>8.8877864293822846</v>
      </c>
      <c r="T17" s="151">
        <v>9.0808183645721829</v>
      </c>
      <c r="U17" s="151">
        <v>9.3216673453654497</v>
      </c>
      <c r="V17" s="151">
        <v>9.5664240131190716</v>
      </c>
      <c r="W17" s="151">
        <v>9.8151440103691154</v>
      </c>
      <c r="X17" s="151">
        <v>10.067882332589008</v>
      </c>
      <c r="Y17" s="151">
        <v>10.324695085877771</v>
      </c>
    </row>
    <row r="18" spans="1:25" ht="14.1" customHeight="1" thickBot="1">
      <c r="A18" s="4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9"/>
      <c r="N18" s="4" t="str">
        <f>Historical!N18</f>
        <v>KLO13</v>
      </c>
      <c r="O18" s="11">
        <f>Ratings!J18</f>
        <v>14.5</v>
      </c>
      <c r="P18" s="151">
        <v>8.7614208350510339</v>
      </c>
      <c r="Q18" s="151">
        <v>11.543382599898356</v>
      </c>
      <c r="R18" s="151">
        <v>12.803619743187912</v>
      </c>
      <c r="S18" s="151">
        <v>13.52465837793793</v>
      </c>
      <c r="T18" s="151">
        <v>14.050939904211614</v>
      </c>
      <c r="U18" s="151">
        <v>14.893802716604279</v>
      </c>
      <c r="V18" s="151">
        <v>15.601082573423888</v>
      </c>
      <c r="W18" s="151">
        <v>16.325297415015285</v>
      </c>
      <c r="X18" s="151">
        <v>17.054526897178764</v>
      </c>
      <c r="Y18" s="151">
        <v>17.793100168055311</v>
      </c>
    </row>
    <row r="19" spans="1:25" ht="14.1" customHeight="1" thickBot="1">
      <c r="A19" s="4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9"/>
      <c r="N19" s="4" t="str">
        <f>Historical!N19</f>
        <v>KLO21</v>
      </c>
      <c r="O19" s="11">
        <f>Ratings!J19</f>
        <v>14.5</v>
      </c>
      <c r="P19" s="151">
        <v>11.610580584494274</v>
      </c>
      <c r="Q19" s="151">
        <v>14.885708383349247</v>
      </c>
      <c r="R19" s="151">
        <v>18.132655745825605</v>
      </c>
      <c r="S19" s="151">
        <v>20.839294968538923</v>
      </c>
      <c r="T19" s="151">
        <v>22.731106431384511</v>
      </c>
      <c r="U19" s="151">
        <v>24.791603501184628</v>
      </c>
      <c r="V19" s="151">
        <v>25.968912084377958</v>
      </c>
      <c r="W19" s="151">
        <v>27.174409937682451</v>
      </c>
      <c r="X19" s="151">
        <v>28.388254952764875</v>
      </c>
      <c r="Y19" s="151">
        <v>29.617653249261124</v>
      </c>
    </row>
    <row r="20" spans="1:25" ht="14.1" customHeight="1" thickBot="1">
      <c r="A20" s="4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9"/>
      <c r="N20" s="4" t="str">
        <f>Historical!N20</f>
        <v>KLO22</v>
      </c>
      <c r="O20" s="11">
        <f>Ratings!J20</f>
        <v>14.289419162443236</v>
      </c>
      <c r="P20" s="151">
        <v>9.2886540035865295</v>
      </c>
      <c r="Q20" s="151">
        <v>12.442861037622844</v>
      </c>
      <c r="R20" s="151">
        <v>15.684265133193371</v>
      </c>
      <c r="S20" s="151">
        <v>19.171716800702789</v>
      </c>
      <c r="T20" s="151">
        <v>21.637705018132142</v>
      </c>
      <c r="U20" s="151">
        <v>24.387437632736511</v>
      </c>
      <c r="V20" s="151">
        <v>26.841505765312831</v>
      </c>
      <c r="W20" s="151">
        <v>29.146167271713761</v>
      </c>
      <c r="X20" s="151">
        <v>31.473128333875444</v>
      </c>
      <c r="Y20" s="151">
        <v>33.473716554042582</v>
      </c>
    </row>
    <row r="21" spans="1:25" ht="14.1" customHeight="1" thickBot="1">
      <c r="A21" s="4"/>
      <c r="B21" s="168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9"/>
      <c r="N21" s="4" t="str">
        <f>Historical!N21</f>
        <v>KLO23</v>
      </c>
      <c r="O21" s="11">
        <f>Ratings!J21</f>
        <v>14.289419162443236</v>
      </c>
      <c r="P21" s="151">
        <v>1.2932366647733105</v>
      </c>
      <c r="Q21" s="151">
        <v>1.3238013581443788</v>
      </c>
      <c r="R21" s="151">
        <v>1.3587190745664171</v>
      </c>
      <c r="S21" s="151">
        <v>1.3982929685511754</v>
      </c>
      <c r="T21" s="151">
        <v>1.442877739112854</v>
      </c>
      <c r="U21" s="151">
        <v>1.5104765790813977</v>
      </c>
      <c r="V21" s="151">
        <v>1.58083255939741</v>
      </c>
      <c r="W21" s="151">
        <v>1.654050530763145</v>
      </c>
      <c r="X21" s="151">
        <v>1.7302389286236863</v>
      </c>
      <c r="Y21" s="151">
        <v>1.8095101915146559</v>
      </c>
    </row>
    <row r="22" spans="1:25" ht="14.1" customHeight="1" thickBot="1">
      <c r="A22" s="4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9"/>
      <c r="N22" s="4" t="str">
        <f>Historical!N22</f>
        <v>ST 11</v>
      </c>
      <c r="O22" s="11">
        <f>Ratings!J22</f>
        <v>22.6</v>
      </c>
      <c r="P22" s="151">
        <v>16.486932078657478</v>
      </c>
      <c r="Q22" s="151">
        <v>17.834722399880828</v>
      </c>
      <c r="R22" s="151">
        <v>19.366210384312211</v>
      </c>
      <c r="S22" s="151">
        <v>20.120941451387459</v>
      </c>
      <c r="T22" s="151">
        <v>20.660222209069943</v>
      </c>
      <c r="U22" s="151">
        <v>21.418171799279833</v>
      </c>
      <c r="V22" s="151">
        <v>22.198172474599311</v>
      </c>
      <c r="W22" s="151">
        <v>23.000806758575127</v>
      </c>
      <c r="X22" s="151">
        <v>23.826668487791924</v>
      </c>
      <c r="Y22" s="151">
        <v>24.676367181384428</v>
      </c>
    </row>
    <row r="23" spans="1:25" ht="14.1" customHeight="1" thickBot="1">
      <c r="A23" s="4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9"/>
      <c r="N23" s="4" t="str">
        <f>Historical!N23</f>
        <v>ST 12</v>
      </c>
      <c r="O23" s="11">
        <f>Ratings!J23</f>
        <v>14.6</v>
      </c>
      <c r="P23" s="151">
        <v>12.600980133783871</v>
      </c>
      <c r="Q23" s="151">
        <v>15.320383624795241</v>
      </c>
      <c r="R23" s="151">
        <v>18.887427748208658</v>
      </c>
      <c r="S23" s="151">
        <v>22.306896531970686</v>
      </c>
      <c r="T23" s="151">
        <v>25.633837706667634</v>
      </c>
      <c r="U23" s="151">
        <v>28.533598714937298</v>
      </c>
      <c r="V23" s="151">
        <v>30.527717331325025</v>
      </c>
      <c r="W23" s="151">
        <v>32.103612343832573</v>
      </c>
      <c r="X23" s="151">
        <v>33.65598134415918</v>
      </c>
      <c r="Y23" s="151">
        <v>35.113506866607302</v>
      </c>
    </row>
    <row r="24" spans="1:25" ht="14.1" customHeight="1" thickBot="1">
      <c r="A24" s="4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9"/>
      <c r="N24" s="4" t="str">
        <f>Historical!N24</f>
        <v>ST 13</v>
      </c>
      <c r="O24" s="11">
        <f>Ratings!J24</f>
        <v>14.289419162443236</v>
      </c>
      <c r="P24" s="151">
        <v>9.5688375560886012</v>
      </c>
      <c r="Q24" s="151">
        <v>10.713011731707835</v>
      </c>
      <c r="R24" s="151">
        <v>11.738942777752728</v>
      </c>
      <c r="S24" s="151">
        <v>12.100208460991496</v>
      </c>
      <c r="T24" s="151">
        <v>12.160807600545347</v>
      </c>
      <c r="U24" s="151">
        <v>12.282461317139935</v>
      </c>
      <c r="V24" s="151">
        <v>12.405328997054724</v>
      </c>
      <c r="W24" s="151">
        <v>12.529424891369828</v>
      </c>
      <c r="X24" s="151">
        <v>12.654761562761738</v>
      </c>
      <c r="Y24" s="151">
        <v>12.781352189051116</v>
      </c>
    </row>
    <row r="25" spans="1:25" ht="14.1" customHeight="1" thickBot="1">
      <c r="A25" s="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9"/>
      <c r="N25" s="4" t="str">
        <f>Historical!N25</f>
        <v>ST 14</v>
      </c>
      <c r="O25" s="11">
        <f>Ratings!J25</f>
        <v>14.289419162443236</v>
      </c>
      <c r="P25" s="151">
        <v>6.7102551893744717</v>
      </c>
      <c r="Q25" s="151">
        <v>6.7184971418015857</v>
      </c>
      <c r="R25" s="151">
        <v>6.730739240768858</v>
      </c>
      <c r="S25" s="151">
        <v>7.410615475739033</v>
      </c>
      <c r="T25" s="151">
        <v>8.0965405024247747</v>
      </c>
      <c r="U25" s="151">
        <v>8.808785699574992</v>
      </c>
      <c r="V25" s="151">
        <v>8.8616691782312174</v>
      </c>
      <c r="W25" s="151">
        <v>8.9148695069163857</v>
      </c>
      <c r="X25" s="151">
        <v>8.9683887886316516</v>
      </c>
      <c r="Y25" s="151">
        <v>9.0222294821621176</v>
      </c>
    </row>
    <row r="26" spans="1:25" ht="14.1" customHeight="1" thickBot="1">
      <c r="A26" s="4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9"/>
      <c r="N26" s="4" t="str">
        <f>Historical!N26</f>
        <v>ST 21</v>
      </c>
      <c r="O26" s="11">
        <f>Ratings!J26</f>
        <v>14.289419162443236</v>
      </c>
      <c r="P26" s="151">
        <v>1.4089873557039319</v>
      </c>
      <c r="Q26" s="151">
        <v>1.4090271289798408</v>
      </c>
      <c r="R26" s="151">
        <v>1.4090582806347702</v>
      </c>
      <c r="S26" s="151">
        <v>1.4090780358891875</v>
      </c>
      <c r="T26" s="151">
        <v>1.4090894025515321</v>
      </c>
      <c r="U26" s="151">
        <v>1.4090946386282266</v>
      </c>
      <c r="V26" s="151">
        <v>1.4090995305039611</v>
      </c>
      <c r="W26" s="151">
        <v>1.4091043219422403</v>
      </c>
      <c r="X26" s="151">
        <v>1.4091090456897002</v>
      </c>
      <c r="Y26" s="151">
        <v>1.409113787513226</v>
      </c>
    </row>
    <row r="27" spans="1:25" ht="14.1" customHeight="1" thickBot="1">
      <c r="A27" s="4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9"/>
      <c r="N27" s="4" t="str">
        <f>Historical!N27</f>
        <v>ST 22</v>
      </c>
      <c r="O27" s="11">
        <f>Ratings!J27</f>
        <v>22.482019482244024</v>
      </c>
      <c r="P27" s="151">
        <v>14.385616655685888</v>
      </c>
      <c r="Q27" s="151">
        <v>17.939637446538178</v>
      </c>
      <c r="R27" s="151">
        <v>21.479650271145111</v>
      </c>
      <c r="S27" s="151">
        <v>24.21680193802743</v>
      </c>
      <c r="T27" s="151">
        <v>26.290664174964274</v>
      </c>
      <c r="U27" s="151">
        <v>27.522382117555065</v>
      </c>
      <c r="V27" s="151">
        <v>28.804337893188535</v>
      </c>
      <c r="W27" s="151">
        <v>30.138441985703139</v>
      </c>
      <c r="X27" s="151">
        <v>31.526670196508871</v>
      </c>
      <c r="Y27" s="151">
        <v>32.971071267297582</v>
      </c>
    </row>
    <row r="28" spans="1:25" ht="14.1" customHeight="1" thickBot="1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N28" s="4" t="str">
        <f>Historical!N28</f>
        <v>ST 23</v>
      </c>
      <c r="O28" s="11">
        <f>Ratings!J28</f>
        <v>22.482019482244024</v>
      </c>
      <c r="P28" s="151">
        <v>10.533543125573289</v>
      </c>
      <c r="Q28" s="151">
        <v>11.841458266200698</v>
      </c>
      <c r="R28" s="151">
        <v>13.297633886022531</v>
      </c>
      <c r="S28" s="151">
        <v>13.728012786978546</v>
      </c>
      <c r="T28" s="151">
        <v>13.910959481141672</v>
      </c>
      <c r="U28" s="151">
        <v>14.129825007081603</v>
      </c>
      <c r="V28" s="151">
        <v>14.350529023700327</v>
      </c>
      <c r="W28" s="151">
        <v>14.573086842862866</v>
      </c>
      <c r="X28" s="151">
        <v>14.797511796519561</v>
      </c>
      <c r="Y28" s="151">
        <v>15.023817886160762</v>
      </c>
    </row>
    <row r="29" spans="1:25" ht="14.1" customHeight="1" thickBot="1">
      <c r="A29" s="4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N29" s="4" t="str">
        <f>Historical!N29</f>
        <v>ST 24</v>
      </c>
      <c r="O29" s="11">
        <f>Ratings!J29</f>
        <v>14.289419162443236</v>
      </c>
      <c r="P29" s="151">
        <v>7.0449367785196584</v>
      </c>
      <c r="Q29" s="151">
        <v>7.4963192287763141</v>
      </c>
      <c r="R29" s="151">
        <v>7.9476785210270053</v>
      </c>
      <c r="S29" s="151">
        <v>8.3989898336739479</v>
      </c>
      <c r="T29" s="151">
        <v>8.399057586118488</v>
      </c>
      <c r="U29" s="151">
        <v>8.3990887964232428</v>
      </c>
      <c r="V29" s="151">
        <v>8.399117955074157</v>
      </c>
      <c r="W29" s="151">
        <v>8.3991465150547775</v>
      </c>
      <c r="X29" s="151">
        <v>8.3991746715556133</v>
      </c>
      <c r="Y29" s="151">
        <v>8.3992029358011475</v>
      </c>
    </row>
    <row r="30" spans="1:25" ht="14.1" customHeight="1" thickBot="1">
      <c r="A30" s="4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N30" s="4" t="str">
        <f>Historical!N30</f>
        <v>ST 31</v>
      </c>
      <c r="O30" s="11">
        <f>Ratings!J30</f>
        <v>22.482019482244024</v>
      </c>
      <c r="P30" s="151">
        <v>2.2086828819142714</v>
      </c>
      <c r="Q30" s="151">
        <v>2.2087452292116421</v>
      </c>
      <c r="R30" s="151">
        <v>2.2087940615355861</v>
      </c>
      <c r="S30" s="151">
        <v>2.2088250292316993</v>
      </c>
      <c r="T30" s="151">
        <v>2.2088428472429431</v>
      </c>
      <c r="U30" s="151">
        <v>2.2088510551469498</v>
      </c>
      <c r="V30" s="151">
        <v>2.2088587234926953</v>
      </c>
      <c r="W30" s="151">
        <v>2.2088662343959444</v>
      </c>
      <c r="X30" s="151">
        <v>2.2088736391892598</v>
      </c>
      <c r="Y30" s="151">
        <v>2.2088810723180301</v>
      </c>
    </row>
    <row r="31" spans="1:25" ht="14.1" customHeight="1" thickBot="1">
      <c r="A31" s="4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N31" s="4" t="str">
        <f>Historical!N31</f>
        <v>ST 32</v>
      </c>
      <c r="O31" s="11">
        <f>Ratings!J31</f>
        <v>12.6</v>
      </c>
      <c r="P31" s="151">
        <v>6.9692832690770947</v>
      </c>
      <c r="Q31" s="151">
        <v>7.373465350403233</v>
      </c>
      <c r="R31" s="151">
        <v>7.5969826531139404</v>
      </c>
      <c r="S31" s="151">
        <v>7.8707701784907931</v>
      </c>
      <c r="T31" s="151">
        <v>8.1770434185781404</v>
      </c>
      <c r="U31" s="151">
        <v>8.6675533673662546</v>
      </c>
      <c r="V31" s="151">
        <v>9.0791598604355279</v>
      </c>
      <c r="W31" s="151">
        <v>9.5006217871424052</v>
      </c>
      <c r="X31" s="151">
        <v>9.9250020192413757</v>
      </c>
      <c r="Y31" s="151">
        <v>10.354819934977293</v>
      </c>
    </row>
    <row r="32" spans="1:25" ht="14.1" customHeight="1" thickBot="1">
      <c r="A32" s="4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N32" s="4" t="str">
        <f>Historical!N32</f>
        <v>ST 33</v>
      </c>
      <c r="O32" s="11">
        <f>Ratings!J32</f>
        <v>12.5</v>
      </c>
      <c r="P32" s="151">
        <v>8.5577681021881755</v>
      </c>
      <c r="Q32" s="151">
        <v>8.8090193606136733</v>
      </c>
      <c r="R32" s="151">
        <v>9.0515613335032299</v>
      </c>
      <c r="S32" s="151">
        <v>9.2415581442912202</v>
      </c>
      <c r="T32" s="151">
        <v>9.4422735717980064</v>
      </c>
      <c r="U32" s="151">
        <v>9.6927093667711901</v>
      </c>
      <c r="V32" s="151">
        <v>9.9472083912718627</v>
      </c>
      <c r="W32" s="151">
        <v>10.205828502645753</v>
      </c>
      <c r="X32" s="151">
        <v>10.468626885420134</v>
      </c>
      <c r="Y32" s="151">
        <v>10.735661878955479</v>
      </c>
    </row>
    <row r="33" spans="1:26" ht="14.1" customHeight="1" thickBot="1">
      <c r="A33" s="4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N33" s="4" t="str">
        <f>Historical!N33</f>
        <v>ST 34</v>
      </c>
      <c r="O33" s="11">
        <f>Ratings!J33</f>
        <v>14.289419162443236</v>
      </c>
      <c r="P33" s="151">
        <v>12.597213891035929</v>
      </c>
      <c r="Q33" s="151">
        <v>13.356446040170413</v>
      </c>
      <c r="R33" s="151">
        <v>13.637482474372325</v>
      </c>
      <c r="S33" s="151">
        <v>13.843691201338604</v>
      </c>
      <c r="T33" s="151">
        <v>13.913021889132523</v>
      </c>
      <c r="U33" s="151">
        <v>14.052204324828558</v>
      </c>
      <c r="V33" s="151">
        <v>14.192775640178105</v>
      </c>
      <c r="W33" s="151">
        <v>14.334752139656652</v>
      </c>
      <c r="X33" s="151">
        <v>14.478148196059061</v>
      </c>
      <c r="Y33" s="151">
        <v>14.62297888595865</v>
      </c>
    </row>
    <row r="34" spans="1:26" ht="14.1" customHeight="1" thickBot="1">
      <c r="A34" s="4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N34" s="4"/>
      <c r="O34" s="11"/>
      <c r="P34" s="151"/>
      <c r="Q34" s="151"/>
      <c r="R34" s="151"/>
      <c r="S34" s="151"/>
      <c r="T34" s="151"/>
      <c r="U34" s="151"/>
      <c r="V34" s="151"/>
      <c r="W34" s="151"/>
      <c r="X34" s="151"/>
      <c r="Y34" s="151"/>
    </row>
    <row r="35" spans="1:26" ht="14.1" customHeight="1" thickBot="1">
      <c r="A35" s="4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N35" s="4"/>
      <c r="O35" s="11"/>
      <c r="P35" s="151"/>
      <c r="Q35" s="151"/>
      <c r="R35" s="151"/>
      <c r="S35" s="151"/>
      <c r="T35" s="151"/>
      <c r="U35" s="151"/>
      <c r="V35" s="151"/>
      <c r="W35" s="151"/>
      <c r="X35" s="151"/>
      <c r="Y35" s="151"/>
    </row>
    <row r="36" spans="1:26" ht="14.1" customHeight="1" thickBot="1">
      <c r="A36" s="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N36" s="4"/>
      <c r="O36" s="11"/>
      <c r="P36" s="151"/>
      <c r="Q36" s="151"/>
      <c r="R36" s="151"/>
      <c r="S36" s="151"/>
      <c r="T36" s="151"/>
      <c r="U36" s="151"/>
      <c r="V36" s="151"/>
      <c r="W36" s="151"/>
      <c r="X36" s="151"/>
      <c r="Y36" s="151"/>
    </row>
    <row r="37" spans="1:26" ht="14.1" customHeight="1" thickBot="1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N37" s="4"/>
      <c r="O37" s="11"/>
      <c r="P37" s="151"/>
      <c r="Q37" s="151"/>
      <c r="R37" s="151"/>
      <c r="S37" s="151"/>
      <c r="T37" s="151"/>
      <c r="U37" s="151"/>
      <c r="V37" s="151"/>
      <c r="W37" s="151"/>
      <c r="X37" s="151"/>
      <c r="Y37" s="151"/>
    </row>
    <row r="38" spans="1:26" ht="14.1" customHeight="1" thickBot="1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N38" s="4"/>
      <c r="O38" s="11"/>
      <c r="P38" s="151"/>
      <c r="Q38" s="151"/>
      <c r="R38" s="151"/>
      <c r="S38" s="151"/>
      <c r="T38" s="151"/>
      <c r="U38" s="151"/>
      <c r="V38" s="151"/>
      <c r="W38" s="151"/>
      <c r="X38" s="151"/>
      <c r="Y38" s="151"/>
    </row>
    <row r="39" spans="1:26" ht="14.1" customHeight="1" thickBot="1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N39" s="4"/>
      <c r="O39" s="11"/>
      <c r="P39" s="151"/>
      <c r="Q39" s="151"/>
      <c r="R39" s="151"/>
      <c r="S39" s="151"/>
      <c r="T39" s="151"/>
      <c r="U39" s="151"/>
      <c r="V39" s="151"/>
      <c r="W39" s="151"/>
      <c r="X39" s="151"/>
      <c r="Y39" s="151"/>
    </row>
    <row r="40" spans="1:26" ht="14.1" customHeight="1" thickBot="1">
      <c r="A40" s="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N40" s="4"/>
      <c r="O40" s="11"/>
      <c r="P40" s="151"/>
      <c r="Q40" s="151"/>
      <c r="R40" s="151"/>
      <c r="S40" s="151"/>
      <c r="T40" s="151"/>
      <c r="U40" s="151"/>
      <c r="V40" s="151"/>
      <c r="W40" s="151"/>
      <c r="X40" s="151"/>
      <c r="Y40" s="151"/>
    </row>
    <row r="41" spans="1:26" ht="14.1" customHeight="1" thickBot="1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N41" s="4"/>
      <c r="O41" s="11"/>
      <c r="P41" s="151"/>
      <c r="Q41" s="151"/>
      <c r="R41" s="151"/>
      <c r="S41" s="151"/>
      <c r="T41" s="151"/>
      <c r="U41" s="151"/>
      <c r="V41" s="151"/>
      <c r="W41" s="151"/>
      <c r="X41" s="151"/>
      <c r="Y41" s="151"/>
    </row>
    <row r="42" spans="1:26" ht="14.1" customHeight="1" thickBot="1">
      <c r="A42" s="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N42" s="4"/>
      <c r="O42" s="11"/>
      <c r="P42" s="151"/>
      <c r="Q42" s="151"/>
      <c r="R42" s="151"/>
      <c r="S42" s="151"/>
      <c r="T42" s="151"/>
      <c r="U42" s="151"/>
      <c r="V42" s="151"/>
      <c r="W42" s="151"/>
      <c r="X42" s="151"/>
      <c r="Y42" s="151"/>
    </row>
    <row r="43" spans="1:26" ht="14.1" customHeight="1" thickBot="1">
      <c r="A43" s="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N43" s="4"/>
      <c r="O43" s="11"/>
      <c r="P43" s="151"/>
      <c r="Q43" s="151"/>
      <c r="R43" s="151"/>
      <c r="S43" s="151"/>
      <c r="T43" s="151"/>
      <c r="U43" s="151"/>
      <c r="V43" s="151"/>
      <c r="W43" s="151"/>
      <c r="X43" s="151"/>
      <c r="Y43" s="151"/>
    </row>
    <row r="44" spans="1:26" ht="14.1" customHeight="1" thickBot="1"/>
    <row r="45" spans="1:26" ht="14.1" customHeight="1" thickBot="1">
      <c r="A45" s="1" t="s">
        <v>101</v>
      </c>
      <c r="B45" s="2" t="str">
        <f>B1</f>
        <v>Rating</v>
      </c>
      <c r="C45" s="2" t="s">
        <v>102</v>
      </c>
      <c r="D45" s="2">
        <f t="shared" ref="D45:L45" si="8">D1</f>
        <v>2026</v>
      </c>
      <c r="E45" s="2">
        <f t="shared" si="8"/>
        <v>2027</v>
      </c>
      <c r="F45" s="2">
        <f t="shared" si="8"/>
        <v>2028</v>
      </c>
      <c r="G45" s="2">
        <f t="shared" si="8"/>
        <v>2029</v>
      </c>
      <c r="H45" s="2">
        <f t="shared" si="8"/>
        <v>2030</v>
      </c>
      <c r="I45" s="2">
        <f t="shared" si="8"/>
        <v>2031</v>
      </c>
      <c r="J45" s="2">
        <f t="shared" si="8"/>
        <v>2032</v>
      </c>
      <c r="K45" s="2">
        <f t="shared" si="8"/>
        <v>2033</v>
      </c>
      <c r="L45" s="2">
        <f t="shared" si="8"/>
        <v>2034</v>
      </c>
      <c r="N45" s="1" t="s">
        <v>103</v>
      </c>
      <c r="O45" s="2" t="str">
        <f>O1</f>
        <v>Rating</v>
      </c>
      <c r="P45" s="2" t="s">
        <v>102</v>
      </c>
      <c r="Q45" s="2">
        <f t="shared" ref="Q45:T45" si="9">Q1</f>
        <v>2026</v>
      </c>
      <c r="R45" s="2">
        <f t="shared" si="9"/>
        <v>2027</v>
      </c>
      <c r="S45" s="2">
        <f t="shared" si="9"/>
        <v>2028</v>
      </c>
      <c r="T45" s="2">
        <f t="shared" si="9"/>
        <v>2029</v>
      </c>
      <c r="U45" s="2">
        <f>U1</f>
        <v>2030</v>
      </c>
      <c r="V45" s="2">
        <f>V1</f>
        <v>2031</v>
      </c>
      <c r="W45" s="2">
        <f t="shared" ref="W45:Y45" si="10">W1</f>
        <v>2032</v>
      </c>
      <c r="X45" s="2">
        <f t="shared" si="10"/>
        <v>2033</v>
      </c>
      <c r="Y45" s="2">
        <f t="shared" si="10"/>
        <v>2034</v>
      </c>
      <c r="Z45" t="s">
        <v>104</v>
      </c>
    </row>
    <row r="46" spans="1:26" ht="14.1" customHeight="1" thickTop="1" thickBot="1">
      <c r="A46" s="11" t="s">
        <v>105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N46" s="6" t="s">
        <v>105</v>
      </c>
      <c r="O46" s="11"/>
      <c r="P46" s="152"/>
      <c r="Q46" s="152"/>
      <c r="R46" s="151"/>
      <c r="S46" s="151"/>
      <c r="T46" s="151"/>
      <c r="U46" s="151"/>
      <c r="V46" s="151"/>
      <c r="W46" s="151"/>
      <c r="X46" s="151"/>
      <c r="Y46" s="151"/>
    </row>
    <row r="47" spans="1:26" ht="14.1" customHeight="1" thickBot="1">
      <c r="A47" s="11" t="str">
        <f>A2</f>
        <v>ST</v>
      </c>
      <c r="B47" s="11">
        <f>B2</f>
        <v>89.3</v>
      </c>
      <c r="C47" s="11"/>
      <c r="D47" s="11">
        <f>D2+((Q52+Q53+Q54+Q55+Q56+Q132+Q133)-(Q22+Q23+Q27+Q31+Q32+Q29+Q26))*D$12</f>
        <v>58.978698607963452</v>
      </c>
      <c r="E47" s="11">
        <f t="shared" ref="E47:L47" si="11">E2+((R52+R53+R54+R55+R56+R132+R133)-(R22+R23+R27+R31+R32+R29+R26))*E$12</f>
        <v>61.280583297788766</v>
      </c>
      <c r="F47" s="11">
        <f t="shared" si="11"/>
        <v>62.819154365256409</v>
      </c>
      <c r="G47" s="11">
        <f t="shared" si="11"/>
        <v>64.124647936076741</v>
      </c>
      <c r="H47" s="11">
        <f t="shared" si="11"/>
        <v>64.838654464191535</v>
      </c>
      <c r="I47" s="11">
        <f t="shared" si="11"/>
        <v>65.708904808198639</v>
      </c>
      <c r="J47" s="11">
        <f t="shared" si="11"/>
        <v>66.738370031578597</v>
      </c>
      <c r="K47" s="11">
        <f t="shared" si="11"/>
        <v>67.761106465099076</v>
      </c>
      <c r="L47" s="11">
        <f t="shared" si="11"/>
        <v>68.809016271375384</v>
      </c>
      <c r="N47" s="154" t="str">
        <f>Ratings!H42</f>
        <v>CBN11 new</v>
      </c>
      <c r="O47" s="11">
        <f>Ratings!J42</f>
        <v>14.3</v>
      </c>
      <c r="P47" s="151">
        <f>0.2+2.5+1.9</f>
        <v>4.5999999999999996</v>
      </c>
      <c r="Q47" s="151">
        <f>$P47+Q23*30%</f>
        <v>9.1961150874385709</v>
      </c>
      <c r="R47" s="151">
        <f t="shared" ref="R47:Y47" si="12">$P47+R23*30%</f>
        <v>10.266228324462597</v>
      </c>
      <c r="S47" s="151">
        <f t="shared" si="12"/>
        <v>11.292068959591205</v>
      </c>
      <c r="T47" s="151">
        <f t="shared" si="12"/>
        <v>12.29015131200029</v>
      </c>
      <c r="U47" s="151">
        <f t="shared" si="12"/>
        <v>13.160079614481189</v>
      </c>
      <c r="V47" s="151">
        <f t="shared" si="12"/>
        <v>13.758315199397506</v>
      </c>
      <c r="W47" s="151">
        <f t="shared" si="12"/>
        <v>14.231083703149771</v>
      </c>
      <c r="X47" s="151">
        <f t="shared" si="12"/>
        <v>14.696794403247754</v>
      </c>
      <c r="Y47" s="151">
        <f t="shared" si="12"/>
        <v>15.13405205998219</v>
      </c>
    </row>
    <row r="48" spans="1:26" ht="14.1" customHeight="1" thickBot="1">
      <c r="A48" s="11" t="str">
        <f t="shared" ref="A48:B53" si="13">A3</f>
        <v>KLO</v>
      </c>
      <c r="B48" s="11">
        <f t="shared" si="13"/>
        <v>49.1</v>
      </c>
      <c r="C48" s="11"/>
      <c r="D48" s="11">
        <f>D3+((Q59+Q129+Q130+Q131)-(Q18+Q19+Q20+Q21))*D$12</f>
        <v>23.982699095483984</v>
      </c>
      <c r="E48" s="11">
        <f t="shared" ref="E48:L48" si="14">E3+((R59+R129+R130+R131)-(R18+R19+R20+R21))*E$12</f>
        <v>26.402256772158832</v>
      </c>
      <c r="F48" s="11">
        <f t="shared" si="14"/>
        <v>28.186082125087392</v>
      </c>
      <c r="G48" s="11">
        <f t="shared" si="14"/>
        <v>29.453827996616873</v>
      </c>
      <c r="H48" s="11">
        <f t="shared" si="14"/>
        <v>30.258825810495679</v>
      </c>
      <c r="I48" s="11">
        <f t="shared" si="14"/>
        <v>30.949837274056755</v>
      </c>
      <c r="J48" s="11">
        <f t="shared" si="14"/>
        <v>31.780744355884352</v>
      </c>
      <c r="K48" s="11">
        <f t="shared" si="14"/>
        <v>32.631347032816727</v>
      </c>
      <c r="L48" s="11">
        <f t="shared" si="14"/>
        <v>33.70456200406776</v>
      </c>
      <c r="N48" s="154" t="str">
        <f>Ratings!H46</f>
        <v>CBN22 new</v>
      </c>
      <c r="O48" s="11">
        <f>Ratings!J46</f>
        <v>12.7</v>
      </c>
      <c r="P48" s="151">
        <f>1.5+1.2+1.5</f>
        <v>4.2</v>
      </c>
      <c r="Q48" s="151">
        <f>$P48+Q23*15%+Q20*10%</f>
        <v>7.7423436474815706</v>
      </c>
      <c r="R48" s="151">
        <f t="shared" ref="R48:Y48" si="15">$P48+R23*15%+R20*10%</f>
        <v>8.6015406755506358</v>
      </c>
      <c r="S48" s="151">
        <f t="shared" si="15"/>
        <v>9.4632061598658819</v>
      </c>
      <c r="T48" s="151">
        <f t="shared" si="15"/>
        <v>10.20884615781336</v>
      </c>
      <c r="U48" s="151">
        <f t="shared" si="15"/>
        <v>10.918783570514245</v>
      </c>
      <c r="V48" s="151">
        <f t="shared" si="15"/>
        <v>11.463308176230036</v>
      </c>
      <c r="W48" s="151">
        <f t="shared" si="15"/>
        <v>11.930158578746262</v>
      </c>
      <c r="X48" s="151">
        <f t="shared" si="15"/>
        <v>12.395710035011422</v>
      </c>
      <c r="Y48" s="151">
        <f t="shared" si="15"/>
        <v>12.814397685395354</v>
      </c>
    </row>
    <row r="49" spans="1:26" ht="14.1" customHeight="1" thickBot="1">
      <c r="A49" s="11" t="str">
        <f t="shared" si="13"/>
        <v>BD</v>
      </c>
      <c r="B49" s="11">
        <f t="shared" si="13"/>
        <v>125.1</v>
      </c>
      <c r="C49" s="11"/>
      <c r="D49" s="11">
        <f>D4+((Q121+Q122+Q123)-(Q6+Q7+Q8))*D$12</f>
        <v>85.428922053971988</v>
      </c>
      <c r="E49" s="11">
        <f t="shared" ref="E49:L49" si="16">E4+((R121+R122+R123)-(R6+R7+R8))*E$12</f>
        <v>89.710644398188506</v>
      </c>
      <c r="F49" s="11">
        <f t="shared" si="16"/>
        <v>92.561495427050218</v>
      </c>
      <c r="G49" s="11">
        <f t="shared" si="16"/>
        <v>94.037154323768846</v>
      </c>
      <c r="H49" s="11">
        <f t="shared" si="16"/>
        <v>95.054606103768378</v>
      </c>
      <c r="I49" s="11">
        <f t="shared" si="16"/>
        <v>96.076302689746285</v>
      </c>
      <c r="J49" s="11">
        <f t="shared" si="16"/>
        <v>97.102285839904582</v>
      </c>
      <c r="K49" s="11">
        <f t="shared" si="16"/>
        <v>98.132556655907877</v>
      </c>
      <c r="L49" s="11">
        <f t="shared" si="16"/>
        <v>99.167119296319342</v>
      </c>
      <c r="N49" s="154" t="str">
        <f>Ratings!H44</f>
        <v>CBN13 new</v>
      </c>
      <c r="O49" s="11">
        <f>Ratings!J44</f>
        <v>12.7</v>
      </c>
      <c r="P49" s="151">
        <v>2.5</v>
      </c>
      <c r="Q49" s="151">
        <f>$P49+Q20*25%</f>
        <v>5.610715259405711</v>
      </c>
      <c r="R49" s="151">
        <f t="shared" ref="R49:Y49" si="17">$P49+R20*25%</f>
        <v>6.4210662832983427</v>
      </c>
      <c r="S49" s="151">
        <f t="shared" si="17"/>
        <v>7.2929292001756973</v>
      </c>
      <c r="T49" s="151">
        <f t="shared" si="17"/>
        <v>7.9094262545330354</v>
      </c>
      <c r="U49" s="151">
        <f t="shared" si="17"/>
        <v>8.5968594081841267</v>
      </c>
      <c r="V49" s="151">
        <f t="shared" si="17"/>
        <v>9.2103764413282079</v>
      </c>
      <c r="W49" s="151">
        <f t="shared" si="17"/>
        <v>9.7865418179284411</v>
      </c>
      <c r="X49" s="151">
        <f t="shared" si="17"/>
        <v>10.368282083468861</v>
      </c>
      <c r="Y49" s="151">
        <f t="shared" si="17"/>
        <v>10.868429138510646</v>
      </c>
    </row>
    <row r="50" spans="1:26" ht="14.1" customHeight="1" thickBot="1">
      <c r="A50" s="11" t="str">
        <f t="shared" si="13"/>
        <v>COO</v>
      </c>
      <c r="B50" s="11">
        <f t="shared" si="13"/>
        <v>39.6</v>
      </c>
      <c r="C50" s="11"/>
      <c r="D50" s="11">
        <f>D5+((Q51+Q124+Q125+Q126+Q127+Q128)-(P10+P12+P14+P15+P17+P16))*D$12</f>
        <v>30.783298283361876</v>
      </c>
      <c r="E50" s="11">
        <f t="shared" ref="E50:L50" si="18">E5+((R51+R124+R125+R126+R127+R128)-(Q10+Q12+Q14+Q15+Q17+Q16))*E$12</f>
        <v>31.783386305578425</v>
      </c>
      <c r="F50" s="11">
        <f t="shared" si="18"/>
        <v>32.292110566194708</v>
      </c>
      <c r="G50" s="11">
        <f t="shared" si="18"/>
        <v>32.663715745540799</v>
      </c>
      <c r="H50" s="11">
        <f t="shared" si="18"/>
        <v>33.688769048243202</v>
      </c>
      <c r="I50" s="11">
        <f t="shared" si="18"/>
        <v>34.218615459748499</v>
      </c>
      <c r="J50" s="11">
        <f t="shared" si="18"/>
        <v>34.823785744927456</v>
      </c>
      <c r="K50" s="11">
        <f t="shared" si="18"/>
        <v>35.599341120063997</v>
      </c>
      <c r="L50" s="11">
        <f t="shared" si="18"/>
        <v>36.38351090214735</v>
      </c>
      <c r="N50" s="154" t="str">
        <f>Ratings!H45</f>
        <v>CBN21 new</v>
      </c>
      <c r="O50" s="11">
        <f>Ratings!J45</f>
        <v>12.7</v>
      </c>
      <c r="P50" s="151" t="s">
        <v>33</v>
      </c>
      <c r="Q50" s="151">
        <f>Q20*30%</f>
        <v>3.732858311286853</v>
      </c>
      <c r="R50" s="151">
        <f t="shared" ref="R50:Y50" si="19">R20*30%</f>
        <v>4.7052795399580107</v>
      </c>
      <c r="S50" s="151">
        <f t="shared" si="19"/>
        <v>5.7515150402108368</v>
      </c>
      <c r="T50" s="151">
        <f t="shared" si="19"/>
        <v>6.4913115054396426</v>
      </c>
      <c r="U50" s="151">
        <f t="shared" si="19"/>
        <v>7.3162312898209532</v>
      </c>
      <c r="V50" s="151">
        <f t="shared" si="19"/>
        <v>8.0524517295938498</v>
      </c>
      <c r="W50" s="151">
        <f t="shared" si="19"/>
        <v>8.7438501815141283</v>
      </c>
      <c r="X50" s="151">
        <f t="shared" si="19"/>
        <v>9.4419385001626335</v>
      </c>
      <c r="Y50" s="151">
        <f t="shared" si="19"/>
        <v>10.042114966212774</v>
      </c>
    </row>
    <row r="51" spans="1:26" ht="14.1" customHeight="1" thickBot="1">
      <c r="A51" s="11" t="str">
        <f t="shared" si="13"/>
        <v>BMS</v>
      </c>
      <c r="B51" s="11">
        <f t="shared" si="13"/>
        <v>39.6</v>
      </c>
      <c r="C51" s="11"/>
      <c r="D51" s="11">
        <f>D6</f>
        <v>34.374845245369556</v>
      </c>
      <c r="E51" s="11">
        <f t="shared" ref="E51:L51" si="20">E6</f>
        <v>35.015347131782349</v>
      </c>
      <c r="F51" s="11">
        <f t="shared" si="20"/>
        <v>35.405534194643096</v>
      </c>
      <c r="G51" s="11">
        <f t="shared" si="20"/>
        <v>35.733349549338143</v>
      </c>
      <c r="H51" s="11">
        <f t="shared" si="20"/>
        <v>36.079353631207674</v>
      </c>
      <c r="I51" s="11">
        <f t="shared" si="20"/>
        <v>36.42600739730171</v>
      </c>
      <c r="J51" s="11">
        <f t="shared" si="20"/>
        <v>36.773317928149027</v>
      </c>
      <c r="K51" s="11">
        <f t="shared" si="20"/>
        <v>37.121286986315539</v>
      </c>
      <c r="L51" s="11">
        <f t="shared" si="20"/>
        <v>37.469917777640717</v>
      </c>
      <c r="N51" s="154" t="str">
        <f>Ratings!H14</f>
        <v>COO21</v>
      </c>
      <c r="O51" s="11">
        <f>Ratings!J14</f>
        <v>14.289419162443236</v>
      </c>
      <c r="P51" s="151" t="s">
        <v>29</v>
      </c>
      <c r="Q51" s="151">
        <f>Q16*50%+Q12</f>
        <v>6.1333419540203193</v>
      </c>
      <c r="R51" s="151">
        <f t="shared" ref="R51:Y51" si="21">R16*50%+R12</f>
        <v>7.0728930673993382</v>
      </c>
      <c r="S51" s="151">
        <f t="shared" si="21"/>
        <v>7.7479426975481003</v>
      </c>
      <c r="T51" s="151">
        <f t="shared" si="21"/>
        <v>8.1787640584050276</v>
      </c>
      <c r="U51" s="151">
        <f t="shared" si="21"/>
        <v>8.6528922531684724</v>
      </c>
      <c r="V51" s="151">
        <f t="shared" si="21"/>
        <v>8.9758643452900344</v>
      </c>
      <c r="W51" s="151">
        <f t="shared" si="21"/>
        <v>9.3013811970515157</v>
      </c>
      <c r="X51" s="151">
        <f t="shared" si="21"/>
        <v>9.6225697914395187</v>
      </c>
      <c r="Y51" s="151">
        <f t="shared" si="21"/>
        <v>9.9418651289536299</v>
      </c>
      <c r="Z51" s="15">
        <f>Y14</f>
        <v>7.1997711518813228</v>
      </c>
    </row>
    <row r="52" spans="1:26" ht="14.1" customHeight="1" thickBot="1">
      <c r="A52" s="11" t="str">
        <f t="shared" si="13"/>
        <v>SMTS-ST-SSS-SMTS</v>
      </c>
      <c r="B52" s="11">
        <f t="shared" si="13"/>
        <v>126.3</v>
      </c>
      <c r="C52" s="11"/>
      <c r="D52" s="11">
        <f>D47+D54</f>
        <v>91.484220620772561</v>
      </c>
      <c r="E52" s="11">
        <f t="shared" ref="E52:L52" si="22">E47+E54</f>
        <v>98.947382717883471</v>
      </c>
      <c r="F52" s="11">
        <f t="shared" si="22"/>
        <v>105.27177025267237</v>
      </c>
      <c r="G52" s="11">
        <f t="shared" si="22"/>
        <v>110.38746591387488</v>
      </c>
      <c r="H52" s="11">
        <f t="shared" si="22"/>
        <v>114.42783179802318</v>
      </c>
      <c r="I52" s="11">
        <f t="shared" si="22"/>
        <v>118.1431467622393</v>
      </c>
      <c r="J52" s="11">
        <f t="shared" si="22"/>
        <v>121.80470962928152</v>
      </c>
      <c r="K52" s="11">
        <f t="shared" si="22"/>
        <v>125.49353584506116</v>
      </c>
      <c r="L52" s="11">
        <f t="shared" si="22"/>
        <v>129.02276809542983</v>
      </c>
      <c r="N52" s="154" t="str">
        <f>Ratings!H22</f>
        <v>ST 11</v>
      </c>
      <c r="O52" s="11">
        <f>Ratings!J22</f>
        <v>22.6</v>
      </c>
      <c r="P52" s="151">
        <f>-2.5-1.5</f>
        <v>-4</v>
      </c>
      <c r="Q52" s="151">
        <f>Q22+$P52</f>
        <v>13.834722399880828</v>
      </c>
      <c r="R52" s="151">
        <f t="shared" ref="R52:Y52" si="23">R22+$P52</f>
        <v>15.366210384312211</v>
      </c>
      <c r="S52" s="151">
        <f t="shared" si="23"/>
        <v>16.120941451387459</v>
      </c>
      <c r="T52" s="151">
        <f t="shared" si="23"/>
        <v>16.660222209069943</v>
      </c>
      <c r="U52" s="151">
        <f t="shared" si="23"/>
        <v>17.418171799279833</v>
      </c>
      <c r="V52" s="151">
        <f t="shared" si="23"/>
        <v>18.198172474599311</v>
      </c>
      <c r="W52" s="151">
        <f t="shared" si="23"/>
        <v>19.000806758575127</v>
      </c>
      <c r="X52" s="151">
        <f t="shared" si="23"/>
        <v>19.826668487791924</v>
      </c>
      <c r="Y52" s="151">
        <f t="shared" si="23"/>
        <v>20.676367181384428</v>
      </c>
      <c r="Z52" s="15">
        <f>Y22</f>
        <v>24.676367181384428</v>
      </c>
    </row>
    <row r="53" spans="1:26" ht="14.1" customHeight="1" thickBot="1">
      <c r="A53" s="11" t="str">
        <f t="shared" si="13"/>
        <v>TTS-COO-VCO-BD-BMS-TTS</v>
      </c>
      <c r="B53" s="11">
        <f t="shared" si="13"/>
        <v>217.33903638151426</v>
      </c>
      <c r="C53" s="11"/>
      <c r="D53" s="11">
        <f>D50+D51+D49+D9</f>
        <v>178.37441883766479</v>
      </c>
      <c r="E53" s="11">
        <f t="shared" ref="E53:L53" si="24">E50+E51+E49+E9</f>
        <v>184.29734543073323</v>
      </c>
      <c r="F53" s="11">
        <f t="shared" si="24"/>
        <v>188.04749737545228</v>
      </c>
      <c r="G53" s="11">
        <f t="shared" si="24"/>
        <v>190.22280096758936</v>
      </c>
      <c r="H53" s="11">
        <f t="shared" si="24"/>
        <v>192.61141339256639</v>
      </c>
      <c r="I53" s="11">
        <f t="shared" si="24"/>
        <v>194.50970662857932</v>
      </c>
      <c r="J53" s="11">
        <f t="shared" si="24"/>
        <v>196.48826508647758</v>
      </c>
      <c r="K53" s="11">
        <f t="shared" si="24"/>
        <v>198.6421534925704</v>
      </c>
      <c r="L53" s="11">
        <f t="shared" si="24"/>
        <v>200.80961021965405</v>
      </c>
      <c r="N53" s="154" t="str">
        <f>Ratings!H23</f>
        <v>ST 12</v>
      </c>
      <c r="O53" s="11">
        <f>Ratings!J23</f>
        <v>14.6</v>
      </c>
      <c r="P53" s="151" t="s">
        <v>106</v>
      </c>
      <c r="Q53" s="151">
        <f>Q23*45%</f>
        <v>6.8941726311578586</v>
      </c>
      <c r="R53" s="151">
        <f t="shared" ref="R53:Y53" si="25">R23*45%</f>
        <v>8.4993424866938962</v>
      </c>
      <c r="S53" s="151">
        <f t="shared" si="25"/>
        <v>10.038103439386809</v>
      </c>
      <c r="T53" s="151">
        <f t="shared" si="25"/>
        <v>11.535226968000435</v>
      </c>
      <c r="U53" s="151">
        <f t="shared" si="25"/>
        <v>12.840119421721784</v>
      </c>
      <c r="V53" s="151">
        <f t="shared" si="25"/>
        <v>13.737472799096262</v>
      </c>
      <c r="W53" s="151">
        <f t="shared" si="25"/>
        <v>14.446625554724658</v>
      </c>
      <c r="X53" s="151">
        <f t="shared" si="25"/>
        <v>15.145191604871631</v>
      </c>
      <c r="Y53" s="151">
        <f t="shared" si="25"/>
        <v>15.801078089973286</v>
      </c>
      <c r="Z53" s="15">
        <f>Y23</f>
        <v>35.113506866607302</v>
      </c>
    </row>
    <row r="54" spans="1:26" ht="14.1" customHeight="1" thickBot="1">
      <c r="A54" s="11" t="str">
        <f>Ratings!A9</f>
        <v>CBN</v>
      </c>
      <c r="B54" s="11">
        <f>Ratings!E9</f>
        <v>39.6</v>
      </c>
      <c r="C54" s="11"/>
      <c r="D54" s="11">
        <f>(Q47+Q48+Q49+Q50+Q57+Q58)*D$12</f>
        <v>32.505522012809102</v>
      </c>
      <c r="E54" s="11">
        <f t="shared" ref="E54:L54" si="26">(R47+R48+R49+R50+R57+R58)*E$12</f>
        <v>37.666799420094712</v>
      </c>
      <c r="F54" s="11">
        <f t="shared" si="26"/>
        <v>42.452615887415959</v>
      </c>
      <c r="G54" s="11">
        <f t="shared" si="26"/>
        <v>46.262817977798136</v>
      </c>
      <c r="H54" s="11">
        <f t="shared" si="26"/>
        <v>49.589177333831643</v>
      </c>
      <c r="I54" s="11">
        <f t="shared" si="26"/>
        <v>52.434241954040658</v>
      </c>
      <c r="J54" s="11">
        <f t="shared" si="26"/>
        <v>55.066339597702914</v>
      </c>
      <c r="K54" s="11">
        <f t="shared" si="26"/>
        <v>57.732429379962092</v>
      </c>
      <c r="L54" s="11">
        <f t="shared" si="26"/>
        <v>60.213751824054448</v>
      </c>
      <c r="N54" s="154" t="str">
        <f>Ratings!H27</f>
        <v>ST 22</v>
      </c>
      <c r="O54" s="11">
        <f>Ratings!J27</f>
        <v>22.482019482244024</v>
      </c>
      <c r="P54" s="151" t="s">
        <v>20</v>
      </c>
      <c r="Q54" s="151">
        <f>Q27-0.2-1.5-2.5-Q57-Q58</f>
        <v>1.7798791488460601</v>
      </c>
      <c r="R54" s="151">
        <f t="shared" ref="R54:Y54" si="27">R27-0.2-1.5-2.5-R57-R58</f>
        <v>2.9598834237150378</v>
      </c>
      <c r="S54" s="151">
        <f t="shared" si="27"/>
        <v>3.8722673126758096</v>
      </c>
      <c r="T54" s="151">
        <f t="shared" si="27"/>
        <v>4.5635547249880908</v>
      </c>
      <c r="U54" s="151">
        <f t="shared" si="27"/>
        <v>4.9741273725183568</v>
      </c>
      <c r="V54" s="151">
        <f t="shared" si="27"/>
        <v>5.4014459643961779</v>
      </c>
      <c r="W54" s="151">
        <f t="shared" si="27"/>
        <v>5.8461473285677137</v>
      </c>
      <c r="X54" s="151">
        <f t="shared" si="27"/>
        <v>6.3088900655029576</v>
      </c>
      <c r="Y54" s="151">
        <f t="shared" si="27"/>
        <v>6.790357089099194</v>
      </c>
      <c r="Z54" s="15">
        <f>Y27</f>
        <v>32.971071267297582</v>
      </c>
    </row>
    <row r="55" spans="1:26" ht="14.1" customHeight="1" thickBot="1">
      <c r="A55" s="11" t="s">
        <v>97</v>
      </c>
      <c r="B55" s="11">
        <f>B10</f>
        <v>33</v>
      </c>
      <c r="C55" s="11"/>
      <c r="D55" s="11">
        <f>(Q124+Q125+Q11+Q13)*D$12</f>
        <v>17.056472754201469</v>
      </c>
      <c r="E55" s="11">
        <f t="shared" ref="E55:L55" si="28">(R124+R125+R11+R13)*E$12</f>
        <v>17.992009391314422</v>
      </c>
      <c r="F55" s="11">
        <f t="shared" si="28"/>
        <v>18.30870299382779</v>
      </c>
      <c r="G55" s="11">
        <f t="shared" si="28"/>
        <v>18.615615395589291</v>
      </c>
      <c r="H55" s="11">
        <f t="shared" si="28"/>
        <v>18.972068338936175</v>
      </c>
      <c r="I55" s="11">
        <f t="shared" si="28"/>
        <v>19.334130469317508</v>
      </c>
      <c r="J55" s="11">
        <f t="shared" si="28"/>
        <v>19.701882426408115</v>
      </c>
      <c r="K55" s="11">
        <f t="shared" si="28"/>
        <v>20.075403018732604</v>
      </c>
      <c r="L55" s="11">
        <f t="shared" si="28"/>
        <v>20.454772874033317</v>
      </c>
      <c r="M55" s="28" t="s">
        <v>98</v>
      </c>
      <c r="N55" s="4" t="str">
        <f>Ratings!H31</f>
        <v>ST 32</v>
      </c>
      <c r="O55" s="155">
        <f>Ratings!J31</f>
        <v>12.6</v>
      </c>
      <c r="P55" s="151" t="s">
        <v>107</v>
      </c>
      <c r="Q55" s="151">
        <f>Q31</f>
        <v>7.373465350403233</v>
      </c>
      <c r="R55" s="151">
        <f t="shared" ref="R55:Y55" si="29">R31</f>
        <v>7.5969826531139404</v>
      </c>
      <c r="S55" s="151">
        <f t="shared" si="29"/>
        <v>7.8707701784907931</v>
      </c>
      <c r="T55" s="151">
        <f t="shared" si="29"/>
        <v>8.1770434185781404</v>
      </c>
      <c r="U55" s="151">
        <f t="shared" si="29"/>
        <v>8.6675533673662546</v>
      </c>
      <c r="V55" s="151">
        <f t="shared" si="29"/>
        <v>9.0791598604355279</v>
      </c>
      <c r="W55" s="151">
        <f t="shared" si="29"/>
        <v>9.5006217871424052</v>
      </c>
      <c r="X55" s="151">
        <f t="shared" si="29"/>
        <v>9.9250020192413757</v>
      </c>
      <c r="Y55" s="151">
        <f t="shared" si="29"/>
        <v>10.354819934977293</v>
      </c>
      <c r="Z55" s="15">
        <f>Y31</f>
        <v>10.354819934977293</v>
      </c>
    </row>
    <row r="56" spans="1:26" ht="14.1" customHeight="1" thickBot="1">
      <c r="A56" s="11" t="s">
        <v>99</v>
      </c>
      <c r="B56" s="11">
        <f>B11</f>
        <v>33</v>
      </c>
      <c r="C56" s="11"/>
      <c r="D56" s="11">
        <f>(Q51+Q126+Q127+Q128)*D$12</f>
        <v>17.37155253227662</v>
      </c>
      <c r="E56" s="11">
        <f t="shared" ref="E56:L56" si="30">(R51+R126+R127+R128)*E$12</f>
        <v>19.130456670498553</v>
      </c>
      <c r="F56" s="11">
        <f t="shared" si="30"/>
        <v>20.429130360926248</v>
      </c>
      <c r="G56" s="11">
        <f t="shared" si="30"/>
        <v>21.31929383988437</v>
      </c>
      <c r="H56" s="11">
        <f t="shared" si="30"/>
        <v>22.322132746626863</v>
      </c>
      <c r="I56" s="11">
        <f t="shared" si="30"/>
        <v>23.071072869273728</v>
      </c>
      <c r="J56" s="11">
        <f t="shared" si="30"/>
        <v>23.827590233867603</v>
      </c>
      <c r="K56" s="11">
        <f t="shared" si="30"/>
        <v>24.580018273006001</v>
      </c>
      <c r="L56" s="11">
        <f t="shared" si="30"/>
        <v>25.332552392058517</v>
      </c>
      <c r="M56" s="42">
        <f>B56+B55*L55/L56</f>
        <v>59.645854487789677</v>
      </c>
      <c r="N56" s="4" t="str">
        <f>Ratings!H32</f>
        <v>ST 33</v>
      </c>
      <c r="O56" s="155">
        <f>Ratings!J32</f>
        <v>12.5</v>
      </c>
      <c r="P56" s="151">
        <f>-1.9-1.2</f>
        <v>-3.0999999999999996</v>
      </c>
      <c r="Q56" s="151">
        <f>Q32+$P56+Q23*10%</f>
        <v>7.2410577230931974</v>
      </c>
      <c r="R56" s="151">
        <f t="shared" ref="R56:Y56" si="31">R32+$P56+R23*10%</f>
        <v>7.8403041083240961</v>
      </c>
      <c r="S56" s="151">
        <f t="shared" si="31"/>
        <v>8.3722477974882885</v>
      </c>
      <c r="T56" s="151">
        <f t="shared" si="31"/>
        <v>8.9056573424647709</v>
      </c>
      <c r="U56" s="151">
        <f t="shared" si="31"/>
        <v>9.4460692382649203</v>
      </c>
      <c r="V56" s="151">
        <f t="shared" si="31"/>
        <v>9.8999801244043653</v>
      </c>
      <c r="W56" s="151">
        <f t="shared" si="31"/>
        <v>10.31618973702901</v>
      </c>
      <c r="X56" s="151">
        <f t="shared" si="31"/>
        <v>10.734225019836053</v>
      </c>
      <c r="Y56" s="151">
        <f t="shared" si="31"/>
        <v>11.14701256561621</v>
      </c>
      <c r="Z56" s="15">
        <f>Y32</f>
        <v>10.735661878955479</v>
      </c>
    </row>
    <row r="57" spans="1:26" ht="14.1" customHeight="1" thickBo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N57" s="154" t="str">
        <f>Ratings!H43</f>
        <v>CBN12 new</v>
      </c>
      <c r="O57" s="11">
        <f>Ratings!J43</f>
        <v>14.3</v>
      </c>
      <c r="P57" s="151" t="s">
        <v>108</v>
      </c>
      <c r="Q57" s="151">
        <f>Q27/3</f>
        <v>5.9798791488460594</v>
      </c>
      <c r="R57" s="151">
        <f t="shared" ref="R57:Y57" si="32">R27/3</f>
        <v>7.1598834237150371</v>
      </c>
      <c r="S57" s="151">
        <f t="shared" si="32"/>
        <v>8.0722673126758107</v>
      </c>
      <c r="T57" s="151">
        <f t="shared" si="32"/>
        <v>8.7635547249880918</v>
      </c>
      <c r="U57" s="151">
        <f t="shared" si="32"/>
        <v>9.1741273725183543</v>
      </c>
      <c r="V57" s="151">
        <f t="shared" si="32"/>
        <v>9.6014459643961789</v>
      </c>
      <c r="W57" s="151">
        <f t="shared" si="32"/>
        <v>10.046147328567713</v>
      </c>
      <c r="X57" s="151">
        <f t="shared" si="32"/>
        <v>10.508890065502957</v>
      </c>
      <c r="Y57" s="151">
        <f t="shared" si="32"/>
        <v>10.990357089099193</v>
      </c>
    </row>
    <row r="58" spans="1:26" ht="14.1" customHeight="1" thickBot="1">
      <c r="A58" s="11" t="s">
        <v>109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N58" s="154" t="str">
        <f>Ratings!H47</f>
        <v>CBN23 new</v>
      </c>
      <c r="O58" s="11">
        <f>Ratings!J47</f>
        <v>14.3</v>
      </c>
      <c r="P58" s="151" t="s">
        <v>108</v>
      </c>
      <c r="Q58" s="151">
        <f>Q27/3</f>
        <v>5.9798791488460594</v>
      </c>
      <c r="R58" s="151">
        <f t="shared" ref="R58:Y58" si="33">R27/3</f>
        <v>7.1598834237150371</v>
      </c>
      <c r="S58" s="151">
        <f t="shared" si="33"/>
        <v>8.0722673126758107</v>
      </c>
      <c r="T58" s="151">
        <f t="shared" si="33"/>
        <v>8.7635547249880918</v>
      </c>
      <c r="U58" s="151">
        <f t="shared" si="33"/>
        <v>9.1741273725183543</v>
      </c>
      <c r="V58" s="151">
        <f t="shared" si="33"/>
        <v>9.6014459643961789</v>
      </c>
      <c r="W58" s="151">
        <f t="shared" si="33"/>
        <v>10.046147328567713</v>
      </c>
      <c r="X58" s="151">
        <f t="shared" si="33"/>
        <v>10.508890065502957</v>
      </c>
      <c r="Y58" s="151">
        <f t="shared" si="33"/>
        <v>10.990357089099193</v>
      </c>
    </row>
    <row r="59" spans="1:26" ht="14.1" customHeight="1" thickBot="1">
      <c r="A59" s="11" t="str">
        <f t="shared" ref="A59:B65" si="34">A2</f>
        <v>ST</v>
      </c>
      <c r="B59" s="11">
        <f t="shared" si="34"/>
        <v>89.3</v>
      </c>
      <c r="C59" s="11"/>
      <c r="D59" s="11">
        <f>D2+((Q84+Q85+Q86+Q87+Q88+Q132+Q133)-(Q22+Q23+Q27+Q31+Q32+Q29+Q26))*D$12</f>
        <v>66.21316288374021</v>
      </c>
      <c r="E59" s="11">
        <f t="shared" ref="E59:L59" si="35">E2+((R84+R85+R86+R87+R88+R132+R133)-(R22+R23+R27+R31+R32+R29+R26))*E$12</f>
        <v>68.558305538842745</v>
      </c>
      <c r="F59" s="11">
        <f t="shared" si="35"/>
        <v>69.870382237857086</v>
      </c>
      <c r="G59" s="11">
        <f t="shared" si="35"/>
        <v>70.703502088619103</v>
      </c>
      <c r="H59" s="11">
        <f t="shared" si="35"/>
        <v>70.678893292890749</v>
      </c>
      <c r="I59" s="11">
        <f t="shared" si="35"/>
        <v>71.163992764228112</v>
      </c>
      <c r="J59" s="11">
        <f t="shared" si="35"/>
        <v>71.966611768505572</v>
      </c>
      <c r="K59" s="11">
        <f t="shared" si="35"/>
        <v>72.789734801078922</v>
      </c>
      <c r="L59" s="11">
        <f t="shared" si="35"/>
        <v>73.689450685875386</v>
      </c>
      <c r="N59" s="4" t="str">
        <f>Ratings!H20</f>
        <v>KLO22</v>
      </c>
      <c r="O59" s="155">
        <f>Ratings!J20</f>
        <v>14.289419162443236</v>
      </c>
      <c r="P59" s="151" t="s">
        <v>23</v>
      </c>
      <c r="Q59" s="151">
        <f t="shared" ref="Q59:Y59" si="36">Q20*35%+0.5</f>
        <v>4.8550013631679949</v>
      </c>
      <c r="R59" s="151">
        <f t="shared" si="36"/>
        <v>5.9894927966176796</v>
      </c>
      <c r="S59" s="151">
        <f t="shared" si="36"/>
        <v>7.2101008802459763</v>
      </c>
      <c r="T59" s="151">
        <f t="shared" si="36"/>
        <v>8.073196756346249</v>
      </c>
      <c r="U59" s="151">
        <f t="shared" si="36"/>
        <v>9.0356031714577778</v>
      </c>
      <c r="V59" s="151">
        <f t="shared" si="36"/>
        <v>9.89452701785949</v>
      </c>
      <c r="W59" s="151">
        <f t="shared" si="36"/>
        <v>10.701158545099815</v>
      </c>
      <c r="X59" s="151">
        <f t="shared" si="36"/>
        <v>11.515594916856404</v>
      </c>
      <c r="Y59" s="151">
        <f t="shared" si="36"/>
        <v>12.215800793914903</v>
      </c>
      <c r="Z59" s="15">
        <f>Y20</f>
        <v>33.473716554042582</v>
      </c>
    </row>
    <row r="60" spans="1:26" ht="14.1" customHeight="1" thickBot="1">
      <c r="A60" s="11" t="str">
        <f t="shared" si="34"/>
        <v>KLO</v>
      </c>
      <c r="B60" s="11">
        <f t="shared" si="34"/>
        <v>49.1</v>
      </c>
      <c r="C60" s="11"/>
      <c r="D60" s="11">
        <f>D3+((Q91+Q129+Q130+Q131)-(Q18+Q19+Q20+Q21))*D$12</f>
        <v>24.595972679098558</v>
      </c>
      <c r="E60" s="11">
        <f t="shared" ref="E60:L60" si="37">E3+((R91+R129+R130+R131)-(R18+R19+R20+R21))*E$12</f>
        <v>27.204053513771349</v>
      </c>
      <c r="F60" s="11">
        <f t="shared" si="37"/>
        <v>29.008544562462454</v>
      </c>
      <c r="G60" s="11">
        <f t="shared" si="37"/>
        <v>30.314433516548956</v>
      </c>
      <c r="H60" s="11">
        <f t="shared" si="37"/>
        <v>30.978232472306139</v>
      </c>
      <c r="I60" s="11">
        <f t="shared" si="37"/>
        <v>31.574282730821423</v>
      </c>
      <c r="J60" s="11">
        <f t="shared" si="37"/>
        <v>32.338143166310381</v>
      </c>
      <c r="K60" s="11">
        <f t="shared" si="37"/>
        <v>33.128057103654115</v>
      </c>
      <c r="L60" s="11">
        <f t="shared" si="37"/>
        <v>34.191745258867911</v>
      </c>
      <c r="N60" s="154" t="s">
        <v>16</v>
      </c>
      <c r="O60" s="11">
        <v>14.3</v>
      </c>
      <c r="P60" s="151" t="s">
        <v>110</v>
      </c>
      <c r="Q60" s="151">
        <f>Q6</f>
        <v>10.249300834986897</v>
      </c>
      <c r="R60" s="151">
        <f t="shared" ref="R60:Y60" si="38">R6</f>
        <v>10.664980738046109</v>
      </c>
      <c r="S60" s="151">
        <f t="shared" si="38"/>
        <v>10.788166437875512</v>
      </c>
      <c r="T60" s="151">
        <f t="shared" si="38"/>
        <v>10.79904171664325</v>
      </c>
      <c r="U60" s="151">
        <f t="shared" si="38"/>
        <v>10.820680008809763</v>
      </c>
      <c r="V60" s="151">
        <f t="shared" si="38"/>
        <v>10.842359009513359</v>
      </c>
      <c r="W60" s="151">
        <f t="shared" si="38"/>
        <v>10.864080669135062</v>
      </c>
      <c r="X60" s="151">
        <f t="shared" si="38"/>
        <v>10.885845323024672</v>
      </c>
      <c r="Y60" s="151">
        <f t="shared" si="38"/>
        <v>10.90765371913019</v>
      </c>
    </row>
    <row r="61" spans="1:26" ht="14.1" customHeight="1" thickBot="1">
      <c r="A61" s="11" t="str">
        <f t="shared" si="34"/>
        <v>BD</v>
      </c>
      <c r="B61" s="11">
        <f t="shared" si="34"/>
        <v>125.1</v>
      </c>
      <c r="C61" s="11"/>
      <c r="D61" s="11">
        <f>D4+((Q121+Q122+Q123)-(Q6+Q7+Q8))*D$12</f>
        <v>85.428922053971988</v>
      </c>
      <c r="E61" s="11">
        <f t="shared" ref="E61:L61" si="39">E4+((R121+R122+R123)-(R6+R7+R8))*E$12</f>
        <v>89.710644398188506</v>
      </c>
      <c r="F61" s="11">
        <f t="shared" si="39"/>
        <v>92.561495427050218</v>
      </c>
      <c r="G61" s="11">
        <f t="shared" si="39"/>
        <v>94.037154323768846</v>
      </c>
      <c r="H61" s="11">
        <f t="shared" si="39"/>
        <v>95.054606103768378</v>
      </c>
      <c r="I61" s="11">
        <f t="shared" si="39"/>
        <v>96.076302689746285</v>
      </c>
      <c r="J61" s="11">
        <f t="shared" si="39"/>
        <v>97.102285839904582</v>
      </c>
      <c r="K61" s="11">
        <f t="shared" si="39"/>
        <v>98.132556655907877</v>
      </c>
      <c r="L61" s="11">
        <f t="shared" si="39"/>
        <v>99.167119296319342</v>
      </c>
      <c r="N61" s="154"/>
      <c r="O61" s="11"/>
      <c r="P61" s="151"/>
      <c r="Q61" s="151"/>
      <c r="R61" s="151"/>
      <c r="S61" s="151"/>
      <c r="T61" s="151"/>
      <c r="U61" s="151"/>
      <c r="V61" s="151"/>
      <c r="W61" s="151"/>
      <c r="X61" s="151"/>
      <c r="Y61" s="151"/>
    </row>
    <row r="62" spans="1:26" ht="14.1" customHeight="1" thickBot="1">
      <c r="A62" s="11" t="str">
        <f t="shared" si="34"/>
        <v>COO</v>
      </c>
      <c r="B62" s="11">
        <f t="shared" si="34"/>
        <v>39.6</v>
      </c>
      <c r="C62" s="11"/>
      <c r="D62" s="11">
        <f>D5+((Q83+Q124+Q125+Q126+Q127+Q128)-(Q10+Q12+Q14+Q15+Q16+Q17))*D$12</f>
        <v>27.333806824643233</v>
      </c>
      <c r="E62" s="11">
        <f t="shared" ref="E62:L62" si="40">E5+((R83+R124+R125+R126+R127+R128)-(R10+R12+R14+R15+R16+R17))*E$12</f>
        <v>28.835568965013856</v>
      </c>
      <c r="F62" s="11">
        <f t="shared" si="40"/>
        <v>29.939616437697929</v>
      </c>
      <c r="G62" s="11">
        <f t="shared" si="40"/>
        <v>30.992255556627484</v>
      </c>
      <c r="H62" s="11">
        <f t="shared" si="40"/>
        <v>32.051917983047673</v>
      </c>
      <c r="I62" s="11">
        <f t="shared" si="40"/>
        <v>32.999678806819055</v>
      </c>
      <c r="J62" s="11">
        <f t="shared" si="40"/>
        <v>33.69044691717869</v>
      </c>
      <c r="K62" s="11">
        <f t="shared" si="40"/>
        <v>34.563626895165498</v>
      </c>
      <c r="L62" s="11">
        <f t="shared" si="40"/>
        <v>35.428022967666337</v>
      </c>
      <c r="N62" s="154"/>
      <c r="O62" s="11"/>
      <c r="P62" s="151"/>
      <c r="Q62" s="151"/>
      <c r="R62" s="151"/>
      <c r="S62" s="151"/>
      <c r="T62" s="151"/>
      <c r="U62" s="151"/>
      <c r="V62" s="151"/>
      <c r="W62" s="151"/>
      <c r="X62" s="151"/>
      <c r="Y62" s="151"/>
    </row>
    <row r="63" spans="1:26" ht="14.1" customHeight="1" thickBot="1">
      <c r="A63" s="11" t="str">
        <f t="shared" si="34"/>
        <v>BMS</v>
      </c>
      <c r="B63" s="11">
        <f t="shared" si="34"/>
        <v>39.6</v>
      </c>
      <c r="C63" s="11"/>
      <c r="D63" s="11">
        <f t="shared" ref="D63:L63" si="41">D6</f>
        <v>34.374845245369556</v>
      </c>
      <c r="E63" s="11">
        <f t="shared" si="41"/>
        <v>35.015347131782349</v>
      </c>
      <c r="F63" s="11">
        <f t="shared" si="41"/>
        <v>35.405534194643096</v>
      </c>
      <c r="G63" s="11">
        <f t="shared" si="41"/>
        <v>35.733349549338143</v>
      </c>
      <c r="H63" s="11">
        <f t="shared" si="41"/>
        <v>36.079353631207674</v>
      </c>
      <c r="I63" s="11">
        <f t="shared" si="41"/>
        <v>36.42600739730171</v>
      </c>
      <c r="J63" s="11">
        <f t="shared" si="41"/>
        <v>36.773317928149027</v>
      </c>
      <c r="K63" s="11">
        <f t="shared" si="41"/>
        <v>37.121286986315539</v>
      </c>
      <c r="L63" s="11">
        <f t="shared" si="41"/>
        <v>37.469917777640717</v>
      </c>
      <c r="N63" s="154"/>
      <c r="O63" s="11"/>
      <c r="P63" s="151"/>
      <c r="Q63" s="151"/>
      <c r="R63" s="151"/>
      <c r="S63" s="151"/>
      <c r="T63" s="151"/>
      <c r="U63" s="151"/>
      <c r="V63" s="151"/>
      <c r="W63" s="151"/>
      <c r="X63" s="151"/>
      <c r="Y63" s="151"/>
    </row>
    <row r="64" spans="1:26" ht="14.1" customHeight="1" thickBot="1">
      <c r="A64" s="11" t="str">
        <f t="shared" si="34"/>
        <v>SMTS-ST-SSS-SMTS</v>
      </c>
      <c r="B64" s="11">
        <f t="shared" si="34"/>
        <v>126.3</v>
      </c>
      <c r="C64" s="11"/>
      <c r="D64" s="11">
        <f>D59+D66</f>
        <v>91.599588817507225</v>
      </c>
      <c r="E64" s="11">
        <f t="shared" ref="E64:L64" si="42">E59+E66</f>
        <v>99.009451789820844</v>
      </c>
      <c r="F64" s="11">
        <f t="shared" si="42"/>
        <v>105.23584030226303</v>
      </c>
      <c r="G64" s="11">
        <f t="shared" si="42"/>
        <v>110.03591136171616</v>
      </c>
      <c r="H64" s="11">
        <f t="shared" si="42"/>
        <v>114.00244566118819</v>
      </c>
      <c r="I64" s="11">
        <f t="shared" si="42"/>
        <v>117.64328828823486</v>
      </c>
      <c r="J64" s="11">
        <f t="shared" si="42"/>
        <v>121.27321218217642</v>
      </c>
      <c r="K64" s="11">
        <f t="shared" si="42"/>
        <v>124.92361775353376</v>
      </c>
      <c r="L64" s="11">
        <f t="shared" si="42"/>
        <v>128.37639494949778</v>
      </c>
      <c r="N64" s="154"/>
      <c r="O64" s="11"/>
      <c r="P64" s="151"/>
      <c r="Q64" s="151"/>
      <c r="R64" s="151"/>
      <c r="S64" s="151"/>
      <c r="T64" s="151"/>
      <c r="U64" s="151"/>
      <c r="V64" s="151"/>
      <c r="W64" s="151"/>
      <c r="X64" s="151"/>
      <c r="Y64" s="151"/>
    </row>
    <row r="65" spans="1:25" ht="14.1" customHeight="1" thickBot="1">
      <c r="A65" s="11" t="str">
        <f t="shared" si="34"/>
        <v>TTS-COO-VCO-BD-BMS-TTS</v>
      </c>
      <c r="B65" s="11">
        <f t="shared" si="34"/>
        <v>217.33903638151426</v>
      </c>
      <c r="C65" s="11"/>
      <c r="D65" s="11">
        <f t="shared" ref="D65:L65" si="43">D62+D9+D61+D63</f>
        <v>174.92492737894617</v>
      </c>
      <c r="E65" s="11">
        <f t="shared" si="43"/>
        <v>181.34952809016863</v>
      </c>
      <c r="F65" s="11">
        <f t="shared" si="43"/>
        <v>185.69500324695548</v>
      </c>
      <c r="G65" s="11">
        <f t="shared" si="43"/>
        <v>188.55134077867604</v>
      </c>
      <c r="H65" s="11">
        <f t="shared" si="43"/>
        <v>190.97456232737088</v>
      </c>
      <c r="I65" s="11">
        <f t="shared" si="43"/>
        <v>193.29076997564988</v>
      </c>
      <c r="J65" s="11">
        <f t="shared" si="43"/>
        <v>195.35492625872882</v>
      </c>
      <c r="K65" s="11">
        <f t="shared" si="43"/>
        <v>197.6064392676719</v>
      </c>
      <c r="L65" s="11">
        <f t="shared" si="43"/>
        <v>199.85412228517302</v>
      </c>
      <c r="N65" s="154"/>
      <c r="O65" s="11"/>
      <c r="P65" s="151"/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:25" ht="14.1" customHeight="1" thickBot="1">
      <c r="A66" s="11" t="str">
        <f>Ratings!A10</f>
        <v>GVE</v>
      </c>
      <c r="B66" s="11">
        <f>Ratings!E10</f>
        <v>39.6</v>
      </c>
      <c r="C66" s="11"/>
      <c r="D66" s="11">
        <f>(Q80+Q81+Q82+Q89+Q90)*D$12</f>
        <v>25.386425933767022</v>
      </c>
      <c r="E66" s="11">
        <f t="shared" ref="E66:L66" si="44">(R80+R81+R82+R89+R90)*E$12</f>
        <v>30.451146250978105</v>
      </c>
      <c r="F66" s="11">
        <f t="shared" si="44"/>
        <v>35.365458064405942</v>
      </c>
      <c r="G66" s="11">
        <f t="shared" si="44"/>
        <v>39.332409273097049</v>
      </c>
      <c r="H66" s="11">
        <f t="shared" si="44"/>
        <v>43.323552368297442</v>
      </c>
      <c r="I66" s="11">
        <f t="shared" si="44"/>
        <v>46.479295524006737</v>
      </c>
      <c r="J66" s="11">
        <f t="shared" si="44"/>
        <v>49.306600413670857</v>
      </c>
      <c r="K66" s="11">
        <f t="shared" si="44"/>
        <v>52.133882952454847</v>
      </c>
      <c r="L66" s="11">
        <f t="shared" si="44"/>
        <v>54.686944263622394</v>
      </c>
      <c r="N66" s="154"/>
      <c r="O66" s="11"/>
      <c r="P66" s="151"/>
      <c r="Q66" s="151"/>
      <c r="R66" s="151"/>
      <c r="S66" s="151"/>
      <c r="T66" s="151"/>
      <c r="U66" s="151"/>
      <c r="V66" s="151"/>
      <c r="W66" s="151"/>
      <c r="X66" s="151"/>
      <c r="Y66" s="151"/>
    </row>
    <row r="67" spans="1:25" ht="14.1" customHeight="1" thickBot="1">
      <c r="A67" s="11" t="str">
        <f>A55</f>
        <v>COO Bus No.1</v>
      </c>
      <c r="B67" s="11">
        <f>B10</f>
        <v>33</v>
      </c>
      <c r="C67" s="11"/>
      <c r="D67" s="11">
        <f>(Q124+Q125+Q11+Q13)*D$12</f>
        <v>17.056472754201469</v>
      </c>
      <c r="E67" s="11">
        <f t="shared" ref="E67:L67" si="45">(R124+R125+R11+R13)*E$12</f>
        <v>17.992009391314422</v>
      </c>
      <c r="F67" s="11">
        <f t="shared" si="45"/>
        <v>18.30870299382779</v>
      </c>
      <c r="G67" s="11">
        <f t="shared" si="45"/>
        <v>18.615615395589291</v>
      </c>
      <c r="H67" s="11">
        <f t="shared" si="45"/>
        <v>18.972068338936175</v>
      </c>
      <c r="I67" s="11">
        <f t="shared" si="45"/>
        <v>19.334130469317508</v>
      </c>
      <c r="J67" s="11">
        <f t="shared" si="45"/>
        <v>19.701882426408115</v>
      </c>
      <c r="K67" s="11">
        <f t="shared" si="45"/>
        <v>20.075403018732604</v>
      </c>
      <c r="L67" s="11">
        <f t="shared" si="45"/>
        <v>20.454772874033317</v>
      </c>
      <c r="M67" s="28" t="s">
        <v>98</v>
      </c>
      <c r="N67" s="4"/>
      <c r="O67" s="155"/>
      <c r="P67" s="151"/>
      <c r="Q67" s="151"/>
      <c r="R67" s="151"/>
      <c r="S67" s="151"/>
      <c r="T67" s="151"/>
      <c r="U67" s="151"/>
      <c r="V67" s="151"/>
      <c r="W67" s="151"/>
      <c r="X67" s="151"/>
      <c r="Y67" s="151"/>
    </row>
    <row r="68" spans="1:25" ht="14.1" customHeight="1" thickBot="1">
      <c r="A68" s="11" t="str">
        <f>A56</f>
        <v>COO Bus No.2</v>
      </c>
      <c r="B68" s="11">
        <f>B11</f>
        <v>33</v>
      </c>
      <c r="C68" s="11"/>
      <c r="D68" s="11">
        <f>(Q83+Q126+Q127+Q128)*D$12</f>
        <v>16.637898174409862</v>
      </c>
      <c r="E68" s="11">
        <f t="shared" ref="E68:L68" si="46">(R83+R126+R127+R128)*E$12</f>
        <v>18.261371076179952</v>
      </c>
      <c r="F68" s="11">
        <f t="shared" si="46"/>
        <v>19.637143911246447</v>
      </c>
      <c r="G68" s="11">
        <f t="shared" si="46"/>
        <v>20.804530157993991</v>
      </c>
      <c r="H68" s="11">
        <f t="shared" si="46"/>
        <v>22.022104256841118</v>
      </c>
      <c r="I68" s="11">
        <f t="shared" si="46"/>
        <v>22.940304638897853</v>
      </c>
      <c r="J68" s="11">
        <f t="shared" si="46"/>
        <v>23.795317150532139</v>
      </c>
      <c r="K68" s="11">
        <f t="shared" si="46"/>
        <v>24.646674224866889</v>
      </c>
      <c r="L68" s="11">
        <f t="shared" si="46"/>
        <v>25.485009865546644</v>
      </c>
      <c r="M68" s="42">
        <f>B68+B67*L67/L68</f>
        <v>59.48645256188999</v>
      </c>
      <c r="N68" s="4"/>
      <c r="O68" s="155"/>
      <c r="P68" s="151"/>
      <c r="Q68" s="151"/>
      <c r="R68" s="151"/>
      <c r="S68" s="151"/>
      <c r="T68" s="151"/>
      <c r="U68" s="151"/>
      <c r="V68" s="151"/>
      <c r="W68" s="151"/>
      <c r="X68" s="151"/>
      <c r="Y68" s="151"/>
    </row>
    <row r="69" spans="1:25" ht="14.1" customHeight="1" thickBot="1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N69" s="4"/>
      <c r="O69" s="155"/>
      <c r="P69" s="151"/>
      <c r="Q69" s="151"/>
      <c r="R69" s="151"/>
      <c r="S69" s="151"/>
      <c r="T69" s="151"/>
      <c r="U69" s="151"/>
      <c r="V69" s="151"/>
      <c r="W69" s="151"/>
      <c r="X69" s="151"/>
      <c r="Y69" s="151"/>
    </row>
    <row r="70" spans="1:25" ht="14.1" customHeight="1" thickBot="1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N70" s="154"/>
      <c r="O70" s="11"/>
      <c r="P70" s="151"/>
      <c r="Q70" s="151"/>
      <c r="R70" s="151"/>
      <c r="S70" s="151"/>
      <c r="T70" s="151"/>
      <c r="U70" s="151"/>
      <c r="V70" s="151"/>
      <c r="W70" s="151"/>
      <c r="X70" s="151"/>
      <c r="Y70" s="151"/>
    </row>
    <row r="71" spans="1:25" ht="14.1" customHeight="1" thickBot="1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N71" s="154"/>
      <c r="O71" s="11"/>
      <c r="P71" s="151"/>
      <c r="Q71" s="151"/>
      <c r="R71" s="151"/>
      <c r="S71" s="151"/>
      <c r="T71" s="151"/>
      <c r="U71" s="151"/>
      <c r="V71" s="151"/>
      <c r="W71" s="151"/>
      <c r="X71" s="151"/>
      <c r="Y71" s="151"/>
    </row>
    <row r="72" spans="1:25" ht="14.1" customHeight="1" thickBot="1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N72" s="154"/>
      <c r="O72" s="11"/>
      <c r="P72" s="151"/>
      <c r="Q72" s="151"/>
      <c r="R72" s="151"/>
      <c r="S72" s="151"/>
      <c r="T72" s="151"/>
      <c r="U72" s="151"/>
      <c r="V72" s="151"/>
      <c r="W72" s="151"/>
      <c r="X72" s="151"/>
      <c r="Y72" s="151"/>
    </row>
    <row r="73" spans="1:25" ht="14.1" customHeight="1" thickBot="1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N73" s="4"/>
      <c r="O73" s="155"/>
      <c r="P73" s="151"/>
      <c r="Q73" s="151"/>
      <c r="R73" s="151"/>
      <c r="S73" s="151"/>
      <c r="T73" s="151"/>
      <c r="U73" s="151"/>
      <c r="V73" s="151"/>
      <c r="W73" s="151"/>
      <c r="X73" s="151"/>
      <c r="Y73" s="151"/>
    </row>
    <row r="74" spans="1:25" ht="14.1" customHeight="1" thickBot="1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N74" s="4"/>
      <c r="O74" s="11"/>
      <c r="P74" s="151"/>
      <c r="Q74" s="151"/>
      <c r="R74" s="151"/>
      <c r="S74" s="151"/>
      <c r="T74" s="151"/>
      <c r="U74" s="151"/>
      <c r="V74" s="151"/>
      <c r="W74" s="151"/>
      <c r="X74" s="151"/>
      <c r="Y74" s="151"/>
    </row>
    <row r="75" spans="1:25" ht="14.1" customHeight="1" thickBot="1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N75" s="154"/>
      <c r="O75" s="11"/>
      <c r="P75" s="151"/>
      <c r="Q75" s="151"/>
      <c r="R75" s="151"/>
      <c r="S75" s="151"/>
      <c r="T75" s="151"/>
      <c r="U75" s="151"/>
      <c r="V75" s="151"/>
      <c r="W75" s="151"/>
      <c r="X75" s="151"/>
      <c r="Y75" s="151"/>
    </row>
    <row r="76" spans="1:25" ht="14.1" customHeight="1" thickBot="1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N76" s="154"/>
      <c r="O76" s="11"/>
      <c r="P76" s="151"/>
      <c r="Q76" s="151"/>
      <c r="R76" s="151"/>
      <c r="S76" s="151"/>
      <c r="T76" s="151"/>
      <c r="U76" s="151"/>
      <c r="V76" s="151"/>
      <c r="W76" s="151"/>
      <c r="X76" s="151"/>
      <c r="Y76" s="151"/>
    </row>
    <row r="77" spans="1:25" ht="14.1" customHeight="1" thickBot="1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N77" s="154"/>
      <c r="O77" s="11"/>
      <c r="P77" s="151"/>
      <c r="Q77" s="151"/>
      <c r="R77" s="151"/>
      <c r="S77" s="151"/>
      <c r="T77" s="151"/>
      <c r="U77" s="151"/>
      <c r="V77" s="151"/>
      <c r="W77" s="151"/>
      <c r="X77" s="151"/>
      <c r="Y77" s="151"/>
    </row>
    <row r="78" spans="1:25" ht="14.1" customHeight="1" thickBot="1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N78" s="154"/>
      <c r="O78" s="11"/>
      <c r="P78" s="151"/>
      <c r="Q78" s="151"/>
      <c r="R78" s="151"/>
      <c r="S78" s="151"/>
      <c r="T78" s="151"/>
      <c r="U78" s="151"/>
      <c r="V78" s="151"/>
      <c r="W78" s="151"/>
      <c r="X78" s="151"/>
      <c r="Y78" s="151"/>
    </row>
    <row r="79" spans="1:25" ht="14.1" customHeight="1" thickBot="1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N79" s="156" t="str">
        <f>A58</f>
        <v>Option 3</v>
      </c>
      <c r="O79" s="155"/>
      <c r="P79" s="151"/>
      <c r="Q79" s="151"/>
      <c r="R79" s="151"/>
      <c r="S79" s="151"/>
      <c r="T79" s="151"/>
      <c r="U79" s="151"/>
      <c r="V79" s="151"/>
      <c r="W79" s="151"/>
      <c r="X79" s="151"/>
      <c r="Y79" s="151"/>
    </row>
    <row r="80" spans="1:25" ht="14.1" customHeight="1" thickBot="1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N80" s="154" t="str">
        <f>Ratings!H36</f>
        <v>GVE11 new</v>
      </c>
      <c r="O80" s="155">
        <f>Ratings!J36</f>
        <v>12.7</v>
      </c>
      <c r="P80" s="151" t="s">
        <v>111</v>
      </c>
      <c r="Q80" s="151">
        <f>Q51</f>
        <v>6.1333419540203193</v>
      </c>
      <c r="R80" s="151">
        <f t="shared" ref="R80:Y80" si="47">R51</f>
        <v>7.0728930673993382</v>
      </c>
      <c r="S80" s="151">
        <f t="shared" si="47"/>
        <v>7.7479426975481003</v>
      </c>
      <c r="T80" s="151">
        <f t="shared" si="47"/>
        <v>8.1787640584050276</v>
      </c>
      <c r="U80" s="151">
        <f t="shared" si="47"/>
        <v>8.6528922531684724</v>
      </c>
      <c r="V80" s="151">
        <f t="shared" si="47"/>
        <v>8.9758643452900344</v>
      </c>
      <c r="W80" s="151">
        <f t="shared" si="47"/>
        <v>9.3013811970515157</v>
      </c>
      <c r="X80" s="151">
        <f t="shared" si="47"/>
        <v>9.6225697914395187</v>
      </c>
      <c r="Y80" s="151">
        <f t="shared" si="47"/>
        <v>9.9418651289536299</v>
      </c>
    </row>
    <row r="81" spans="1:26" ht="14.1" customHeight="1" thickBot="1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N81" s="154" t="str">
        <f>Ratings!H39</f>
        <v>GVE21 new</v>
      </c>
      <c r="O81" s="155">
        <f>Ratings!J39</f>
        <v>13.7</v>
      </c>
      <c r="P81" s="151" t="s">
        <v>112</v>
      </c>
      <c r="Q81" s="151">
        <f>25%*Q23+10%*Q31+35%*Q32</f>
        <v>7.6505992174539195</v>
      </c>
      <c r="R81" s="151">
        <f t="shared" ref="R81:Y81" si="48">25%*R23+10%*R31+35%*R32</f>
        <v>8.6496016690896891</v>
      </c>
      <c r="S81" s="151">
        <f t="shared" si="48"/>
        <v>9.5983465013436771</v>
      </c>
      <c r="T81" s="151">
        <f t="shared" si="48"/>
        <v>10.530959518654026</v>
      </c>
      <c r="U81" s="151">
        <f t="shared" si="48"/>
        <v>11.392603293840867</v>
      </c>
      <c r="V81" s="151">
        <f t="shared" si="48"/>
        <v>12.021368255819961</v>
      </c>
      <c r="W81" s="151">
        <f t="shared" si="48"/>
        <v>12.548005240598396</v>
      </c>
      <c r="X81" s="151">
        <f t="shared" si="48"/>
        <v>13.070514947860978</v>
      </c>
      <c r="Y81" s="151">
        <f t="shared" si="48"/>
        <v>13.571340367783971</v>
      </c>
    </row>
    <row r="82" spans="1:26" ht="14.1" customHeight="1" thickBot="1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N82" s="154" t="str">
        <f>Ratings!H38</f>
        <v>GVE13 new</v>
      </c>
      <c r="O82" s="155">
        <f>Ratings!J38</f>
        <v>13.7</v>
      </c>
      <c r="P82" s="151" t="s">
        <v>113</v>
      </c>
      <c r="Q82" s="151">
        <f>40%*Q23</f>
        <v>6.1281534499180967</v>
      </c>
      <c r="R82" s="151">
        <f t="shared" ref="R82:Y82" si="49">40%*R23</f>
        <v>7.5549710992834633</v>
      </c>
      <c r="S82" s="151">
        <f t="shared" si="49"/>
        <v>8.9227586127882752</v>
      </c>
      <c r="T82" s="151">
        <f t="shared" si="49"/>
        <v>10.253535082667055</v>
      </c>
      <c r="U82" s="151">
        <f t="shared" si="49"/>
        <v>11.413439485974919</v>
      </c>
      <c r="V82" s="151">
        <f t="shared" si="49"/>
        <v>12.21108693253001</v>
      </c>
      <c r="W82" s="151">
        <f t="shared" si="49"/>
        <v>12.84144493753303</v>
      </c>
      <c r="X82" s="151">
        <f t="shared" si="49"/>
        <v>13.462392537663673</v>
      </c>
      <c r="Y82" s="151">
        <f t="shared" si="49"/>
        <v>14.045402746642921</v>
      </c>
    </row>
    <row r="83" spans="1:26" ht="14.1" customHeight="1" thickBot="1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N83" s="154" t="str">
        <f>Ratings!H35</f>
        <v>COO21 Option 3</v>
      </c>
      <c r="O83" s="155">
        <f>Ratings!J35</f>
        <v>12.7</v>
      </c>
      <c r="P83" s="151" t="s">
        <v>114</v>
      </c>
      <c r="Q83" s="151">
        <f>30%*Q31+20%*Q23+Q12</f>
        <v>5.2702191800594269</v>
      </c>
      <c r="R83" s="151">
        <f t="shared" ref="R83:Y83" si="50">30%*R31+20%*R23+R12</f>
        <v>6.0504394270245117</v>
      </c>
      <c r="S83" s="151">
        <f t="shared" si="50"/>
        <v>6.8161939332189236</v>
      </c>
      <c r="T83" s="151">
        <f t="shared" si="50"/>
        <v>7.5731597267692905</v>
      </c>
      <c r="U83" s="151">
        <f t="shared" si="50"/>
        <v>8.2999175593028873</v>
      </c>
      <c r="V83" s="151">
        <f t="shared" si="50"/>
        <v>8.822019368377239</v>
      </c>
      <c r="W83" s="151">
        <f t="shared" si="50"/>
        <v>9.2634128637156756</v>
      </c>
      <c r="X83" s="151">
        <f t="shared" si="50"/>
        <v>9.7009885583346804</v>
      </c>
      <c r="Y83" s="151">
        <f t="shared" si="50"/>
        <v>10.121226862469072</v>
      </c>
      <c r="Z83" s="15">
        <f>Y14</f>
        <v>7.1997711518813228</v>
      </c>
    </row>
    <row r="84" spans="1:26" ht="14.1" customHeight="1" thickBot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N84" s="154" t="str">
        <f>Ratings!H22</f>
        <v>ST 11</v>
      </c>
      <c r="O84" s="155">
        <f>Ratings!J22</f>
        <v>22.6</v>
      </c>
      <c r="P84" s="151" t="s">
        <v>115</v>
      </c>
      <c r="Q84" s="151">
        <f>70%*Q22+4</f>
        <v>16.484305679916581</v>
      </c>
      <c r="R84" s="151">
        <f t="shared" ref="R84:Y84" si="51">70%*R22+4</f>
        <v>17.556347269018545</v>
      </c>
      <c r="S84" s="151">
        <f t="shared" si="51"/>
        <v>18.084659015971219</v>
      </c>
      <c r="T84" s="151">
        <f t="shared" si="51"/>
        <v>18.46215554634896</v>
      </c>
      <c r="U84" s="151">
        <f t="shared" si="51"/>
        <v>18.992720259495883</v>
      </c>
      <c r="V84" s="151">
        <f t="shared" si="51"/>
        <v>19.538720732219517</v>
      </c>
      <c r="W84" s="151">
        <f t="shared" si="51"/>
        <v>20.100564731002589</v>
      </c>
      <c r="X84" s="151">
        <f t="shared" si="51"/>
        <v>20.678667941454346</v>
      </c>
      <c r="Y84" s="151">
        <f t="shared" si="51"/>
        <v>21.273457026969098</v>
      </c>
      <c r="Z84" s="15">
        <f>Y22</f>
        <v>24.676367181384428</v>
      </c>
    </row>
    <row r="85" spans="1:26" ht="14.1" customHeight="1" thickBot="1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N85" s="154" t="str">
        <f>Ratings!H23</f>
        <v>ST 12</v>
      </c>
      <c r="O85" s="11">
        <f>Ratings!J23</f>
        <v>14.6</v>
      </c>
      <c r="P85" s="151" t="s">
        <v>116</v>
      </c>
      <c r="Q85" s="151">
        <f>15%*Q23+30%*Q22+1</f>
        <v>8.6484742636835339</v>
      </c>
      <c r="R85" s="151">
        <f t="shared" ref="R85:Y85" si="52">15%*R23+30%*R22+1</f>
        <v>9.6429772775249631</v>
      </c>
      <c r="S85" s="151">
        <f t="shared" si="52"/>
        <v>10.38231691521184</v>
      </c>
      <c r="T85" s="151">
        <f t="shared" si="52"/>
        <v>11.043142318721127</v>
      </c>
      <c r="U85" s="151">
        <f t="shared" si="52"/>
        <v>11.705491347024545</v>
      </c>
      <c r="V85" s="151">
        <f t="shared" si="52"/>
        <v>12.238609342078547</v>
      </c>
      <c r="W85" s="151">
        <f t="shared" si="52"/>
        <v>12.715783879147423</v>
      </c>
      <c r="X85" s="151">
        <f t="shared" si="52"/>
        <v>13.196397747961454</v>
      </c>
      <c r="Y85" s="151">
        <f t="shared" si="52"/>
        <v>13.669936184406424</v>
      </c>
      <c r="Z85" s="15">
        <f>Y23</f>
        <v>35.113506866607302</v>
      </c>
    </row>
    <row r="86" spans="1:26" ht="14.1" customHeight="1" thickBot="1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N86" s="154" t="str">
        <f>Ratings!H27</f>
        <v>ST 22</v>
      </c>
      <c r="O86" s="155">
        <f>Ratings!J27</f>
        <v>22.482019482244024</v>
      </c>
      <c r="P86" s="151" t="s">
        <v>117</v>
      </c>
      <c r="Q86" s="151">
        <f>75%*Q27-4</f>
        <v>9.4547280849036337</v>
      </c>
      <c r="R86" s="151">
        <f t="shared" ref="R86:Y86" si="53">75%*R27-4</f>
        <v>12.109737703358832</v>
      </c>
      <c r="S86" s="151">
        <f t="shared" si="53"/>
        <v>14.162601453520573</v>
      </c>
      <c r="T86" s="151">
        <f t="shared" si="53"/>
        <v>15.717998131223204</v>
      </c>
      <c r="U86" s="151">
        <f t="shared" si="53"/>
        <v>16.641786588166298</v>
      </c>
      <c r="V86" s="151">
        <f t="shared" si="53"/>
        <v>17.603253419891402</v>
      </c>
      <c r="W86" s="151">
        <f t="shared" si="53"/>
        <v>18.603831489277354</v>
      </c>
      <c r="X86" s="151">
        <f t="shared" si="53"/>
        <v>19.645002647381652</v>
      </c>
      <c r="Y86" s="151">
        <f t="shared" si="53"/>
        <v>20.728303450473184</v>
      </c>
      <c r="Z86" s="15">
        <f>Y27</f>
        <v>32.971071267297582</v>
      </c>
    </row>
    <row r="87" spans="1:26" ht="14.1" customHeight="1" thickBo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N87" s="154" t="str">
        <f>Ratings!H31</f>
        <v>ST 32</v>
      </c>
      <c r="O87" s="155">
        <f>Ratings!J31</f>
        <v>12.6</v>
      </c>
      <c r="P87" s="151" t="s">
        <v>118</v>
      </c>
      <c r="Q87" s="151">
        <f>60%*Q31</f>
        <v>4.4240792102419393</v>
      </c>
      <c r="R87" s="151">
        <f t="shared" ref="R87:Y87" si="54">60%*R31</f>
        <v>4.5581895918683637</v>
      </c>
      <c r="S87" s="151">
        <f t="shared" si="54"/>
        <v>4.7224621070944757</v>
      </c>
      <c r="T87" s="151">
        <f t="shared" si="54"/>
        <v>4.9062260511468843</v>
      </c>
      <c r="U87" s="151">
        <f t="shared" si="54"/>
        <v>5.2005320204197529</v>
      </c>
      <c r="V87" s="151">
        <f t="shared" si="54"/>
        <v>5.4474959162613166</v>
      </c>
      <c r="W87" s="151">
        <f t="shared" si="54"/>
        <v>5.7003730722854433</v>
      </c>
      <c r="X87" s="151">
        <f t="shared" si="54"/>
        <v>5.9550012115448254</v>
      </c>
      <c r="Y87" s="151">
        <f t="shared" si="54"/>
        <v>6.2128919609863758</v>
      </c>
      <c r="Z87" s="15">
        <f>Y31</f>
        <v>10.354819934977293</v>
      </c>
    </row>
    <row r="88" spans="1:26" ht="14.1" customHeight="1" thickBot="1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N88" s="4" t="str">
        <f>Ratings!H32</f>
        <v>ST 33</v>
      </c>
      <c r="O88" s="155">
        <f>Ratings!J32</f>
        <v>12.5</v>
      </c>
      <c r="P88" s="151" t="s">
        <v>119</v>
      </c>
      <c r="Q88" s="151">
        <f>65%*Q32+5%*Q27</f>
        <v>6.6228444567257965</v>
      </c>
      <c r="R88" s="151">
        <f t="shared" ref="R88:Y88" si="55">65%*R32+5%*R27</f>
        <v>6.9574973803343552</v>
      </c>
      <c r="S88" s="151">
        <f t="shared" si="55"/>
        <v>7.2178528906906649</v>
      </c>
      <c r="T88" s="151">
        <f t="shared" si="55"/>
        <v>7.4520110304169176</v>
      </c>
      <c r="U88" s="151">
        <f t="shared" si="55"/>
        <v>7.6763801942790266</v>
      </c>
      <c r="V88" s="151">
        <f t="shared" si="55"/>
        <v>7.905902348986138</v>
      </c>
      <c r="W88" s="151">
        <f t="shared" si="55"/>
        <v>8.1407106260048963</v>
      </c>
      <c r="X88" s="151">
        <f t="shared" si="55"/>
        <v>8.3809409853485306</v>
      </c>
      <c r="Y88" s="151">
        <f t="shared" si="55"/>
        <v>8.6267337846859409</v>
      </c>
      <c r="Z88" s="15">
        <f>Y32</f>
        <v>10.735661878955479</v>
      </c>
    </row>
    <row r="89" spans="1:26" ht="14.1" customHeight="1" thickBot="1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N89" s="4" t="str">
        <f>Ratings!H37</f>
        <v>GVE12 new</v>
      </c>
      <c r="O89" s="11">
        <f>Ratings!I37</f>
        <v>13.7</v>
      </c>
      <c r="P89" s="151" t="s">
        <v>33</v>
      </c>
      <c r="Q89" s="151">
        <f>40%*Q20</f>
        <v>4.9771444150491382</v>
      </c>
      <c r="R89" s="151">
        <f t="shared" ref="R89:Y89" si="56">40%*R20</f>
        <v>6.2737060532773485</v>
      </c>
      <c r="S89" s="151">
        <f t="shared" si="56"/>
        <v>7.6686867202811158</v>
      </c>
      <c r="T89" s="151">
        <f t="shared" si="56"/>
        <v>8.6550820072528563</v>
      </c>
      <c r="U89" s="151">
        <f t="shared" si="56"/>
        <v>9.7549750530946042</v>
      </c>
      <c r="V89" s="151">
        <f t="shared" si="56"/>
        <v>10.736602306125134</v>
      </c>
      <c r="W89" s="151">
        <f t="shared" si="56"/>
        <v>11.658466908685504</v>
      </c>
      <c r="X89" s="151">
        <f t="shared" si="56"/>
        <v>12.589251333550179</v>
      </c>
      <c r="Y89" s="151">
        <f t="shared" si="56"/>
        <v>13.389486621617033</v>
      </c>
    </row>
    <row r="90" spans="1:26" ht="14.1" customHeight="1" thickBot="1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N90" s="154" t="str">
        <f>Ratings!H40</f>
        <v>GVE22 new</v>
      </c>
      <c r="O90" s="155">
        <f>Ratings!J40</f>
        <v>14.5</v>
      </c>
      <c r="P90" s="151" t="s">
        <v>33</v>
      </c>
      <c r="Q90" s="151">
        <f>40%*Q20</f>
        <v>4.9771444150491382</v>
      </c>
      <c r="R90" s="151">
        <f t="shared" ref="R90:Y90" si="57">40%*R20</f>
        <v>6.2737060532773485</v>
      </c>
      <c r="S90" s="151">
        <f t="shared" si="57"/>
        <v>7.6686867202811158</v>
      </c>
      <c r="T90" s="151">
        <f t="shared" si="57"/>
        <v>8.6550820072528563</v>
      </c>
      <c r="U90" s="151">
        <f t="shared" si="57"/>
        <v>9.7549750530946042</v>
      </c>
      <c r="V90" s="151">
        <f t="shared" si="57"/>
        <v>10.736602306125134</v>
      </c>
      <c r="W90" s="151">
        <f t="shared" si="57"/>
        <v>11.658466908685504</v>
      </c>
      <c r="X90" s="151">
        <f t="shared" si="57"/>
        <v>12.589251333550179</v>
      </c>
      <c r="Y90" s="151">
        <f t="shared" si="57"/>
        <v>13.389486621617033</v>
      </c>
    </row>
    <row r="91" spans="1:26" ht="14.1" customHeight="1" thickBot="1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N91" s="4" t="str">
        <f>N59</f>
        <v>KLO22</v>
      </c>
      <c r="O91" s="155">
        <f>O59</f>
        <v>14.289419162443236</v>
      </c>
      <c r="P91" s="151" t="s">
        <v>120</v>
      </c>
      <c r="Q91" s="151">
        <f>20%*Q20+0.5-1+20%*Q27</f>
        <v>5.5764996968322045</v>
      </c>
      <c r="R91" s="151">
        <f t="shared" ref="R91:Y91" si="58">20%*R20+0.5-1+20%*R27</f>
        <v>6.9327830808676971</v>
      </c>
      <c r="S91" s="151">
        <f t="shared" si="58"/>
        <v>8.1777037477460439</v>
      </c>
      <c r="T91" s="151">
        <f t="shared" si="58"/>
        <v>9.0856738386192823</v>
      </c>
      <c r="U91" s="151">
        <f t="shared" si="58"/>
        <v>9.8819639500583154</v>
      </c>
      <c r="V91" s="151">
        <f t="shared" si="58"/>
        <v>10.629168731700275</v>
      </c>
      <c r="W91" s="151">
        <f t="shared" si="58"/>
        <v>11.356921851483381</v>
      </c>
      <c r="X91" s="151">
        <f t="shared" si="58"/>
        <v>12.099959706076863</v>
      </c>
      <c r="Y91" s="151">
        <f t="shared" si="58"/>
        <v>12.788957564268033</v>
      </c>
      <c r="Z91" s="15">
        <f>Y20</f>
        <v>33.473716554042582</v>
      </c>
    </row>
    <row r="92" spans="1:26" ht="14.1" customHeight="1" thickBot="1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N92" s="154" t="s">
        <v>16</v>
      </c>
      <c r="O92" s="155">
        <v>14.3</v>
      </c>
      <c r="P92" s="151" t="s">
        <v>124</v>
      </c>
      <c r="Q92" s="151">
        <f>Q6</f>
        <v>10.249300834986897</v>
      </c>
      <c r="R92" s="151">
        <f t="shared" ref="R92:Y92" si="59">R6</f>
        <v>10.664980738046109</v>
      </c>
      <c r="S92" s="151">
        <f t="shared" si="59"/>
        <v>10.788166437875512</v>
      </c>
      <c r="T92" s="151">
        <f t="shared" si="59"/>
        <v>10.79904171664325</v>
      </c>
      <c r="U92" s="151">
        <f t="shared" si="59"/>
        <v>10.820680008809763</v>
      </c>
      <c r="V92" s="151">
        <f t="shared" si="59"/>
        <v>10.842359009513359</v>
      </c>
      <c r="W92" s="151">
        <f t="shared" si="59"/>
        <v>10.864080669135062</v>
      </c>
      <c r="X92" s="151">
        <f t="shared" si="59"/>
        <v>10.885845323024672</v>
      </c>
      <c r="Y92" s="151">
        <f t="shared" si="59"/>
        <v>10.90765371913019</v>
      </c>
    </row>
    <row r="93" spans="1:26" ht="14.1" customHeight="1" thickBot="1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N93" s="154"/>
      <c r="O93" s="11"/>
      <c r="P93" s="151"/>
      <c r="Q93" s="151"/>
      <c r="R93" s="151"/>
      <c r="S93" s="151"/>
      <c r="T93" s="151"/>
      <c r="U93" s="151"/>
      <c r="V93" s="151"/>
      <c r="W93" s="151"/>
      <c r="X93" s="151"/>
      <c r="Y93" s="151"/>
    </row>
    <row r="94" spans="1:26" ht="14.1" customHeight="1" thickBot="1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N94" s="154"/>
      <c r="O94" s="11"/>
      <c r="P94" s="151"/>
      <c r="Q94" s="151"/>
      <c r="R94" s="151"/>
      <c r="S94" s="151"/>
      <c r="T94" s="151"/>
      <c r="U94" s="151"/>
      <c r="V94" s="151"/>
      <c r="W94" s="151"/>
      <c r="X94" s="151"/>
      <c r="Y94" s="151"/>
    </row>
    <row r="95" spans="1:26" ht="14.1" customHeight="1" thickBo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N95" s="154"/>
      <c r="O95" s="11"/>
      <c r="P95" s="151"/>
      <c r="Q95" s="151"/>
      <c r="R95" s="151"/>
      <c r="S95" s="151"/>
      <c r="T95" s="151"/>
      <c r="U95" s="151"/>
      <c r="V95" s="151"/>
      <c r="W95" s="151"/>
      <c r="X95" s="151"/>
      <c r="Y95" s="151"/>
    </row>
    <row r="96" spans="1:26" ht="14.1" customHeight="1" thickBot="1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N96" s="154"/>
      <c r="O96" s="155"/>
      <c r="P96" s="151"/>
      <c r="Q96" s="151"/>
      <c r="R96" s="151"/>
      <c r="S96" s="151"/>
      <c r="T96" s="151"/>
      <c r="U96" s="151"/>
      <c r="V96" s="151"/>
      <c r="W96" s="151"/>
      <c r="X96" s="151"/>
      <c r="Y96" s="151"/>
    </row>
    <row r="97" spans="1:25" ht="14.1" customHeight="1" thickBot="1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N97" s="154"/>
      <c r="O97" s="155"/>
      <c r="P97" s="151"/>
      <c r="Q97" s="151"/>
      <c r="R97" s="151"/>
      <c r="S97" s="151"/>
      <c r="T97" s="151"/>
      <c r="U97" s="151"/>
      <c r="V97" s="151"/>
      <c r="W97" s="151"/>
      <c r="X97" s="151"/>
      <c r="Y97" s="151"/>
    </row>
    <row r="98" spans="1:25" ht="14.1" customHeight="1" thickBot="1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N98" s="154"/>
      <c r="O98" s="155"/>
      <c r="P98" s="151"/>
      <c r="Q98" s="151"/>
      <c r="R98" s="151"/>
      <c r="S98" s="151"/>
      <c r="T98" s="151"/>
      <c r="U98" s="151"/>
      <c r="V98" s="151"/>
      <c r="W98" s="151"/>
      <c r="X98" s="151"/>
      <c r="Y98" s="151"/>
    </row>
    <row r="99" spans="1:25" ht="14.1" customHeight="1" thickBot="1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N99" s="154"/>
      <c r="O99" s="155"/>
      <c r="P99" s="151"/>
      <c r="Q99" s="151"/>
      <c r="R99" s="151"/>
      <c r="S99" s="151"/>
      <c r="T99" s="151"/>
      <c r="U99" s="151"/>
      <c r="V99" s="151"/>
      <c r="W99" s="151"/>
      <c r="X99" s="151"/>
      <c r="Y99" s="151"/>
    </row>
    <row r="100" spans="1:25" ht="14.1" customHeight="1" thickBot="1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N100" s="4"/>
      <c r="O100" s="155"/>
      <c r="P100" s="151"/>
      <c r="Q100" s="151"/>
      <c r="R100" s="151"/>
      <c r="S100" s="151"/>
      <c r="T100" s="151"/>
      <c r="U100" s="151"/>
      <c r="V100" s="151"/>
      <c r="W100" s="151"/>
      <c r="X100" s="151"/>
      <c r="Y100" s="151"/>
    </row>
    <row r="101" spans="1:25" ht="14.1" customHeight="1" thickBo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N101" s="4"/>
      <c r="O101" s="155"/>
      <c r="P101" s="151"/>
      <c r="Q101" s="151"/>
      <c r="R101" s="151"/>
      <c r="S101" s="151"/>
      <c r="T101" s="151"/>
      <c r="U101" s="151"/>
      <c r="V101" s="151"/>
      <c r="W101" s="151"/>
      <c r="X101" s="151"/>
      <c r="Y101" s="151"/>
    </row>
    <row r="102" spans="1:25" ht="14.1" customHeight="1" thickBo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N102" s="4"/>
      <c r="O102" s="155"/>
      <c r="P102" s="151"/>
      <c r="Q102" s="151"/>
      <c r="R102" s="151"/>
      <c r="S102" s="151"/>
      <c r="T102" s="151"/>
      <c r="U102" s="151"/>
      <c r="V102" s="151"/>
      <c r="W102" s="151"/>
      <c r="X102" s="151"/>
      <c r="Y102" s="151"/>
    </row>
    <row r="103" spans="1:25" ht="14.1" customHeight="1" thickBo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N103" s="154"/>
      <c r="O103" s="155"/>
      <c r="P103" s="151"/>
      <c r="Q103" s="151"/>
      <c r="R103" s="151"/>
      <c r="S103" s="151"/>
      <c r="T103" s="151"/>
      <c r="U103" s="151"/>
      <c r="V103" s="151"/>
      <c r="W103" s="151"/>
      <c r="X103" s="151"/>
      <c r="Y103" s="151"/>
    </row>
    <row r="104" spans="1:25" ht="14.1" customHeight="1" thickBo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N104" s="154"/>
      <c r="O104" s="1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</row>
    <row r="105" spans="1:25" ht="14.1" customHeight="1" thickBo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N105" s="154"/>
      <c r="O105" s="11"/>
      <c r="P105" s="151"/>
      <c r="Q105" s="151"/>
      <c r="R105" s="151"/>
      <c r="S105" s="151"/>
      <c r="T105" s="151"/>
      <c r="U105" s="151"/>
      <c r="V105" s="151"/>
      <c r="W105" s="151"/>
      <c r="X105" s="151"/>
      <c r="Y105" s="151"/>
    </row>
    <row r="106" spans="1:25" ht="14.1" customHeight="1" thickBo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N106" s="4"/>
      <c r="O106" s="155"/>
      <c r="P106" s="151"/>
      <c r="Q106" s="151"/>
      <c r="R106" s="151"/>
      <c r="S106" s="151"/>
      <c r="T106" s="151"/>
      <c r="U106" s="151"/>
      <c r="V106" s="151"/>
      <c r="W106" s="151"/>
      <c r="X106" s="151"/>
      <c r="Y106" s="151"/>
    </row>
    <row r="107" spans="1:25" ht="14.1" customHeight="1" thickBo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N107" s="4"/>
      <c r="O107" s="155"/>
      <c r="P107" s="151"/>
      <c r="Q107" s="151"/>
      <c r="R107" s="151"/>
      <c r="S107" s="151"/>
      <c r="T107" s="151"/>
      <c r="U107" s="151"/>
      <c r="V107" s="151"/>
      <c r="W107" s="151"/>
      <c r="X107" s="151"/>
      <c r="Y107" s="151"/>
    </row>
    <row r="108" spans="1:25" ht="14.1" customHeight="1" thickBo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N108" s="154"/>
      <c r="O108" s="155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</row>
    <row r="109" spans="1:25" ht="14.1" customHeight="1" thickBo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N109" s="154"/>
      <c r="O109" s="11"/>
      <c r="P109" s="151"/>
      <c r="Q109" s="151"/>
      <c r="R109" s="151"/>
      <c r="S109" s="151"/>
      <c r="T109" s="151"/>
      <c r="U109" s="151"/>
      <c r="V109" s="151"/>
      <c r="W109" s="151"/>
      <c r="X109" s="151"/>
      <c r="Y109" s="151"/>
    </row>
    <row r="110" spans="1:25" ht="14.1" customHeight="1" thickBo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N110" s="154"/>
      <c r="O110" s="155"/>
      <c r="P110" s="151"/>
      <c r="Q110" s="151"/>
      <c r="R110" s="151"/>
      <c r="S110" s="151"/>
      <c r="T110" s="151"/>
      <c r="U110" s="151"/>
      <c r="V110" s="151"/>
      <c r="W110" s="151"/>
      <c r="X110" s="151"/>
      <c r="Y110" s="151"/>
    </row>
    <row r="111" spans="1:25" ht="14.1" customHeight="1" thickBo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N111" s="154"/>
      <c r="O111" s="155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</row>
    <row r="112" spans="1:25" ht="14.1" customHeight="1" thickBo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N112" s="156"/>
      <c r="O112" s="11"/>
      <c r="P112" s="151"/>
      <c r="Q112" s="151"/>
      <c r="R112" s="151"/>
      <c r="S112" s="151"/>
      <c r="T112" s="151"/>
      <c r="U112" s="151"/>
      <c r="V112" s="151"/>
      <c r="W112" s="151"/>
      <c r="X112" s="151"/>
      <c r="Y112" s="151"/>
    </row>
    <row r="113" spans="1:26" ht="14.1" customHeight="1" thickBo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N113" s="4"/>
      <c r="O113" s="155"/>
      <c r="P113" s="151"/>
      <c r="Q113" s="151"/>
      <c r="R113" s="151"/>
      <c r="S113" s="151"/>
      <c r="T113" s="151"/>
      <c r="U113" s="151"/>
      <c r="V113" s="151"/>
      <c r="W113" s="151"/>
      <c r="X113" s="151"/>
      <c r="Y113" s="151"/>
    </row>
    <row r="114" spans="1:26" ht="14.1" customHeight="1" thickBo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N114" s="4"/>
      <c r="O114" s="155"/>
      <c r="P114" s="151"/>
      <c r="Q114" s="151"/>
      <c r="R114" s="151"/>
      <c r="S114" s="151"/>
      <c r="T114" s="151"/>
      <c r="U114" s="151"/>
      <c r="V114" s="151"/>
      <c r="W114" s="151"/>
      <c r="X114" s="151"/>
      <c r="Y114" s="151"/>
    </row>
    <row r="115" spans="1:26" ht="14.1" customHeight="1" thickBo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N115" s="4"/>
      <c r="O115" s="155"/>
      <c r="P115" s="151"/>
      <c r="Q115" s="151"/>
      <c r="R115" s="151"/>
      <c r="S115" s="151"/>
      <c r="T115" s="151"/>
      <c r="U115" s="151"/>
      <c r="V115" s="151"/>
      <c r="W115" s="151"/>
      <c r="X115" s="151"/>
      <c r="Y115" s="151"/>
    </row>
    <row r="116" spans="1:26" ht="14.1" customHeight="1" thickBo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N116" s="4"/>
      <c r="O116" s="155"/>
      <c r="P116" s="151"/>
      <c r="Q116" s="151"/>
      <c r="R116" s="151"/>
      <c r="S116" s="151"/>
      <c r="T116" s="151"/>
      <c r="U116" s="151"/>
      <c r="V116" s="151"/>
      <c r="W116" s="151"/>
      <c r="X116" s="151"/>
      <c r="Y116" s="151"/>
    </row>
    <row r="117" spans="1:26" ht="14.1" customHeight="1" thickBo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N117" s="4"/>
      <c r="O117" s="155"/>
      <c r="P117" s="151"/>
      <c r="Q117" s="151"/>
      <c r="R117" s="151"/>
      <c r="S117" s="151"/>
      <c r="T117" s="151"/>
      <c r="U117" s="151"/>
      <c r="V117" s="151"/>
      <c r="W117" s="151"/>
      <c r="X117" s="151"/>
      <c r="Y117" s="151"/>
    </row>
    <row r="118" spans="1:26" ht="14.1" customHeight="1" thickBo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N118" s="154"/>
      <c r="O118" s="11"/>
      <c r="P118" s="151"/>
      <c r="Q118" s="151"/>
      <c r="R118" s="151"/>
      <c r="S118" s="151"/>
      <c r="T118" s="151"/>
      <c r="U118" s="151"/>
      <c r="V118" s="151"/>
      <c r="W118" s="151"/>
      <c r="X118" s="151"/>
      <c r="Y118" s="151"/>
    </row>
    <row r="119" spans="1:26" ht="14.1" customHeight="1" thickBo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N119" s="154"/>
      <c r="O119" s="11"/>
      <c r="P119" s="151"/>
      <c r="Q119" s="151"/>
      <c r="R119" s="151"/>
      <c r="S119" s="151"/>
      <c r="T119" s="151"/>
      <c r="U119" s="151"/>
      <c r="V119" s="151"/>
      <c r="W119" s="151"/>
      <c r="X119" s="151"/>
      <c r="Y119" s="151"/>
    </row>
    <row r="120" spans="1:26" ht="14.1" customHeight="1" thickBo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N120" s="156" t="s">
        <v>121</v>
      </c>
      <c r="O120" s="11"/>
      <c r="P120" s="151"/>
      <c r="Q120" s="151"/>
      <c r="R120" s="151"/>
      <c r="S120" s="151"/>
      <c r="T120" s="151"/>
      <c r="U120" s="151"/>
      <c r="V120" s="151"/>
      <c r="W120" s="151"/>
      <c r="X120" s="151"/>
      <c r="Y120" s="151"/>
    </row>
    <row r="121" spans="1:26" ht="14.1" customHeight="1" thickBo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N121" s="4" t="str">
        <f>Ratings!H6</f>
        <v>BD 08</v>
      </c>
      <c r="O121" s="155">
        <f>Ratings!J6</f>
        <v>11.622060918787167</v>
      </c>
      <c r="P121" s="151" t="s">
        <v>19</v>
      </c>
      <c r="Q121" s="151">
        <f>Q6-1</f>
        <v>9.2493008349868973</v>
      </c>
      <c r="R121" s="151">
        <f t="shared" ref="R121:Y121" si="60">R6-1</f>
        <v>9.6649807380461095</v>
      </c>
      <c r="S121" s="151">
        <f t="shared" si="60"/>
        <v>9.7881664378755122</v>
      </c>
      <c r="T121" s="151">
        <f t="shared" si="60"/>
        <v>9.7990417166432504</v>
      </c>
      <c r="U121" s="151">
        <f t="shared" si="60"/>
        <v>9.820680008809763</v>
      </c>
      <c r="V121" s="151">
        <f t="shared" si="60"/>
        <v>9.8423590095133591</v>
      </c>
      <c r="W121" s="151">
        <f t="shared" si="60"/>
        <v>9.8640806691350615</v>
      </c>
      <c r="X121" s="151">
        <f t="shared" si="60"/>
        <v>9.8858453230246717</v>
      </c>
      <c r="Y121" s="151">
        <f t="shared" si="60"/>
        <v>9.9076537191301899</v>
      </c>
      <c r="Z121" s="15">
        <f>Y6</f>
        <v>10.90765371913019</v>
      </c>
    </row>
    <row r="122" spans="1:26" ht="14.1" customHeight="1" thickBo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N122" s="157" t="str">
        <f>Ratings!H7</f>
        <v>BD 09</v>
      </c>
      <c r="O122" s="155">
        <f>Ratings!J7</f>
        <v>13.146265629447777</v>
      </c>
      <c r="P122" s="151" t="s">
        <v>46</v>
      </c>
      <c r="Q122" s="151">
        <f>Q7+P29</f>
        <v>12.1121977135059</v>
      </c>
      <c r="R122" s="151">
        <f t="shared" ref="R122:Y122" si="61">R7+Q29</f>
        <v>12.848775212047016</v>
      </c>
      <c r="S122" s="151">
        <f t="shared" si="61"/>
        <v>13.362929557579744</v>
      </c>
      <c r="T122" s="151">
        <f t="shared" si="61"/>
        <v>13.878196744266624</v>
      </c>
      <c r="U122" s="151">
        <f t="shared" si="61"/>
        <v>13.94785741910829</v>
      </c>
      <c r="V122" s="151">
        <f t="shared" si="61"/>
        <v>14.017737070685406</v>
      </c>
      <c r="W122" s="151">
        <f t="shared" si="61"/>
        <v>14.087871872298418</v>
      </c>
      <c r="X122" s="151">
        <f t="shared" si="61"/>
        <v>14.158264147578635</v>
      </c>
      <c r="Y122" s="151">
        <f t="shared" si="61"/>
        <v>14.228915190149092</v>
      </c>
      <c r="Z122" s="15">
        <f>Y7</f>
        <v>5.8297405185934785</v>
      </c>
    </row>
    <row r="123" spans="1:26" ht="14.1" customHeight="1" thickBo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N123" s="4" t="str">
        <f>Ratings!H8</f>
        <v>BD 13</v>
      </c>
      <c r="O123" s="155">
        <f>Ratings!J8</f>
        <v>12.003112096452318</v>
      </c>
      <c r="P123" s="151" t="s">
        <v>16</v>
      </c>
      <c r="Q123" s="151">
        <f>Q8+1</f>
        <v>10.205913953822746</v>
      </c>
      <c r="R123" s="151">
        <f t="shared" ref="R123:Y123" si="62">R8+1</f>
        <v>10.466894427938328</v>
      </c>
      <c r="S123" s="151">
        <f t="shared" si="62"/>
        <v>10.694459592552363</v>
      </c>
      <c r="T123" s="151">
        <f t="shared" si="62"/>
        <v>10.808954309861212</v>
      </c>
      <c r="U123" s="151">
        <f t="shared" si="62"/>
        <v>10.933540551487429</v>
      </c>
      <c r="V123" s="151">
        <f t="shared" si="62"/>
        <v>11.058584226646158</v>
      </c>
      <c r="W123" s="151">
        <f t="shared" si="62"/>
        <v>11.184088347935905</v>
      </c>
      <c r="X123" s="151">
        <f t="shared" si="62"/>
        <v>11.31005447400271</v>
      </c>
      <c r="Y123" s="151">
        <f t="shared" si="62"/>
        <v>11.436484571276138</v>
      </c>
      <c r="Z123" s="15">
        <f>Y8</f>
        <v>10.436484571276138</v>
      </c>
    </row>
    <row r="124" spans="1:26" ht="14.1" customHeight="1" thickBo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N124" s="4" t="str">
        <f>Ratings!H10</f>
        <v>COO11</v>
      </c>
      <c r="O124" s="155">
        <f>Ratings!J10</f>
        <v>10.859958563456859</v>
      </c>
      <c r="P124" s="151" t="s">
        <v>33</v>
      </c>
      <c r="Q124" s="151">
        <f>Q10-0.5</f>
        <v>4.6309548554612752</v>
      </c>
      <c r="R124" s="151">
        <f t="shared" ref="R124:Y124" si="63">R10-0.5</f>
        <v>4.81284592530882</v>
      </c>
      <c r="S124" s="151">
        <f t="shared" si="63"/>
        <v>4.9376173568808159</v>
      </c>
      <c r="T124" s="151">
        <f t="shared" si="63"/>
        <v>5.0587032070581861</v>
      </c>
      <c r="U124" s="151">
        <f t="shared" si="63"/>
        <v>5.2061357344144676</v>
      </c>
      <c r="V124" s="151">
        <f t="shared" si="63"/>
        <v>5.355960300810259</v>
      </c>
      <c r="W124" s="151">
        <f t="shared" si="63"/>
        <v>5.5082109670902053</v>
      </c>
      <c r="X124" s="151">
        <f t="shared" si="63"/>
        <v>5.662921398008117</v>
      </c>
      <c r="Y124" s="151">
        <f t="shared" si="63"/>
        <v>5.8201259381725903</v>
      </c>
      <c r="Z124" s="15">
        <f>Y10</f>
        <v>6.3201259381725903</v>
      </c>
    </row>
    <row r="125" spans="1:26" ht="14.1" customHeight="1" thickBo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N125" s="4" t="str">
        <f>Ratings!H12</f>
        <v>COO13</v>
      </c>
      <c r="O125" s="155">
        <f>Ratings!J12</f>
        <v>12.003112096452318</v>
      </c>
      <c r="P125" s="151" t="s">
        <v>27</v>
      </c>
      <c r="Q125" s="151">
        <f>Q14</f>
        <v>7.1106860261924831</v>
      </c>
      <c r="R125" s="151">
        <f t="shared" ref="R125:Y125" si="64">R14</f>
        <v>7.1151097396362619</v>
      </c>
      <c r="S125" s="151">
        <f t="shared" si="64"/>
        <v>7.1209016623699926</v>
      </c>
      <c r="T125" s="151">
        <f t="shared" si="64"/>
        <v>7.1280800639178272</v>
      </c>
      <c r="U125" s="151">
        <f t="shared" si="64"/>
        <v>7.1423627644625993</v>
      </c>
      <c r="V125" s="151">
        <f t="shared" si="64"/>
        <v>7.1566723353278379</v>
      </c>
      <c r="W125" s="151">
        <f t="shared" si="64"/>
        <v>7.1710100638937018</v>
      </c>
      <c r="X125" s="151">
        <f t="shared" si="64"/>
        <v>7.1853761715131874</v>
      </c>
      <c r="Y125" s="151">
        <f t="shared" si="64"/>
        <v>7.1997711518813228</v>
      </c>
      <c r="Z125" s="15">
        <f>Y12</f>
        <v>-7.9204913455757399E-3</v>
      </c>
    </row>
    <row r="126" spans="1:26" ht="14.1" customHeight="1" thickBo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N126" s="4" t="str">
        <f>Ratings!H15</f>
        <v>COO22</v>
      </c>
      <c r="O126" s="155">
        <f>Ratings!J15</f>
        <v>12.003112096452318</v>
      </c>
      <c r="P126" s="151" t="s">
        <v>43</v>
      </c>
      <c r="Q126" s="151">
        <f>Q15*50%</f>
        <v>3.9032366982259661</v>
      </c>
      <c r="R126" s="151">
        <f t="shared" ref="R126:Y128" si="65">R15*50%</f>
        <v>4.0040293918144663</v>
      </c>
      <c r="S126" s="151">
        <f t="shared" si="65"/>
        <v>4.0880759763446166</v>
      </c>
      <c r="T126" s="151">
        <f t="shared" si="65"/>
        <v>4.1768640253360214</v>
      </c>
      <c r="U126" s="151">
        <f t="shared" si="65"/>
        <v>4.2876462701763112</v>
      </c>
      <c r="V126" s="151">
        <f t="shared" si="65"/>
        <v>4.400225916575768</v>
      </c>
      <c r="W126" s="151">
        <f t="shared" si="65"/>
        <v>4.5146285581866179</v>
      </c>
      <c r="X126" s="151">
        <f t="shared" si="65"/>
        <v>4.6308794910345394</v>
      </c>
      <c r="Y126" s="151">
        <f t="shared" si="65"/>
        <v>4.7490045219947712</v>
      </c>
      <c r="Z126" s="15">
        <f t="shared" ref="Z126:Z130" si="66">Y15</f>
        <v>9.4980090439895424</v>
      </c>
    </row>
    <row r="127" spans="1:26" ht="14.1" customHeight="1" thickBo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N127" s="4" t="str">
        <f>Ratings!H16</f>
        <v>COO23</v>
      </c>
      <c r="O127" s="155">
        <f>Ratings!J16</f>
        <v>14.289419162443236</v>
      </c>
      <c r="P127" s="151" t="s">
        <v>27</v>
      </c>
      <c r="Q127" s="151">
        <f>Q16*50%</f>
        <v>6.1392391040409109</v>
      </c>
      <c r="R127" s="151">
        <f t="shared" si="65"/>
        <v>7.0790339859507396</v>
      </c>
      <c r="S127" s="151">
        <f t="shared" si="65"/>
        <v>7.7543591242705521</v>
      </c>
      <c r="T127" s="151">
        <f t="shared" si="65"/>
        <v>8.1854848985427076</v>
      </c>
      <c r="U127" s="151">
        <f t="shared" si="65"/>
        <v>8.6599604470629217</v>
      </c>
      <c r="V127" s="151">
        <f t="shared" si="65"/>
        <v>8.9831364013084585</v>
      </c>
      <c r="W127" s="151">
        <f t="shared" si="65"/>
        <v>9.3088773382450771</v>
      </c>
      <c r="X127" s="151">
        <f t="shared" si="65"/>
        <v>9.6302781077090884</v>
      </c>
      <c r="Y127" s="151">
        <f t="shared" si="65"/>
        <v>9.9497856202992061</v>
      </c>
      <c r="Z127" s="15">
        <f t="shared" si="66"/>
        <v>19.899571240598412</v>
      </c>
    </row>
    <row r="128" spans="1:26" ht="14.1" customHeight="1" thickBo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N128" s="4" t="str">
        <f>Ratings!H17</f>
        <v>COO24</v>
      </c>
      <c r="O128" s="155">
        <f>Ratings!J17</f>
        <v>12.193637685284894</v>
      </c>
      <c r="P128" s="151" t="s">
        <v>43</v>
      </c>
      <c r="Q128" s="151">
        <f>Q17*50%</f>
        <v>4.2613028699205939</v>
      </c>
      <c r="R128" s="151">
        <f t="shared" si="65"/>
        <v>4.3504631671866951</v>
      </c>
      <c r="S128" s="151">
        <f t="shared" si="65"/>
        <v>4.4438932146911423</v>
      </c>
      <c r="T128" s="151">
        <f t="shared" si="65"/>
        <v>4.5404091822860915</v>
      </c>
      <c r="U128" s="151">
        <f t="shared" si="65"/>
        <v>4.6608336726827249</v>
      </c>
      <c r="V128" s="151">
        <f t="shared" si="65"/>
        <v>4.7832120065595358</v>
      </c>
      <c r="W128" s="151">
        <f t="shared" si="65"/>
        <v>4.9075720051845577</v>
      </c>
      <c r="X128" s="151">
        <f t="shared" si="65"/>
        <v>5.0339411662945039</v>
      </c>
      <c r="Y128" s="151">
        <f t="shared" si="65"/>
        <v>5.1623475429388854</v>
      </c>
      <c r="Z128" s="15">
        <f t="shared" si="66"/>
        <v>10.324695085877771</v>
      </c>
    </row>
    <row r="129" spans="1:26" ht="14.1" customHeight="1" thickBo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N129" s="154" t="str">
        <f>Ratings!H18</f>
        <v>KLO13</v>
      </c>
      <c r="O129" s="11">
        <f>Ratings!J18</f>
        <v>14.5</v>
      </c>
      <c r="P129" s="151" t="s">
        <v>36</v>
      </c>
      <c r="Q129" s="151">
        <f>Q18*60%</f>
        <v>6.9260295599390131</v>
      </c>
      <c r="R129" s="151">
        <f t="shared" ref="R129:Y129" si="67">R18*60%</f>
        <v>7.6821718459127473</v>
      </c>
      <c r="S129" s="151">
        <f t="shared" si="67"/>
        <v>8.1147950267627582</v>
      </c>
      <c r="T129" s="151">
        <f t="shared" si="67"/>
        <v>8.4305639425269678</v>
      </c>
      <c r="U129" s="151">
        <f t="shared" si="67"/>
        <v>8.9362816299625667</v>
      </c>
      <c r="V129" s="151">
        <f t="shared" si="67"/>
        <v>9.3606495440543327</v>
      </c>
      <c r="W129" s="151">
        <f t="shared" si="67"/>
        <v>9.7951784490091711</v>
      </c>
      <c r="X129" s="151">
        <f t="shared" si="67"/>
        <v>10.232716138307259</v>
      </c>
      <c r="Y129" s="151">
        <f t="shared" si="67"/>
        <v>10.675860100833185</v>
      </c>
      <c r="Z129" s="15">
        <f t="shared" si="66"/>
        <v>17.793100168055311</v>
      </c>
    </row>
    <row r="130" spans="1:26" ht="14.1" customHeight="1" thickBo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N130" s="154" t="str">
        <f>Ratings!H19</f>
        <v>KLO21</v>
      </c>
      <c r="O130" s="11">
        <f>Ratings!J19</f>
        <v>14.5</v>
      </c>
      <c r="P130" s="151" t="s">
        <v>31</v>
      </c>
      <c r="Q130" s="151">
        <f>Q19*50%</f>
        <v>7.4428541916746234</v>
      </c>
      <c r="R130" s="151">
        <f t="shared" ref="R130:Y130" si="68">R19*50%</f>
        <v>9.0663278729128027</v>
      </c>
      <c r="S130" s="151">
        <f t="shared" si="68"/>
        <v>10.419647484269461</v>
      </c>
      <c r="T130" s="151">
        <f t="shared" si="68"/>
        <v>11.365553215692255</v>
      </c>
      <c r="U130" s="151">
        <f t="shared" si="68"/>
        <v>12.395801750592314</v>
      </c>
      <c r="V130" s="151">
        <f t="shared" si="68"/>
        <v>12.984456042188979</v>
      </c>
      <c r="W130" s="151">
        <f t="shared" si="68"/>
        <v>13.587204968841226</v>
      </c>
      <c r="X130" s="151">
        <f t="shared" si="68"/>
        <v>14.194127476382437</v>
      </c>
      <c r="Y130" s="151">
        <f t="shared" si="68"/>
        <v>14.808826624630562</v>
      </c>
      <c r="Z130" s="15">
        <f t="shared" si="66"/>
        <v>29.617653249261124</v>
      </c>
    </row>
    <row r="131" spans="1:26" ht="14.1" customHeight="1" thickBo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N131" s="4" t="str">
        <f>Ratings!H48</f>
        <v>KLO23 reconfigured</v>
      </c>
      <c r="O131" s="155">
        <f>Ratings!J48</f>
        <v>24</v>
      </c>
      <c r="P131" s="151" t="s">
        <v>122</v>
      </c>
      <c r="Q131" s="151">
        <f t="shared" ref="Q131:Y131" si="69">Q21+Q18*40%+Q19*50%</f>
        <v>13.384008589778345</v>
      </c>
      <c r="R131" s="151">
        <f t="shared" si="69"/>
        <v>15.546494844754385</v>
      </c>
      <c r="S131" s="151">
        <f t="shared" si="69"/>
        <v>17.227803803995808</v>
      </c>
      <c r="T131" s="151">
        <f t="shared" si="69"/>
        <v>18.428806916489755</v>
      </c>
      <c r="U131" s="151">
        <f t="shared" si="69"/>
        <v>19.863799416315423</v>
      </c>
      <c r="V131" s="151">
        <f t="shared" si="69"/>
        <v>20.805721630955944</v>
      </c>
      <c r="W131" s="151">
        <f t="shared" si="69"/>
        <v>21.771374465610485</v>
      </c>
      <c r="X131" s="151">
        <f t="shared" si="69"/>
        <v>22.746177163877629</v>
      </c>
      <c r="Y131" s="151">
        <f t="shared" si="69"/>
        <v>23.735576883367344</v>
      </c>
      <c r="Z131" s="15">
        <f>Y21</f>
        <v>1.8095101915146559</v>
      </c>
    </row>
    <row r="132" spans="1:26" ht="14.1" customHeight="1" thickBo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N132" s="4" t="str">
        <f>Ratings!H29</f>
        <v>ST 24</v>
      </c>
      <c r="O132" s="155">
        <f>Ratings!J29</f>
        <v>14.289419162443236</v>
      </c>
      <c r="P132" s="151" t="s">
        <v>18</v>
      </c>
      <c r="Q132" s="151">
        <v>0</v>
      </c>
      <c r="R132" s="151">
        <v>0</v>
      </c>
      <c r="S132" s="151">
        <v>0</v>
      </c>
      <c r="T132" s="151">
        <v>0</v>
      </c>
      <c r="U132" s="151">
        <v>0</v>
      </c>
      <c r="V132" s="151">
        <v>0</v>
      </c>
      <c r="W132" s="151">
        <v>0</v>
      </c>
      <c r="X132" s="151">
        <v>0</v>
      </c>
      <c r="Y132" s="151">
        <v>0</v>
      </c>
      <c r="Z132" s="15">
        <f>Y29</f>
        <v>8.3992029358011475</v>
      </c>
    </row>
    <row r="133" spans="1:26" ht="14.1" customHeight="1" thickBo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N133" s="4" t="str">
        <f>Ratings!H26</f>
        <v>ST 21</v>
      </c>
      <c r="O133" s="155">
        <f>Ratings!I26</f>
        <v>14.289419162443236</v>
      </c>
      <c r="P133" s="151" t="s">
        <v>123</v>
      </c>
      <c r="Q133" s="151">
        <f t="shared" ref="Q133:Y133" si="70">Q26+Q17*50%+Q15*50%</f>
        <v>9.5735666971264006</v>
      </c>
      <c r="R133" s="151">
        <f t="shared" si="70"/>
        <v>9.7635508396359327</v>
      </c>
      <c r="S133" s="151">
        <f t="shared" si="70"/>
        <v>9.9410472269249475</v>
      </c>
      <c r="T133" s="151">
        <f t="shared" si="70"/>
        <v>10.126362610173645</v>
      </c>
      <c r="U133" s="151">
        <f t="shared" si="70"/>
        <v>10.357574581487263</v>
      </c>
      <c r="V133" s="151">
        <f t="shared" si="70"/>
        <v>10.592537453639265</v>
      </c>
      <c r="W133" s="151">
        <f t="shared" si="70"/>
        <v>10.831304885313415</v>
      </c>
      <c r="X133" s="151">
        <f t="shared" si="70"/>
        <v>11.073929703018743</v>
      </c>
      <c r="Y133" s="151">
        <f t="shared" si="70"/>
        <v>11.320465852446883</v>
      </c>
      <c r="Z133" s="15">
        <f>Y26</f>
        <v>1.409113787513226</v>
      </c>
    </row>
    <row r="134" spans="1:26" ht="14.1" customHeight="1" thickBo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N134" s="4"/>
      <c r="O134" s="155"/>
      <c r="P134" s="151"/>
      <c r="Q134" s="151"/>
      <c r="R134" s="151"/>
      <c r="S134" s="151"/>
      <c r="T134" s="151"/>
      <c r="U134" s="151"/>
      <c r="V134" s="151"/>
      <c r="W134" s="151"/>
      <c r="X134" s="151"/>
      <c r="Y134" s="151"/>
    </row>
    <row r="135" spans="1:26" ht="14.1" customHeight="1" thickBo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N135" s="4"/>
      <c r="O135" s="155"/>
      <c r="P135" s="151"/>
      <c r="Q135" s="151"/>
      <c r="R135" s="151"/>
      <c r="S135" s="151"/>
      <c r="T135" s="151"/>
      <c r="U135" s="151"/>
      <c r="V135" s="151"/>
      <c r="W135" s="151"/>
      <c r="X135" s="151"/>
      <c r="Y135" s="151"/>
    </row>
    <row r="136" spans="1:26" ht="14.1" customHeight="1" thickBo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N136" s="4"/>
      <c r="O136" s="155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</row>
    <row r="137" spans="1:26" ht="14.1" customHeight="1" thickBo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N137" s="4"/>
      <c r="O137" s="155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</row>
    <row r="138" spans="1:26" ht="14.1" customHeight="1" thickBo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N138" s="4"/>
      <c r="O138" s="155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</row>
    <row r="139" spans="1:26" ht="14.1" customHeight="1" thickBo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N139" s="4"/>
      <c r="O139" s="155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</row>
    <row r="140" spans="1:26" ht="14.1" customHeight="1" thickBo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N140" s="4"/>
      <c r="O140" s="155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</row>
    <row r="141" spans="1:26" ht="14.1" customHeight="1" thickBo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N141" s="4"/>
      <c r="O141" s="155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</row>
    <row r="142" spans="1:26" ht="14.1" customHeight="1" thickBo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N142" s="154"/>
      <c r="O142" s="1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</row>
    <row r="143" spans="1:26" ht="14.1" customHeight="1" thickBo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N143" s="4"/>
      <c r="O143" s="155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</row>
    <row r="144" spans="1:26" ht="14.1" customHeight="1" thickBo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N144" s="4"/>
      <c r="O144" s="155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</row>
    <row r="145" spans="1:25" ht="14.1" customHeight="1" thickBo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N145" s="154"/>
      <c r="O145" s="1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</row>
    <row r="146" spans="1:25" ht="14.1" customHeight="1" thickBo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N146" s="154"/>
      <c r="O146" s="1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</row>
    <row r="147" spans="1:25" ht="14.1" customHeight="1" thickBo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N147" s="4"/>
      <c r="O147" s="155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</row>
    <row r="148" spans="1:25" ht="14.1" customHeight="1" thickBo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N148" s="4"/>
      <c r="O148" s="11"/>
      <c r="P148" s="151"/>
      <c r="Q148" s="151"/>
      <c r="R148" s="151"/>
      <c r="S148" s="151"/>
      <c r="T148" s="151"/>
      <c r="U148" s="151"/>
      <c r="V148" s="151"/>
      <c r="W148" s="151"/>
      <c r="X148" s="151"/>
      <c r="Y148" s="151"/>
    </row>
    <row r="149" spans="1:25" ht="14.1" customHeight="1" thickBo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N149" s="4"/>
      <c r="O149" s="11"/>
      <c r="P149" s="151"/>
      <c r="Q149" s="151"/>
      <c r="R149" s="151"/>
      <c r="S149" s="151"/>
      <c r="T149" s="151"/>
      <c r="U149" s="151"/>
      <c r="V149" s="151"/>
      <c r="W149" s="151"/>
      <c r="X149" s="151"/>
      <c r="Y149" s="151"/>
    </row>
    <row r="150" spans="1:25" ht="14.1" customHeight="1" thickBo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N150" s="4"/>
      <c r="O150" s="11"/>
      <c r="P150" s="152"/>
      <c r="Q150" s="151"/>
      <c r="R150" s="151"/>
      <c r="S150" s="151"/>
      <c r="T150" s="151"/>
      <c r="U150" s="151"/>
      <c r="V150" s="151"/>
      <c r="W150" s="151"/>
      <c r="X150" s="151"/>
      <c r="Y150" s="151"/>
    </row>
    <row r="151" spans="1:25" ht="14.1" customHeight="1" thickBo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N151" s="4"/>
      <c r="O151" s="11"/>
      <c r="P151" s="152"/>
      <c r="Q151" s="151"/>
      <c r="R151" s="151"/>
      <c r="S151" s="151"/>
      <c r="T151" s="151"/>
      <c r="U151" s="151"/>
      <c r="V151" s="151"/>
      <c r="W151" s="151"/>
      <c r="X151" s="151"/>
      <c r="Y151" s="151"/>
    </row>
    <row r="152" spans="1:25" ht="14.1" customHeight="1" thickBo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N152" s="4"/>
      <c r="O152" s="11"/>
      <c r="P152" s="152"/>
      <c r="Q152" s="151"/>
      <c r="R152" s="151"/>
      <c r="S152" s="151"/>
      <c r="T152" s="151"/>
      <c r="U152" s="151"/>
      <c r="V152" s="151"/>
      <c r="W152" s="151"/>
      <c r="X152" s="151"/>
      <c r="Y152" s="151"/>
    </row>
    <row r="153" spans="1:25" ht="14.1" customHeight="1" thickBo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N153" s="4"/>
      <c r="O153" s="11"/>
      <c r="P153" s="152"/>
      <c r="Q153" s="151"/>
      <c r="R153" s="151"/>
      <c r="S153" s="151"/>
      <c r="T153" s="151"/>
      <c r="U153" s="151"/>
      <c r="V153" s="151"/>
      <c r="W153" s="151"/>
      <c r="X153" s="151"/>
      <c r="Y153" s="151"/>
    </row>
  </sheetData>
  <conditionalFormatting sqref="C2:L40">
    <cfRule type="cellIs" dxfId="10" priority="2" operator="greaterThan">
      <formula>$B2</formula>
    </cfRule>
  </conditionalFormatting>
  <conditionalFormatting sqref="P2:Y43">
    <cfRule type="cellIs" dxfId="9" priority="5" stopIfTrue="1" operator="greaterThan">
      <formula>$O2</formula>
    </cfRule>
  </conditionalFormatting>
  <conditionalFormatting sqref="Q47:Y153">
    <cfRule type="cellIs" dxfId="8" priority="4" operator="greaterThan">
      <formula>$O47</formula>
    </cfRule>
  </conditionalFormatting>
  <conditionalFormatting sqref="A46:L153">
    <cfRule type="cellIs" dxfId="7" priority="1" operator="greaterThan">
      <formula>$B46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022B-3DEA-4590-8B86-E969170375F3}">
  <sheetPr>
    <tabColor rgb="FF7030A0"/>
  </sheetPr>
  <dimension ref="A1:O41"/>
  <sheetViews>
    <sheetView zoomScale="40" zoomScaleNormal="40" workbookViewId="0">
      <selection activeCell="G40" sqref="G40"/>
    </sheetView>
  </sheetViews>
  <sheetFormatPr defaultRowHeight="14.45"/>
  <cols>
    <col min="1" max="1" width="27.42578125" bestFit="1" customWidth="1"/>
  </cols>
  <sheetData>
    <row r="1" spans="1:15">
      <c r="A1" s="14" t="s">
        <v>125</v>
      </c>
    </row>
    <row r="3" spans="1:15">
      <c r="A3" s="14" t="s">
        <v>96</v>
      </c>
      <c r="B3" s="76" t="s">
        <v>126</v>
      </c>
    </row>
    <row r="4" spans="1:15">
      <c r="A4" s="51" t="s">
        <v>127</v>
      </c>
      <c r="B4" s="52">
        <v>2023</v>
      </c>
      <c r="C4" s="53">
        <v>2025</v>
      </c>
      <c r="D4" s="53">
        <v>2026</v>
      </c>
      <c r="E4" s="53">
        <v>2027</v>
      </c>
      <c r="F4" s="53">
        <v>2028</v>
      </c>
      <c r="G4" s="53">
        <v>2029</v>
      </c>
      <c r="H4" s="53">
        <v>2030</v>
      </c>
      <c r="I4" s="53">
        <v>2031</v>
      </c>
      <c r="J4" s="53">
        <v>2032</v>
      </c>
      <c r="K4" s="54">
        <v>2033</v>
      </c>
      <c r="L4" s="55">
        <v>2034</v>
      </c>
      <c r="M4" s="56" t="s">
        <v>94</v>
      </c>
    </row>
    <row r="5" spans="1:15">
      <c r="A5" s="57" t="s">
        <v>128</v>
      </c>
      <c r="B5" s="58">
        <v>21.1</v>
      </c>
      <c r="C5" s="60">
        <v>68.356879715286439</v>
      </c>
      <c r="D5" s="60">
        <v>70.036879715286446</v>
      </c>
      <c r="E5" s="60">
        <v>71.716879715286453</v>
      </c>
      <c r="F5" s="60">
        <v>73.39687971528646</v>
      </c>
      <c r="G5" s="60">
        <v>75.076879715286466</v>
      </c>
      <c r="H5" s="60">
        <v>76.756879715286473</v>
      </c>
      <c r="I5" s="60">
        <v>78.43687971528648</v>
      </c>
      <c r="J5" s="60">
        <v>80.116879715286487</v>
      </c>
      <c r="K5" s="61">
        <v>81.796879715286494</v>
      </c>
      <c r="L5" s="62">
        <v>83.476879715286501</v>
      </c>
      <c r="M5" s="57"/>
    </row>
    <row r="6" spans="1:15">
      <c r="A6" s="57" t="s">
        <v>129</v>
      </c>
      <c r="B6" s="59">
        <v>13</v>
      </c>
      <c r="C6" s="43">
        <v>42.996285564648439</v>
      </c>
      <c r="D6" s="43">
        <v>44.726415103811924</v>
      </c>
      <c r="E6" s="43">
        <v>46.453507466384195</v>
      </c>
      <c r="F6" s="43">
        <v>48.177562652365253</v>
      </c>
      <c r="G6" s="43">
        <v>49.898580661755098</v>
      </c>
      <c r="H6" s="43">
        <v>51.616561494553729</v>
      </c>
      <c r="I6" s="43">
        <v>53.331505150761146</v>
      </c>
      <c r="J6" s="43">
        <v>55.043411630377342</v>
      </c>
      <c r="K6" s="62">
        <v>56.752280933402325</v>
      </c>
      <c r="L6" s="62">
        <v>58.461150236427308</v>
      </c>
      <c r="M6" s="57"/>
    </row>
    <row r="7" spans="1:15">
      <c r="A7" s="57" t="s">
        <v>130</v>
      </c>
      <c r="B7" s="59">
        <v>0</v>
      </c>
      <c r="C7" s="43">
        <v>7.5240614816540097E-2</v>
      </c>
      <c r="D7" s="43">
        <v>9.2272638401079216E-2</v>
      </c>
      <c r="E7" s="43">
        <v>0.11109750657346526</v>
      </c>
      <c r="F7" s="43">
        <v>0.13171521933369748</v>
      </c>
      <c r="G7" s="43">
        <v>0.15412577668177588</v>
      </c>
      <c r="H7" s="43">
        <v>0.17832917861770048</v>
      </c>
      <c r="I7" s="43">
        <v>0.20432542514147126</v>
      </c>
      <c r="J7" s="43">
        <v>0.23211451625308821</v>
      </c>
      <c r="K7" s="62">
        <v>0.26169645195255137</v>
      </c>
      <c r="L7" s="62">
        <v>0.29127838765201453</v>
      </c>
      <c r="M7" s="57"/>
    </row>
    <row r="8" spans="1:15">
      <c r="A8" s="57" t="s">
        <v>131</v>
      </c>
      <c r="B8" s="59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62">
        <v>0</v>
      </c>
      <c r="L8" s="62">
        <v>0</v>
      </c>
      <c r="M8" s="57"/>
    </row>
    <row r="9" spans="1:15">
      <c r="A9" s="51" t="s">
        <v>97</v>
      </c>
      <c r="B9" s="63"/>
      <c r="C9" s="53">
        <f t="shared" ref="C9:K9" si="0">SUM(C5:C8)</f>
        <v>111.42840589475141</v>
      </c>
      <c r="D9" s="53">
        <f t="shared" si="0"/>
        <v>114.85556745749946</v>
      </c>
      <c r="E9" s="53">
        <f t="shared" si="0"/>
        <v>118.28148468824412</v>
      </c>
      <c r="F9" s="53">
        <f t="shared" si="0"/>
        <v>121.70615758698541</v>
      </c>
      <c r="G9" s="53">
        <f t="shared" si="0"/>
        <v>125.12958615372335</v>
      </c>
      <c r="H9" s="53">
        <f t="shared" si="0"/>
        <v>128.5517703884579</v>
      </c>
      <c r="I9" s="53">
        <f t="shared" si="0"/>
        <v>131.97271029118909</v>
      </c>
      <c r="J9" s="53">
        <f t="shared" si="0"/>
        <v>135.39240586191693</v>
      </c>
      <c r="K9" s="54">
        <f t="shared" si="0"/>
        <v>138.81085710064139</v>
      </c>
      <c r="L9" s="54">
        <f t="shared" ref="L9:L14" si="1">K9+K9-J9</f>
        <v>142.22930833936584</v>
      </c>
      <c r="M9" s="55">
        <v>120</v>
      </c>
    </row>
    <row r="10" spans="1:15">
      <c r="A10" s="57" t="s">
        <v>132</v>
      </c>
      <c r="B10" s="58">
        <v>0.6</v>
      </c>
      <c r="C10" s="60">
        <v>2.0234966699731154</v>
      </c>
      <c r="D10" s="60">
        <v>2.0561385968793533</v>
      </c>
      <c r="E10" s="60">
        <v>2.0921701167858306</v>
      </c>
      <c r="F10" s="60">
        <v>2.1315912296925461</v>
      </c>
      <c r="G10" s="60">
        <v>2.1744019355995001</v>
      </c>
      <c r="H10" s="60">
        <v>2.2206022345066927</v>
      </c>
      <c r="I10" s="60">
        <v>2.2701921264141243</v>
      </c>
      <c r="J10" s="60">
        <v>2.3231716113217944</v>
      </c>
      <c r="K10" s="61">
        <v>2.3795406892297026</v>
      </c>
      <c r="L10" s="62">
        <v>2.4359097671376109</v>
      </c>
      <c r="M10" s="64"/>
    </row>
    <row r="11" spans="1:15">
      <c r="A11" s="57" t="s">
        <v>133</v>
      </c>
      <c r="B11" s="59">
        <v>29.5</v>
      </c>
      <c r="C11" s="43">
        <v>106.29421327439206</v>
      </c>
      <c r="D11" s="43">
        <v>109.0481076828973</v>
      </c>
      <c r="E11" s="43">
        <v>111.88635138917796</v>
      </c>
      <c r="F11" s="43">
        <v>114.80894439323404</v>
      </c>
      <c r="G11" s="43">
        <v>117.81591522745978</v>
      </c>
      <c r="H11" s="43">
        <v>120.90726389185521</v>
      </c>
      <c r="I11" s="43">
        <v>124.08299038642031</v>
      </c>
      <c r="J11" s="43">
        <v>127.34309471115509</v>
      </c>
      <c r="K11" s="62">
        <v>130.68757686605954</v>
      </c>
      <c r="L11" s="62">
        <v>134.032059020964</v>
      </c>
      <c r="M11" s="64"/>
    </row>
    <row r="12" spans="1:15">
      <c r="A12" s="57" t="s">
        <v>134</v>
      </c>
      <c r="B12" s="59">
        <v>25.6</v>
      </c>
      <c r="C12" s="43">
        <v>103.54683134354045</v>
      </c>
      <c r="D12" s="43">
        <v>111.94458977716407</v>
      </c>
      <c r="E12" s="43">
        <v>120.72546654466706</v>
      </c>
      <c r="F12" s="43">
        <v>129.88946164604931</v>
      </c>
      <c r="G12" s="43">
        <v>139.43657508131082</v>
      </c>
      <c r="H12" s="43">
        <v>149.36680685045167</v>
      </c>
      <c r="I12" s="43">
        <v>159.68015695347179</v>
      </c>
      <c r="J12" s="43">
        <v>170.37662539037117</v>
      </c>
      <c r="K12" s="62">
        <v>181.45621216114992</v>
      </c>
      <c r="L12" s="62">
        <v>192.53579893192867</v>
      </c>
      <c r="M12" s="64"/>
    </row>
    <row r="13" spans="1:15">
      <c r="A13" s="57" t="s">
        <v>135</v>
      </c>
      <c r="B13" s="59">
        <v>18.100000000000001</v>
      </c>
      <c r="C13" s="65">
        <v>63.895856156730233</v>
      </c>
      <c r="D13" s="65">
        <v>63.895856156730233</v>
      </c>
      <c r="E13" s="65">
        <v>63.895856156730233</v>
      </c>
      <c r="F13" s="65">
        <v>63.895856156730233</v>
      </c>
      <c r="G13" s="65">
        <v>63.895856156730233</v>
      </c>
      <c r="H13" s="65">
        <v>63.895856156730233</v>
      </c>
      <c r="I13" s="65">
        <v>63.895856156730233</v>
      </c>
      <c r="J13" s="65">
        <v>63.895856156730233</v>
      </c>
      <c r="K13" s="66">
        <v>63.895856156730233</v>
      </c>
      <c r="L13" s="67">
        <v>63.895856156730233</v>
      </c>
      <c r="M13" s="64"/>
    </row>
    <row r="14" spans="1:15">
      <c r="A14" s="51" t="s">
        <v>99</v>
      </c>
      <c r="B14" s="63"/>
      <c r="C14" s="68">
        <f t="shared" ref="C14:K14" si="2">SUM(C10:C13)</f>
        <v>275.76039744463588</v>
      </c>
      <c r="D14" s="68">
        <f t="shared" si="2"/>
        <v>286.94469221367098</v>
      </c>
      <c r="E14" s="68">
        <f t="shared" si="2"/>
        <v>298.59984420736112</v>
      </c>
      <c r="F14" s="68">
        <f t="shared" si="2"/>
        <v>310.72585342570613</v>
      </c>
      <c r="G14" s="68">
        <f t="shared" si="2"/>
        <v>323.32274840110034</v>
      </c>
      <c r="H14" s="68">
        <f t="shared" si="2"/>
        <v>336.39052913354385</v>
      </c>
      <c r="I14" s="68">
        <f t="shared" si="2"/>
        <v>349.92919562303649</v>
      </c>
      <c r="J14" s="68">
        <f t="shared" si="2"/>
        <v>363.93874786957826</v>
      </c>
      <c r="K14" s="69">
        <f t="shared" si="2"/>
        <v>378.41918587316945</v>
      </c>
      <c r="L14" s="69">
        <f t="shared" si="1"/>
        <v>392.89962387676064</v>
      </c>
      <c r="M14" s="55">
        <v>300</v>
      </c>
    </row>
    <row r="15" spans="1:15">
      <c r="A15" s="51"/>
      <c r="B15" s="63"/>
      <c r="C15" s="68"/>
      <c r="D15" s="68"/>
      <c r="E15" s="68"/>
      <c r="F15" s="68"/>
      <c r="G15" s="68"/>
      <c r="H15" s="68"/>
      <c r="I15" s="68"/>
      <c r="J15" s="68"/>
      <c r="K15" s="69"/>
      <c r="L15" s="69"/>
      <c r="M15" s="55"/>
      <c r="O15" s="12"/>
    </row>
    <row r="16" spans="1:15">
      <c r="C16" s="12"/>
      <c r="D16" s="12"/>
      <c r="E16" s="12"/>
      <c r="F16" s="12"/>
      <c r="G16" s="12"/>
      <c r="H16" s="12"/>
      <c r="I16" s="12"/>
      <c r="J16" s="12"/>
      <c r="K16" s="12"/>
      <c r="L16" s="12"/>
    </row>
    <row r="17" spans="1:15">
      <c r="A17" s="14" t="s">
        <v>136</v>
      </c>
      <c r="B17" s="71" t="s">
        <v>137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5">
      <c r="A18" s="51" t="s">
        <v>127</v>
      </c>
      <c r="B18" s="72"/>
      <c r="C18" s="53">
        <v>2025</v>
      </c>
      <c r="D18" s="53">
        <v>2026</v>
      </c>
      <c r="E18" s="53">
        <v>2027</v>
      </c>
      <c r="F18" s="53">
        <v>2028</v>
      </c>
      <c r="G18" s="53">
        <v>2029</v>
      </c>
      <c r="H18" s="53">
        <v>2030</v>
      </c>
      <c r="I18" s="53">
        <v>2031</v>
      </c>
      <c r="J18" s="53">
        <v>2032</v>
      </c>
      <c r="K18" s="54">
        <v>2033</v>
      </c>
      <c r="L18" s="55">
        <v>2034</v>
      </c>
      <c r="M18" s="56" t="str">
        <f>M4</f>
        <v>Rating</v>
      </c>
    </row>
    <row r="19" spans="1:15">
      <c r="A19" s="57" t="s">
        <v>128</v>
      </c>
      <c r="B19" s="73">
        <f>(B5-9.3)/B5</f>
        <v>0.55924170616113744</v>
      </c>
      <c r="C19" s="60">
        <f>$B19*C5</f>
        <v>38.228018039828434</v>
      </c>
      <c r="D19" s="60">
        <f t="shared" ref="D19:L19" si="3">$B19*D5</f>
        <v>39.16754410617915</v>
      </c>
      <c r="E19" s="60">
        <f t="shared" si="3"/>
        <v>40.107070172529866</v>
      </c>
      <c r="F19" s="60">
        <f t="shared" si="3"/>
        <v>41.046596238880582</v>
      </c>
      <c r="G19" s="60">
        <f t="shared" si="3"/>
        <v>41.986122305231291</v>
      </c>
      <c r="H19" s="60">
        <f t="shared" si="3"/>
        <v>42.925648371582007</v>
      </c>
      <c r="I19" s="60">
        <f t="shared" si="3"/>
        <v>43.865174437932723</v>
      </c>
      <c r="J19" s="60">
        <f t="shared" si="3"/>
        <v>44.804700504283439</v>
      </c>
      <c r="K19" s="61">
        <f t="shared" si="3"/>
        <v>45.744226570634154</v>
      </c>
      <c r="L19" s="62">
        <f t="shared" si="3"/>
        <v>46.68375263698487</v>
      </c>
      <c r="M19" s="57"/>
      <c r="N19" s="78" t="s">
        <v>138</v>
      </c>
    </row>
    <row r="20" spans="1:15">
      <c r="A20" s="57" t="s">
        <v>129</v>
      </c>
      <c r="B20" s="74">
        <f>(B6-2.5)/B6</f>
        <v>0.80769230769230771</v>
      </c>
      <c r="C20" s="43">
        <f t="shared" ref="C20:L20" si="4">$B20*C6</f>
        <v>34.727769109908358</v>
      </c>
      <c r="D20" s="43">
        <f t="shared" si="4"/>
        <v>36.125181430001938</v>
      </c>
      <c r="E20" s="43">
        <f t="shared" si="4"/>
        <v>37.5201406459257</v>
      </c>
      <c r="F20" s="43">
        <f t="shared" si="4"/>
        <v>38.912646757679632</v>
      </c>
      <c r="G20" s="43">
        <f t="shared" si="4"/>
        <v>40.302699765263732</v>
      </c>
      <c r="H20" s="43">
        <f t="shared" si="4"/>
        <v>41.690299668678016</v>
      </c>
      <c r="I20" s="43">
        <f t="shared" si="4"/>
        <v>43.075446467922468</v>
      </c>
      <c r="J20" s="43">
        <f t="shared" si="4"/>
        <v>44.458140162997083</v>
      </c>
      <c r="K20" s="62">
        <f t="shared" si="4"/>
        <v>45.83838075390188</v>
      </c>
      <c r="L20" s="62">
        <f t="shared" si="4"/>
        <v>47.218621344806671</v>
      </c>
      <c r="M20" s="57"/>
      <c r="N20" t="s">
        <v>139</v>
      </c>
    </row>
    <row r="21" spans="1:15">
      <c r="A21" s="57" t="s">
        <v>130</v>
      </c>
      <c r="B21" s="74">
        <v>1</v>
      </c>
      <c r="C21" s="43">
        <f>$B21*C10</f>
        <v>2.0234966699731154</v>
      </c>
      <c r="D21" s="43">
        <f t="shared" ref="D21:L21" si="5">$B21*D10</f>
        <v>2.0561385968793533</v>
      </c>
      <c r="E21" s="43">
        <f t="shared" si="5"/>
        <v>2.0921701167858306</v>
      </c>
      <c r="F21" s="43">
        <f t="shared" si="5"/>
        <v>2.1315912296925461</v>
      </c>
      <c r="G21" s="43">
        <f t="shared" si="5"/>
        <v>2.1744019355995001</v>
      </c>
      <c r="H21" s="43">
        <f t="shared" si="5"/>
        <v>2.2206022345066927</v>
      </c>
      <c r="I21" s="43">
        <f t="shared" si="5"/>
        <v>2.2701921264141243</v>
      </c>
      <c r="J21" s="43">
        <f t="shared" si="5"/>
        <v>2.3231716113217944</v>
      </c>
      <c r="K21" s="62">
        <f t="shared" si="5"/>
        <v>2.3795406892297026</v>
      </c>
      <c r="L21" s="62">
        <f t="shared" si="5"/>
        <v>2.4359097671376109</v>
      </c>
      <c r="M21" s="57"/>
      <c r="N21" t="s">
        <v>140</v>
      </c>
    </row>
    <row r="22" spans="1:15">
      <c r="A22" s="57" t="s">
        <v>131</v>
      </c>
      <c r="B22" s="74">
        <v>1</v>
      </c>
      <c r="C22" s="43">
        <f t="shared" ref="C22:L22" si="6">$B22*C8</f>
        <v>0</v>
      </c>
      <c r="D22" s="43">
        <f t="shared" si="6"/>
        <v>0</v>
      </c>
      <c r="E22" s="43">
        <f t="shared" si="6"/>
        <v>0</v>
      </c>
      <c r="F22" s="43">
        <f t="shared" si="6"/>
        <v>0</v>
      </c>
      <c r="G22" s="43">
        <f t="shared" si="6"/>
        <v>0</v>
      </c>
      <c r="H22" s="43">
        <f t="shared" si="6"/>
        <v>0</v>
      </c>
      <c r="I22" s="43">
        <f t="shared" si="6"/>
        <v>0</v>
      </c>
      <c r="J22" s="43">
        <f t="shared" si="6"/>
        <v>0</v>
      </c>
      <c r="K22" s="62">
        <f t="shared" si="6"/>
        <v>0</v>
      </c>
      <c r="L22" s="62">
        <f t="shared" si="6"/>
        <v>0</v>
      </c>
      <c r="M22" s="57"/>
      <c r="N22" t="s">
        <v>141</v>
      </c>
    </row>
    <row r="23" spans="1:15">
      <c r="A23" s="51" t="s">
        <v>97</v>
      </c>
      <c r="B23" s="72"/>
      <c r="C23" s="53">
        <f t="shared" ref="C23:K23" si="7">SUM(C19:C22)</f>
        <v>74.979283819709906</v>
      </c>
      <c r="D23" s="53">
        <f t="shared" si="7"/>
        <v>77.348864133060431</v>
      </c>
      <c r="E23" s="53">
        <f t="shared" si="7"/>
        <v>79.719380935241404</v>
      </c>
      <c r="F23" s="53">
        <f t="shared" si="7"/>
        <v>82.090834226252767</v>
      </c>
      <c r="G23" s="53">
        <f t="shared" si="7"/>
        <v>84.463224006094535</v>
      </c>
      <c r="H23" s="53">
        <f t="shared" si="7"/>
        <v>86.836550274766722</v>
      </c>
      <c r="I23" s="53">
        <f t="shared" si="7"/>
        <v>89.210813032269314</v>
      </c>
      <c r="J23" s="53">
        <f t="shared" si="7"/>
        <v>91.586012278602325</v>
      </c>
      <c r="K23" s="54">
        <f t="shared" si="7"/>
        <v>93.962148013765741</v>
      </c>
      <c r="L23" s="54">
        <f t="shared" ref="L23" si="8">K23+K23-J23</f>
        <v>96.338283748929157</v>
      </c>
      <c r="M23" s="55">
        <v>120</v>
      </c>
    </row>
    <row r="24" spans="1:15">
      <c r="A24" s="57" t="s">
        <v>132</v>
      </c>
      <c r="B24" s="73">
        <f>4.5/B6</f>
        <v>0.34615384615384615</v>
      </c>
      <c r="C24" s="60">
        <f>$B24*C6+(1-$B26)*C12</f>
        <v>66.656745290302382</v>
      </c>
      <c r="D24" s="60">
        <f t="shared" ref="D24:L24" si="9">$B24*D6+(1-$B26)*D12</f>
        <v>71.454515501440014</v>
      </c>
      <c r="E24" s="60">
        <f t="shared" si="9"/>
        <v>76.442793549158822</v>
      </c>
      <c r="F24" s="60">
        <f t="shared" si="9"/>
        <v>81.621579433458777</v>
      </c>
      <c r="G24" s="60">
        <f t="shared" si="9"/>
        <v>86.990873154339866</v>
      </c>
      <c r="H24" s="60">
        <f t="shared" si="9"/>
        <v>92.550674711802117</v>
      </c>
      <c r="I24" s="60">
        <f t="shared" si="9"/>
        <v>98.300984105845515</v>
      </c>
      <c r="J24" s="60">
        <f t="shared" si="9"/>
        <v>104.24180133647005</v>
      </c>
      <c r="K24" s="61">
        <f t="shared" si="9"/>
        <v>110.37312640367577</v>
      </c>
      <c r="L24" s="62">
        <f t="shared" si="9"/>
        <v>116.50445147088148</v>
      </c>
      <c r="M24" s="64"/>
      <c r="N24" s="77" t="s">
        <v>142</v>
      </c>
    </row>
    <row r="25" spans="1:15">
      <c r="A25" s="57" t="s">
        <v>133</v>
      </c>
      <c r="B25" s="74">
        <v>0.44</v>
      </c>
      <c r="C25" s="43">
        <f t="shared" ref="C25:L25" si="10">$B25*C11</f>
        <v>46.76945384073251</v>
      </c>
      <c r="D25" s="43">
        <f t="shared" si="10"/>
        <v>47.981167380474808</v>
      </c>
      <c r="E25" s="43">
        <f t="shared" si="10"/>
        <v>49.229994611238304</v>
      </c>
      <c r="F25" s="43">
        <f t="shared" si="10"/>
        <v>50.515935533022976</v>
      </c>
      <c r="G25" s="43">
        <f t="shared" si="10"/>
        <v>51.839002700082304</v>
      </c>
      <c r="H25" s="43">
        <f t="shared" si="10"/>
        <v>53.199196112416296</v>
      </c>
      <c r="I25" s="43">
        <f t="shared" si="10"/>
        <v>54.596515770024936</v>
      </c>
      <c r="J25" s="43">
        <f t="shared" si="10"/>
        <v>56.030961672908241</v>
      </c>
      <c r="K25" s="62">
        <f t="shared" si="10"/>
        <v>57.502533821066201</v>
      </c>
      <c r="L25" s="62">
        <f t="shared" si="10"/>
        <v>58.974105969224162</v>
      </c>
      <c r="M25" s="64"/>
      <c r="N25" s="78" t="s">
        <v>143</v>
      </c>
    </row>
    <row r="26" spans="1:15">
      <c r="A26" s="57" t="s">
        <v>134</v>
      </c>
      <c r="B26" s="74">
        <v>0.5</v>
      </c>
      <c r="C26" s="43">
        <f t="shared" ref="C26:L26" si="11">$B26*C12</f>
        <v>51.773415671770223</v>
      </c>
      <c r="D26" s="43">
        <f t="shared" si="11"/>
        <v>55.972294888582034</v>
      </c>
      <c r="E26" s="43">
        <f t="shared" si="11"/>
        <v>60.362733272333529</v>
      </c>
      <c r="F26" s="43">
        <f t="shared" si="11"/>
        <v>64.944730823024656</v>
      </c>
      <c r="G26" s="43">
        <f t="shared" si="11"/>
        <v>69.71828754065541</v>
      </c>
      <c r="H26" s="43">
        <f t="shared" si="11"/>
        <v>74.683403425225833</v>
      </c>
      <c r="I26" s="43">
        <f t="shared" si="11"/>
        <v>79.840078476735897</v>
      </c>
      <c r="J26" s="43">
        <f t="shared" si="11"/>
        <v>85.188312695185587</v>
      </c>
      <c r="K26" s="62">
        <f t="shared" si="11"/>
        <v>90.72810608057496</v>
      </c>
      <c r="L26" s="62">
        <f t="shared" si="11"/>
        <v>96.267899465964334</v>
      </c>
      <c r="M26" s="64"/>
      <c r="N26" s="77" t="s">
        <v>144</v>
      </c>
    </row>
    <row r="27" spans="1:15">
      <c r="A27" s="57" t="s">
        <v>135</v>
      </c>
      <c r="B27" s="74">
        <v>0.44</v>
      </c>
      <c r="C27" s="65">
        <f>$B27*C13</f>
        <v>28.114176708961303</v>
      </c>
      <c r="D27" s="65">
        <f t="shared" ref="D27:L27" si="12">$B27*D13</f>
        <v>28.114176708961303</v>
      </c>
      <c r="E27" s="65">
        <f t="shared" si="12"/>
        <v>28.114176708961303</v>
      </c>
      <c r="F27" s="65">
        <f t="shared" si="12"/>
        <v>28.114176708961303</v>
      </c>
      <c r="G27" s="65">
        <f t="shared" si="12"/>
        <v>28.114176708961303</v>
      </c>
      <c r="H27" s="65">
        <f t="shared" si="12"/>
        <v>28.114176708961303</v>
      </c>
      <c r="I27" s="65">
        <f t="shared" si="12"/>
        <v>28.114176708961303</v>
      </c>
      <c r="J27" s="65">
        <f t="shared" si="12"/>
        <v>28.114176708961303</v>
      </c>
      <c r="K27" s="66">
        <f t="shared" si="12"/>
        <v>28.114176708961303</v>
      </c>
      <c r="L27" s="67">
        <f t="shared" si="12"/>
        <v>28.114176708961303</v>
      </c>
      <c r="M27" s="64"/>
      <c r="N27" s="78" t="s">
        <v>143</v>
      </c>
    </row>
    <row r="28" spans="1:15">
      <c r="A28" s="51" t="s">
        <v>99</v>
      </c>
      <c r="B28" s="72"/>
      <c r="C28" s="68">
        <f t="shared" ref="C28:K28" si="13">SUM(C24:C27)</f>
        <v>193.31379151176642</v>
      </c>
      <c r="D28" s="68">
        <f t="shared" si="13"/>
        <v>203.52215447945818</v>
      </c>
      <c r="E28" s="68">
        <f t="shared" si="13"/>
        <v>214.14969814169197</v>
      </c>
      <c r="F28" s="68">
        <f t="shared" si="13"/>
        <v>225.19642249846771</v>
      </c>
      <c r="G28" s="68">
        <f t="shared" si="13"/>
        <v>236.66234010403889</v>
      </c>
      <c r="H28" s="68">
        <f t="shared" si="13"/>
        <v>248.54745095840556</v>
      </c>
      <c r="I28" s="68">
        <f t="shared" si="13"/>
        <v>260.85175506156764</v>
      </c>
      <c r="J28" s="68">
        <f t="shared" si="13"/>
        <v>273.57525241352516</v>
      </c>
      <c r="K28" s="69">
        <f t="shared" si="13"/>
        <v>286.71794301427821</v>
      </c>
      <c r="L28" s="69">
        <f t="shared" ref="L28" si="14">K28+K28-J28</f>
        <v>299.86063361503125</v>
      </c>
      <c r="M28" s="55">
        <v>300</v>
      </c>
      <c r="O28" s="12"/>
    </row>
    <row r="29" spans="1:15">
      <c r="B29" s="75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5">
      <c r="A30" s="14" t="s">
        <v>145</v>
      </c>
      <c r="B30" s="71" t="s">
        <v>137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5">
      <c r="A31" s="51" t="s">
        <v>127</v>
      </c>
      <c r="B31" s="72"/>
      <c r="C31" s="53">
        <v>2025</v>
      </c>
      <c r="D31" s="53">
        <v>2026</v>
      </c>
      <c r="E31" s="53">
        <v>2027</v>
      </c>
      <c r="F31" s="53">
        <v>2028</v>
      </c>
      <c r="G31" s="53">
        <v>2029</v>
      </c>
      <c r="H31" s="53">
        <v>2030</v>
      </c>
      <c r="I31" s="53">
        <v>2031</v>
      </c>
      <c r="J31" s="53">
        <v>2032</v>
      </c>
      <c r="K31" s="54">
        <v>2033</v>
      </c>
      <c r="L31" s="55">
        <v>2034</v>
      </c>
      <c r="M31" s="56" t="str">
        <f>M4</f>
        <v>Rating</v>
      </c>
    </row>
    <row r="32" spans="1:15">
      <c r="A32" s="57" t="s">
        <v>128</v>
      </c>
      <c r="B32" s="73"/>
      <c r="C32" s="60">
        <f>C19</f>
        <v>38.228018039828434</v>
      </c>
      <c r="D32" s="60">
        <f t="shared" ref="D32:L32" si="15">D19</f>
        <v>39.16754410617915</v>
      </c>
      <c r="E32" s="60">
        <f t="shared" si="15"/>
        <v>40.107070172529866</v>
      </c>
      <c r="F32" s="60">
        <f t="shared" si="15"/>
        <v>41.046596238880582</v>
      </c>
      <c r="G32" s="60">
        <f t="shared" si="15"/>
        <v>41.986122305231291</v>
      </c>
      <c r="H32" s="60">
        <f t="shared" si="15"/>
        <v>42.925648371582007</v>
      </c>
      <c r="I32" s="60">
        <f t="shared" si="15"/>
        <v>43.865174437932723</v>
      </c>
      <c r="J32" s="60">
        <f t="shared" si="15"/>
        <v>44.804700504283439</v>
      </c>
      <c r="K32" s="61">
        <f t="shared" si="15"/>
        <v>45.744226570634154</v>
      </c>
      <c r="L32" s="62">
        <f t="shared" si="15"/>
        <v>46.68375263698487</v>
      </c>
      <c r="M32" s="57"/>
      <c r="N32" s="70" t="s">
        <v>146</v>
      </c>
    </row>
    <row r="33" spans="1:15">
      <c r="A33" s="57" t="s">
        <v>129</v>
      </c>
      <c r="B33" s="74"/>
      <c r="C33" s="43">
        <f t="shared" ref="C33:L33" si="16">C20</f>
        <v>34.727769109908358</v>
      </c>
      <c r="D33" s="43">
        <f t="shared" si="16"/>
        <v>36.125181430001938</v>
      </c>
      <c r="E33" s="43">
        <f t="shared" si="16"/>
        <v>37.5201406459257</v>
      </c>
      <c r="F33" s="43">
        <f t="shared" si="16"/>
        <v>38.912646757679632</v>
      </c>
      <c r="G33" s="43">
        <f t="shared" si="16"/>
        <v>40.302699765263732</v>
      </c>
      <c r="H33" s="43">
        <f t="shared" si="16"/>
        <v>41.690299668678016</v>
      </c>
      <c r="I33" s="43">
        <f t="shared" si="16"/>
        <v>43.075446467922468</v>
      </c>
      <c r="J33" s="43">
        <f t="shared" si="16"/>
        <v>44.458140162997083</v>
      </c>
      <c r="K33" s="62">
        <f t="shared" si="16"/>
        <v>45.83838075390188</v>
      </c>
      <c r="L33" s="62">
        <f t="shared" si="16"/>
        <v>47.218621344806671</v>
      </c>
      <c r="M33" s="57"/>
      <c r="N33" s="70" t="s">
        <v>146</v>
      </c>
    </row>
    <row r="34" spans="1:15">
      <c r="A34" s="57" t="s">
        <v>130</v>
      </c>
      <c r="B34" s="74"/>
      <c r="C34" s="43">
        <f t="shared" ref="C34:L34" si="17">C21</f>
        <v>2.0234966699731154</v>
      </c>
      <c r="D34" s="43">
        <f t="shared" si="17"/>
        <v>2.0561385968793533</v>
      </c>
      <c r="E34" s="43">
        <f t="shared" si="17"/>
        <v>2.0921701167858306</v>
      </c>
      <c r="F34" s="43">
        <f t="shared" si="17"/>
        <v>2.1315912296925461</v>
      </c>
      <c r="G34" s="43">
        <f t="shared" si="17"/>
        <v>2.1744019355995001</v>
      </c>
      <c r="H34" s="43">
        <f t="shared" si="17"/>
        <v>2.2206022345066927</v>
      </c>
      <c r="I34" s="43">
        <f t="shared" si="17"/>
        <v>2.2701921264141243</v>
      </c>
      <c r="J34" s="43">
        <f t="shared" si="17"/>
        <v>2.3231716113217944</v>
      </c>
      <c r="K34" s="62">
        <f t="shared" si="17"/>
        <v>2.3795406892297026</v>
      </c>
      <c r="L34" s="62">
        <f t="shared" si="17"/>
        <v>2.4359097671376109</v>
      </c>
      <c r="M34" s="57"/>
      <c r="N34" s="70" t="s">
        <v>146</v>
      </c>
    </row>
    <row r="35" spans="1:15">
      <c r="A35" s="57" t="s">
        <v>131</v>
      </c>
      <c r="B35" s="74"/>
      <c r="C35" s="43">
        <f t="shared" ref="C35:L35" si="18">C22</f>
        <v>0</v>
      </c>
      <c r="D35" s="43">
        <f t="shared" si="18"/>
        <v>0</v>
      </c>
      <c r="E35" s="43">
        <f t="shared" si="18"/>
        <v>0</v>
      </c>
      <c r="F35" s="43">
        <f t="shared" si="18"/>
        <v>0</v>
      </c>
      <c r="G35" s="43">
        <f t="shared" si="18"/>
        <v>0</v>
      </c>
      <c r="H35" s="43">
        <f t="shared" si="18"/>
        <v>0</v>
      </c>
      <c r="I35" s="43">
        <f t="shared" si="18"/>
        <v>0</v>
      </c>
      <c r="J35" s="43">
        <f t="shared" si="18"/>
        <v>0</v>
      </c>
      <c r="K35" s="62">
        <f t="shared" si="18"/>
        <v>0</v>
      </c>
      <c r="L35" s="62">
        <f t="shared" si="18"/>
        <v>0</v>
      </c>
      <c r="M35" s="57"/>
      <c r="N35" s="70" t="s">
        <v>146</v>
      </c>
    </row>
    <row r="36" spans="1:15">
      <c r="A36" s="51" t="s">
        <v>97</v>
      </c>
      <c r="B36" s="72"/>
      <c r="C36" s="53">
        <f t="shared" ref="C36:K36" si="19">SUM(C32:C35)</f>
        <v>74.979283819709906</v>
      </c>
      <c r="D36" s="53">
        <f t="shared" si="19"/>
        <v>77.348864133060431</v>
      </c>
      <c r="E36" s="53">
        <f t="shared" si="19"/>
        <v>79.719380935241404</v>
      </c>
      <c r="F36" s="53">
        <f t="shared" si="19"/>
        <v>82.090834226252767</v>
      </c>
      <c r="G36" s="53">
        <f t="shared" si="19"/>
        <v>84.463224006094535</v>
      </c>
      <c r="H36" s="53">
        <f t="shared" si="19"/>
        <v>86.836550274766722</v>
      </c>
      <c r="I36" s="53">
        <f t="shared" si="19"/>
        <v>89.210813032269314</v>
      </c>
      <c r="J36" s="53">
        <f t="shared" si="19"/>
        <v>91.586012278602325</v>
      </c>
      <c r="K36" s="54">
        <f t="shared" si="19"/>
        <v>93.962148013765741</v>
      </c>
      <c r="L36" s="54">
        <f t="shared" ref="L36:L41" si="20">K36+K36-J36</f>
        <v>96.338283748929157</v>
      </c>
      <c r="M36" s="55">
        <v>120</v>
      </c>
    </row>
    <row r="37" spans="1:15">
      <c r="A37" s="57" t="s">
        <v>132</v>
      </c>
      <c r="B37" s="73">
        <f>16/B11</f>
        <v>0.5423728813559322</v>
      </c>
      <c r="C37" s="60">
        <f>$B37*C11</f>
        <v>57.651098725094002</v>
      </c>
      <c r="D37" s="60">
        <f t="shared" ref="D37:L37" si="21">$B37*D11</f>
        <v>59.144736370384976</v>
      </c>
      <c r="E37" s="60">
        <f t="shared" si="21"/>
        <v>60.684122787350759</v>
      </c>
      <c r="F37" s="60">
        <f t="shared" si="21"/>
        <v>62.269257975991344</v>
      </c>
      <c r="G37" s="60">
        <f t="shared" si="21"/>
        <v>63.900157411503614</v>
      </c>
      <c r="H37" s="60">
        <f t="shared" si="21"/>
        <v>65.576821093887574</v>
      </c>
      <c r="I37" s="60">
        <f t="shared" si="21"/>
        <v>67.299249023143219</v>
      </c>
      <c r="J37" s="60">
        <f t="shared" si="21"/>
        <v>69.067441199270561</v>
      </c>
      <c r="K37" s="61">
        <f t="shared" si="21"/>
        <v>70.881397622269589</v>
      </c>
      <c r="L37" s="62">
        <f t="shared" si="21"/>
        <v>72.695354045268616</v>
      </c>
      <c r="M37" s="64"/>
      <c r="N37" t="s">
        <v>147</v>
      </c>
    </row>
    <row r="38" spans="1:15">
      <c r="A38" s="57" t="s">
        <v>133</v>
      </c>
      <c r="B38" s="74"/>
      <c r="C38" s="43">
        <f t="shared" ref="C38:L38" si="22">C25</f>
        <v>46.76945384073251</v>
      </c>
      <c r="D38" s="43">
        <f t="shared" si="22"/>
        <v>47.981167380474808</v>
      </c>
      <c r="E38" s="43">
        <f t="shared" si="22"/>
        <v>49.229994611238304</v>
      </c>
      <c r="F38" s="43">
        <f t="shared" si="22"/>
        <v>50.515935533022976</v>
      </c>
      <c r="G38" s="43">
        <f t="shared" si="22"/>
        <v>51.839002700082304</v>
      </c>
      <c r="H38" s="43">
        <f t="shared" si="22"/>
        <v>53.199196112416296</v>
      </c>
      <c r="I38" s="43">
        <f t="shared" si="22"/>
        <v>54.596515770024936</v>
      </c>
      <c r="J38" s="43">
        <f t="shared" si="22"/>
        <v>56.030961672908241</v>
      </c>
      <c r="K38" s="62">
        <f t="shared" si="22"/>
        <v>57.502533821066201</v>
      </c>
      <c r="L38" s="62">
        <f t="shared" si="22"/>
        <v>58.974105969224162</v>
      </c>
      <c r="M38" s="64"/>
      <c r="N38" s="70" t="s">
        <v>146</v>
      </c>
    </row>
    <row r="39" spans="1:15">
      <c r="A39" s="57" t="s">
        <v>134</v>
      </c>
      <c r="B39" s="74"/>
      <c r="C39" s="43">
        <f t="shared" ref="C39:L39" si="23">C26</f>
        <v>51.773415671770223</v>
      </c>
      <c r="D39" s="43">
        <f t="shared" si="23"/>
        <v>55.972294888582034</v>
      </c>
      <c r="E39" s="43">
        <f t="shared" si="23"/>
        <v>60.362733272333529</v>
      </c>
      <c r="F39" s="43">
        <f t="shared" si="23"/>
        <v>64.944730823024656</v>
      </c>
      <c r="G39" s="43">
        <f t="shared" si="23"/>
        <v>69.71828754065541</v>
      </c>
      <c r="H39" s="43">
        <f t="shared" si="23"/>
        <v>74.683403425225833</v>
      </c>
      <c r="I39" s="43">
        <f t="shared" si="23"/>
        <v>79.840078476735897</v>
      </c>
      <c r="J39" s="43">
        <f t="shared" si="23"/>
        <v>85.188312695185587</v>
      </c>
      <c r="K39" s="62">
        <f t="shared" si="23"/>
        <v>90.72810608057496</v>
      </c>
      <c r="L39" s="62">
        <f t="shared" si="23"/>
        <v>96.267899465964334</v>
      </c>
      <c r="M39" s="64"/>
      <c r="N39" s="70" t="s">
        <v>146</v>
      </c>
    </row>
    <row r="40" spans="1:15">
      <c r="A40" s="57" t="s">
        <v>135</v>
      </c>
      <c r="B40" s="74"/>
      <c r="C40" s="65">
        <f t="shared" ref="C40:L40" si="24">C27</f>
        <v>28.114176708961303</v>
      </c>
      <c r="D40" s="65">
        <f t="shared" si="24"/>
        <v>28.114176708961303</v>
      </c>
      <c r="E40" s="65">
        <f t="shared" si="24"/>
        <v>28.114176708961303</v>
      </c>
      <c r="F40" s="65">
        <f t="shared" si="24"/>
        <v>28.114176708961303</v>
      </c>
      <c r="G40" s="65">
        <f t="shared" si="24"/>
        <v>28.114176708961303</v>
      </c>
      <c r="H40" s="65">
        <f t="shared" si="24"/>
        <v>28.114176708961303</v>
      </c>
      <c r="I40" s="65">
        <f t="shared" si="24"/>
        <v>28.114176708961303</v>
      </c>
      <c r="J40" s="65">
        <f t="shared" si="24"/>
        <v>28.114176708961303</v>
      </c>
      <c r="K40" s="66">
        <f t="shared" si="24"/>
        <v>28.114176708961303</v>
      </c>
      <c r="L40" s="67">
        <f t="shared" si="24"/>
        <v>28.114176708961303</v>
      </c>
      <c r="M40" s="64"/>
      <c r="N40" s="70" t="s">
        <v>146</v>
      </c>
    </row>
    <row r="41" spans="1:15">
      <c r="A41" s="51" t="s">
        <v>99</v>
      </c>
      <c r="B41" s="72"/>
      <c r="C41" s="68">
        <f t="shared" ref="C41:K41" si="25">SUM(C37:C40)</f>
        <v>184.30814494655803</v>
      </c>
      <c r="D41" s="68">
        <f t="shared" si="25"/>
        <v>191.21237534840313</v>
      </c>
      <c r="E41" s="68">
        <f t="shared" si="25"/>
        <v>198.39102737988392</v>
      </c>
      <c r="F41" s="68">
        <f t="shared" si="25"/>
        <v>205.8441010410003</v>
      </c>
      <c r="G41" s="68">
        <f t="shared" si="25"/>
        <v>213.57162436120265</v>
      </c>
      <c r="H41" s="68">
        <f t="shared" si="25"/>
        <v>221.57359734049101</v>
      </c>
      <c r="I41" s="68">
        <f t="shared" si="25"/>
        <v>229.85001997886536</v>
      </c>
      <c r="J41" s="68">
        <f t="shared" si="25"/>
        <v>238.40089227632572</v>
      </c>
      <c r="K41" s="69">
        <f t="shared" si="25"/>
        <v>247.22621423287208</v>
      </c>
      <c r="L41" s="69">
        <f t="shared" si="20"/>
        <v>256.05153618941847</v>
      </c>
      <c r="M41" s="55">
        <v>300</v>
      </c>
      <c r="O41" s="12"/>
    </row>
  </sheetData>
  <conditionalFormatting sqref="C9:L9">
    <cfRule type="cellIs" dxfId="6" priority="8" operator="greaterThan">
      <formula>$M$9</formula>
    </cfRule>
  </conditionalFormatting>
  <conditionalFormatting sqref="C14:L14">
    <cfRule type="cellIs" dxfId="5" priority="7" operator="greaterThan">
      <formula>$M$14</formula>
    </cfRule>
  </conditionalFormatting>
  <conditionalFormatting sqref="C15:L15">
    <cfRule type="cellIs" dxfId="4" priority="220" operator="greaterThan">
      <formula>$M$15</formula>
    </cfRule>
  </conditionalFormatting>
  <conditionalFormatting sqref="C23:L23">
    <cfRule type="cellIs" dxfId="3" priority="1" operator="greaterThan">
      <formula>$M$36</formula>
    </cfRule>
  </conditionalFormatting>
  <conditionalFormatting sqref="C28:L28">
    <cfRule type="cellIs" dxfId="2" priority="2" operator="greaterThan">
      <formula>$M$41</formula>
    </cfRule>
  </conditionalFormatting>
  <conditionalFormatting sqref="C36:L36">
    <cfRule type="cellIs" dxfId="1" priority="227" operator="greaterThan">
      <formula>$M$36</formula>
    </cfRule>
  </conditionalFormatting>
  <conditionalFormatting sqref="C41:L41">
    <cfRule type="cellIs" dxfId="0" priority="228" operator="greaterThan">
      <formula>$M$41</formula>
    </cfRule>
  </conditionalFormatting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e62ca5-22ea-47d8-bfd0-cf180537c997">
      <UserInfo>
        <DisplayName/>
        <AccountId xsi:nil="true"/>
        <AccountType/>
      </UserInfo>
    </SharedWithUsers>
    <lcf76f155ced4ddcb4097134ff3c332f xmlns="58dd876c-ba06-4341-9d47-b53ee198fe78">
      <Terms xmlns="http://schemas.microsoft.com/office/infopath/2007/PartnerControls"/>
    </lcf76f155ced4ddcb4097134ff3c332f>
    <TaxCatchAll xmlns="cce62ca5-22ea-47d8-bfd0-cf180537c99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63E5E62BF724086D347C959262467" ma:contentTypeVersion="17" ma:contentTypeDescription="Create a new document." ma:contentTypeScope="" ma:versionID="d5fb31da9a69ab909e9c794f9fb151bd">
  <xsd:schema xmlns:xsd="http://www.w3.org/2001/XMLSchema" xmlns:xs="http://www.w3.org/2001/XMLSchema" xmlns:p="http://schemas.microsoft.com/office/2006/metadata/properties" xmlns:ns2="58dd876c-ba06-4341-9d47-b53ee198fe78" xmlns:ns3="cce62ca5-22ea-47d8-bfd0-cf180537c997" targetNamespace="http://schemas.microsoft.com/office/2006/metadata/properties" ma:root="true" ma:fieldsID="89349fb864ef67cc53d88d2da92ebc81" ns2:_="" ns3:_="">
    <xsd:import namespace="58dd876c-ba06-4341-9d47-b53ee198fe78"/>
    <xsd:import namespace="cce62ca5-22ea-47d8-bfd0-cf180537c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d876c-ba06-4341-9d47-b53ee198fe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62ca5-22ea-47d8-bfd0-cf180537c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787cdf0-0bfe-4b44-926d-f49baf1faca0}" ma:internalName="TaxCatchAll" ma:showField="CatchAllData" ma:web="cce62ca5-22ea-47d8-bfd0-cf180537c9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C0BBF-9115-4986-863F-38A73D79899C}"/>
</file>

<file path=customXml/itemProps2.xml><?xml version="1.0" encoding="utf-8"?>
<ds:datastoreItem xmlns:ds="http://schemas.openxmlformats.org/officeDocument/2006/customXml" ds:itemID="{F9399CFF-D552-47F0-91E9-B07744D262E3}"/>
</file>

<file path=customXml/itemProps3.xml><?xml version="1.0" encoding="utf-8"?>
<ds:datastoreItem xmlns:ds="http://schemas.openxmlformats.org/officeDocument/2006/customXml" ds:itemID="{FC1C8753-039A-41C2-BE71-03DC42BEE3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North-Western Growth Corridor Network Development Strategy</dc:title>
  <dc:subject/>
  <dc:creator>Rodney Bray</dc:creator>
  <cp:keywords/>
  <dc:description/>
  <cp:lastModifiedBy>robert.jost</cp:lastModifiedBy>
  <cp:revision/>
  <dcterms:created xsi:type="dcterms:W3CDTF">2021-11-10T23:55:05Z</dcterms:created>
  <dcterms:modified xsi:type="dcterms:W3CDTF">2025-01-23T05:34:08Z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0x010100BE463E5E62BF724086D347C959262467</vt:lpwstr>
  </property>
  <property fmtid="{D5CDD505-2E9C-101B-9397-08002B2CF9AE}" pid="3" name="MediaServiceImageTags">
    <vt:lpwstr/>
  </property>
  <property fmtid="{D5CDD505-2E9C-101B-9397-08002B2CF9AE}" pid="4" name="Order">
    <vt:r8>625000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