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150566A8-3F2C-493B-9168-A7E34198968B}" xr6:coauthVersionLast="47" xr6:coauthVersionMax="47" xr10:uidLastSave="{00000000-0000-0000-0000-000000000000}"/>
  <bookViews>
    <workbookView xWindow="1605" yWindow="2010" windowWidth="27195" windowHeight="1419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AG83" i="68"/>
  <c r="AF83" i="68"/>
  <c r="AE83" i="68"/>
  <c r="AD83" i="68"/>
  <c r="AC83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C83" i="68"/>
  <c r="AG83" i="72"/>
  <c r="AF83" i="72"/>
  <c r="AE83" i="72"/>
  <c r="AD83" i="72"/>
  <c r="AC83" i="72"/>
  <c r="AB83" i="72"/>
  <c r="AA83" i="72"/>
  <c r="Z83" i="72"/>
  <c r="Y83" i="72"/>
  <c r="X83" i="72"/>
  <c r="W83" i="72"/>
  <c r="V83" i="72"/>
  <c r="U83" i="72"/>
  <c r="T83" i="72"/>
  <c r="S83" i="72"/>
  <c r="R83" i="72"/>
  <c r="Q83" i="72"/>
  <c r="P83" i="72"/>
  <c r="O83" i="72"/>
  <c r="N83" i="72"/>
  <c r="M83" i="72"/>
  <c r="L83" i="72"/>
  <c r="K83" i="72"/>
  <c r="J83" i="72"/>
  <c r="I83" i="72"/>
  <c r="C83" i="72"/>
  <c r="AG83" i="73"/>
  <c r="AF83" i="73"/>
  <c r="AE83" i="73"/>
  <c r="AD83" i="73"/>
  <c r="AC83" i="73"/>
  <c r="AB83" i="73"/>
  <c r="AA83" i="73"/>
  <c r="Z83" i="73"/>
  <c r="Y83" i="73"/>
  <c r="X83" i="73"/>
  <c r="W83" i="73"/>
  <c r="V83" i="73"/>
  <c r="U83" i="73"/>
  <c r="T83" i="73"/>
  <c r="S83" i="73"/>
  <c r="R83" i="73"/>
  <c r="Q83" i="73"/>
  <c r="P83" i="73"/>
  <c r="O83" i="73"/>
  <c r="N83" i="73"/>
  <c r="M83" i="73"/>
  <c r="L83" i="73"/>
  <c r="K83" i="73"/>
  <c r="J83" i="73"/>
  <c r="I83" i="73"/>
  <c r="C83" i="73"/>
  <c r="AG83" i="82"/>
  <c r="AF83" i="82"/>
  <c r="AE83" i="82"/>
  <c r="AD83" i="82"/>
  <c r="AC83" i="82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C83" i="82"/>
  <c r="K83" i="81"/>
  <c r="J83" i="81"/>
  <c r="I83" i="81"/>
  <c r="C83" i="81"/>
  <c r="AG82" i="68"/>
  <c r="AF82" i="68"/>
  <c r="AE82" i="68"/>
  <c r="AD82" i="68"/>
  <c r="AC82" i="68"/>
  <c r="AB82" i="68"/>
  <c r="AA82" i="68"/>
  <c r="Z82" i="68"/>
  <c r="Y82" i="68"/>
  <c r="X82" i="68"/>
  <c r="W82" i="68"/>
  <c r="V82" i="68"/>
  <c r="U82" i="68"/>
  <c r="T82" i="68"/>
  <c r="S82" i="68"/>
  <c r="R82" i="68"/>
  <c r="Q82" i="68"/>
  <c r="P82" i="68"/>
  <c r="O82" i="68"/>
  <c r="N82" i="68"/>
  <c r="M82" i="68"/>
  <c r="L82" i="68"/>
  <c r="K82" i="68"/>
  <c r="J82" i="68"/>
  <c r="I82" i="68"/>
  <c r="C82" i="68"/>
  <c r="AG82" i="72"/>
  <c r="AF82" i="72"/>
  <c r="AE82" i="72"/>
  <c r="AD82" i="72"/>
  <c r="AC82" i="72"/>
  <c r="AB82" i="72"/>
  <c r="AA82" i="72"/>
  <c r="Z82" i="72"/>
  <c r="Y82" i="72"/>
  <c r="X82" i="72"/>
  <c r="W82" i="72"/>
  <c r="V82" i="72"/>
  <c r="U82" i="72"/>
  <c r="T82" i="72"/>
  <c r="S82" i="72"/>
  <c r="R82" i="72"/>
  <c r="Q82" i="72"/>
  <c r="P82" i="72"/>
  <c r="O82" i="72"/>
  <c r="N82" i="72"/>
  <c r="M82" i="72"/>
  <c r="L82" i="72"/>
  <c r="K82" i="72"/>
  <c r="J82" i="72"/>
  <c r="I82" i="72"/>
  <c r="C82" i="72"/>
  <c r="AG82" i="73"/>
  <c r="AF82" i="73"/>
  <c r="AE82" i="73"/>
  <c r="AD82" i="73"/>
  <c r="AC82" i="73"/>
  <c r="AB82" i="73"/>
  <c r="AA82" i="73"/>
  <c r="Z82" i="73"/>
  <c r="Y82" i="73"/>
  <c r="X82" i="73"/>
  <c r="W82" i="73"/>
  <c r="V82" i="73"/>
  <c r="U82" i="73"/>
  <c r="T82" i="73"/>
  <c r="S82" i="73"/>
  <c r="R82" i="73"/>
  <c r="Q82" i="73"/>
  <c r="P82" i="73"/>
  <c r="O82" i="73"/>
  <c r="N82" i="73"/>
  <c r="M82" i="73"/>
  <c r="L82" i="73"/>
  <c r="K82" i="73"/>
  <c r="J82" i="73"/>
  <c r="I82" i="73"/>
  <c r="C82" i="73"/>
  <c r="AG82" i="82"/>
  <c r="AF82" i="82"/>
  <c r="AE82" i="82"/>
  <c r="AD82" i="82"/>
  <c r="AC82" i="82"/>
  <c r="AB82" i="82"/>
  <c r="AA82" i="82"/>
  <c r="Z82" i="82"/>
  <c r="Y82" i="82"/>
  <c r="X82" i="82"/>
  <c r="W82" i="82"/>
  <c r="V82" i="82"/>
  <c r="U82" i="82"/>
  <c r="T82" i="82"/>
  <c r="S82" i="82"/>
  <c r="R82" i="82"/>
  <c r="Q82" i="82"/>
  <c r="P82" i="82"/>
  <c r="O82" i="82"/>
  <c r="N82" i="82"/>
  <c r="M82" i="82"/>
  <c r="L82" i="82"/>
  <c r="K82" i="82"/>
  <c r="J82" i="82"/>
  <c r="I82" i="82"/>
  <c r="C82" i="82"/>
  <c r="AG82" i="81"/>
  <c r="AF82" i="81"/>
  <c r="AE82" i="81"/>
  <c r="AD82" i="81"/>
  <c r="AC82" i="81"/>
  <c r="AB82" i="81"/>
  <c r="AA82" i="81"/>
  <c r="Z82" i="81"/>
  <c r="Y82" i="81"/>
  <c r="X82" i="81"/>
  <c r="W82" i="81"/>
  <c r="V82" i="81"/>
  <c r="U82" i="81"/>
  <c r="T82" i="81"/>
  <c r="S82" i="81"/>
  <c r="R82" i="81"/>
  <c r="Q82" i="81"/>
  <c r="P82" i="81"/>
  <c r="O82" i="81"/>
  <c r="N82" i="81"/>
  <c r="M82" i="81"/>
  <c r="L82" i="81"/>
  <c r="K82" i="81"/>
  <c r="J82" i="81"/>
  <c r="I82" i="81"/>
  <c r="C82" i="81"/>
  <c r="AG81" i="68"/>
  <c r="AF81" i="68"/>
  <c r="AE81" i="68"/>
  <c r="AD81" i="68"/>
  <c r="AC81" i="68"/>
  <c r="AB81" i="68"/>
  <c r="AA81" i="68"/>
  <c r="Z81" i="68"/>
  <c r="Y81" i="68"/>
  <c r="X81" i="68"/>
  <c r="W81" i="68"/>
  <c r="V81" i="68"/>
  <c r="U81" i="68"/>
  <c r="T81" i="68"/>
  <c r="S81" i="68"/>
  <c r="R81" i="68"/>
  <c r="Q81" i="68"/>
  <c r="P81" i="68"/>
  <c r="O81" i="68"/>
  <c r="N81" i="68"/>
  <c r="M81" i="68"/>
  <c r="L81" i="68"/>
  <c r="K81" i="68"/>
  <c r="J81" i="68"/>
  <c r="I81" i="68"/>
  <c r="C81" i="68"/>
  <c r="AG81" i="72"/>
  <c r="AF81" i="72"/>
  <c r="AE81" i="72"/>
  <c r="AD81" i="72"/>
  <c r="AC81" i="72"/>
  <c r="AB81" i="72"/>
  <c r="AA81" i="72"/>
  <c r="Z81" i="72"/>
  <c r="Y81" i="72"/>
  <c r="X81" i="72"/>
  <c r="W81" i="72"/>
  <c r="V81" i="72"/>
  <c r="U81" i="72"/>
  <c r="T81" i="72"/>
  <c r="S81" i="72"/>
  <c r="R81" i="72"/>
  <c r="Q81" i="72"/>
  <c r="P81" i="72"/>
  <c r="O81" i="72"/>
  <c r="N81" i="72"/>
  <c r="M81" i="72"/>
  <c r="L81" i="72"/>
  <c r="K81" i="72"/>
  <c r="J81" i="72"/>
  <c r="I81" i="72"/>
  <c r="C81" i="72"/>
  <c r="AG81" i="73"/>
  <c r="AF81" i="73"/>
  <c r="AE81" i="73"/>
  <c r="AD81" i="73"/>
  <c r="AC81" i="73"/>
  <c r="AB81" i="73"/>
  <c r="AA81" i="73"/>
  <c r="Z81" i="73"/>
  <c r="Y81" i="73"/>
  <c r="X81" i="73"/>
  <c r="W81" i="73"/>
  <c r="V81" i="73"/>
  <c r="U81" i="73"/>
  <c r="T81" i="73"/>
  <c r="S81" i="73"/>
  <c r="R81" i="73"/>
  <c r="Q81" i="73"/>
  <c r="P81" i="73"/>
  <c r="O81" i="73"/>
  <c r="N81" i="73"/>
  <c r="M81" i="73"/>
  <c r="L81" i="73"/>
  <c r="K81" i="73"/>
  <c r="J81" i="73"/>
  <c r="I81" i="73"/>
  <c r="C81" i="73"/>
  <c r="AG81" i="82"/>
  <c r="AF81" i="82"/>
  <c r="AE81" i="82"/>
  <c r="AD81" i="82"/>
  <c r="AC81" i="82"/>
  <c r="AB81" i="82"/>
  <c r="AA81" i="82"/>
  <c r="Z81" i="82"/>
  <c r="Y81" i="82"/>
  <c r="X81" i="82"/>
  <c r="W81" i="82"/>
  <c r="V81" i="82"/>
  <c r="U81" i="82"/>
  <c r="T81" i="82"/>
  <c r="S81" i="82"/>
  <c r="R81" i="82"/>
  <c r="Q81" i="82"/>
  <c r="P81" i="82"/>
  <c r="O81" i="82"/>
  <c r="N81" i="82"/>
  <c r="M81" i="82"/>
  <c r="L81" i="82"/>
  <c r="K81" i="82"/>
  <c r="J81" i="82"/>
  <c r="I81" i="82"/>
  <c r="C81" i="82"/>
  <c r="AG81" i="81"/>
  <c r="AF81" i="81"/>
  <c r="AE81" i="81"/>
  <c r="AD81" i="81"/>
  <c r="AC81" i="81"/>
  <c r="AB81" i="81"/>
  <c r="AA81" i="81"/>
  <c r="Z81" i="81"/>
  <c r="Y81" i="81"/>
  <c r="X81" i="81"/>
  <c r="W81" i="81"/>
  <c r="V81" i="81"/>
  <c r="U81" i="81"/>
  <c r="T81" i="81"/>
  <c r="S81" i="81"/>
  <c r="R81" i="81"/>
  <c r="Q81" i="81"/>
  <c r="P81" i="81"/>
  <c r="O81" i="81"/>
  <c r="N81" i="81"/>
  <c r="M81" i="81"/>
  <c r="L81" i="81"/>
  <c r="K81" i="81"/>
  <c r="J81" i="81"/>
  <c r="I81" i="81"/>
  <c r="C81" i="81"/>
  <c r="AG77" i="68" a="1"/>
  <c r="AG77" i="68" s="1"/>
  <c r="AF77" i="68"/>
  <c r="AF77" i="68" a="1"/>
  <c r="AE77" i="68" a="1"/>
  <c r="AE77" i="68" s="1"/>
  <c r="AD77" i="68" a="1"/>
  <c r="AD77" i="68" s="1"/>
  <c r="AC77" i="68"/>
  <c r="AC77" i="68" a="1"/>
  <c r="AB77" i="68" a="1"/>
  <c r="AB77" i="68" s="1"/>
  <c r="AA77" i="68" a="1"/>
  <c r="AA77" i="68" s="1"/>
  <c r="Z77" i="68" a="1"/>
  <c r="Z77" i="68" s="1"/>
  <c r="Y77" i="68" a="1"/>
  <c r="Y77" i="68" s="1"/>
  <c r="X77" i="68" a="1"/>
  <c r="X77" i="68" s="1"/>
  <c r="W77" i="68" a="1"/>
  <c r="W77" i="68" s="1"/>
  <c r="V77" i="68"/>
  <c r="V77" i="68" a="1"/>
  <c r="U77" i="68" a="1"/>
  <c r="U77" i="68" s="1"/>
  <c r="T77" i="68" a="1"/>
  <c r="T77" i="68" s="1"/>
  <c r="S77" i="68"/>
  <c r="S77" i="68" a="1"/>
  <c r="R77" i="68" a="1"/>
  <c r="R77" i="68" s="1"/>
  <c r="Q77" i="68" a="1"/>
  <c r="Q77" i="68" s="1"/>
  <c r="P77" i="68" a="1"/>
  <c r="P77" i="68" s="1"/>
  <c r="O77" i="68" a="1"/>
  <c r="O77" i="68" s="1"/>
  <c r="N77" i="68" a="1"/>
  <c r="N77" i="68" s="1"/>
  <c r="M77" i="68" a="1"/>
  <c r="M77" i="68" s="1"/>
  <c r="L77" i="68"/>
  <c r="L77" i="68" a="1"/>
  <c r="K77" i="68" a="1"/>
  <c r="K77" i="68" s="1"/>
  <c r="J77" i="68" a="1"/>
  <c r="J77" i="68" s="1"/>
  <c r="I77" i="68"/>
  <c r="I77" i="68" a="1"/>
  <c r="C77" i="68"/>
  <c r="AG77" i="72" a="1"/>
  <c r="AG77" i="72" s="1"/>
  <c r="AF77" i="72" a="1"/>
  <c r="AF77" i="72" s="1"/>
  <c r="AE77" i="72" a="1"/>
  <c r="AE77" i="72" s="1"/>
  <c r="AD77" i="72" a="1"/>
  <c r="AD77" i="72" s="1"/>
  <c r="AC77" i="72" a="1"/>
  <c r="AC77" i="72" s="1"/>
  <c r="AB77" i="72" a="1"/>
  <c r="AB77" i="72" s="1"/>
  <c r="AA77" i="72" a="1"/>
  <c r="AA77" i="72" s="1"/>
  <c r="Z77" i="72" a="1"/>
  <c r="Z77" i="72" s="1"/>
  <c r="Y77" i="72"/>
  <c r="Y77" i="72" a="1"/>
  <c r="X77" i="72" a="1"/>
  <c r="X77" i="72" s="1"/>
  <c r="W77" i="72" a="1"/>
  <c r="W77" i="72" s="1"/>
  <c r="V77" i="72" a="1"/>
  <c r="V77" i="72" s="1"/>
  <c r="U77" i="72" a="1"/>
  <c r="U77" i="72" s="1"/>
  <c r="T77" i="72" a="1"/>
  <c r="T77" i="72" s="1"/>
  <c r="S77" i="72" a="1"/>
  <c r="S77" i="72" s="1"/>
  <c r="R77" i="72" a="1"/>
  <c r="R77" i="72" s="1"/>
  <c r="Q77" i="72" a="1"/>
  <c r="Q77" i="72" s="1"/>
  <c r="P77" i="72" a="1"/>
  <c r="P77" i="72" s="1"/>
  <c r="O77" i="72"/>
  <c r="O77" i="72" a="1"/>
  <c r="N77" i="72" a="1"/>
  <c r="N77" i="72" s="1"/>
  <c r="M77" i="72" a="1"/>
  <c r="M77" i="72" s="1"/>
  <c r="L77" i="72" a="1"/>
  <c r="L77" i="72" s="1"/>
  <c r="K77" i="72" a="1"/>
  <c r="K77" i="72" s="1"/>
  <c r="J77" i="72" a="1"/>
  <c r="J77" i="72" s="1"/>
  <c r="I77" i="72" a="1"/>
  <c r="I77" i="72" s="1"/>
  <c r="C77" i="72"/>
  <c r="AG77" i="73" a="1"/>
  <c r="AG77" i="73" s="1"/>
  <c r="AF77" i="73" a="1"/>
  <c r="AF77" i="73" s="1"/>
  <c r="AE77" i="73"/>
  <c r="AE77" i="73" a="1"/>
  <c r="AD77" i="73" a="1"/>
  <c r="AD77" i="73" s="1"/>
  <c r="AC77" i="73" a="1"/>
  <c r="AC77" i="73" s="1"/>
  <c r="AB77" i="73" a="1"/>
  <c r="AB77" i="73" s="1"/>
  <c r="AA77" i="73" a="1"/>
  <c r="AA77" i="73" s="1"/>
  <c r="Z77" i="73" a="1"/>
  <c r="Z77" i="73" s="1"/>
  <c r="Y77" i="73" a="1"/>
  <c r="Y77" i="73" s="1"/>
  <c r="X77" i="73" a="1"/>
  <c r="X77" i="73" s="1"/>
  <c r="W77" i="73" a="1"/>
  <c r="W77" i="73" s="1"/>
  <c r="V77" i="73" a="1"/>
  <c r="V77" i="73" s="1"/>
  <c r="U77" i="73"/>
  <c r="U77" i="73" a="1"/>
  <c r="T77" i="73" a="1"/>
  <c r="T77" i="73" s="1"/>
  <c r="S77" i="73" a="1"/>
  <c r="S77" i="73" s="1"/>
  <c r="R77" i="73" a="1"/>
  <c r="R77" i="73" s="1"/>
  <c r="Q77" i="73" a="1"/>
  <c r="Q77" i="73" s="1"/>
  <c r="P77" i="73" a="1"/>
  <c r="P77" i="73" s="1"/>
  <c r="O77" i="73" a="1"/>
  <c r="O77" i="73" s="1"/>
  <c r="N77" i="73" a="1"/>
  <c r="N77" i="73" s="1"/>
  <c r="M77" i="73" a="1"/>
  <c r="M77" i="73" s="1"/>
  <c r="L77" i="73" a="1"/>
  <c r="L77" i="73" s="1"/>
  <c r="K77" i="73"/>
  <c r="K77" i="73" a="1"/>
  <c r="J77" i="73" a="1"/>
  <c r="J77" i="73" s="1"/>
  <c r="I77" i="73" a="1"/>
  <c r="I77" i="73" s="1"/>
  <c r="C77" i="73"/>
  <c r="AG77" i="82" a="1"/>
  <c r="AG77" i="82" s="1"/>
  <c r="AF77" i="82" a="1"/>
  <c r="AF77" i="82" s="1"/>
  <c r="AE77" i="82" a="1"/>
  <c r="AE77" i="82" s="1"/>
  <c r="AD77" i="82" a="1"/>
  <c r="AD77" i="82" s="1"/>
  <c r="AC77" i="82" a="1"/>
  <c r="AC77" i="82" s="1"/>
  <c r="AB77" i="82" a="1"/>
  <c r="AB77" i="82" s="1"/>
  <c r="AA77" i="82"/>
  <c r="AA77" i="82" a="1"/>
  <c r="Z77" i="82" a="1"/>
  <c r="Z77" i="82" s="1"/>
  <c r="Y77" i="82" a="1"/>
  <c r="Y77" i="82" s="1"/>
  <c r="X77" i="82" a="1"/>
  <c r="X77" i="82" s="1"/>
  <c r="W77" i="82" a="1"/>
  <c r="W77" i="82" s="1"/>
  <c r="V77" i="82" a="1"/>
  <c r="V77" i="82" s="1"/>
  <c r="U77" i="82" a="1"/>
  <c r="U77" i="82" s="1"/>
  <c r="T77" i="82" a="1"/>
  <c r="T77" i="82" s="1"/>
  <c r="S77" i="82" a="1"/>
  <c r="S77" i="82" s="1"/>
  <c r="R77" i="82" a="1"/>
  <c r="R77" i="82" s="1"/>
  <c r="Q77" i="82"/>
  <c r="Q77" i="82" a="1"/>
  <c r="P77" i="82" a="1"/>
  <c r="P77" i="82" s="1"/>
  <c r="O77" i="82" a="1"/>
  <c r="O77" i="82" s="1"/>
  <c r="N77" i="82" a="1"/>
  <c r="N77" i="82" s="1"/>
  <c r="M77" i="82" a="1"/>
  <c r="M77" i="82" s="1"/>
  <c r="L77" i="82" a="1"/>
  <c r="L77" i="82" s="1"/>
  <c r="K77" i="82" a="1"/>
  <c r="K77" i="82" s="1"/>
  <c r="J77" i="82" a="1"/>
  <c r="J77" i="82" s="1"/>
  <c r="I77" i="82" a="1"/>
  <c r="I77" i="82" s="1"/>
  <c r="C77" i="82"/>
  <c r="Z77" i="81" a="1"/>
  <c r="Z77" i="81" s="1"/>
  <c r="AA83" i="81" s="1"/>
  <c r="Y77" i="81" a="1"/>
  <c r="Y77" i="81" s="1"/>
  <c r="Z83" i="81" s="1"/>
  <c r="T77" i="81" a="1"/>
  <c r="T77" i="81" s="1"/>
  <c r="U83" i="81" s="1"/>
  <c r="S77" i="81" a="1"/>
  <c r="S77" i="81" s="1"/>
  <c r="T83" i="81" s="1"/>
  <c r="K77" i="81" a="1"/>
  <c r="K77" i="81" s="1"/>
  <c r="L83" i="81" s="1"/>
  <c r="J77" i="81" a="1"/>
  <c r="J77" i="81" s="1"/>
  <c r="I77" i="81" a="1"/>
  <c r="I77" i="81" s="1"/>
  <c r="C77" i="81"/>
  <c r="AG76" i="68" a="1"/>
  <c r="AG76" i="68" s="1"/>
  <c r="AF76" i="68" a="1"/>
  <c r="AF76" i="68" s="1"/>
  <c r="AE76" i="68" a="1"/>
  <c r="AE76" i="68" s="1"/>
  <c r="AD76" i="68" a="1"/>
  <c r="AD76" i="68" s="1"/>
  <c r="AC76" i="68" a="1"/>
  <c r="AC76" i="68" s="1"/>
  <c r="AB76" i="68" a="1"/>
  <c r="AB76" i="68" s="1"/>
  <c r="AA76" i="68" a="1"/>
  <c r="AA76" i="68" s="1"/>
  <c r="Z76" i="68" a="1"/>
  <c r="Z76" i="68" s="1"/>
  <c r="Y76" i="68" a="1"/>
  <c r="Y76" i="68" s="1"/>
  <c r="X76" i="68" a="1"/>
  <c r="X76" i="68" s="1"/>
  <c r="W76" i="68" a="1"/>
  <c r="W76" i="68" s="1"/>
  <c r="V76" i="68" a="1"/>
  <c r="V76" i="68" s="1"/>
  <c r="U76" i="68" a="1"/>
  <c r="U76" i="68" s="1"/>
  <c r="T76" i="68" a="1"/>
  <c r="T76" i="68" s="1"/>
  <c r="S76" i="68" a="1"/>
  <c r="S76" i="68" s="1"/>
  <c r="R76" i="68" a="1"/>
  <c r="R76" i="68" s="1"/>
  <c r="Q76" i="68" a="1"/>
  <c r="Q76" i="68" s="1"/>
  <c r="P76" i="68" a="1"/>
  <c r="P76" i="68" s="1"/>
  <c r="O76" i="68" a="1"/>
  <c r="O76" i="68" s="1"/>
  <c r="N76" i="68" a="1"/>
  <c r="N76" i="68" s="1"/>
  <c r="M76" i="68" a="1"/>
  <c r="M76" i="68" s="1"/>
  <c r="L76" i="68" a="1"/>
  <c r="L76" i="68" s="1"/>
  <c r="K76" i="68" a="1"/>
  <c r="K76" i="68" s="1"/>
  <c r="J76" i="68" a="1"/>
  <c r="J76" i="68" s="1"/>
  <c r="I76" i="68" a="1"/>
  <c r="I76" i="68" s="1"/>
  <c r="C76" i="68"/>
  <c r="AG76" i="72" a="1"/>
  <c r="AG76" i="72" s="1"/>
  <c r="AF76" i="72" a="1"/>
  <c r="AF76" i="72" s="1"/>
  <c r="AE76" i="72" a="1"/>
  <c r="AE76" i="72" s="1"/>
  <c r="AD76" i="72" a="1"/>
  <c r="AD76" i="72" s="1"/>
  <c r="AC76" i="72" a="1"/>
  <c r="AC76" i="72" s="1"/>
  <c r="AB76" i="72" a="1"/>
  <c r="AB76" i="72" s="1"/>
  <c r="AA76" i="72" a="1"/>
  <c r="AA76" i="72" s="1"/>
  <c r="Z76" i="72" a="1"/>
  <c r="Z76" i="72" s="1"/>
  <c r="Y76" i="72" a="1"/>
  <c r="Y76" i="72" s="1"/>
  <c r="X76" i="72" a="1"/>
  <c r="X76" i="72" s="1"/>
  <c r="W76" i="72" a="1"/>
  <c r="W76" i="72" s="1"/>
  <c r="V76" i="72" a="1"/>
  <c r="V76" i="72" s="1"/>
  <c r="U76" i="72" a="1"/>
  <c r="U76" i="72" s="1"/>
  <c r="T76" i="72" a="1"/>
  <c r="T76" i="72" s="1"/>
  <c r="S76" i="72" a="1"/>
  <c r="S76" i="72" s="1"/>
  <c r="R76" i="72" a="1"/>
  <c r="R76" i="72" s="1"/>
  <c r="Q76" i="72" a="1"/>
  <c r="Q76" i="72" s="1"/>
  <c r="P76" i="72" a="1"/>
  <c r="P76" i="72" s="1"/>
  <c r="O76" i="72" a="1"/>
  <c r="O76" i="72" s="1"/>
  <c r="N76" i="72" a="1"/>
  <c r="N76" i="72" s="1"/>
  <c r="M76" i="72" a="1"/>
  <c r="M76" i="72" s="1"/>
  <c r="L76" i="72" a="1"/>
  <c r="L76" i="72" s="1"/>
  <c r="K76" i="72" a="1"/>
  <c r="K76" i="72" s="1"/>
  <c r="J76" i="72" a="1"/>
  <c r="J76" i="72" s="1"/>
  <c r="I76" i="72" a="1"/>
  <c r="I76" i="72" s="1"/>
  <c r="C76" i="72"/>
  <c r="AG76" i="73" a="1"/>
  <c r="AG76" i="73" s="1"/>
  <c r="AF76" i="73" a="1"/>
  <c r="AF76" i="73" s="1"/>
  <c r="AE76" i="73" a="1"/>
  <c r="AE76" i="73" s="1"/>
  <c r="AD76" i="73" a="1"/>
  <c r="AD76" i="73" s="1"/>
  <c r="AC76" i="73" a="1"/>
  <c r="AC76" i="73" s="1"/>
  <c r="AB76" i="73" a="1"/>
  <c r="AB76" i="73" s="1"/>
  <c r="AA76" i="73" a="1"/>
  <c r="AA76" i="73" s="1"/>
  <c r="Z76" i="73" a="1"/>
  <c r="Z76" i="73" s="1"/>
  <c r="Y76" i="73" a="1"/>
  <c r="Y76" i="73" s="1"/>
  <c r="X76" i="73" a="1"/>
  <c r="X76" i="73" s="1"/>
  <c r="W76" i="73" a="1"/>
  <c r="W76" i="73" s="1"/>
  <c r="V76" i="73" a="1"/>
  <c r="V76" i="73" s="1"/>
  <c r="U76" i="73" a="1"/>
  <c r="U76" i="73" s="1"/>
  <c r="T76" i="73" a="1"/>
  <c r="T76" i="73" s="1"/>
  <c r="S76" i="73" a="1"/>
  <c r="S76" i="73" s="1"/>
  <c r="R76" i="73" a="1"/>
  <c r="R76" i="73" s="1"/>
  <c r="Q76" i="73" a="1"/>
  <c r="Q76" i="73" s="1"/>
  <c r="P76" i="73" a="1"/>
  <c r="P76" i="73" s="1"/>
  <c r="O76" i="73" a="1"/>
  <c r="O76" i="73" s="1"/>
  <c r="N76" i="73" a="1"/>
  <c r="N76" i="73" s="1"/>
  <c r="M76" i="73" a="1"/>
  <c r="M76" i="73" s="1"/>
  <c r="L76" i="73" a="1"/>
  <c r="L76" i="73" s="1"/>
  <c r="K76" i="73" a="1"/>
  <c r="K76" i="73" s="1"/>
  <c r="J76" i="73" a="1"/>
  <c r="J76" i="73" s="1"/>
  <c r="I76" i="73" a="1"/>
  <c r="I76" i="73" s="1"/>
  <c r="C76" i="73"/>
  <c r="AG76" i="82" a="1"/>
  <c r="AG76" i="82" s="1"/>
  <c r="AF76" i="82" a="1"/>
  <c r="AF76" i="82" s="1"/>
  <c r="AE76" i="82" a="1"/>
  <c r="AE76" i="82" s="1"/>
  <c r="AD76" i="82" a="1"/>
  <c r="AD76" i="82" s="1"/>
  <c r="AC76" i="82" a="1"/>
  <c r="AC76" i="82" s="1"/>
  <c r="AB76" i="82" a="1"/>
  <c r="AB76" i="82" s="1"/>
  <c r="AA76" i="82" a="1"/>
  <c r="AA76" i="82" s="1"/>
  <c r="Z76" i="82" a="1"/>
  <c r="Z76" i="82" s="1"/>
  <c r="Y76" i="82" a="1"/>
  <c r="Y76" i="82" s="1"/>
  <c r="X76" i="82" a="1"/>
  <c r="X76" i="82" s="1"/>
  <c r="W76" i="82" a="1"/>
  <c r="W76" i="82" s="1"/>
  <c r="V76" i="82" a="1"/>
  <c r="V76" i="82" s="1"/>
  <c r="U76" i="82" a="1"/>
  <c r="U76" i="82" s="1"/>
  <c r="T76" i="82" a="1"/>
  <c r="T76" i="82" s="1"/>
  <c r="S76" i="82" a="1"/>
  <c r="S76" i="82" s="1"/>
  <c r="R76" i="82" a="1"/>
  <c r="R76" i="82" s="1"/>
  <c r="Q76" i="82" a="1"/>
  <c r="Q76" i="82" s="1"/>
  <c r="P76" i="82" a="1"/>
  <c r="P76" i="82" s="1"/>
  <c r="O76" i="82" a="1"/>
  <c r="O76" i="82" s="1"/>
  <c r="N76" i="82" a="1"/>
  <c r="N76" i="82" s="1"/>
  <c r="M76" i="82" a="1"/>
  <c r="M76" i="82" s="1"/>
  <c r="L76" i="82" a="1"/>
  <c r="L76" i="82" s="1"/>
  <c r="K76" i="82" a="1"/>
  <c r="K76" i="82" s="1"/>
  <c r="J76" i="82" a="1"/>
  <c r="J76" i="82" s="1"/>
  <c r="I76" i="82" a="1"/>
  <c r="I76" i="82" s="1"/>
  <c r="C76" i="82"/>
  <c r="AG76" i="81" a="1"/>
  <c r="AG76" i="81" s="1"/>
  <c r="AF76" i="81" a="1"/>
  <c r="AF76" i="81" s="1"/>
  <c r="AE76" i="81" a="1"/>
  <c r="AE76" i="81" s="1"/>
  <c r="AD76" i="81" a="1"/>
  <c r="AD76" i="81" s="1"/>
  <c r="AC76" i="81" a="1"/>
  <c r="AC76" i="81" s="1"/>
  <c r="AB76" i="81" a="1"/>
  <c r="AB76" i="81" s="1"/>
  <c r="AA76" i="81" a="1"/>
  <c r="AA76" i="81" s="1"/>
  <c r="Z76" i="81" a="1"/>
  <c r="Z76" i="81" s="1"/>
  <c r="Y76" i="81" a="1"/>
  <c r="Y76" i="81" s="1"/>
  <c r="X76" i="81" a="1"/>
  <c r="X76" i="81" s="1"/>
  <c r="W76" i="81" a="1"/>
  <c r="W76" i="81" s="1"/>
  <c r="V76" i="81" a="1"/>
  <c r="V76" i="81" s="1"/>
  <c r="U76" i="81" a="1"/>
  <c r="U76" i="81" s="1"/>
  <c r="T76" i="81" a="1"/>
  <c r="T76" i="81" s="1"/>
  <c r="S76" i="81" a="1"/>
  <c r="S76" i="81" s="1"/>
  <c r="R76" i="81" a="1"/>
  <c r="R76" i="81" s="1"/>
  <c r="Q76" i="81" a="1"/>
  <c r="Q76" i="81" s="1"/>
  <c r="P76" i="81" a="1"/>
  <c r="P76" i="81" s="1"/>
  <c r="O76" i="81" a="1"/>
  <c r="O76" i="81" s="1"/>
  <c r="N76" i="81" a="1"/>
  <c r="N76" i="81" s="1"/>
  <c r="M76" i="81" a="1"/>
  <c r="M76" i="81" s="1"/>
  <c r="L76" i="81" a="1"/>
  <c r="L76" i="81" s="1"/>
  <c r="K76" i="81" a="1"/>
  <c r="K76" i="81" s="1"/>
  <c r="J76" i="81" a="1"/>
  <c r="J76" i="81" s="1"/>
  <c r="I76" i="81" a="1"/>
  <c r="I76" i="81" s="1"/>
  <c r="C76" i="81"/>
  <c r="AG75" i="68" a="1"/>
  <c r="AG75" i="68" s="1"/>
  <c r="AF75" i="68" a="1"/>
  <c r="AF75" i="68" s="1"/>
  <c r="AE75" i="68" a="1"/>
  <c r="AE75" i="68" s="1"/>
  <c r="AD75" i="68" a="1"/>
  <c r="AD75" i="68" s="1"/>
  <c r="AC75" i="68" a="1"/>
  <c r="AC75" i="68" s="1"/>
  <c r="AB75" i="68" a="1"/>
  <c r="AB75" i="68" s="1"/>
  <c r="AA75" i="68" a="1"/>
  <c r="AA75" i="68" s="1"/>
  <c r="Z75" i="68" a="1"/>
  <c r="Z75" i="68" s="1"/>
  <c r="Y75" i="68" a="1"/>
  <c r="Y75" i="68" s="1"/>
  <c r="X75" i="68" a="1"/>
  <c r="X75" i="68" s="1"/>
  <c r="W75" i="68" a="1"/>
  <c r="W75" i="68" s="1"/>
  <c r="V75" i="68" a="1"/>
  <c r="V75" i="68" s="1"/>
  <c r="U75" i="68" a="1"/>
  <c r="U75" i="68" s="1"/>
  <c r="T75" i="68" a="1"/>
  <c r="T75" i="68" s="1"/>
  <c r="S75" i="68" a="1"/>
  <c r="S75" i="68" s="1"/>
  <c r="R75" i="68" a="1"/>
  <c r="R75" i="68" s="1"/>
  <c r="Q75" i="68" a="1"/>
  <c r="Q75" i="68" s="1"/>
  <c r="P75" i="68" a="1"/>
  <c r="P75" i="68" s="1"/>
  <c r="O75" i="68" a="1"/>
  <c r="O75" i="68" s="1"/>
  <c r="N75" i="68" a="1"/>
  <c r="N75" i="68" s="1"/>
  <c r="M75" i="68" a="1"/>
  <c r="M75" i="68" s="1"/>
  <c r="L75" i="68" a="1"/>
  <c r="L75" i="68" s="1"/>
  <c r="K75" i="68" a="1"/>
  <c r="K75" i="68" s="1"/>
  <c r="J75" i="68" a="1"/>
  <c r="J75" i="68" s="1"/>
  <c r="I75" i="68" a="1"/>
  <c r="I75" i="68" s="1"/>
  <c r="C75" i="68"/>
  <c r="AG75" i="72" a="1"/>
  <c r="AG75" i="72" s="1"/>
  <c r="AF75" i="72" a="1"/>
  <c r="AF75" i="72" s="1"/>
  <c r="AE75" i="72" a="1"/>
  <c r="AE75" i="72" s="1"/>
  <c r="AD75" i="72" a="1"/>
  <c r="AD75" i="72" s="1"/>
  <c r="AC75" i="72" a="1"/>
  <c r="AC75" i="72" s="1"/>
  <c r="AB75" i="72" a="1"/>
  <c r="AB75" i="72" s="1"/>
  <c r="AA75" i="72" a="1"/>
  <c r="AA75" i="72" s="1"/>
  <c r="Z75" i="72" a="1"/>
  <c r="Z75" i="72" s="1"/>
  <c r="Y75" i="72" a="1"/>
  <c r="Y75" i="72" s="1"/>
  <c r="X75" i="72" a="1"/>
  <c r="X75" i="72" s="1"/>
  <c r="W75" i="72" a="1"/>
  <c r="W75" i="72" s="1"/>
  <c r="V75" i="72" a="1"/>
  <c r="V75" i="72" s="1"/>
  <c r="U75" i="72" a="1"/>
  <c r="U75" i="72" s="1"/>
  <c r="T75" i="72" a="1"/>
  <c r="T75" i="72" s="1"/>
  <c r="S75" i="72" a="1"/>
  <c r="S75" i="72" s="1"/>
  <c r="R75" i="72" a="1"/>
  <c r="R75" i="72" s="1"/>
  <c r="Q75" i="72" a="1"/>
  <c r="Q75" i="72" s="1"/>
  <c r="P75" i="72" a="1"/>
  <c r="P75" i="72" s="1"/>
  <c r="O75" i="72" a="1"/>
  <c r="O75" i="72" s="1"/>
  <c r="N75" i="72" a="1"/>
  <c r="N75" i="72" s="1"/>
  <c r="M75" i="72" a="1"/>
  <c r="M75" i="72" s="1"/>
  <c r="L75" i="72" a="1"/>
  <c r="L75" i="72" s="1"/>
  <c r="K75" i="72" a="1"/>
  <c r="K75" i="72" s="1"/>
  <c r="J75" i="72" a="1"/>
  <c r="J75" i="72" s="1"/>
  <c r="I75" i="72" a="1"/>
  <c r="I75" i="72" s="1"/>
  <c r="C75" i="72"/>
  <c r="AG75" i="73" a="1"/>
  <c r="AG75" i="73" s="1"/>
  <c r="AF75" i="73" a="1"/>
  <c r="AF75" i="73" s="1"/>
  <c r="AE75" i="73" a="1"/>
  <c r="AE75" i="73" s="1"/>
  <c r="AD75" i="73" a="1"/>
  <c r="AD75" i="73" s="1"/>
  <c r="AC75" i="73" a="1"/>
  <c r="AC75" i="73" s="1"/>
  <c r="AB75" i="73" a="1"/>
  <c r="AB75" i="73" s="1"/>
  <c r="AA75" i="73" a="1"/>
  <c r="AA75" i="73" s="1"/>
  <c r="Z75" i="73" a="1"/>
  <c r="Z75" i="73" s="1"/>
  <c r="Y75" i="73"/>
  <c r="Y75" i="73" a="1"/>
  <c r="X75" i="73" a="1"/>
  <c r="X75" i="73" s="1"/>
  <c r="W75" i="73" a="1"/>
  <c r="W75" i="73" s="1"/>
  <c r="V75" i="73" a="1"/>
  <c r="V75" i="73" s="1"/>
  <c r="U75" i="73" a="1"/>
  <c r="U75" i="73" s="1"/>
  <c r="T75" i="73" a="1"/>
  <c r="T75" i="73" s="1"/>
  <c r="S75" i="73" a="1"/>
  <c r="S75" i="73" s="1"/>
  <c r="R75" i="73" a="1"/>
  <c r="R75" i="73" s="1"/>
  <c r="Q75" i="73" a="1"/>
  <c r="Q75" i="73" s="1"/>
  <c r="P75" i="73" a="1"/>
  <c r="P75" i="73" s="1"/>
  <c r="O75" i="73" a="1"/>
  <c r="O75" i="73" s="1"/>
  <c r="N75" i="73" a="1"/>
  <c r="N75" i="73" s="1"/>
  <c r="M75" i="73" a="1"/>
  <c r="M75" i="73" s="1"/>
  <c r="L75" i="73" a="1"/>
  <c r="L75" i="73" s="1"/>
  <c r="K75" i="73" a="1"/>
  <c r="K75" i="73" s="1"/>
  <c r="J75" i="73" a="1"/>
  <c r="J75" i="73" s="1"/>
  <c r="I75" i="73" a="1"/>
  <c r="I75" i="73" s="1"/>
  <c r="C75" i="73"/>
  <c r="AG75" i="82" a="1"/>
  <c r="AG75" i="82" s="1"/>
  <c r="AF75" i="82" a="1"/>
  <c r="AF75" i="82" s="1"/>
  <c r="AE75" i="82" a="1"/>
  <c r="AE75" i="82" s="1"/>
  <c r="AD75" i="82" a="1"/>
  <c r="AD75" i="82" s="1"/>
  <c r="AC75" i="82" a="1"/>
  <c r="AC75" i="82" s="1"/>
  <c r="AB75" i="82" a="1"/>
  <c r="AB75" i="82" s="1"/>
  <c r="AA75" i="82" a="1"/>
  <c r="AA75" i="82" s="1"/>
  <c r="Z75" i="82" a="1"/>
  <c r="Z75" i="82" s="1"/>
  <c r="Y75" i="82" a="1"/>
  <c r="Y75" i="82" s="1"/>
  <c r="X75" i="82" a="1"/>
  <c r="X75" i="82" s="1"/>
  <c r="W75" i="82" a="1"/>
  <c r="W75" i="82" s="1"/>
  <c r="V75" i="82" a="1"/>
  <c r="V75" i="82" s="1"/>
  <c r="U75" i="82"/>
  <c r="U75" i="82" a="1"/>
  <c r="T75" i="82" a="1"/>
  <c r="T75" i="82" s="1"/>
  <c r="S75" i="82" a="1"/>
  <c r="S75" i="82" s="1"/>
  <c r="R75" i="82" a="1"/>
  <c r="R75" i="82" s="1"/>
  <c r="Q75" i="82" a="1"/>
  <c r="Q75" i="82" s="1"/>
  <c r="P75" i="82" a="1"/>
  <c r="P75" i="82" s="1"/>
  <c r="O75" i="82" a="1"/>
  <c r="O75" i="82" s="1"/>
  <c r="N75" i="82" a="1"/>
  <c r="N75" i="82" s="1"/>
  <c r="M75" i="82" a="1"/>
  <c r="M75" i="82" s="1"/>
  <c r="L75" i="82" a="1"/>
  <c r="L75" i="82" s="1"/>
  <c r="K75" i="82" a="1"/>
  <c r="K75" i="82" s="1"/>
  <c r="J75" i="82" a="1"/>
  <c r="J75" i="82" s="1"/>
  <c r="I75" i="82" a="1"/>
  <c r="I75" i="82" s="1"/>
  <c r="C75" i="82"/>
  <c r="AG75" i="81" a="1"/>
  <c r="AG75" i="81" s="1"/>
  <c r="AF75" i="81" a="1"/>
  <c r="AF75" i="81" s="1"/>
  <c r="AE75" i="81" a="1"/>
  <c r="AE75" i="81" s="1"/>
  <c r="AD75" i="81" a="1"/>
  <c r="AD75" i="81" s="1"/>
  <c r="AC75" i="81" a="1"/>
  <c r="AC75" i="81" s="1"/>
  <c r="AB75" i="81" a="1"/>
  <c r="AB75" i="81" s="1"/>
  <c r="AA75" i="81" a="1"/>
  <c r="AA75" i="81" s="1"/>
  <c r="Z75" i="81" a="1"/>
  <c r="Z75" i="81" s="1"/>
  <c r="Y75" i="81" a="1"/>
  <c r="Y75" i="81" s="1"/>
  <c r="X75" i="81" a="1"/>
  <c r="X75" i="81" s="1"/>
  <c r="W75" i="81" a="1"/>
  <c r="W75" i="81" s="1"/>
  <c r="V75" i="81" a="1"/>
  <c r="V75" i="81" s="1"/>
  <c r="U75" i="81" a="1"/>
  <c r="U75" i="81" s="1"/>
  <c r="T75" i="81" a="1"/>
  <c r="T75" i="81" s="1"/>
  <c r="S75" i="81" a="1"/>
  <c r="S75" i="81" s="1"/>
  <c r="R75" i="81"/>
  <c r="R75" i="81" a="1"/>
  <c r="Q75" i="81" a="1"/>
  <c r="Q75" i="81" s="1"/>
  <c r="P75" i="81" a="1"/>
  <c r="P75" i="81" s="1"/>
  <c r="O75" i="81" a="1"/>
  <c r="O75" i="81" s="1"/>
  <c r="N75" i="81" a="1"/>
  <c r="N75" i="81" s="1"/>
  <c r="M75" i="81" a="1"/>
  <c r="M75" i="81" s="1"/>
  <c r="L75" i="81" a="1"/>
  <c r="L75" i="81" s="1"/>
  <c r="K75" i="81" a="1"/>
  <c r="K75" i="81" s="1"/>
  <c r="J75" i="81" a="1"/>
  <c r="J75" i="81" s="1"/>
  <c r="I75" i="81" a="1"/>
  <c r="I75" i="81" s="1"/>
  <c r="C75" i="81"/>
  <c r="AG71" i="81"/>
  <c r="AF71" i="81"/>
  <c r="AE71" i="81"/>
  <c r="AD71" i="81"/>
  <c r="AC71" i="81"/>
  <c r="AB71" i="81"/>
  <c r="AA71" i="81"/>
  <c r="Z71" i="81"/>
  <c r="Y71" i="81"/>
  <c r="X71" i="81"/>
  <c r="W71" i="81"/>
  <c r="V71" i="81"/>
  <c r="U71" i="81"/>
  <c r="T71" i="81"/>
  <c r="S71" i="81"/>
  <c r="R71" i="81"/>
  <c r="Q71" i="81"/>
  <c r="P71" i="81"/>
  <c r="O71" i="81"/>
  <c r="N71" i="81"/>
  <c r="M71" i="81"/>
  <c r="L71" i="81"/>
  <c r="R77" i="81" s="1" a="1"/>
  <c r="R77" i="81" s="1"/>
  <c r="S83" i="81" s="1"/>
  <c r="K71" i="81"/>
  <c r="X77" i="81" s="1" a="1"/>
  <c r="X77" i="81" s="1"/>
  <c r="Y83" i="81" s="1"/>
  <c r="J71" i="81"/>
  <c r="I71" i="81"/>
  <c r="C71" i="81"/>
  <c r="AG71" i="72"/>
  <c r="AF71" i="72"/>
  <c r="AE71" i="72"/>
  <c r="AD71" i="72"/>
  <c r="AC71" i="72"/>
  <c r="AB71" i="72"/>
  <c r="AA71" i="72"/>
  <c r="Z71" i="72"/>
  <c r="Y71" i="72"/>
  <c r="X71" i="72"/>
  <c r="W71" i="72"/>
  <c r="V71" i="72"/>
  <c r="U71" i="72"/>
  <c r="T71" i="72"/>
  <c r="S71" i="72"/>
  <c r="R71" i="72"/>
  <c r="Q71" i="72"/>
  <c r="P71" i="72"/>
  <c r="O71" i="72"/>
  <c r="N71" i="72"/>
  <c r="M71" i="72"/>
  <c r="L71" i="72"/>
  <c r="K71" i="72"/>
  <c r="J71" i="72"/>
  <c r="I71" i="72"/>
  <c r="C71" i="72"/>
  <c r="AG71" i="73"/>
  <c r="AF71" i="73"/>
  <c r="AE71" i="73"/>
  <c r="AD71" i="73"/>
  <c r="AC71" i="73"/>
  <c r="AB71" i="73"/>
  <c r="AA71" i="73"/>
  <c r="Z71" i="73"/>
  <c r="Y71" i="73"/>
  <c r="X71" i="73"/>
  <c r="W71" i="73"/>
  <c r="V71" i="73"/>
  <c r="U71" i="73"/>
  <c r="T71" i="73"/>
  <c r="S71" i="73"/>
  <c r="R71" i="73"/>
  <c r="Q71" i="73"/>
  <c r="P71" i="73"/>
  <c r="O71" i="73"/>
  <c r="N71" i="73"/>
  <c r="M71" i="73"/>
  <c r="L71" i="73"/>
  <c r="K71" i="73"/>
  <c r="J71" i="73"/>
  <c r="I71" i="73"/>
  <c r="C71" i="73"/>
  <c r="AG71" i="82"/>
  <c r="AF71" i="82"/>
  <c r="AE71" i="82"/>
  <c r="AD71" i="82"/>
  <c r="AC71" i="82"/>
  <c r="AB71" i="82"/>
  <c r="AA71" i="82"/>
  <c r="Z71" i="82"/>
  <c r="Y71" i="82"/>
  <c r="X71" i="82"/>
  <c r="W71" i="82"/>
  <c r="V71" i="82"/>
  <c r="U71" i="82"/>
  <c r="T71" i="82"/>
  <c r="S71" i="82"/>
  <c r="R71" i="82"/>
  <c r="Q71" i="82"/>
  <c r="P71" i="82"/>
  <c r="O71" i="82"/>
  <c r="N71" i="82"/>
  <c r="M71" i="82"/>
  <c r="L71" i="82"/>
  <c r="K71" i="82"/>
  <c r="J71" i="82"/>
  <c r="I71" i="82"/>
  <c r="C71" i="82"/>
  <c r="AG71" i="68"/>
  <c r="AF71" i="68"/>
  <c r="AE71" i="68"/>
  <c r="AD71" i="68"/>
  <c r="AC71" i="68"/>
  <c r="AB71" i="68"/>
  <c r="AA71" i="68"/>
  <c r="Z71" i="68"/>
  <c r="Y71" i="68"/>
  <c r="X71" i="68"/>
  <c r="W71" i="68"/>
  <c r="V71" i="68"/>
  <c r="U71" i="68"/>
  <c r="T71" i="68"/>
  <c r="S71" i="68"/>
  <c r="R71" i="68"/>
  <c r="Q71" i="68"/>
  <c r="P71" i="68"/>
  <c r="O71" i="68"/>
  <c r="N71" i="68"/>
  <c r="M71" i="68"/>
  <c r="L71" i="68"/>
  <c r="K71" i="68"/>
  <c r="J71" i="68"/>
  <c r="I71" i="68"/>
  <c r="C71" i="68"/>
  <c r="AG70" i="81"/>
  <c r="AF70" i="81"/>
  <c r="AE70" i="81"/>
  <c r="AD70" i="81"/>
  <c r="AC70" i="81"/>
  <c r="AB70" i="81"/>
  <c r="AA70" i="81"/>
  <c r="Z70" i="81"/>
  <c r="Y70" i="81"/>
  <c r="X70" i="81"/>
  <c r="W70" i="81"/>
  <c r="V70" i="81"/>
  <c r="U70" i="81"/>
  <c r="T70" i="81"/>
  <c r="S70" i="81"/>
  <c r="R70" i="81"/>
  <c r="Q70" i="81"/>
  <c r="P70" i="81"/>
  <c r="O70" i="81"/>
  <c r="N70" i="81"/>
  <c r="M70" i="81"/>
  <c r="L70" i="81"/>
  <c r="K70" i="81"/>
  <c r="J70" i="81"/>
  <c r="I70" i="81"/>
  <c r="C70" i="81"/>
  <c r="AG70" i="72"/>
  <c r="AF70" i="72"/>
  <c r="AE70" i="72"/>
  <c r="AD70" i="72"/>
  <c r="AC70" i="72"/>
  <c r="AB70" i="72"/>
  <c r="AA70" i="72"/>
  <c r="Z70" i="72"/>
  <c r="Y70" i="72"/>
  <c r="X70" i="72"/>
  <c r="W70" i="72"/>
  <c r="V70" i="72"/>
  <c r="U70" i="72"/>
  <c r="T70" i="72"/>
  <c r="S70" i="72"/>
  <c r="R70" i="72"/>
  <c r="Q70" i="72"/>
  <c r="P70" i="72"/>
  <c r="O70" i="72"/>
  <c r="N70" i="72"/>
  <c r="M70" i="72"/>
  <c r="L70" i="72"/>
  <c r="K70" i="72"/>
  <c r="J70" i="72"/>
  <c r="I70" i="72"/>
  <c r="C70" i="72"/>
  <c r="AG70" i="73"/>
  <c r="AF70" i="73"/>
  <c r="AE70" i="73"/>
  <c r="AD70" i="73"/>
  <c r="AC70" i="73"/>
  <c r="AB70" i="73"/>
  <c r="AA70" i="73"/>
  <c r="Z70" i="73"/>
  <c r="Y70" i="73"/>
  <c r="X70" i="73"/>
  <c r="W70" i="73"/>
  <c r="V70" i="73"/>
  <c r="U70" i="73"/>
  <c r="T70" i="73"/>
  <c r="S70" i="73"/>
  <c r="R70" i="73"/>
  <c r="Q70" i="73"/>
  <c r="P70" i="73"/>
  <c r="O70" i="73"/>
  <c r="N70" i="73"/>
  <c r="M70" i="73"/>
  <c r="L70" i="73"/>
  <c r="K70" i="73"/>
  <c r="J70" i="73"/>
  <c r="I70" i="73"/>
  <c r="C70" i="73"/>
  <c r="AG70" i="82"/>
  <c r="AF70" i="82"/>
  <c r="AE70" i="82"/>
  <c r="AD70" i="82"/>
  <c r="AC70" i="82"/>
  <c r="AB70" i="82"/>
  <c r="AA70" i="82"/>
  <c r="Z70" i="82"/>
  <c r="Y70" i="82"/>
  <c r="X70" i="82"/>
  <c r="W70" i="82"/>
  <c r="V70" i="82"/>
  <c r="U70" i="82"/>
  <c r="T70" i="82"/>
  <c r="S70" i="82"/>
  <c r="R70" i="82"/>
  <c r="Q70" i="82"/>
  <c r="P70" i="82"/>
  <c r="O70" i="82"/>
  <c r="N70" i="82"/>
  <c r="M70" i="82"/>
  <c r="L70" i="82"/>
  <c r="K70" i="82"/>
  <c r="J70" i="82"/>
  <c r="I70" i="82"/>
  <c r="C70" i="82"/>
  <c r="AG70" i="68"/>
  <c r="AF70" i="68"/>
  <c r="AE70" i="68"/>
  <c r="AD70" i="68"/>
  <c r="AC70" i="68"/>
  <c r="AB70" i="68"/>
  <c r="AA70" i="68"/>
  <c r="Z70" i="68"/>
  <c r="Y70" i="68"/>
  <c r="X70" i="68"/>
  <c r="W70" i="68"/>
  <c r="V70" i="68"/>
  <c r="U70" i="68"/>
  <c r="T70" i="68"/>
  <c r="S70" i="68"/>
  <c r="R70" i="68"/>
  <c r="Q70" i="68"/>
  <c r="P70" i="68"/>
  <c r="O70" i="68"/>
  <c r="N70" i="68"/>
  <c r="M70" i="68"/>
  <c r="L70" i="68"/>
  <c r="K70" i="68"/>
  <c r="J70" i="68"/>
  <c r="I70" i="68"/>
  <c r="C70" i="68"/>
  <c r="AG69" i="81"/>
  <c r="AF69" i="81"/>
  <c r="AE69" i="81"/>
  <c r="AD69" i="81"/>
  <c r="AC69" i="81"/>
  <c r="AB69" i="81"/>
  <c r="AA69" i="81"/>
  <c r="Z69" i="81"/>
  <c r="Y69" i="81"/>
  <c r="X69" i="81"/>
  <c r="W69" i="81"/>
  <c r="V69" i="81"/>
  <c r="U69" i="81"/>
  <c r="T69" i="81"/>
  <c r="S69" i="81"/>
  <c r="R69" i="81"/>
  <c r="Q69" i="81"/>
  <c r="P69" i="81"/>
  <c r="O69" i="81"/>
  <c r="N69" i="81"/>
  <c r="M69" i="81"/>
  <c r="L69" i="81"/>
  <c r="K69" i="81"/>
  <c r="J69" i="81"/>
  <c r="I69" i="81"/>
  <c r="C69" i="81"/>
  <c r="AG69" i="72"/>
  <c r="AF69" i="72"/>
  <c r="AE69" i="72"/>
  <c r="AD69" i="72"/>
  <c r="AC69" i="72"/>
  <c r="AB69" i="72"/>
  <c r="AA69" i="72"/>
  <c r="Z69" i="72"/>
  <c r="Y69" i="72"/>
  <c r="X69" i="72"/>
  <c r="W69" i="72"/>
  <c r="V69" i="72"/>
  <c r="U69" i="72"/>
  <c r="T69" i="72"/>
  <c r="S69" i="72"/>
  <c r="R69" i="72"/>
  <c r="Q69" i="72"/>
  <c r="P69" i="72"/>
  <c r="O69" i="72"/>
  <c r="N69" i="72"/>
  <c r="M69" i="72"/>
  <c r="L69" i="72"/>
  <c r="K69" i="72"/>
  <c r="J69" i="72"/>
  <c r="I69" i="72"/>
  <c r="C69" i="72"/>
  <c r="AG69" i="73"/>
  <c r="AF69" i="73"/>
  <c r="AE69" i="73"/>
  <c r="AD69" i="73"/>
  <c r="AC69" i="73"/>
  <c r="AB69" i="73"/>
  <c r="AA69" i="73"/>
  <c r="Z69" i="73"/>
  <c r="Y69" i="73"/>
  <c r="X69" i="73"/>
  <c r="W69" i="73"/>
  <c r="V69" i="73"/>
  <c r="U69" i="73"/>
  <c r="T69" i="73"/>
  <c r="S69" i="73"/>
  <c r="R69" i="73"/>
  <c r="Q69" i="73"/>
  <c r="P69" i="73"/>
  <c r="O69" i="73"/>
  <c r="N69" i="73"/>
  <c r="M69" i="73"/>
  <c r="L69" i="73"/>
  <c r="K69" i="73"/>
  <c r="J69" i="73"/>
  <c r="I69" i="73"/>
  <c r="C69" i="73"/>
  <c r="AG69" i="82"/>
  <c r="AF69" i="82"/>
  <c r="AE69" i="82"/>
  <c r="AD69" i="82"/>
  <c r="AC69" i="82"/>
  <c r="AB69" i="82"/>
  <c r="AA69" i="82"/>
  <c r="Z69" i="82"/>
  <c r="Y69" i="82"/>
  <c r="X69" i="82"/>
  <c r="W69" i="82"/>
  <c r="V69" i="82"/>
  <c r="U69" i="82"/>
  <c r="T69" i="82"/>
  <c r="S69" i="82"/>
  <c r="R69" i="82"/>
  <c r="Q69" i="82"/>
  <c r="P69" i="82"/>
  <c r="O69" i="82"/>
  <c r="N69" i="82"/>
  <c r="M69" i="82"/>
  <c r="L69" i="82"/>
  <c r="K69" i="82"/>
  <c r="J69" i="82"/>
  <c r="I69" i="82"/>
  <c r="C69" i="82"/>
  <c r="AG69" i="68"/>
  <c r="AF69" i="68"/>
  <c r="AE69" i="68"/>
  <c r="AD69" i="68"/>
  <c r="AC69" i="68"/>
  <c r="AB69" i="68"/>
  <c r="AA69" i="68"/>
  <c r="Z69" i="68"/>
  <c r="Y69" i="68"/>
  <c r="X69" i="68"/>
  <c r="W69" i="68"/>
  <c r="V69" i="68"/>
  <c r="U69" i="68"/>
  <c r="T69" i="68"/>
  <c r="S69" i="68"/>
  <c r="R69" i="68"/>
  <c r="Q69" i="68"/>
  <c r="P69" i="68"/>
  <c r="O69" i="68"/>
  <c r="N69" i="68"/>
  <c r="M69" i="68"/>
  <c r="L69" i="68"/>
  <c r="K69" i="68"/>
  <c r="J69" i="68"/>
  <c r="I69" i="68"/>
  <c r="C69" i="68"/>
  <c r="AB77" i="81" l="1" a="1"/>
  <c r="AB77" i="81" s="1"/>
  <c r="AC83" i="81" s="1"/>
  <c r="N77" i="81" a="1"/>
  <c r="N77" i="81" s="1"/>
  <c r="O83" i="81" s="1"/>
  <c r="AA77" i="81" a="1"/>
  <c r="AA77" i="81" s="1"/>
  <c r="AB83" i="81" s="1"/>
  <c r="AE77" i="81" a="1"/>
  <c r="AE77" i="81" s="1"/>
  <c r="AF83" i="81" s="1"/>
  <c r="O77" i="81" a="1"/>
  <c r="O77" i="81" s="1"/>
  <c r="P83" i="81" s="1"/>
  <c r="AF77" i="81" a="1"/>
  <c r="AF77" i="81" s="1"/>
  <c r="AG83" i="81" s="1"/>
  <c r="L77" i="81" a="1"/>
  <c r="L77" i="81" s="1"/>
  <c r="M83" i="81" s="1"/>
  <c r="P77" i="81" a="1"/>
  <c r="P77" i="81" s="1"/>
  <c r="Q83" i="81" s="1"/>
  <c r="AC77" i="81" a="1"/>
  <c r="AC77" i="81" s="1"/>
  <c r="AD83" i="81" s="1"/>
  <c r="Q77" i="81" a="1"/>
  <c r="Q77" i="81" s="1"/>
  <c r="R83" i="81" s="1"/>
  <c r="AD77" i="81" a="1"/>
  <c r="AD77" i="81" s="1"/>
  <c r="AE83" i="81" s="1"/>
  <c r="AG77" i="81" a="1"/>
  <c r="AG77" i="81" s="1"/>
  <c r="M77" i="81" a="1"/>
  <c r="M77" i="81" s="1"/>
  <c r="N83" i="81" s="1"/>
  <c r="U77" i="81" a="1"/>
  <c r="U77" i="81" s="1"/>
  <c r="V83" i="81" s="1"/>
  <c r="V77" i="81" a="1"/>
  <c r="V77" i="81" s="1"/>
  <c r="W83" i="81" s="1"/>
  <c r="W77" i="81" a="1"/>
  <c r="W77" i="81" s="1"/>
  <c r="X83" i="81" s="1"/>
  <c r="I9" i="68" l="1"/>
  <c r="H9" i="68" s="1"/>
  <c r="H9" i="75" s="1"/>
  <c r="H5" i="75" s="1"/>
  <c r="C25" i="62" l="1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10" i="82"/>
  <c r="G110" i="73"/>
  <c r="G110" i="72"/>
  <c r="G110" i="81"/>
  <c r="G110" i="68"/>
  <c r="E121" i="82"/>
  <c r="D121" i="82"/>
  <c r="C121" i="82"/>
  <c r="A121" i="82"/>
  <c r="G121" i="82" s="1"/>
  <c r="E120" i="82"/>
  <c r="D120" i="82"/>
  <c r="C120" i="82"/>
  <c r="A120" i="82"/>
  <c r="G120" i="82" s="1"/>
  <c r="E119" i="82"/>
  <c r="D119" i="82"/>
  <c r="C119" i="82"/>
  <c r="A119" i="82"/>
  <c r="G119" i="82" s="1"/>
  <c r="E118" i="82"/>
  <c r="D118" i="82"/>
  <c r="C118" i="82"/>
  <c r="A118" i="82"/>
  <c r="G118" i="82" s="1"/>
  <c r="G117" i="82"/>
  <c r="E117" i="82"/>
  <c r="D117" i="82"/>
  <c r="C117" i="82"/>
  <c r="A117" i="82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E121" i="73"/>
  <c r="D121" i="73"/>
  <c r="C121" i="73"/>
  <c r="A121" i="73"/>
  <c r="G121" i="73" s="1"/>
  <c r="E120" i="73"/>
  <c r="D120" i="73"/>
  <c r="C120" i="73"/>
  <c r="A120" i="73"/>
  <c r="G120" i="73" s="1"/>
  <c r="E119" i="73"/>
  <c r="D119" i="73"/>
  <c r="C119" i="73"/>
  <c r="A119" i="73"/>
  <c r="G119" i="73" s="1"/>
  <c r="E118" i="73"/>
  <c r="D118" i="73"/>
  <c r="C118" i="73"/>
  <c r="A118" i="73"/>
  <c r="G118" i="73" s="1"/>
  <c r="E117" i="73"/>
  <c r="D117" i="73"/>
  <c r="C117" i="73"/>
  <c r="A117" i="73"/>
  <c r="G117" i="73" s="1"/>
  <c r="G116" i="73"/>
  <c r="E116" i="73"/>
  <c r="D116" i="73"/>
  <c r="C116" i="73"/>
  <c r="A116" i="73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E121" i="72"/>
  <c r="D121" i="72"/>
  <c r="C121" i="72"/>
  <c r="A121" i="72"/>
  <c r="G121" i="72" s="1"/>
  <c r="E120" i="72"/>
  <c r="D120" i="72"/>
  <c r="C120" i="72"/>
  <c r="A120" i="72"/>
  <c r="G120" i="72" s="1"/>
  <c r="E119" i="72"/>
  <c r="D119" i="72"/>
  <c r="C119" i="72"/>
  <c r="A119" i="72"/>
  <c r="G119" i="72" s="1"/>
  <c r="E118" i="72"/>
  <c r="D118" i="72"/>
  <c r="C118" i="72"/>
  <c r="A118" i="72"/>
  <c r="G118" i="72" s="1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E121" i="68"/>
  <c r="D121" i="68"/>
  <c r="C121" i="68"/>
  <c r="A121" i="68"/>
  <c r="G121" i="68" s="1"/>
  <c r="E120" i="68"/>
  <c r="D120" i="68"/>
  <c r="C120" i="68"/>
  <c r="A120" i="68"/>
  <c r="G120" i="68" s="1"/>
  <c r="E119" i="68"/>
  <c r="D119" i="68"/>
  <c r="C119" i="68"/>
  <c r="A119" i="68"/>
  <c r="G119" i="68" s="1"/>
  <c r="E118" i="68"/>
  <c r="D118" i="68"/>
  <c r="C118" i="68"/>
  <c r="A118" i="68"/>
  <c r="G118" i="68" s="1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A115" i="81"/>
  <c r="A116" i="81"/>
  <c r="A117" i="81"/>
  <c r="A118" i="81"/>
  <c r="A119" i="81"/>
  <c r="A120" i="81"/>
  <c r="A121" i="81"/>
  <c r="A114" i="81"/>
  <c r="E113" i="81"/>
  <c r="D113" i="81"/>
  <c r="C121" i="81"/>
  <c r="C120" i="81"/>
  <c r="C119" i="81"/>
  <c r="D119" i="81"/>
  <c r="E119" i="81"/>
  <c r="D120" i="81"/>
  <c r="E120" i="81"/>
  <c r="D121" i="81"/>
  <c r="E121" i="81"/>
  <c r="E118" i="81"/>
  <c r="D118" i="81"/>
  <c r="E117" i="81"/>
  <c r="D117" i="81"/>
  <c r="E116" i="81"/>
  <c r="D116" i="81"/>
  <c r="E115" i="81"/>
  <c r="D115" i="81"/>
  <c r="E114" i="81"/>
  <c r="D114" i="81"/>
  <c r="J80" i="68" l="1"/>
  <c r="K80" i="68"/>
  <c r="L80" i="68"/>
  <c r="M80" i="68"/>
  <c r="N80" i="68"/>
  <c r="O80" i="68"/>
  <c r="P80" i="68"/>
  <c r="Q80" i="68"/>
  <c r="R80" i="68"/>
  <c r="S80" i="68"/>
  <c r="T80" i="68"/>
  <c r="U80" i="68"/>
  <c r="V80" i="68"/>
  <c r="W80" i="68"/>
  <c r="X80" i="68"/>
  <c r="Y80" i="68"/>
  <c r="Z80" i="68"/>
  <c r="AA80" i="68"/>
  <c r="AB80" i="68"/>
  <c r="AC80" i="68"/>
  <c r="AD80" i="68"/>
  <c r="AE80" i="68"/>
  <c r="AF80" i="68"/>
  <c r="AG80" i="68"/>
  <c r="I80" i="68"/>
  <c r="I80" i="82"/>
  <c r="I80" i="73"/>
  <c r="I80" i="72"/>
  <c r="I80" i="81"/>
  <c r="H9" i="85"/>
  <c r="H98" i="75"/>
  <c r="B41" i="62"/>
  <c r="B43" i="62" s="1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6" i="81"/>
  <c r="C118" i="81"/>
  <c r="C36" i="85"/>
  <c r="C114" i="81"/>
  <c r="C23" i="85"/>
  <c r="C21" i="85"/>
  <c r="C30" i="85" l="1"/>
  <c r="C32" i="85"/>
  <c r="C34" i="85"/>
  <c r="C19" i="85"/>
  <c r="C115" i="81"/>
  <c r="C17" i="85"/>
  <c r="C68" i="33"/>
  <c r="C70" i="33"/>
  <c r="C117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8" i="81"/>
  <c r="AF18" i="81"/>
  <c r="AE18" i="81"/>
  <c r="AD18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AG32" i="82" a="1"/>
  <c r="AG32" i="82" s="1"/>
  <c r="AF32" i="82" a="1"/>
  <c r="AF32" i="82" s="1"/>
  <c r="AE32" i="82" a="1"/>
  <c r="AE32" i="82" s="1"/>
  <c r="AD32" i="82" a="1"/>
  <c r="AD32" i="82" s="1"/>
  <c r="AC32" i="82" a="1"/>
  <c r="AC32" i="82" s="1"/>
  <c r="AB32" i="82" a="1"/>
  <c r="AB32" i="82" s="1"/>
  <c r="AA32" i="82" a="1"/>
  <c r="AA32" i="82" s="1"/>
  <c r="Z32" i="82" a="1"/>
  <c r="Z32" i="82" s="1"/>
  <c r="Y32" i="82" a="1"/>
  <c r="Y32" i="82" s="1"/>
  <c r="X32" i="82" a="1"/>
  <c r="X32" i="82" s="1"/>
  <c r="W32" i="82" a="1"/>
  <c r="W32" i="82" s="1"/>
  <c r="V32" i="82" a="1"/>
  <c r="V32" i="82" s="1"/>
  <c r="U32" i="82" a="1"/>
  <c r="U32" i="82" s="1"/>
  <c r="T32" i="82" a="1"/>
  <c r="T32" i="82" s="1"/>
  <c r="S32" i="82" a="1"/>
  <c r="S32" i="82" s="1"/>
  <c r="R32" i="82" a="1"/>
  <c r="R32" i="82" s="1"/>
  <c r="Q32" i="82" a="1"/>
  <c r="Q32" i="82" s="1"/>
  <c r="P32" i="82" a="1"/>
  <c r="P32" i="82" s="1"/>
  <c r="O32" i="82" a="1"/>
  <c r="O32" i="82" s="1"/>
  <c r="N32" i="82" a="1"/>
  <c r="N32" i="82" s="1"/>
  <c r="M32" i="82" a="1"/>
  <c r="M32" i="82" s="1"/>
  <c r="L32" i="82" a="1"/>
  <c r="L32" i="82" s="1"/>
  <c r="K32" i="82" a="1"/>
  <c r="K32" i="82" s="1"/>
  <c r="J32" i="82" a="1"/>
  <c r="J32" i="82" s="1"/>
  <c r="I32" i="82" a="1"/>
  <c r="I32" i="82" s="1"/>
  <c r="AG18" i="82"/>
  <c r="AF18" i="82"/>
  <c r="AE18" i="82"/>
  <c r="AD18" i="82"/>
  <c r="AC18" i="82"/>
  <c r="AB18" i="82"/>
  <c r="AA18" i="82"/>
  <c r="Z18" i="82"/>
  <c r="Y18" i="82"/>
  <c r="X18" i="82"/>
  <c r="W18" i="82"/>
  <c r="V18" i="82"/>
  <c r="U18" i="82"/>
  <c r="T18" i="82"/>
  <c r="S18" i="82"/>
  <c r="R18" i="82"/>
  <c r="Q18" i="82"/>
  <c r="P18" i="82"/>
  <c r="O18" i="82"/>
  <c r="N18" i="82"/>
  <c r="M18" i="82"/>
  <c r="L18" i="82"/>
  <c r="K18" i="82"/>
  <c r="J18" i="82"/>
  <c r="I18" i="82"/>
  <c r="AG32" i="73" a="1"/>
  <c r="AG32" i="73" s="1"/>
  <c r="AF32" i="73" a="1"/>
  <c r="AF32" i="73" s="1"/>
  <c r="AE32" i="73" a="1"/>
  <c r="AE32" i="73" s="1"/>
  <c r="AD32" i="73" a="1"/>
  <c r="AD32" i="73" s="1"/>
  <c r="AC32" i="73" a="1"/>
  <c r="AC32" i="73" s="1"/>
  <c r="AB32" i="73" a="1"/>
  <c r="AB32" i="73" s="1"/>
  <c r="AA32" i="73" a="1"/>
  <c r="AA32" i="73" s="1"/>
  <c r="Z32" i="73" a="1"/>
  <c r="Z32" i="73" s="1"/>
  <c r="Y32" i="73" a="1"/>
  <c r="Y32" i="73" s="1"/>
  <c r="X32" i="73" a="1"/>
  <c r="X32" i="73" s="1"/>
  <c r="W32" i="73" a="1"/>
  <c r="W32" i="73" s="1"/>
  <c r="V32" i="73" a="1"/>
  <c r="V32" i="73" s="1"/>
  <c r="U32" i="73" a="1"/>
  <c r="U32" i="73" s="1"/>
  <c r="T32" i="73" a="1"/>
  <c r="T32" i="73" s="1"/>
  <c r="S32" i="73" a="1"/>
  <c r="S32" i="73" s="1"/>
  <c r="R32" i="73" a="1"/>
  <c r="R32" i="73" s="1"/>
  <c r="Q32" i="73" a="1"/>
  <c r="Q32" i="73" s="1"/>
  <c r="P32" i="73" a="1"/>
  <c r="P32" i="73" s="1"/>
  <c r="O32" i="73" a="1"/>
  <c r="O32" i="73" s="1"/>
  <c r="N32" i="73" a="1"/>
  <c r="N32" i="73" s="1"/>
  <c r="M32" i="73" a="1"/>
  <c r="M32" i="73" s="1"/>
  <c r="L32" i="73" a="1"/>
  <c r="L32" i="73" s="1"/>
  <c r="K32" i="73" a="1"/>
  <c r="K32" i="73" s="1"/>
  <c r="J32" i="73" a="1"/>
  <c r="J32" i="73" s="1"/>
  <c r="I32" i="73" a="1"/>
  <c r="I32" i="73" s="1"/>
  <c r="AG18" i="73"/>
  <c r="AF18" i="73"/>
  <c r="AE18" i="73"/>
  <c r="AD18" i="73"/>
  <c r="AC18" i="73"/>
  <c r="AB18" i="73"/>
  <c r="AA18" i="73"/>
  <c r="Z18" i="73"/>
  <c r="Y18" i="73"/>
  <c r="X18" i="73"/>
  <c r="W18" i="73"/>
  <c r="V18" i="73"/>
  <c r="U18" i="73"/>
  <c r="T18" i="73"/>
  <c r="S18" i="73"/>
  <c r="R18" i="73"/>
  <c r="Q18" i="73"/>
  <c r="P18" i="73"/>
  <c r="O18" i="73"/>
  <c r="N18" i="73"/>
  <c r="M18" i="73"/>
  <c r="L18" i="73"/>
  <c r="K18" i="73"/>
  <c r="J18" i="73"/>
  <c r="I18" i="73"/>
  <c r="AG87" i="81"/>
  <c r="AG68" i="81"/>
  <c r="AG87" i="72"/>
  <c r="AG68" i="72"/>
  <c r="AG18" i="72"/>
  <c r="AG87" i="73"/>
  <c r="AG68" i="73"/>
  <c r="AG87" i="82"/>
  <c r="AG68" i="82"/>
  <c r="AG88" i="68"/>
  <c r="AG87" i="68"/>
  <c r="AG68" i="68"/>
  <c r="AG98" i="75"/>
  <c r="AG18" i="68"/>
  <c r="AF87" i="81"/>
  <c r="AF68" i="81"/>
  <c r="AF87" i="72"/>
  <c r="AF68" i="72"/>
  <c r="AF18" i="72"/>
  <c r="AF87" i="73"/>
  <c r="AF68" i="73"/>
  <c r="AF87" i="82"/>
  <c r="AF68" i="82"/>
  <c r="AF88" i="68"/>
  <c r="AF87" i="68"/>
  <c r="AF68" i="68"/>
  <c r="AF98" i="75"/>
  <c r="AF18" i="68"/>
  <c r="AE87" i="81"/>
  <c r="AE68" i="81"/>
  <c r="AE87" i="72"/>
  <c r="AE68" i="72"/>
  <c r="AE18" i="72"/>
  <c r="AE87" i="73"/>
  <c r="AE68" i="73"/>
  <c r="AE87" i="82"/>
  <c r="AE68" i="82"/>
  <c r="AE88" i="68"/>
  <c r="AE87" i="68"/>
  <c r="AE68" i="68"/>
  <c r="AE98" i="75"/>
  <c r="AE18" i="68"/>
  <c r="AD87" i="81"/>
  <c r="AD68" i="81"/>
  <c r="AD87" i="72"/>
  <c r="AD68" i="72"/>
  <c r="AD18" i="72"/>
  <c r="AD87" i="73"/>
  <c r="AD68" i="73"/>
  <c r="AD87" i="82"/>
  <c r="AD68" i="82"/>
  <c r="AD88" i="68"/>
  <c r="AD87" i="68"/>
  <c r="AD68" i="68"/>
  <c r="AD98" i="75"/>
  <c r="AD18" i="68"/>
  <c r="AC87" i="81"/>
  <c r="AC68" i="81"/>
  <c r="AC87" i="72"/>
  <c r="AC68" i="72"/>
  <c r="AC18" i="72"/>
  <c r="AC87" i="73"/>
  <c r="AC68" i="73"/>
  <c r="AC87" i="82"/>
  <c r="AC68" i="82"/>
  <c r="AC88" i="68"/>
  <c r="AC87" i="68"/>
  <c r="AC68" i="68"/>
  <c r="AC98" i="75"/>
  <c r="AC18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8" i="72"/>
  <c r="AA18" i="72"/>
  <c r="Z18" i="72"/>
  <c r="Y18" i="72"/>
  <c r="X18" i="72"/>
  <c r="W18" i="72"/>
  <c r="V18" i="72"/>
  <c r="U18" i="72"/>
  <c r="T18" i="72"/>
  <c r="S18" i="72"/>
  <c r="R18" i="72"/>
  <c r="Q18" i="72"/>
  <c r="P18" i="72"/>
  <c r="O18" i="72"/>
  <c r="N18" i="72"/>
  <c r="M18" i="72"/>
  <c r="L18" i="72"/>
  <c r="K18" i="72"/>
  <c r="J18" i="72"/>
  <c r="I18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3" i="81" s="1"/>
  <c r="AC7" i="73"/>
  <c r="AC43" i="73" s="1"/>
  <c r="AD7" i="68"/>
  <c r="AC7" i="82"/>
  <c r="AC43" i="68"/>
  <c r="AC7" i="72"/>
  <c r="AC43" i="72" s="1"/>
  <c r="AC43" i="82" l="1"/>
  <c r="AD7" i="81"/>
  <c r="AD43" i="81" s="1"/>
  <c r="AD7" i="73"/>
  <c r="AD43" i="73" s="1"/>
  <c r="AD43" i="68"/>
  <c r="AE7" i="68"/>
  <c r="AD7" i="82"/>
  <c r="AD7" i="72"/>
  <c r="AD43" i="72" s="1"/>
  <c r="AE7" i="81" l="1"/>
  <c r="AE43" i="81" s="1"/>
  <c r="AF7" i="68"/>
  <c r="AE7" i="82"/>
  <c r="AE43" i="68"/>
  <c r="AE7" i="73"/>
  <c r="AE7" i="72"/>
  <c r="AE43" i="72" s="1"/>
  <c r="AD43" i="82"/>
  <c r="G44" i="75"/>
  <c r="C44" i="75"/>
  <c r="G58" i="75"/>
  <c r="C58" i="75"/>
  <c r="G72" i="75"/>
  <c r="C72" i="75"/>
  <c r="AE43" i="73" l="1"/>
  <c r="AE43" i="82"/>
  <c r="AF7" i="81"/>
  <c r="AF43" i="81" s="1"/>
  <c r="AG7" i="68"/>
  <c r="AF7" i="73"/>
  <c r="AF43" i="73" s="1"/>
  <c r="AF7" i="82"/>
  <c r="AF43" i="68"/>
  <c r="AF7" i="72"/>
  <c r="AF43" i="72" s="1"/>
  <c r="G30" i="75"/>
  <c r="C30" i="75"/>
  <c r="C16" i="75"/>
  <c r="G16" i="75"/>
  <c r="AG7" i="81" l="1"/>
  <c r="AG43" i="81" s="1"/>
  <c r="AG7" i="73"/>
  <c r="AG7" i="82"/>
  <c r="AG43" i="68"/>
  <c r="AG7" i="72"/>
  <c r="AG43" i="72" s="1"/>
  <c r="AF43" i="82"/>
  <c r="D17" i="75"/>
  <c r="H92" i="75"/>
  <c r="D16" i="75"/>
  <c r="AG43" i="73" l="1"/>
  <c r="AG43" i="82"/>
  <c r="AB88" i="68" l="1"/>
  <c r="AA88" i="68"/>
  <c r="Z88" i="68"/>
  <c r="Y88" i="68"/>
  <c r="X88" i="68"/>
  <c r="W88" i="68"/>
  <c r="V88" i="68"/>
  <c r="U88" i="68"/>
  <c r="T88" i="68"/>
  <c r="S88" i="68"/>
  <c r="R88" i="68"/>
  <c r="Q88" i="68"/>
  <c r="P88" i="68"/>
  <c r="O88" i="68"/>
  <c r="N88" i="68"/>
  <c r="M88" i="68"/>
  <c r="L88" i="68"/>
  <c r="K88" i="68"/>
  <c r="J88" i="68"/>
  <c r="I88" i="68"/>
  <c r="AB87" i="68"/>
  <c r="AA87" i="68"/>
  <c r="Z87" i="68"/>
  <c r="Y87" i="68"/>
  <c r="X87" i="68"/>
  <c r="W87" i="68"/>
  <c r="V87" i="68"/>
  <c r="U87" i="68"/>
  <c r="T87" i="68"/>
  <c r="S87" i="68"/>
  <c r="R87" i="68"/>
  <c r="Q87" i="68"/>
  <c r="P87" i="68"/>
  <c r="O87" i="68"/>
  <c r="N87" i="68"/>
  <c r="M87" i="68"/>
  <c r="L87" i="68"/>
  <c r="K87" i="68"/>
  <c r="J87" i="68"/>
  <c r="I87" i="68"/>
  <c r="AB87" i="81"/>
  <c r="AA87" i="81"/>
  <c r="Z87" i="81"/>
  <c r="Y87" i="81"/>
  <c r="X87" i="81"/>
  <c r="W87" i="81"/>
  <c r="V87" i="81"/>
  <c r="U87" i="81"/>
  <c r="T87" i="81"/>
  <c r="S87" i="81"/>
  <c r="R87" i="81"/>
  <c r="Q87" i="81"/>
  <c r="P87" i="81"/>
  <c r="O87" i="81"/>
  <c r="N87" i="81"/>
  <c r="M87" i="81"/>
  <c r="L87" i="81"/>
  <c r="K87" i="81"/>
  <c r="J87" i="81"/>
  <c r="I87" i="81"/>
  <c r="AB87" i="82"/>
  <c r="AA87" i="82"/>
  <c r="Z87" i="82"/>
  <c r="Y87" i="82"/>
  <c r="X87" i="82"/>
  <c r="W87" i="82"/>
  <c r="V87" i="82"/>
  <c r="U87" i="82"/>
  <c r="T87" i="82"/>
  <c r="S87" i="82"/>
  <c r="R87" i="82"/>
  <c r="Q87" i="82"/>
  <c r="P87" i="82"/>
  <c r="O87" i="82"/>
  <c r="N87" i="82"/>
  <c r="M87" i="82"/>
  <c r="L87" i="82"/>
  <c r="K87" i="82"/>
  <c r="J87" i="82"/>
  <c r="I87" i="82"/>
  <c r="J87" i="73"/>
  <c r="K87" i="73"/>
  <c r="L87" i="73"/>
  <c r="M87" i="73"/>
  <c r="N87" i="73"/>
  <c r="O87" i="73"/>
  <c r="P87" i="73"/>
  <c r="Q87" i="73"/>
  <c r="R87" i="73"/>
  <c r="S87" i="73"/>
  <c r="T87" i="73"/>
  <c r="U87" i="73"/>
  <c r="V87" i="73"/>
  <c r="W87" i="73"/>
  <c r="X87" i="73"/>
  <c r="Y87" i="73"/>
  <c r="Z87" i="73"/>
  <c r="AA87" i="73"/>
  <c r="AB87" i="73"/>
  <c r="I87" i="73"/>
  <c r="J87" i="72"/>
  <c r="K87" i="72"/>
  <c r="L87" i="72"/>
  <c r="M87" i="72"/>
  <c r="N87" i="72"/>
  <c r="O87" i="72"/>
  <c r="P87" i="72"/>
  <c r="Q87" i="72"/>
  <c r="R87" i="72"/>
  <c r="S87" i="72"/>
  <c r="T87" i="72"/>
  <c r="U87" i="72"/>
  <c r="V87" i="72"/>
  <c r="W87" i="72"/>
  <c r="X87" i="72"/>
  <c r="Y87" i="72"/>
  <c r="Z87" i="72"/>
  <c r="AA87" i="72"/>
  <c r="AB87" i="72"/>
  <c r="I87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8" i="82"/>
  <c r="M68" i="81"/>
  <c r="L68" i="81"/>
  <c r="I68" i="81"/>
  <c r="J68" i="81"/>
  <c r="K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I68" i="72"/>
  <c r="I68" i="73"/>
  <c r="I68" i="82"/>
  <c r="I68" i="68"/>
  <c r="C80" i="81"/>
  <c r="C74" i="81"/>
  <c r="C68" i="81"/>
  <c r="C80" i="72"/>
  <c r="C74" i="72"/>
  <c r="C68" i="72"/>
  <c r="C80" i="73"/>
  <c r="C74" i="73"/>
  <c r="C68" i="73"/>
  <c r="C80" i="82"/>
  <c r="C74" i="82"/>
  <c r="C68" i="82"/>
  <c r="C80" i="68"/>
  <c r="C74" i="68"/>
  <c r="C68" i="68"/>
  <c r="I74" i="68" l="1" a="1"/>
  <c r="I74" i="68" s="1"/>
  <c r="I84" i="68"/>
  <c r="I86" i="68" s="1"/>
  <c r="I111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5" i="82"/>
  <c r="A7" i="82"/>
  <c r="I6" i="82"/>
  <c r="A6" i="82"/>
  <c r="D82" i="75"/>
  <c r="C36" i="75"/>
  <c r="C22" i="75"/>
  <c r="I74" i="82" l="1" a="1"/>
  <c r="I74" i="82" s="1"/>
  <c r="J80" i="82" s="1"/>
  <c r="C13" i="47"/>
  <c r="D43" i="75"/>
  <c r="C65" i="72"/>
  <c r="F13" i="47" l="1"/>
  <c r="D35" i="62"/>
  <c r="D13" i="47"/>
  <c r="A4" i="82" s="1"/>
  <c r="I84" i="82"/>
  <c r="I86" i="82" s="1"/>
  <c r="I111" i="82" s="1"/>
  <c r="D44" i="75"/>
  <c r="C34" i="75" l="1"/>
  <c r="G29" i="33"/>
  <c r="H29" i="33"/>
  <c r="I29" i="33"/>
  <c r="J29" i="33"/>
  <c r="F29" i="33"/>
  <c r="A7" i="81"/>
  <c r="I6" i="81"/>
  <c r="A6" i="81"/>
  <c r="I74" i="81" l="1" a="1"/>
  <c r="I74" i="81" s="1"/>
  <c r="J80" i="81" s="1"/>
  <c r="D72" i="75"/>
  <c r="D58" i="75"/>
  <c r="D46" i="75"/>
  <c r="D30" i="75"/>
  <c r="C10" i="47"/>
  <c r="F10" i="47" s="1"/>
  <c r="D32" i="62" l="1"/>
  <c r="D10" i="47"/>
  <c r="A4" i="81" s="1"/>
  <c r="I84" i="81"/>
  <c r="D65" i="75"/>
  <c r="D79" i="75"/>
  <c r="D37" i="75"/>
  <c r="D47" i="75"/>
  <c r="I86" i="81" l="1"/>
  <c r="I111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G94" i="73" s="1" a="1"/>
  <c r="G94" i="73" s="1"/>
  <c r="A6" i="73"/>
  <c r="A7" i="72"/>
  <c r="I6" i="72"/>
  <c r="A6" i="72"/>
  <c r="I74" i="73" l="1" a="1"/>
  <c r="I74" i="73" s="1"/>
  <c r="J80" i="73" s="1"/>
  <c r="I74" i="72" a="1"/>
  <c r="I74" i="72" s="1"/>
  <c r="J80" i="72" s="1"/>
  <c r="D49" i="75"/>
  <c r="I84" i="73" l="1"/>
  <c r="D51" i="75"/>
  <c r="D50" i="75"/>
  <c r="I86" i="73" l="1"/>
  <c r="I111" i="73" s="1"/>
  <c r="D53" i="75"/>
  <c r="D52" i="75"/>
  <c r="C43" i="62" l="1"/>
  <c r="D76" i="75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6" i="73" s="1"/>
  <c r="D11" i="47"/>
  <c r="A4" i="72" s="1"/>
  <c r="J7" i="82"/>
  <c r="J43" i="82" s="1"/>
  <c r="K7" i="82"/>
  <c r="K43" i="82" s="1"/>
  <c r="L7" i="82"/>
  <c r="L43" i="82" s="1"/>
  <c r="M7" i="82"/>
  <c r="M43" i="82" s="1"/>
  <c r="N7" i="82"/>
  <c r="N43" i="82" s="1"/>
  <c r="I7" i="82"/>
  <c r="I43" i="82" s="1"/>
  <c r="C88" i="85" l="1" a="1"/>
  <c r="C34" i="62"/>
  <c r="L7" i="81"/>
  <c r="L43" i="81" s="1"/>
  <c r="N7" i="81"/>
  <c r="N43" i="81" s="1"/>
  <c r="M7" i="81"/>
  <c r="M43" i="81" s="1"/>
  <c r="K7" i="81"/>
  <c r="K43" i="81" s="1"/>
  <c r="I7" i="81"/>
  <c r="I43" i="81" s="1"/>
  <c r="J7" i="81"/>
  <c r="J43" i="81" s="1"/>
  <c r="N43" i="68"/>
  <c r="N7" i="73"/>
  <c r="N43" i="73" s="1"/>
  <c r="N7" i="72"/>
  <c r="N43" i="72" s="1"/>
  <c r="M43" i="68"/>
  <c r="M7" i="72"/>
  <c r="M43" i="72" s="1"/>
  <c r="M7" i="73"/>
  <c r="M43" i="73" s="1"/>
  <c r="K43" i="68"/>
  <c r="K7" i="73"/>
  <c r="K43" i="73" s="1"/>
  <c r="K7" i="72"/>
  <c r="K43" i="72" s="1"/>
  <c r="L43" i="68"/>
  <c r="L7" i="73"/>
  <c r="L43" i="73" s="1"/>
  <c r="L7" i="72"/>
  <c r="L43" i="72" s="1"/>
  <c r="I43" i="68"/>
  <c r="I7" i="73"/>
  <c r="I43" i="73" s="1"/>
  <c r="I7" i="72"/>
  <c r="I43" i="72" s="1"/>
  <c r="J43" i="68"/>
  <c r="J7" i="73"/>
  <c r="J43" i="73" s="1"/>
  <c r="J7" i="72"/>
  <c r="J43" i="72" s="1"/>
  <c r="O7" i="82"/>
  <c r="O43" i="82" s="1"/>
  <c r="J18" i="68"/>
  <c r="K18" i="68"/>
  <c r="L18" i="68"/>
  <c r="M18" i="68"/>
  <c r="N18" i="68"/>
  <c r="O18" i="68"/>
  <c r="P18" i="68"/>
  <c r="Q18" i="68"/>
  <c r="R18" i="68"/>
  <c r="S18" i="68"/>
  <c r="T18" i="68"/>
  <c r="U18" i="68"/>
  <c r="V18" i="68"/>
  <c r="W18" i="68"/>
  <c r="X18" i="68"/>
  <c r="Y18" i="68"/>
  <c r="Z18" i="68"/>
  <c r="AA18" i="68"/>
  <c r="AB18" i="68"/>
  <c r="I18" i="68"/>
  <c r="J6" i="68"/>
  <c r="J6" i="75" s="1"/>
  <c r="J6" i="85" s="1"/>
  <c r="D97" i="85" l="1"/>
  <c r="F97" i="85"/>
  <c r="I74" i="33" s="1"/>
  <c r="F96" i="85"/>
  <c r="D98" i="85"/>
  <c r="F98" i="85"/>
  <c r="I75" i="33" s="1"/>
  <c r="E98" i="85"/>
  <c r="D96" i="85"/>
  <c r="E97" i="85"/>
  <c r="G98" i="85"/>
  <c r="J75" i="33" s="1"/>
  <c r="G96" i="85"/>
  <c r="E96" i="85"/>
  <c r="G97" i="85"/>
  <c r="J74" i="33" s="1"/>
  <c r="C88" i="85"/>
  <c r="J74" i="68" a="1"/>
  <c r="J74" i="68" s="1"/>
  <c r="J6" i="82"/>
  <c r="K6" i="68"/>
  <c r="K6" i="75" s="1"/>
  <c r="K6" i="85" s="1"/>
  <c r="J6" i="81"/>
  <c r="J6" i="73"/>
  <c r="J6" i="72"/>
  <c r="O7" i="81"/>
  <c r="O43" i="81" s="1"/>
  <c r="O7" i="73"/>
  <c r="O43" i="73" s="1"/>
  <c r="O7" i="72"/>
  <c r="O43" i="72" s="1"/>
  <c r="P7" i="82"/>
  <c r="P43" i="82" s="1"/>
  <c r="O43" i="68"/>
  <c r="K88" i="85" l="1"/>
  <c r="K97" i="85" s="1"/>
  <c r="L74" i="33" s="1"/>
  <c r="C98" i="85"/>
  <c r="F75" i="33" s="1"/>
  <c r="C97" i="85"/>
  <c r="F74" i="33" s="1"/>
  <c r="C96" i="85"/>
  <c r="F73" i="33" s="1"/>
  <c r="K6" i="82"/>
  <c r="K74" i="68" a="1"/>
  <c r="K74" i="68" s="1"/>
  <c r="J74" i="82" a="1"/>
  <c r="J74" i="82" s="1"/>
  <c r="K80" i="82" s="1"/>
  <c r="J74" i="73" a="1"/>
  <c r="J74" i="73" s="1"/>
  <c r="K80" i="73" s="1"/>
  <c r="J74" i="81" a="1"/>
  <c r="J74" i="81" s="1"/>
  <c r="K80" i="81" s="1"/>
  <c r="J74" i="72" a="1"/>
  <c r="J74" i="72" s="1"/>
  <c r="K80" i="72" s="1"/>
  <c r="J84" i="68"/>
  <c r="J86" i="68" s="1"/>
  <c r="J111" i="68" s="1"/>
  <c r="L6" i="68"/>
  <c r="L6" i="75" s="1"/>
  <c r="L6" i="85" s="1"/>
  <c r="K6" i="81"/>
  <c r="G94" i="81" s="1" a="1"/>
  <c r="G94" i="81" s="1"/>
  <c r="G96" i="81" s="1"/>
  <c r="C32" i="62" s="1"/>
  <c r="K6" i="73"/>
  <c r="K6" i="72"/>
  <c r="G94" i="72" s="1" a="1"/>
  <c r="G94" i="72" s="1"/>
  <c r="G96" i="72" s="1"/>
  <c r="C33" i="62" s="1"/>
  <c r="P7" i="81"/>
  <c r="P43" i="81" s="1"/>
  <c r="P7" i="73"/>
  <c r="P43" i="73" s="1"/>
  <c r="P7" i="72"/>
  <c r="P43" i="72" s="1"/>
  <c r="Q7" i="82"/>
  <c r="Q43" i="82" s="1"/>
  <c r="P43" i="68"/>
  <c r="K74" i="72" l="1" a="1"/>
  <c r="K74" i="72" s="1"/>
  <c r="L80" i="72" s="1"/>
  <c r="L74" i="68" a="1"/>
  <c r="L74" i="68" s="1"/>
  <c r="K74" i="73" a="1"/>
  <c r="K74" i="73" s="1"/>
  <c r="L80" i="73" s="1"/>
  <c r="K74" i="81" a="1"/>
  <c r="K74" i="81" s="1"/>
  <c r="L80" i="81" s="1"/>
  <c r="K74" i="82" a="1"/>
  <c r="K74" i="82" s="1"/>
  <c r="J84" i="81"/>
  <c r="K84" i="68"/>
  <c r="K86" i="68" s="1"/>
  <c r="K111" i="68" s="1"/>
  <c r="J84" i="82"/>
  <c r="J86" i="82" s="1"/>
  <c r="J111" i="82" s="1"/>
  <c r="J84" i="73"/>
  <c r="L6" i="82"/>
  <c r="M6" i="68"/>
  <c r="M6" i="75" s="1"/>
  <c r="M6" i="85" s="1"/>
  <c r="L6" i="81"/>
  <c r="L6" i="72"/>
  <c r="L6" i="73"/>
  <c r="Q7" i="81"/>
  <c r="Q43" i="81" s="1"/>
  <c r="Q7" i="73"/>
  <c r="Q43" i="73" s="1"/>
  <c r="Q7" i="72"/>
  <c r="Q43" i="72" s="1"/>
  <c r="R7" i="82"/>
  <c r="R43" i="82" s="1"/>
  <c r="Q43" i="68"/>
  <c r="K84" i="82" l="1"/>
  <c r="K86" i="82" s="1"/>
  <c r="K111" i="82" s="1"/>
  <c r="L80" i="82"/>
  <c r="J86" i="73"/>
  <c r="J111" i="73" s="1"/>
  <c r="J86" i="81"/>
  <c r="J111" i="81" s="1"/>
  <c r="L74" i="82" a="1"/>
  <c r="L74" i="82" s="1"/>
  <c r="M80" i="82" s="1"/>
  <c r="M74" i="68" a="1"/>
  <c r="M74" i="68" s="1"/>
  <c r="L74" i="73" a="1"/>
  <c r="L74" i="73" s="1"/>
  <c r="M80" i="73" s="1"/>
  <c r="L74" i="72" a="1"/>
  <c r="L74" i="72" s="1"/>
  <c r="M80" i="72" s="1"/>
  <c r="L74" i="81" a="1"/>
  <c r="L74" i="81" s="1"/>
  <c r="M80" i="81" s="1"/>
  <c r="K84" i="81"/>
  <c r="L84" i="68"/>
  <c r="L86" i="68" s="1"/>
  <c r="L111" i="68" s="1"/>
  <c r="K84" i="73"/>
  <c r="M6" i="82"/>
  <c r="N6" i="68"/>
  <c r="N6" i="75" s="1"/>
  <c r="N6" i="85" s="1"/>
  <c r="M6" i="81"/>
  <c r="M6" i="72"/>
  <c r="M6" i="73"/>
  <c r="R7" i="81"/>
  <c r="R43" i="81" s="1"/>
  <c r="R7" i="73"/>
  <c r="R43" i="73" s="1"/>
  <c r="R7" i="72"/>
  <c r="R43" i="72" s="1"/>
  <c r="S7" i="82"/>
  <c r="S43" i="82" s="1"/>
  <c r="R43" i="68"/>
  <c r="K86" i="73" l="1"/>
  <c r="K111" i="73" s="1"/>
  <c r="K86" i="81"/>
  <c r="K111" i="81" s="1"/>
  <c r="M74" i="82" a="1"/>
  <c r="M74" i="82" s="1"/>
  <c r="N80" i="82" s="1"/>
  <c r="M74" i="73" a="1"/>
  <c r="M74" i="73" s="1"/>
  <c r="N80" i="73" s="1"/>
  <c r="M74" i="81" a="1"/>
  <c r="M74" i="81" s="1"/>
  <c r="N80" i="81" s="1"/>
  <c r="M74" i="72" a="1"/>
  <c r="M74" i="72" s="1"/>
  <c r="N80" i="72" s="1"/>
  <c r="N74" i="68" a="1"/>
  <c r="N74" i="68" s="1"/>
  <c r="L84" i="81"/>
  <c r="M84" i="68"/>
  <c r="M86" i="68" s="1"/>
  <c r="M111" i="68" s="1"/>
  <c r="L84" i="82"/>
  <c r="L86" i="82" s="1"/>
  <c r="L111" i="82" s="1"/>
  <c r="L84" i="73"/>
  <c r="N6" i="82"/>
  <c r="O6" i="68"/>
  <c r="O6" i="75" s="1"/>
  <c r="O6" i="85" s="1"/>
  <c r="N6" i="81"/>
  <c r="N6" i="72"/>
  <c r="N6" i="73"/>
  <c r="S7" i="81"/>
  <c r="S43" i="81" s="1"/>
  <c r="S7" i="73"/>
  <c r="S43" i="73" s="1"/>
  <c r="S7" i="72"/>
  <c r="S43" i="72" s="1"/>
  <c r="T7" i="82"/>
  <c r="T43" i="82" s="1"/>
  <c r="S43" i="68"/>
  <c r="L86" i="73" l="1"/>
  <c r="L111" i="73" s="1"/>
  <c r="L86" i="81"/>
  <c r="L111" i="81" s="1"/>
  <c r="N74" i="72" a="1"/>
  <c r="N74" i="72" s="1"/>
  <c r="O80" i="72" s="1"/>
  <c r="N74" i="73" a="1"/>
  <c r="N74" i="73" s="1"/>
  <c r="O80" i="73" s="1"/>
  <c r="N74" i="81" a="1"/>
  <c r="N74" i="81" s="1"/>
  <c r="O80" i="81" s="1"/>
  <c r="O74" i="68" a="1"/>
  <c r="O74" i="68" s="1"/>
  <c r="N74" i="82" a="1"/>
  <c r="N74" i="82" s="1"/>
  <c r="O80" i="82" s="1"/>
  <c r="M84" i="81"/>
  <c r="N84" i="68"/>
  <c r="N86" i="68" s="1"/>
  <c r="N111" i="68" s="1"/>
  <c r="M84" i="82"/>
  <c r="M86" i="82" s="1"/>
  <c r="M111" i="82" s="1"/>
  <c r="M84" i="73"/>
  <c r="O6" i="82"/>
  <c r="P6" i="68"/>
  <c r="P6" i="75" s="1"/>
  <c r="P6" i="85" s="1"/>
  <c r="O6" i="81"/>
  <c r="O6" i="72"/>
  <c r="O6" i="73"/>
  <c r="T7" i="81"/>
  <c r="T43" i="81" s="1"/>
  <c r="T7" i="73"/>
  <c r="T43" i="73" s="1"/>
  <c r="T7" i="72"/>
  <c r="T43" i="72" s="1"/>
  <c r="T43" i="68"/>
  <c r="U7" i="82"/>
  <c r="U43" i="82" s="1"/>
  <c r="M86" i="73" l="1"/>
  <c r="M111" i="73" s="1"/>
  <c r="M86" i="81"/>
  <c r="M111" i="81" s="1"/>
  <c r="O74" i="72" a="1"/>
  <c r="O74" i="72" s="1"/>
  <c r="P80" i="72" s="1"/>
  <c r="O74" i="81" a="1"/>
  <c r="O74" i="81" s="1"/>
  <c r="P80" i="81" s="1"/>
  <c r="O74" i="73" a="1"/>
  <c r="O74" i="73" s="1"/>
  <c r="P80" i="73" s="1"/>
  <c r="P74" i="68" a="1"/>
  <c r="P74" i="68" s="1"/>
  <c r="O74" i="82" a="1"/>
  <c r="O74" i="82" s="1"/>
  <c r="P80" i="82" s="1"/>
  <c r="N84" i="81"/>
  <c r="O84" i="68"/>
  <c r="O86" i="68" s="1"/>
  <c r="O111" i="68" s="1"/>
  <c r="N84" i="73"/>
  <c r="N84" i="82"/>
  <c r="N86" i="82" s="1"/>
  <c r="N111" i="82" s="1"/>
  <c r="P6" i="82"/>
  <c r="Q6" i="68"/>
  <c r="Q6" i="75" s="1"/>
  <c r="Q6" i="85" s="1"/>
  <c r="P6" i="81"/>
  <c r="P6" i="72"/>
  <c r="P6" i="73"/>
  <c r="U7" i="81"/>
  <c r="U43" i="81" s="1"/>
  <c r="U7" i="72"/>
  <c r="U43" i="72" s="1"/>
  <c r="U7" i="73"/>
  <c r="U43" i="73" s="1"/>
  <c r="U43" i="68"/>
  <c r="V7" i="82"/>
  <c r="V43" i="82" s="1"/>
  <c r="N86" i="73" l="1"/>
  <c r="N111" i="73" s="1"/>
  <c r="N86" i="81"/>
  <c r="N111" i="81" s="1"/>
  <c r="P74" i="72" a="1"/>
  <c r="P74" i="72" s="1"/>
  <c r="Q80" i="72" s="1"/>
  <c r="P74" i="81" a="1"/>
  <c r="P74" i="81" s="1"/>
  <c r="Q80" i="81" s="1"/>
  <c r="P74" i="73" a="1"/>
  <c r="P74" i="73" s="1"/>
  <c r="Q80" i="73" s="1"/>
  <c r="P74" i="82" a="1"/>
  <c r="P74" i="82" s="1"/>
  <c r="Q80" i="82" s="1"/>
  <c r="Q74" i="68" a="1"/>
  <c r="Q74" i="68" s="1"/>
  <c r="O84" i="81"/>
  <c r="P84" i="68"/>
  <c r="P86" i="68" s="1"/>
  <c r="P111" i="68" s="1"/>
  <c r="O84" i="82"/>
  <c r="O86" i="82" s="1"/>
  <c r="O111" i="82" s="1"/>
  <c r="O84" i="73"/>
  <c r="Q6" i="82"/>
  <c r="R6" i="68"/>
  <c r="R6" i="75" s="1"/>
  <c r="R6" i="85" s="1"/>
  <c r="Q6" i="81"/>
  <c r="Q6" i="73"/>
  <c r="Q6" i="72"/>
  <c r="V7" i="81"/>
  <c r="V43" i="81" s="1"/>
  <c r="V7" i="73"/>
  <c r="V43" i="73" s="1"/>
  <c r="V7" i="72"/>
  <c r="V43" i="72" s="1"/>
  <c r="V43" i="68"/>
  <c r="W7" i="82"/>
  <c r="W43" i="82" s="1"/>
  <c r="O86" i="73" l="1"/>
  <c r="O111" i="73" s="1"/>
  <c r="O86" i="81"/>
  <c r="O111" i="81" s="1"/>
  <c r="Q74" i="72" a="1"/>
  <c r="Q74" i="72" s="1"/>
  <c r="R80" i="72" s="1"/>
  <c r="Q74" i="73" a="1"/>
  <c r="Q74" i="73" s="1"/>
  <c r="R80" i="73" s="1"/>
  <c r="Q74" i="82" a="1"/>
  <c r="Q74" i="82" s="1"/>
  <c r="R80" i="82" s="1"/>
  <c r="Q74" i="81" a="1"/>
  <c r="Q74" i="81" s="1"/>
  <c r="R80" i="81" s="1"/>
  <c r="R74" i="68" a="1"/>
  <c r="R74" i="68" s="1"/>
  <c r="P84" i="81"/>
  <c r="Q84" i="68"/>
  <c r="Q86" i="68" s="1"/>
  <c r="Q111" i="68" s="1"/>
  <c r="P84" i="73"/>
  <c r="P84" i="82"/>
  <c r="P86" i="82" s="1"/>
  <c r="P111" i="82" s="1"/>
  <c r="R6" i="82"/>
  <c r="S6" i="68"/>
  <c r="S6" i="75" s="1"/>
  <c r="S6" i="85" s="1"/>
  <c r="R6" i="81"/>
  <c r="R6" i="73"/>
  <c r="R6" i="72"/>
  <c r="W7" i="81"/>
  <c r="W43" i="81" s="1"/>
  <c r="W7" i="73"/>
  <c r="W43" i="73" s="1"/>
  <c r="W7" i="72"/>
  <c r="W43" i="72" s="1"/>
  <c r="W43" i="68"/>
  <c r="X7" i="82"/>
  <c r="X43" i="82" s="1"/>
  <c r="P86" i="73" l="1"/>
  <c r="P111" i="73" s="1"/>
  <c r="P86" i="81"/>
  <c r="P111" i="81" s="1"/>
  <c r="R74" i="82" a="1"/>
  <c r="R74" i="82" s="1"/>
  <c r="S80" i="82" s="1"/>
  <c r="R74" i="73" a="1"/>
  <c r="R74" i="73" s="1"/>
  <c r="S80" i="73" s="1"/>
  <c r="R74" i="81" a="1"/>
  <c r="R74" i="81" s="1"/>
  <c r="S80" i="81" s="1"/>
  <c r="R74" i="72" a="1"/>
  <c r="R74" i="72" s="1"/>
  <c r="S80" i="72" s="1"/>
  <c r="S74" i="68" a="1"/>
  <c r="S74" i="68" s="1"/>
  <c r="Q84" i="81"/>
  <c r="R84" i="68"/>
  <c r="Q84" i="73"/>
  <c r="Q84" i="82"/>
  <c r="Q86" i="82" s="1"/>
  <c r="Q111" i="82" s="1"/>
  <c r="S6" i="82"/>
  <c r="T6" i="68"/>
  <c r="T6" i="75" s="1"/>
  <c r="T6" i="85" s="1"/>
  <c r="S6" i="81"/>
  <c r="S6" i="73"/>
  <c r="S6" i="72"/>
  <c r="X7" i="81"/>
  <c r="X43" i="81" s="1"/>
  <c r="X7" i="73"/>
  <c r="X43" i="73" s="1"/>
  <c r="X7" i="72"/>
  <c r="X43" i="72" s="1"/>
  <c r="X43" i="68"/>
  <c r="Y7" i="82"/>
  <c r="Y43" i="82" s="1"/>
  <c r="R86" i="68" l="1"/>
  <c r="R111" i="68" s="1"/>
  <c r="Q86" i="73"/>
  <c r="Q111" i="73" s="1"/>
  <c r="Q86" i="81"/>
  <c r="Q111" i="81" s="1"/>
  <c r="S74" i="82" a="1"/>
  <c r="S74" i="82" s="1"/>
  <c r="T80" i="82" s="1"/>
  <c r="S74" i="72" a="1"/>
  <c r="S74" i="72" s="1"/>
  <c r="T80" i="72" s="1"/>
  <c r="S74" i="73" a="1"/>
  <c r="S74" i="73" s="1"/>
  <c r="T80" i="73" s="1"/>
  <c r="S74" i="81" a="1"/>
  <c r="S74" i="81" s="1"/>
  <c r="T80" i="81" s="1"/>
  <c r="T74" i="68" a="1"/>
  <c r="T74" i="68" s="1"/>
  <c r="R84" i="81"/>
  <c r="S84" i="68"/>
  <c r="R84" i="73"/>
  <c r="R84" i="82"/>
  <c r="T6" i="82"/>
  <c r="U6" i="68"/>
  <c r="U6" i="75" s="1"/>
  <c r="U6" i="85" s="1"/>
  <c r="T6" i="81"/>
  <c r="T6" i="72"/>
  <c r="T6" i="73"/>
  <c r="Y7" i="81"/>
  <c r="Y43" i="81" s="1"/>
  <c r="Y7" i="73"/>
  <c r="Y43" i="73" s="1"/>
  <c r="Y7" i="72"/>
  <c r="Y43" i="72" s="1"/>
  <c r="Y43" i="68"/>
  <c r="Z7" i="82"/>
  <c r="Z43" i="82" s="1"/>
  <c r="R86" i="82" l="1"/>
  <c r="R111" i="82" s="1"/>
  <c r="S86" i="68"/>
  <c r="S111" i="68" s="1"/>
  <c r="R86" i="73"/>
  <c r="R111" i="73" s="1"/>
  <c r="R86" i="81"/>
  <c r="R111" i="81" s="1"/>
  <c r="U74" i="68" a="1"/>
  <c r="U74" i="68" s="1"/>
  <c r="T74" i="73" a="1"/>
  <c r="T74" i="73" s="1"/>
  <c r="U80" i="73" s="1"/>
  <c r="T74" i="72" a="1"/>
  <c r="T74" i="72" s="1"/>
  <c r="U80" i="72" s="1"/>
  <c r="T74" i="81" a="1"/>
  <c r="T74" i="81" s="1"/>
  <c r="U80" i="81" s="1"/>
  <c r="T74" i="82" a="1"/>
  <c r="T74" i="82" s="1"/>
  <c r="U80" i="82" s="1"/>
  <c r="S84" i="81"/>
  <c r="T84" i="68"/>
  <c r="S84" i="82"/>
  <c r="S84" i="73"/>
  <c r="U6" i="82"/>
  <c r="G94" i="82" s="1" a="1"/>
  <c r="G94" i="82" s="1"/>
  <c r="G96" i="82" s="1"/>
  <c r="V6" i="68"/>
  <c r="V6" i="75" s="1"/>
  <c r="V6" i="85" s="1"/>
  <c r="U6" i="81"/>
  <c r="U6" i="72"/>
  <c r="U6" i="73"/>
  <c r="Z7" i="81"/>
  <c r="Z43" i="81" s="1"/>
  <c r="Z7" i="73"/>
  <c r="Z43" i="73" s="1"/>
  <c r="Z7" i="72"/>
  <c r="Z43" i="72" s="1"/>
  <c r="Z43" i="68"/>
  <c r="AA7" i="82"/>
  <c r="AA43" i="82" s="1"/>
  <c r="S86" i="82" l="1"/>
  <c r="S111" i="82" s="1"/>
  <c r="T86" i="68"/>
  <c r="T111" i="68" s="1"/>
  <c r="C35" i="62"/>
  <c r="C38" i="62" s="1" a="1"/>
  <c r="C38" i="62" s="1"/>
  <c r="N7" i="75" s="1"/>
  <c r="N7" i="85" s="1"/>
  <c r="S86" i="73"/>
  <c r="S111" i="73" s="1"/>
  <c r="S86" i="81"/>
  <c r="S111" i="81" s="1"/>
  <c r="U74" i="73" a="1"/>
  <c r="U74" i="73" s="1"/>
  <c r="V80" i="73" s="1"/>
  <c r="U74" i="72" a="1"/>
  <c r="U74" i="72" s="1"/>
  <c r="V80" i="72" s="1"/>
  <c r="U74" i="82" a="1"/>
  <c r="U74" i="82" s="1"/>
  <c r="V80" i="82" s="1"/>
  <c r="U74" i="81" a="1"/>
  <c r="U74" i="81" s="1"/>
  <c r="V80" i="81" s="1"/>
  <c r="V74" i="68" a="1"/>
  <c r="V74" i="68" s="1"/>
  <c r="T84" i="81"/>
  <c r="U84" i="68"/>
  <c r="T84" i="73"/>
  <c r="T84" i="82"/>
  <c r="V6" i="82"/>
  <c r="W6" i="68"/>
  <c r="W6" i="75" s="1"/>
  <c r="W6" i="85" s="1"/>
  <c r="V6" i="81"/>
  <c r="V6" i="72"/>
  <c r="V6" i="73"/>
  <c r="AA7" i="81"/>
  <c r="AA43" i="81" s="1"/>
  <c r="AA7" i="73"/>
  <c r="AA43" i="73" s="1"/>
  <c r="AA7" i="72"/>
  <c r="AA43" i="72" s="1"/>
  <c r="AA43" i="68"/>
  <c r="AB7" i="82"/>
  <c r="AB43" i="82" s="1"/>
  <c r="T86" i="82" l="1"/>
  <c r="T111" i="82" s="1"/>
  <c r="U86" i="68"/>
  <c r="U111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6" i="73"/>
  <c r="T111" i="73" s="1"/>
  <c r="T86" i="81"/>
  <c r="T111" i="81" s="1"/>
  <c r="V74" i="72" a="1"/>
  <c r="V74" i="72" s="1"/>
  <c r="W80" i="72" s="1"/>
  <c r="V74" i="82" a="1"/>
  <c r="V74" i="82" s="1"/>
  <c r="W80" i="82" s="1"/>
  <c r="V74" i="73" a="1"/>
  <c r="V74" i="73" s="1"/>
  <c r="W80" i="73" s="1"/>
  <c r="V74" i="81" a="1"/>
  <c r="V74" i="81" s="1"/>
  <c r="W80" i="81" s="1"/>
  <c r="W74" i="68" a="1"/>
  <c r="W74" i="68" s="1"/>
  <c r="U84" i="81"/>
  <c r="V84" i="68"/>
  <c r="V86" i="68" s="1"/>
  <c r="V111" i="68" s="1"/>
  <c r="U84" i="73"/>
  <c r="U84" i="82"/>
  <c r="W6" i="82"/>
  <c r="X6" i="68"/>
  <c r="X6" i="75" s="1"/>
  <c r="W6" i="81"/>
  <c r="W6" i="72"/>
  <c r="W6" i="73"/>
  <c r="AB7" i="81"/>
  <c r="AB43" i="81" s="1"/>
  <c r="AB7" i="73"/>
  <c r="AB43" i="73" s="1"/>
  <c r="AB7" i="72"/>
  <c r="AB43" i="72" s="1"/>
  <c r="AB43" i="68"/>
  <c r="U86" i="82" l="1"/>
  <c r="U111" i="82" s="1"/>
  <c r="X7" i="75"/>
  <c r="X7" i="85" s="1"/>
  <c r="X6" i="85"/>
  <c r="I7" i="85"/>
  <c r="U86" i="73"/>
  <c r="U111" i="73" s="1"/>
  <c r="U86" i="81"/>
  <c r="U111" i="81" s="1"/>
  <c r="W74" i="82" a="1"/>
  <c r="W74" i="82" s="1"/>
  <c r="X80" i="82" s="1"/>
  <c r="W74" i="72" a="1"/>
  <c r="W74" i="72" s="1"/>
  <c r="X80" i="72" s="1"/>
  <c r="W74" i="81" a="1"/>
  <c r="W74" i="81" s="1"/>
  <c r="X80" i="81" s="1"/>
  <c r="X74" i="68" a="1"/>
  <c r="X74" i="68" s="1"/>
  <c r="W74" i="73" a="1"/>
  <c r="W74" i="73" s="1"/>
  <c r="X80" i="73" s="1"/>
  <c r="V84" i="81"/>
  <c r="W84" i="68"/>
  <c r="W86" i="68" s="1"/>
  <c r="W111" i="68" s="1"/>
  <c r="V84" i="82"/>
  <c r="V86" i="82" s="1"/>
  <c r="V111" i="82" s="1"/>
  <c r="V84" i="73"/>
  <c r="X6" i="82"/>
  <c r="Y6" i="68"/>
  <c r="Y6" i="75" s="1"/>
  <c r="X6" i="81"/>
  <c r="X6" i="72"/>
  <c r="X6" i="73"/>
  <c r="Y7" i="75" l="1"/>
  <c r="Y7" i="85" s="1"/>
  <c r="Y6" i="85"/>
  <c r="V86" i="73"/>
  <c r="V111" i="73" s="1"/>
  <c r="V86" i="81"/>
  <c r="V111" i="81" s="1"/>
  <c r="X74" i="82" a="1"/>
  <c r="X74" i="82" s="1"/>
  <c r="Y80" i="82" s="1"/>
  <c r="X74" i="73" a="1"/>
  <c r="X74" i="73" s="1"/>
  <c r="Y80" i="73" s="1"/>
  <c r="X74" i="72" a="1"/>
  <c r="X74" i="72" s="1"/>
  <c r="Y80" i="72" s="1"/>
  <c r="Y74" i="68" a="1"/>
  <c r="Y74" i="68" s="1"/>
  <c r="X74" i="81" a="1"/>
  <c r="X74" i="81" s="1"/>
  <c r="Y80" i="81" s="1"/>
  <c r="W84" i="81"/>
  <c r="X84" i="68"/>
  <c r="X86" i="68" s="1"/>
  <c r="X111" i="68" s="1"/>
  <c r="W84" i="73"/>
  <c r="W84" i="82"/>
  <c r="W86" i="82" s="1"/>
  <c r="W111" i="82" s="1"/>
  <c r="Y6" i="82"/>
  <c r="Z6" i="68"/>
  <c r="Z6" i="75" s="1"/>
  <c r="Y6" i="81"/>
  <c r="Y6" i="73"/>
  <c r="Y6" i="72"/>
  <c r="Z7" i="75" l="1"/>
  <c r="Z7" i="85" s="1"/>
  <c r="Z6" i="85"/>
  <c r="W86" i="73"/>
  <c r="W111" i="73" s="1"/>
  <c r="W86" i="81"/>
  <c r="W111" i="81" s="1"/>
  <c r="Y74" i="82" a="1"/>
  <c r="Y74" i="82" s="1"/>
  <c r="Z80" i="82" s="1"/>
  <c r="Y74" i="72" a="1"/>
  <c r="Y74" i="72" s="1"/>
  <c r="Z80" i="72" s="1"/>
  <c r="Y74" i="73" a="1"/>
  <c r="Y74" i="73" s="1"/>
  <c r="Z80" i="73" s="1"/>
  <c r="Y74" i="81" a="1"/>
  <c r="Y74" i="81" s="1"/>
  <c r="Z80" i="81" s="1"/>
  <c r="Z74" i="68" a="1"/>
  <c r="Z74" i="68" s="1"/>
  <c r="X84" i="81"/>
  <c r="Y84" i="68"/>
  <c r="Y86" i="68" s="1"/>
  <c r="Y111" i="68" s="1"/>
  <c r="X84" i="73"/>
  <c r="X84" i="82"/>
  <c r="X86" i="82" s="1"/>
  <c r="X111" i="82" s="1"/>
  <c r="Z6" i="82"/>
  <c r="AA6" i="68"/>
  <c r="AA6" i="75" s="1"/>
  <c r="Z6" i="81"/>
  <c r="Z6" i="73"/>
  <c r="Z6" i="72"/>
  <c r="AA7" i="75" l="1"/>
  <c r="AA7" i="85" s="1"/>
  <c r="AA6" i="85"/>
  <c r="X86" i="73"/>
  <c r="X111" i="73" s="1"/>
  <c r="X86" i="81"/>
  <c r="X111" i="81" s="1"/>
  <c r="Z74" i="72" a="1"/>
  <c r="Z74" i="72" s="1"/>
  <c r="AA80" i="72" s="1"/>
  <c r="Z74" i="82" a="1"/>
  <c r="Z74" i="82" s="1"/>
  <c r="AA80" i="82" s="1"/>
  <c r="Z74" i="73" a="1"/>
  <c r="Z74" i="73" s="1"/>
  <c r="AA80" i="73" s="1"/>
  <c r="Z74" i="81" a="1"/>
  <c r="Z74" i="81" s="1"/>
  <c r="AA80" i="81" s="1"/>
  <c r="AA74" i="68" a="1"/>
  <c r="AA74" i="68" s="1"/>
  <c r="Y84" i="81"/>
  <c r="Z84" i="68"/>
  <c r="Z86" i="68" s="1"/>
  <c r="Z111" i="68" s="1"/>
  <c r="Y84" i="73"/>
  <c r="Y84" i="82"/>
  <c r="Y86" i="82" s="1"/>
  <c r="Y111" i="82" s="1"/>
  <c r="AA6" i="82"/>
  <c r="AB6" i="68"/>
  <c r="AB6" i="75" s="1"/>
  <c r="AA6" i="81"/>
  <c r="AA6" i="73"/>
  <c r="AA6" i="72"/>
  <c r="AB7" i="75" l="1"/>
  <c r="AB7" i="85" s="1"/>
  <c r="AB6" i="85"/>
  <c r="Y86" i="73"/>
  <c r="Y111" i="73" s="1"/>
  <c r="Y86" i="81"/>
  <c r="Y111" i="81" s="1"/>
  <c r="AA74" i="73" a="1"/>
  <c r="AA74" i="73" s="1"/>
  <c r="AB80" i="73" s="1"/>
  <c r="AA74" i="81" a="1"/>
  <c r="AA74" i="81" s="1"/>
  <c r="AB80" i="81" s="1"/>
  <c r="AC6" i="68"/>
  <c r="AB74" i="68" a="1"/>
  <c r="AB74" i="68" s="1"/>
  <c r="AA74" i="72" a="1"/>
  <c r="AA74" i="72" s="1"/>
  <c r="AB80" i="72" s="1"/>
  <c r="AA74" i="82" a="1"/>
  <c r="AA74" i="82" s="1"/>
  <c r="AB80" i="82" s="1"/>
  <c r="Z84" i="81"/>
  <c r="AA84" i="68"/>
  <c r="AA86" i="68" s="1"/>
  <c r="AA111" i="68" s="1"/>
  <c r="Z84" i="82"/>
  <c r="Z86" i="82" s="1"/>
  <c r="Z111" i="82" s="1"/>
  <c r="Z84" i="73"/>
  <c r="AB6" i="82"/>
  <c r="AB6" i="81"/>
  <c r="AB6" i="72"/>
  <c r="AB6" i="73"/>
  <c r="Z86" i="73" l="1"/>
  <c r="Z111" i="73" s="1"/>
  <c r="Z86" i="81"/>
  <c r="Z111" i="81" s="1"/>
  <c r="AC6" i="73"/>
  <c r="AC6" i="75"/>
  <c r="AC6" i="82"/>
  <c r="AC74" i="73" a="1"/>
  <c r="AC74" i="73" s="1"/>
  <c r="AC6" i="72"/>
  <c r="AB74" i="82" a="1"/>
  <c r="AB74" i="82" s="1"/>
  <c r="AC80" i="82" s="1"/>
  <c r="AC74" i="82" a="1"/>
  <c r="AC74" i="82" s="1"/>
  <c r="AC74" i="68" a="1"/>
  <c r="AC74" i="68" s="1"/>
  <c r="AC84" i="68"/>
  <c r="AC86" i="68" s="1"/>
  <c r="AC111" i="68" s="1"/>
  <c r="AC6" i="81"/>
  <c r="AB74" i="73" a="1"/>
  <c r="AB74" i="73" s="1"/>
  <c r="AC80" i="73" s="1"/>
  <c r="AD6" i="68"/>
  <c r="AB74" i="72" a="1"/>
  <c r="AB74" i="72" s="1"/>
  <c r="AC80" i="72" s="1"/>
  <c r="AB74" i="81" a="1"/>
  <c r="AB74" i="81" s="1"/>
  <c r="AC80" i="81" s="1"/>
  <c r="AA84" i="81"/>
  <c r="AB84" i="68"/>
  <c r="AB86" i="68" s="1"/>
  <c r="AB111" i="68" s="1"/>
  <c r="AD6" i="73"/>
  <c r="AA84" i="82"/>
  <c r="AA86" i="82" s="1"/>
  <c r="AA111" i="82" s="1"/>
  <c r="AA84" i="73"/>
  <c r="I9" i="85"/>
  <c r="AC84" i="82" l="1"/>
  <c r="AC86" i="82" s="1"/>
  <c r="AC111" i="82" s="1"/>
  <c r="AD80" i="82"/>
  <c r="AC84" i="73"/>
  <c r="AC86" i="73" s="1"/>
  <c r="AC111" i="73" s="1"/>
  <c r="AD80" i="73"/>
  <c r="AC7" i="75"/>
  <c r="AC7" i="85" s="1"/>
  <c r="AC6" i="85"/>
  <c r="AA86" i="73"/>
  <c r="AA111" i="73" s="1"/>
  <c r="AA86" i="81"/>
  <c r="AA111" i="81" s="1"/>
  <c r="AE6" i="68"/>
  <c r="AE6" i="75" s="1"/>
  <c r="AD6" i="75"/>
  <c r="AD6" i="81"/>
  <c r="AD6" i="82"/>
  <c r="AD6" i="72"/>
  <c r="AC74" i="81" a="1"/>
  <c r="AC74" i="81" s="1"/>
  <c r="AD80" i="81" s="1"/>
  <c r="AE74" i="68" a="1"/>
  <c r="AE74" i="68" s="1"/>
  <c r="AE84" i="68"/>
  <c r="AE86" i="68" s="1"/>
  <c r="AE111" i="68" s="1"/>
  <c r="AC74" i="72" a="1"/>
  <c r="AC74" i="72" s="1"/>
  <c r="AD80" i="72" s="1"/>
  <c r="AD74" i="73" a="1"/>
  <c r="AD74" i="73" s="1"/>
  <c r="AD84" i="68"/>
  <c r="AD86" i="68" s="1"/>
  <c r="AD111" i="68" s="1"/>
  <c r="AD74" i="68" a="1"/>
  <c r="AD74" i="68" s="1"/>
  <c r="AB84" i="81"/>
  <c r="AE6" i="73"/>
  <c r="AF6" i="68"/>
  <c r="AF6" i="75" s="1"/>
  <c r="AE6" i="81"/>
  <c r="AE6" i="72"/>
  <c r="AE6" i="82"/>
  <c r="AB84" i="73"/>
  <c r="AB84" i="82"/>
  <c r="AB86" i="82" s="1"/>
  <c r="AB111" i="82" s="1"/>
  <c r="I9" i="75"/>
  <c r="I5" i="75" s="1"/>
  <c r="I9" i="82"/>
  <c r="I9" i="81"/>
  <c r="I9" i="73"/>
  <c r="I9" i="72"/>
  <c r="J9" i="68"/>
  <c r="J9" i="85" s="1"/>
  <c r="AD84" i="73" l="1"/>
  <c r="AE80" i="73"/>
  <c r="AF7" i="75"/>
  <c r="AF7" i="85" s="1"/>
  <c r="AF6" i="85"/>
  <c r="AE7" i="75"/>
  <c r="AE7" i="85" s="1"/>
  <c r="AE6" i="85"/>
  <c r="AD7" i="75"/>
  <c r="AD7" i="85" s="1"/>
  <c r="AD6" i="85"/>
  <c r="AB86" i="73"/>
  <c r="AB111" i="73" s="1"/>
  <c r="AD86" i="73"/>
  <c r="AD111" i="73" s="1"/>
  <c r="I5" i="85"/>
  <c r="AB86" i="81"/>
  <c r="AB111" i="81" s="1"/>
  <c r="AD74" i="81" a="1"/>
  <c r="AD74" i="81" s="1"/>
  <c r="AE80" i="81" s="1"/>
  <c r="AC84" i="81"/>
  <c r="AD74" i="72" a="1"/>
  <c r="AD74" i="72" s="1"/>
  <c r="AE80" i="72" s="1"/>
  <c r="AD74" i="82" a="1"/>
  <c r="AD74" i="82" s="1"/>
  <c r="AE74" i="82" a="1"/>
  <c r="AE74" i="82" s="1"/>
  <c r="AE74" i="81" a="1"/>
  <c r="AE74" i="81" s="1"/>
  <c r="AF80" i="81" s="1"/>
  <c r="AF84" i="68"/>
  <c r="AF86" i="68" s="1"/>
  <c r="AF111" i="68" s="1"/>
  <c r="AF74" i="68" a="1"/>
  <c r="AF74" i="68" s="1"/>
  <c r="AE74" i="73" a="1"/>
  <c r="AE74" i="73" s="1"/>
  <c r="AE74" i="72" a="1"/>
  <c r="AE74" i="72" s="1"/>
  <c r="AF80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s="1"/>
  <c r="AD84" i="82" l="1"/>
  <c r="AD86" i="82" s="1"/>
  <c r="AD111" i="82" s="1"/>
  <c r="AE80" i="82"/>
  <c r="AE84" i="82"/>
  <c r="AE86" i="82" s="1"/>
  <c r="AE111" i="82" s="1"/>
  <c r="AF80" i="82"/>
  <c r="AE84" i="73"/>
  <c r="AE86" i="73" s="1"/>
  <c r="AE111" i="73" s="1"/>
  <c r="AF80" i="73"/>
  <c r="AG7" i="75"/>
  <c r="AG7" i="85" s="1"/>
  <c r="AG6" i="85"/>
  <c r="J5" i="85"/>
  <c r="AC86" i="81"/>
  <c r="AC111" i="81" s="1"/>
  <c r="AD84" i="81"/>
  <c r="AF74" i="82" a="1"/>
  <c r="AF74" i="82" s="1"/>
  <c r="AF74" i="72" a="1"/>
  <c r="AF74" i="72" s="1"/>
  <c r="AG80" i="72" s="1"/>
  <c r="AF74" i="81" a="1"/>
  <c r="AF74" i="81" s="1"/>
  <c r="AG80" i="81" s="1"/>
  <c r="AG84" i="68"/>
  <c r="AG86" i="68" s="1"/>
  <c r="AG111" i="68" s="1"/>
  <c r="AG74" i="68" a="1"/>
  <c r="AG74" i="68" s="1"/>
  <c r="AF74" i="73" a="1"/>
  <c r="AF74" i="73" s="1"/>
  <c r="AE84" i="81"/>
  <c r="AG6" i="73"/>
  <c r="AG6" i="81"/>
  <c r="AG6" i="72"/>
  <c r="AG6" i="82"/>
  <c r="J88" i="75"/>
  <c r="J97" i="75" s="1"/>
  <c r="K9" i="75"/>
  <c r="K5" i="75" s="1"/>
  <c r="K9" i="82"/>
  <c r="K9" i="81"/>
  <c r="L9" i="68"/>
  <c r="L9" i="85" s="1"/>
  <c r="K9" i="72"/>
  <c r="K9" i="73"/>
  <c r="AF84" i="82" l="1"/>
  <c r="AF86" i="82" s="1"/>
  <c r="AF111" i="82" s="1"/>
  <c r="AG80" i="82"/>
  <c r="AF84" i="73"/>
  <c r="AG80" i="73"/>
  <c r="AF86" i="73"/>
  <c r="AF111" i="73" s="1"/>
  <c r="K5" i="85"/>
  <c r="AD86" i="81"/>
  <c r="AD111" i="81" s="1"/>
  <c r="AE86" i="81"/>
  <c r="AE111" i="81" s="1"/>
  <c r="AG74" i="82" a="1"/>
  <c r="AG74" i="82" s="1"/>
  <c r="AG84" i="82" s="1"/>
  <c r="AG86" i="82" s="1"/>
  <c r="AG111" i="82" s="1"/>
  <c r="AG74" i="72" a="1"/>
  <c r="AG74" i="72" s="1"/>
  <c r="AG74" i="81" a="1"/>
  <c r="AG74" i="81" s="1"/>
  <c r="AG74" i="73" a="1"/>
  <c r="AG74" i="73" s="1"/>
  <c r="AG84" i="73" s="1"/>
  <c r="AF84" i="81"/>
  <c r="K88" i="75"/>
  <c r="K97" i="75" s="1"/>
  <c r="L9" i="75"/>
  <c r="L5" i="75" s="1"/>
  <c r="L9" i="82"/>
  <c r="L9" i="81"/>
  <c r="M9" i="68"/>
  <c r="M9" i="85" s="1"/>
  <c r="L9" i="73"/>
  <c r="L9" i="72"/>
  <c r="AG86" i="73" l="1"/>
  <c r="AG111" i="73" s="1"/>
  <c r="L5" i="85"/>
  <c r="AF86" i="81"/>
  <c r="AF111" i="81" s="1"/>
  <c r="AG84" i="81"/>
  <c r="L88" i="75"/>
  <c r="L97" i="75" s="1"/>
  <c r="M9" i="75"/>
  <c r="M5" i="75" s="1"/>
  <c r="M9" i="82"/>
  <c r="M9" i="81"/>
  <c r="N9" i="68"/>
  <c r="N9" i="85" s="1"/>
  <c r="M9" i="73"/>
  <c r="M9" i="72"/>
  <c r="M5" i="85" l="1"/>
  <c r="AG86" i="81"/>
  <c r="AG111" i="81" s="1"/>
  <c r="M88" i="75"/>
  <c r="M97" i="75" s="1"/>
  <c r="N9" i="75"/>
  <c r="N5" i="75" s="1"/>
  <c r="N9" i="82"/>
  <c r="N9" i="81"/>
  <c r="O9" i="68"/>
  <c r="O9" i="85" s="1"/>
  <c r="N9" i="73"/>
  <c r="N9" i="72"/>
  <c r="N5" i="85" l="1"/>
  <c r="N88" i="75"/>
  <c r="N97" i="75" s="1"/>
  <c r="O9" i="75"/>
  <c r="O5" i="75" s="1"/>
  <c r="O9" i="82"/>
  <c r="O9" i="81"/>
  <c r="P9" i="68"/>
  <c r="P9" i="85" s="1"/>
  <c r="O9" i="73"/>
  <c r="O9" i="72"/>
  <c r="O5" i="85" l="1"/>
  <c r="O88" i="75"/>
  <c r="O97" i="75" s="1"/>
  <c r="P9" i="75"/>
  <c r="P5" i="75" s="1"/>
  <c r="P9" i="82"/>
  <c r="P9" i="81"/>
  <c r="Q9" i="68"/>
  <c r="Q9" i="85" s="1"/>
  <c r="P9" i="73"/>
  <c r="P9" i="72"/>
  <c r="P5" i="85" l="1"/>
  <c r="P88" i="75"/>
  <c r="P97" i="75" s="1"/>
  <c r="Q9" i="75"/>
  <c r="Q5" i="75" s="1"/>
  <c r="Q9" i="82"/>
  <c r="Q9" i="81"/>
  <c r="R9" i="68"/>
  <c r="R9" i="85" s="1"/>
  <c r="Q9" i="73"/>
  <c r="Q9" i="72"/>
  <c r="Q5" i="85" l="1"/>
  <c r="Q88" i="75"/>
  <c r="Q97" i="75" s="1"/>
  <c r="R9" i="75"/>
  <c r="R5" i="75" s="1"/>
  <c r="R9" i="82"/>
  <c r="R9" i="81"/>
  <c r="S9" i="68"/>
  <c r="S9" i="85" s="1"/>
  <c r="R9" i="72"/>
  <c r="R9" i="73"/>
  <c r="R5" i="85" l="1"/>
  <c r="R88" i="75"/>
  <c r="R97" i="75" s="1"/>
  <c r="S9" i="75"/>
  <c r="S5" i="75" s="1"/>
  <c r="S9" i="82"/>
  <c r="S9" i="81"/>
  <c r="T9" i="68"/>
  <c r="T9" i="85" s="1"/>
  <c r="S9" i="72"/>
  <c r="S9" i="73"/>
  <c r="S5" i="85" l="1"/>
  <c r="S88" i="75"/>
  <c r="S97" i="75" s="1"/>
  <c r="T9" i="75"/>
  <c r="T5" i="75" s="1"/>
  <c r="T9" i="82"/>
  <c r="T9" i="81"/>
  <c r="U9" i="68"/>
  <c r="U9" i="85" s="1"/>
  <c r="T9" i="73"/>
  <c r="T9" i="72"/>
  <c r="T5" i="85" l="1"/>
  <c r="T88" i="75"/>
  <c r="T97" i="75" s="1"/>
  <c r="U9" i="75"/>
  <c r="U5" i="75" s="1"/>
  <c r="U9" i="82"/>
  <c r="U9" i="81"/>
  <c r="V9" i="68"/>
  <c r="V9" i="85" s="1"/>
  <c r="U9" i="72"/>
  <c r="U9" i="73"/>
  <c r="U5" i="85" l="1"/>
  <c r="U88" i="75"/>
  <c r="U97" i="75" s="1"/>
  <c r="V9" i="75"/>
  <c r="V5" i="75" s="1"/>
  <c r="V9" i="82"/>
  <c r="V9" i="81"/>
  <c r="W9" i="68"/>
  <c r="W9" i="85" s="1"/>
  <c r="V9" i="73"/>
  <c r="V9" i="72"/>
  <c r="V5" i="85" l="1"/>
  <c r="V88" i="75"/>
  <c r="V97" i="75" s="1"/>
  <c r="W9" i="75"/>
  <c r="W5" i="75" s="1"/>
  <c r="W9" i="82"/>
  <c r="W9" i="81"/>
  <c r="X9" i="68"/>
  <c r="X9" i="85" s="1"/>
  <c r="W9" i="73"/>
  <c r="W9" i="72"/>
  <c r="W5" i="85" l="1"/>
  <c r="W88" i="75"/>
  <c r="W97" i="75" s="1"/>
  <c r="X9" i="75"/>
  <c r="X5" i="75" s="1"/>
  <c r="X9" i="82"/>
  <c r="X9" i="81"/>
  <c r="Y9" i="68"/>
  <c r="Y9" i="85" s="1"/>
  <c r="X9" i="73"/>
  <c r="X9" i="72"/>
  <c r="X5" i="85" l="1"/>
  <c r="X88" i="75"/>
  <c r="X97" i="75" s="1"/>
  <c r="Y9" i="75"/>
  <c r="Y5" i="75" s="1"/>
  <c r="Y9" i="82"/>
  <c r="Y9" i="81"/>
  <c r="Z9" i="68"/>
  <c r="Z9" i="85" s="1"/>
  <c r="Y9" i="73"/>
  <c r="Y9" i="72"/>
  <c r="Y5" i="85" l="1"/>
  <c r="Y88" i="75"/>
  <c r="Y97" i="75" s="1"/>
  <c r="Z9" i="75"/>
  <c r="Z5" i="75" s="1"/>
  <c r="Z9" i="82"/>
  <c r="Z9" i="81"/>
  <c r="AA9" i="68"/>
  <c r="AA9" i="85" s="1"/>
  <c r="Z9" i="72"/>
  <c r="Z9" i="73"/>
  <c r="Z5" i="85" l="1"/>
  <c r="Z88" i="75"/>
  <c r="Z97" i="75" s="1"/>
  <c r="AA9" i="75"/>
  <c r="AA5" i="75" s="1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5" i="75" s="1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75" l="1"/>
  <c r="AC5" i="85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75" l="1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75" l="1"/>
  <c r="AE5" i="85" s="1"/>
  <c r="AF9" i="82"/>
  <c r="AF9" i="81"/>
  <c r="AF9" i="75"/>
  <c r="AF9" i="72"/>
  <c r="AF9" i="73"/>
  <c r="AG9" i="68"/>
  <c r="AG9" i="85" s="1"/>
  <c r="AF5" i="75" l="1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50" i="81" l="1"/>
  <c r="E51" i="73"/>
  <c r="E50" i="72"/>
  <c r="E47" i="68"/>
  <c r="E49" i="72"/>
  <c r="E53" i="73"/>
  <c r="E53" i="68"/>
  <c r="E47" i="82"/>
  <c r="E49" i="81"/>
  <c r="E50" i="73"/>
  <c r="E52" i="72"/>
  <c r="E51" i="81"/>
  <c r="E50" i="82"/>
  <c r="E48" i="81"/>
  <c r="E48" i="72"/>
  <c r="E52" i="68"/>
  <c r="E53" i="72"/>
  <c r="E48" i="68"/>
  <c r="E51" i="72"/>
  <c r="E53" i="82"/>
  <c r="E49" i="73"/>
  <c r="E51" i="68"/>
  <c r="E49" i="68"/>
  <c r="E52" i="73"/>
  <c r="E52" i="82"/>
  <c r="E47" i="81"/>
  <c r="E48" i="73"/>
  <c r="E47" i="72"/>
  <c r="E50" i="68"/>
  <c r="E47" i="73"/>
  <c r="E52" i="81"/>
  <c r="E51" i="82"/>
  <c r="E53" i="81"/>
  <c r="E49" i="82"/>
  <c r="E48" i="82"/>
  <c r="C14" i="43" a="1"/>
  <c r="G27" i="43"/>
  <c r="H90" i="43"/>
  <c r="C17" i="62"/>
  <c r="H11" i="62"/>
  <c r="I11" i="62"/>
  <c r="I12" i="62" s="1"/>
  <c r="G82" i="68" l="1"/>
  <c r="G82" i="82"/>
  <c r="G76" i="68"/>
  <c r="G71" i="72"/>
  <c r="G81" i="72"/>
  <c r="G76" i="82"/>
  <c r="G71" i="68"/>
  <c r="G81" i="81"/>
  <c r="G75" i="72"/>
  <c r="G70" i="73"/>
  <c r="G77" i="82"/>
  <c r="G69" i="81"/>
  <c r="G83" i="68"/>
  <c r="G77" i="72"/>
  <c r="G69" i="82"/>
  <c r="G77" i="81"/>
  <c r="G81" i="68"/>
  <c r="G71" i="82"/>
  <c r="G16" i="82"/>
  <c r="G69" i="73"/>
  <c r="G81" i="82"/>
  <c r="G70" i="68"/>
  <c r="G75" i="82"/>
  <c r="G76" i="73"/>
  <c r="G70" i="72"/>
  <c r="G16" i="68"/>
  <c r="G83" i="73"/>
  <c r="G16" i="72"/>
  <c r="G83" i="82"/>
  <c r="G82" i="72"/>
  <c r="G75" i="81"/>
  <c r="G82" i="81"/>
  <c r="G76" i="72"/>
  <c r="G71" i="73"/>
  <c r="G70" i="82"/>
  <c r="G75" i="73"/>
  <c r="G83" i="72"/>
  <c r="G69" i="68"/>
  <c r="G83" i="81"/>
  <c r="G82" i="73"/>
  <c r="G71" i="81"/>
  <c r="G16" i="81"/>
  <c r="G77" i="73"/>
  <c r="G77" i="68"/>
  <c r="G75" i="68"/>
  <c r="G16" i="73"/>
  <c r="G81" i="73"/>
  <c r="G76" i="81"/>
  <c r="G70" i="81"/>
  <c r="G69" i="72"/>
  <c r="G35" i="82"/>
  <c r="G34" i="82"/>
  <c r="G14" i="82"/>
  <c r="G32" i="73"/>
  <c r="G56" i="72"/>
  <c r="G20" i="72"/>
  <c r="G34" i="81"/>
  <c r="G15" i="81"/>
  <c r="G18" i="73"/>
  <c r="G56" i="82"/>
  <c r="G56" i="81"/>
  <c r="G34" i="73"/>
  <c r="G55" i="81"/>
  <c r="G33" i="73"/>
  <c r="G35" i="81"/>
  <c r="G33" i="82"/>
  <c r="G29" i="82"/>
  <c r="G31" i="73"/>
  <c r="G55" i="72"/>
  <c r="G18" i="72"/>
  <c r="G33" i="81"/>
  <c r="G14" i="81"/>
  <c r="G55" i="73"/>
  <c r="G14" i="72"/>
  <c r="G35" i="73"/>
  <c r="G20" i="81"/>
  <c r="G15" i="73"/>
  <c r="G15" i="82"/>
  <c r="G17" i="81"/>
  <c r="G32" i="82"/>
  <c r="G58" i="73"/>
  <c r="G29" i="73"/>
  <c r="G29" i="72"/>
  <c r="G17" i="72"/>
  <c r="G32" i="81"/>
  <c r="G56" i="68"/>
  <c r="G34" i="72"/>
  <c r="G18" i="82"/>
  <c r="G33" i="72"/>
  <c r="G17" i="82"/>
  <c r="G18" i="81"/>
  <c r="G31" i="72"/>
  <c r="G31" i="82"/>
  <c r="G56" i="73"/>
  <c r="G20" i="73"/>
  <c r="G35" i="72"/>
  <c r="G15" i="72"/>
  <c r="G31" i="81"/>
  <c r="G55" i="68"/>
  <c r="G20" i="82"/>
  <c r="G29" i="81"/>
  <c r="G17" i="73"/>
  <c r="G55" i="82"/>
  <c r="G32" i="72"/>
  <c r="G14" i="73"/>
  <c r="C22" i="62"/>
  <c r="G35" i="68"/>
  <c r="G17" i="68"/>
  <c r="G34" i="68"/>
  <c r="G18" i="68"/>
  <c r="G14" i="68"/>
  <c r="G33" i="68"/>
  <c r="G32" i="68"/>
  <c r="G31" i="68"/>
  <c r="G29" i="68"/>
  <c r="G15" i="68"/>
  <c r="G20" i="68"/>
  <c r="H12" i="62"/>
  <c r="H13" i="62" s="1"/>
  <c r="G58" i="82"/>
  <c r="G58" i="68"/>
  <c r="G58" i="72"/>
  <c r="G58" i="81"/>
  <c r="G80" i="81"/>
  <c r="G80" i="72"/>
  <c r="G80" i="73"/>
  <c r="G84" i="81"/>
  <c r="H52" i="43"/>
  <c r="H78" i="43"/>
  <c r="H79" i="43"/>
  <c r="G84" i="68"/>
  <c r="G74" i="81"/>
  <c r="G74" i="73"/>
  <c r="G68" i="82"/>
  <c r="G84" i="72"/>
  <c r="G74" i="82"/>
  <c r="G68" i="68"/>
  <c r="G84" i="82"/>
  <c r="G80" i="68"/>
  <c r="G68" i="81"/>
  <c r="G80" i="82"/>
  <c r="G68" i="73"/>
  <c r="G74" i="72"/>
  <c r="G84" i="73"/>
  <c r="G68" i="72"/>
  <c r="G74" i="68"/>
  <c r="G89" i="82"/>
  <c r="G87" i="82"/>
  <c r="G86" i="82"/>
  <c r="G65" i="82"/>
  <c r="G88" i="82"/>
  <c r="G91" i="82"/>
  <c r="G87" i="73"/>
  <c r="G86" i="72"/>
  <c r="G86" i="73"/>
  <c r="G91" i="72"/>
  <c r="G91" i="73"/>
  <c r="G89" i="68"/>
  <c r="G89" i="73"/>
  <c r="G87" i="68"/>
  <c r="G89" i="72"/>
  <c r="G88" i="68"/>
  <c r="G88" i="72"/>
  <c r="G65" i="72"/>
  <c r="G88" i="73"/>
  <c r="G87" i="72"/>
  <c r="G86" i="68"/>
  <c r="G91" i="68"/>
  <c r="G65" i="81"/>
  <c r="G87" i="81"/>
  <c r="G91" i="81"/>
  <c r="G89" i="81"/>
  <c r="G86" i="81"/>
  <c r="G88" i="81"/>
  <c r="E46" i="82"/>
  <c r="E46" i="73"/>
  <c r="E46" i="81"/>
  <c r="E46" i="68"/>
  <c r="E46" i="72"/>
  <c r="G65" i="73"/>
  <c r="G65" i="68"/>
  <c r="C14" i="43"/>
  <c r="C3" i="73" l="1"/>
  <c r="C3" i="82"/>
  <c r="C3" i="81"/>
  <c r="C3" i="72"/>
  <c r="Z58" i="73" a="1"/>
  <c r="Z58" i="73" s="1"/>
  <c r="K58" i="73" a="1"/>
  <c r="K58" i="73" s="1"/>
  <c r="Y58" i="73" a="1"/>
  <c r="Y58" i="73" s="1"/>
  <c r="W58" i="73" a="1"/>
  <c r="W58" i="73" s="1"/>
  <c r="J58" i="73" a="1"/>
  <c r="J58" i="73" s="1"/>
  <c r="S58" i="73" a="1"/>
  <c r="S58" i="73" s="1"/>
  <c r="I58" i="73" a="1"/>
  <c r="I58" i="73" s="1"/>
  <c r="AG58" i="73" a="1"/>
  <c r="AG58" i="73" s="1"/>
  <c r="AE58" i="73" a="1"/>
  <c r="AE58" i="73" s="1"/>
  <c r="AA58" i="73" a="1"/>
  <c r="AA58" i="73" s="1"/>
  <c r="Q58" i="73" a="1"/>
  <c r="Q58" i="73" s="1"/>
  <c r="R58" i="73" a="1"/>
  <c r="R58" i="73" s="1"/>
  <c r="O58" i="73" a="1"/>
  <c r="O58" i="73" s="1"/>
  <c r="AC58" i="73" a="1"/>
  <c r="AC58" i="73" s="1"/>
  <c r="AD58" i="73" a="1"/>
  <c r="AD58" i="73" s="1"/>
  <c r="AF58" i="73" a="1"/>
  <c r="AF58" i="73" s="1"/>
  <c r="L58" i="73" a="1"/>
  <c r="L58" i="73" s="1"/>
  <c r="M58" i="73" a="1"/>
  <c r="M58" i="73" s="1"/>
  <c r="N58" i="73" a="1"/>
  <c r="N58" i="73" s="1"/>
  <c r="P58" i="73" a="1"/>
  <c r="P58" i="73" s="1"/>
  <c r="T58" i="73" a="1"/>
  <c r="T58" i="73" s="1"/>
  <c r="U58" i="73" a="1"/>
  <c r="U58" i="73" s="1"/>
  <c r="V58" i="73" a="1"/>
  <c r="V58" i="73" s="1"/>
  <c r="X58" i="73" a="1"/>
  <c r="X58" i="73" s="1"/>
  <c r="AB58" i="73" a="1"/>
  <c r="AB58" i="73" s="1"/>
  <c r="W58" i="81" a="1"/>
  <c r="W58" i="81" s="1"/>
  <c r="S58" i="81" a="1"/>
  <c r="S58" i="81" s="1"/>
  <c r="Q58" i="81" a="1"/>
  <c r="Q58" i="81" s="1"/>
  <c r="O58" i="81" a="1"/>
  <c r="O58" i="81" s="1"/>
  <c r="AG58" i="81" a="1"/>
  <c r="AG58" i="81" s="1"/>
  <c r="K58" i="81" a="1"/>
  <c r="K58" i="81" s="1"/>
  <c r="AE58" i="81" a="1"/>
  <c r="AE58" i="81" s="1"/>
  <c r="I58" i="81" a="1"/>
  <c r="I58" i="81" s="1"/>
  <c r="AA58" i="81" a="1"/>
  <c r="AA58" i="81" s="1"/>
  <c r="Y58" i="81" a="1"/>
  <c r="Y58" i="81" s="1"/>
  <c r="AC58" i="81" a="1"/>
  <c r="AC58" i="81" s="1"/>
  <c r="AD58" i="81" a="1"/>
  <c r="AD58" i="81" s="1"/>
  <c r="AF58" i="81" a="1"/>
  <c r="AF58" i="81" s="1"/>
  <c r="M58" i="81" a="1"/>
  <c r="M58" i="81" s="1"/>
  <c r="L58" i="81" a="1"/>
  <c r="L58" i="81" s="1"/>
  <c r="N58" i="81" a="1"/>
  <c r="N58" i="81" s="1"/>
  <c r="J58" i="81" a="1"/>
  <c r="J58" i="81" s="1"/>
  <c r="P58" i="81" a="1"/>
  <c r="P58" i="81" s="1"/>
  <c r="R58" i="81" a="1"/>
  <c r="R58" i="81" s="1"/>
  <c r="T58" i="81" a="1"/>
  <c r="T58" i="81" s="1"/>
  <c r="U58" i="81" a="1"/>
  <c r="U58" i="81" s="1"/>
  <c r="V58" i="81" a="1"/>
  <c r="V58" i="81" s="1"/>
  <c r="X58" i="81" a="1"/>
  <c r="X58" i="81" s="1"/>
  <c r="Z58" i="81" a="1"/>
  <c r="Z58" i="81" s="1"/>
  <c r="AB58" i="81" a="1"/>
  <c r="AB58" i="81" s="1"/>
  <c r="W58" i="82" a="1"/>
  <c r="W58" i="82" s="1"/>
  <c r="Q58" i="82" a="1"/>
  <c r="Q58" i="82" s="1"/>
  <c r="O58" i="82" a="1"/>
  <c r="O58" i="82" s="1"/>
  <c r="I58" i="82" a="1"/>
  <c r="I58" i="82" s="1"/>
  <c r="I89" i="82" s="1"/>
  <c r="AG58" i="82" a="1"/>
  <c r="AG58" i="82" s="1"/>
  <c r="AG89" i="82" s="1"/>
  <c r="AE58" i="82" a="1"/>
  <c r="AE58" i="82" s="1"/>
  <c r="AE89" i="82" s="1"/>
  <c r="Y58" i="82" a="1"/>
  <c r="Y58" i="82" s="1"/>
  <c r="AC58" i="82" a="1"/>
  <c r="AC58" i="82" s="1"/>
  <c r="AC89" i="82" s="1"/>
  <c r="AD58" i="82" a="1"/>
  <c r="AD58" i="82" s="1"/>
  <c r="AD89" i="82" s="1"/>
  <c r="AF58" i="82" a="1"/>
  <c r="AF58" i="82" s="1"/>
  <c r="AF89" i="82" s="1"/>
  <c r="K58" i="82" a="1"/>
  <c r="K58" i="82" s="1"/>
  <c r="N58" i="82" a="1"/>
  <c r="N58" i="82" s="1"/>
  <c r="L58" i="82" a="1"/>
  <c r="L58" i="82" s="1"/>
  <c r="J58" i="82" a="1"/>
  <c r="J58" i="82" s="1"/>
  <c r="M58" i="82" a="1"/>
  <c r="M58" i="82" s="1"/>
  <c r="P58" i="82" a="1"/>
  <c r="P58" i="82" s="1"/>
  <c r="R58" i="82" a="1"/>
  <c r="R58" i="82" s="1"/>
  <c r="S58" i="82" a="1"/>
  <c r="S58" i="82" s="1"/>
  <c r="T58" i="82" a="1"/>
  <c r="T58" i="82" s="1"/>
  <c r="U58" i="82" a="1"/>
  <c r="U58" i="82" s="1"/>
  <c r="V58" i="82" a="1"/>
  <c r="V58" i="82" s="1"/>
  <c r="X58" i="82" a="1"/>
  <c r="X58" i="82" s="1"/>
  <c r="Z58" i="82" a="1"/>
  <c r="Z58" i="82" s="1"/>
  <c r="AA58" i="82" a="1"/>
  <c r="AA58" i="82" s="1"/>
  <c r="AB58" i="82" a="1"/>
  <c r="AB58" i="82" s="1"/>
  <c r="AC58" i="72" a="1"/>
  <c r="AC58" i="72" s="1"/>
  <c r="AD58" i="72" a="1"/>
  <c r="AD58" i="72" s="1"/>
  <c r="AE58" i="72" a="1"/>
  <c r="AE58" i="72" s="1"/>
  <c r="AF58" i="72" a="1"/>
  <c r="AF58" i="72" s="1"/>
  <c r="AG58" i="72" a="1"/>
  <c r="AG58" i="72" s="1"/>
  <c r="AC58" i="68" a="1"/>
  <c r="AC58" i="68" s="1"/>
  <c r="AC89" i="68" s="1"/>
  <c r="AC112" i="68" s="1"/>
  <c r="AD58" i="68" a="1"/>
  <c r="AD58" i="68" s="1"/>
  <c r="AD89" i="68" s="1"/>
  <c r="AD112" i="68" s="1"/>
  <c r="AE58" i="68" a="1"/>
  <c r="AE58" i="68" s="1"/>
  <c r="AE89" i="68" s="1"/>
  <c r="AE112" i="68" s="1"/>
  <c r="AF58" i="68" a="1"/>
  <c r="AF58" i="68" s="1"/>
  <c r="AF89" i="68" s="1"/>
  <c r="AF112" i="68" s="1"/>
  <c r="AG58" i="68" a="1"/>
  <c r="AG58" i="68" s="1"/>
  <c r="AG89" i="68" s="1"/>
  <c r="AG112" i="68" s="1"/>
  <c r="X58" i="72" a="1"/>
  <c r="X58" i="72" s="1"/>
  <c r="S58" i="72" a="1"/>
  <c r="S58" i="72" s="1"/>
  <c r="J58" i="72" a="1"/>
  <c r="J58" i="72" s="1"/>
  <c r="R58" i="72" a="1"/>
  <c r="R58" i="72" s="1"/>
  <c r="P58" i="72" a="1"/>
  <c r="P58" i="72" s="1"/>
  <c r="O58" i="72" a="1"/>
  <c r="O58" i="72" s="1"/>
  <c r="Z58" i="72" a="1"/>
  <c r="Z58" i="72" s="1"/>
  <c r="L58" i="72" a="1"/>
  <c r="L58" i="72" s="1"/>
  <c r="K58" i="72" a="1"/>
  <c r="K58" i="72" s="1"/>
  <c r="N58" i="72" a="1"/>
  <c r="N58" i="72" s="1"/>
  <c r="I58" i="72" a="1"/>
  <c r="I58" i="72" s="1"/>
  <c r="M58" i="72" a="1"/>
  <c r="M58" i="72" s="1"/>
  <c r="Q58" i="72" a="1"/>
  <c r="Q58" i="72" s="1"/>
  <c r="T58" i="72" a="1"/>
  <c r="T58" i="72" s="1"/>
  <c r="U58" i="72" a="1"/>
  <c r="U58" i="72" s="1"/>
  <c r="V58" i="72" a="1"/>
  <c r="V58" i="72" s="1"/>
  <c r="W58" i="72" a="1"/>
  <c r="W58" i="72" s="1"/>
  <c r="Y58" i="72" a="1"/>
  <c r="Y58" i="72" s="1"/>
  <c r="AA58" i="72" a="1"/>
  <c r="AA58" i="72" s="1"/>
  <c r="AB58" i="72" a="1"/>
  <c r="AB58" i="72" s="1"/>
  <c r="D13" i="33"/>
  <c r="Q58" i="68" a="1"/>
  <c r="Q58" i="68" s="1"/>
  <c r="Q89" i="68" s="1"/>
  <c r="Q112" i="68" s="1"/>
  <c r="W58" i="68" a="1"/>
  <c r="W58" i="68" s="1"/>
  <c r="W89" i="68" s="1"/>
  <c r="W112" i="68" s="1"/>
  <c r="U58" i="68" a="1"/>
  <c r="U58" i="68" s="1"/>
  <c r="U89" i="68" s="1"/>
  <c r="U112" i="68" s="1"/>
  <c r="P58" i="68" a="1"/>
  <c r="P58" i="68" s="1"/>
  <c r="P89" i="68" s="1"/>
  <c r="P112" i="68" s="1"/>
  <c r="X58" i="68" a="1"/>
  <c r="X58" i="68" s="1"/>
  <c r="X89" i="68" s="1"/>
  <c r="X112" i="68" s="1"/>
  <c r="AB58" i="68" a="1"/>
  <c r="AB58" i="68" s="1"/>
  <c r="AB89" i="68" s="1"/>
  <c r="AB112" i="68" s="1"/>
  <c r="I58" i="68" a="1"/>
  <c r="I58" i="68" s="1"/>
  <c r="I89" i="68" s="1"/>
  <c r="I112" i="68" s="1"/>
  <c r="O58" i="68" a="1"/>
  <c r="O58" i="68" s="1"/>
  <c r="O89" i="68" s="1"/>
  <c r="O112" i="68" s="1"/>
  <c r="Y58" i="68" a="1"/>
  <c r="Y58" i="68" s="1"/>
  <c r="Y89" i="68" s="1"/>
  <c r="Y112" i="68" s="1"/>
  <c r="N58" i="68" a="1"/>
  <c r="N58" i="68" s="1"/>
  <c r="N89" i="68" s="1"/>
  <c r="N112" i="68" s="1"/>
  <c r="T58" i="68" a="1"/>
  <c r="T58" i="68" s="1"/>
  <c r="T89" i="68" s="1"/>
  <c r="T112" i="68" s="1"/>
  <c r="Z58" i="68" a="1"/>
  <c r="Z58" i="68" s="1"/>
  <c r="Z89" i="68" s="1"/>
  <c r="Z112" i="68" s="1"/>
  <c r="M58" i="68" a="1"/>
  <c r="M58" i="68" s="1"/>
  <c r="M89" i="68" s="1"/>
  <c r="M112" i="68" s="1"/>
  <c r="R58" i="68" a="1"/>
  <c r="R58" i="68" s="1"/>
  <c r="R89" i="68" s="1"/>
  <c r="R112" i="68" s="1"/>
  <c r="AA58" i="68" a="1"/>
  <c r="AA58" i="68" s="1"/>
  <c r="AA89" i="68" s="1"/>
  <c r="AA112" i="68" s="1"/>
  <c r="L58" i="68" a="1"/>
  <c r="L58" i="68" s="1"/>
  <c r="L89" i="68" s="1"/>
  <c r="L112" i="68" s="1"/>
  <c r="K58" i="68" a="1"/>
  <c r="K58" i="68" s="1"/>
  <c r="K89" i="68" s="1"/>
  <c r="K112" i="68" s="1"/>
  <c r="S58" i="68" a="1"/>
  <c r="S58" i="68" s="1"/>
  <c r="S89" i="68" s="1"/>
  <c r="S112" i="68" s="1"/>
  <c r="J58" i="68" a="1"/>
  <c r="J58" i="68" s="1"/>
  <c r="J89" i="68" s="1"/>
  <c r="J112" i="68" s="1"/>
  <c r="V58" i="68" a="1"/>
  <c r="V58" i="68" s="1"/>
  <c r="V89" i="68" s="1"/>
  <c r="V112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9" i="72" l="1"/>
  <c r="Z89" i="72"/>
  <c r="AC89" i="72"/>
  <c r="T89" i="72"/>
  <c r="O89" i="72"/>
  <c r="Q89" i="72"/>
  <c r="P89" i="72"/>
  <c r="AB89" i="72"/>
  <c r="M89" i="72"/>
  <c r="R89" i="72"/>
  <c r="AE89" i="73"/>
  <c r="AA89" i="72"/>
  <c r="I89" i="72"/>
  <c r="J89" i="72"/>
  <c r="AG89" i="72"/>
  <c r="AF89" i="73"/>
  <c r="AG89" i="73"/>
  <c r="Y89" i="72"/>
  <c r="N89" i="72"/>
  <c r="S89" i="72"/>
  <c r="AF89" i="72"/>
  <c r="AD89" i="73"/>
  <c r="I89" i="73"/>
  <c r="W89" i="72"/>
  <c r="K89" i="72"/>
  <c r="X89" i="72"/>
  <c r="AE89" i="72"/>
  <c r="AC89" i="73"/>
  <c r="V89" i="72"/>
  <c r="L89" i="72"/>
  <c r="AD89" i="72"/>
  <c r="AE89" i="81"/>
  <c r="AC89" i="81"/>
  <c r="AF89" i="81"/>
  <c r="AG89" i="81"/>
  <c r="AD89" i="81"/>
  <c r="Q84" i="72"/>
  <c r="I84" i="72"/>
  <c r="AG91" i="68"/>
  <c r="AG110" i="68" s="1"/>
  <c r="AF91" i="68"/>
  <c r="AF110" i="68" s="1"/>
  <c r="AE91" i="68"/>
  <c r="AE110" i="68" s="1"/>
  <c r="AD91" i="68"/>
  <c r="AD110" i="68" s="1"/>
  <c r="AC91" i="68"/>
  <c r="AC110" i="68" s="1"/>
  <c r="AA89" i="81"/>
  <c r="T89" i="73"/>
  <c r="S89" i="81"/>
  <c r="Y89" i="81"/>
  <c r="W89" i="73"/>
  <c r="Q89" i="73"/>
  <c r="O89" i="73"/>
  <c r="O89" i="82"/>
  <c r="O89" i="81"/>
  <c r="R89" i="81"/>
  <c r="V89" i="73"/>
  <c r="X89" i="73"/>
  <c r="T89" i="82"/>
  <c r="V89" i="82"/>
  <c r="M89" i="81"/>
  <c r="J89" i="81"/>
  <c r="T89" i="81"/>
  <c r="AA89" i="73"/>
  <c r="P89" i="73"/>
  <c r="Q89" i="82"/>
  <c r="J89" i="82"/>
  <c r="K89" i="82"/>
  <c r="J89" i="73"/>
  <c r="V89" i="81"/>
  <c r="K89" i="81"/>
  <c r="I89" i="81"/>
  <c r="U89" i="73"/>
  <c r="U89" i="82"/>
  <c r="AA89" i="82"/>
  <c r="R89" i="82"/>
  <c r="AB89" i="81"/>
  <c r="Z89" i="81"/>
  <c r="W89" i="81"/>
  <c r="N89" i="73"/>
  <c r="Z89" i="73"/>
  <c r="AB89" i="82"/>
  <c r="W89" i="82"/>
  <c r="P89" i="82"/>
  <c r="N89" i="81"/>
  <c r="Q89" i="81"/>
  <c r="L89" i="81"/>
  <c r="X89" i="81"/>
  <c r="M89" i="73"/>
  <c r="K89" i="73"/>
  <c r="Y89" i="82"/>
  <c r="Z89" i="82"/>
  <c r="M89" i="82"/>
  <c r="N89" i="82"/>
  <c r="S89" i="73"/>
  <c r="R89" i="73"/>
  <c r="S89" i="82"/>
  <c r="U89" i="81"/>
  <c r="P89" i="81"/>
  <c r="AB89" i="73"/>
  <c r="L89" i="73"/>
  <c r="Y89" i="73"/>
  <c r="X89" i="82"/>
  <c r="L89" i="82"/>
  <c r="AG121" i="68" l="1" a="1"/>
  <c r="AG121" i="68" s="1"/>
  <c r="AG120" i="68" a="1"/>
  <c r="AG120" i="68" s="1"/>
  <c r="AG119" i="68" a="1"/>
  <c r="AG119" i="68" s="1"/>
  <c r="AG117" i="68" a="1"/>
  <c r="AG117" i="68" s="1"/>
  <c r="AG114" i="68" a="1"/>
  <c r="AG114" i="68" s="1"/>
  <c r="AG115" i="68" a="1"/>
  <c r="AG115" i="68" s="1"/>
  <c r="AG116" i="68" a="1"/>
  <c r="AG116" i="68" s="1"/>
  <c r="AG118" i="68" a="1"/>
  <c r="AG118" i="68" s="1"/>
  <c r="AF121" i="68" a="1"/>
  <c r="AF121" i="68" s="1"/>
  <c r="AF117" i="68" a="1"/>
  <c r="AF117" i="68" s="1"/>
  <c r="AF120" i="68" a="1"/>
  <c r="AF120" i="68" s="1"/>
  <c r="AF119" i="68" a="1"/>
  <c r="AF119" i="68" s="1"/>
  <c r="AF118" i="68" a="1"/>
  <c r="AF118" i="68" s="1"/>
  <c r="AF116" i="68" a="1"/>
  <c r="AF116" i="68" s="1"/>
  <c r="AF115" i="68" a="1"/>
  <c r="AF115" i="68" s="1"/>
  <c r="AF114" i="68" a="1"/>
  <c r="AF114" i="68" s="1"/>
  <c r="AE117" i="68" a="1"/>
  <c r="AE117" i="68" s="1"/>
  <c r="AE121" i="68" a="1"/>
  <c r="AE121" i="68" s="1"/>
  <c r="AE120" i="68" a="1"/>
  <c r="AE120" i="68" s="1"/>
  <c r="AE119" i="68" a="1"/>
  <c r="AE119" i="68" s="1"/>
  <c r="AE118" i="68" a="1"/>
  <c r="AE118" i="68" s="1"/>
  <c r="AE115" i="68" a="1"/>
  <c r="AE115" i="68" s="1"/>
  <c r="AE116" i="68" a="1"/>
  <c r="AE116" i="68" s="1"/>
  <c r="AE114" i="68" a="1"/>
  <c r="AE114" i="68" s="1"/>
  <c r="AC116" i="68" a="1"/>
  <c r="AC116" i="68" s="1"/>
  <c r="AC119" i="68" a="1"/>
  <c r="AC119" i="68" s="1"/>
  <c r="AC120" i="68" a="1"/>
  <c r="AC120" i="68" s="1"/>
  <c r="AC117" i="68" a="1"/>
  <c r="AC117" i="68" s="1"/>
  <c r="AC121" i="68" a="1"/>
  <c r="AC121" i="68" s="1"/>
  <c r="AC115" i="68" a="1"/>
  <c r="AC115" i="68" s="1"/>
  <c r="AC118" i="68" a="1"/>
  <c r="AC118" i="68" s="1"/>
  <c r="AC114" i="68" a="1"/>
  <c r="AC114" i="68" s="1"/>
  <c r="AD116" i="68" a="1"/>
  <c r="AD116" i="68" s="1"/>
  <c r="AD119" i="68" a="1"/>
  <c r="AD119" i="68" s="1"/>
  <c r="AD114" i="68" a="1"/>
  <c r="AD114" i="68" s="1"/>
  <c r="AD117" i="68" a="1"/>
  <c r="AD117" i="68" s="1"/>
  <c r="AD120" i="68" a="1"/>
  <c r="AD120" i="68" s="1"/>
  <c r="AD121" i="68" a="1"/>
  <c r="AD121" i="68" s="1"/>
  <c r="AD118" i="68" a="1"/>
  <c r="AD118" i="68" s="1"/>
  <c r="AD115" i="68" a="1"/>
  <c r="AD115" i="68" s="1"/>
  <c r="I86" i="72"/>
  <c r="I111" i="72" s="1"/>
  <c r="Q86" i="72"/>
  <c r="Q111" i="72" s="1"/>
  <c r="R84" i="72"/>
  <c r="J84" i="72"/>
  <c r="N84" i="72"/>
  <c r="AE84" i="72"/>
  <c r="O84" i="72"/>
  <c r="L84" i="72"/>
  <c r="AG84" i="72"/>
  <c r="AA84" i="72"/>
  <c r="K84" i="72"/>
  <c r="P84" i="72"/>
  <c r="M84" i="72"/>
  <c r="AF84" i="72"/>
  <c r="AD84" i="72"/>
  <c r="V84" i="72"/>
  <c r="U84" i="72"/>
  <c r="AC84" i="72"/>
  <c r="Z84" i="72"/>
  <c r="T84" i="72"/>
  <c r="W84" i="72"/>
  <c r="AB84" i="72"/>
  <c r="Y84" i="72"/>
  <c r="X84" i="72"/>
  <c r="S84" i="72"/>
  <c r="X91" i="68"/>
  <c r="X110" i="68" s="1"/>
  <c r="M91" i="68"/>
  <c r="M110" i="68" s="1"/>
  <c r="K91" i="68"/>
  <c r="K110" i="68" s="1"/>
  <c r="U91" i="68"/>
  <c r="U110" i="68" s="1"/>
  <c r="Q91" i="68"/>
  <c r="Q110" i="68" s="1"/>
  <c r="Z91" i="68"/>
  <c r="Z110" i="68" s="1"/>
  <c r="Y91" i="68"/>
  <c r="Y110" i="68" s="1"/>
  <c r="N91" i="68"/>
  <c r="N110" i="68" s="1"/>
  <c r="AA91" i="68"/>
  <c r="AA110" i="68" s="1"/>
  <c r="V91" i="68"/>
  <c r="V110" i="68" s="1"/>
  <c r="P91" i="68"/>
  <c r="P110" i="68" s="1"/>
  <c r="L91" i="68"/>
  <c r="L110" i="68" s="1"/>
  <c r="O91" i="68"/>
  <c r="O110" i="68" s="1"/>
  <c r="R91" i="68"/>
  <c r="R110" i="68" s="1"/>
  <c r="S91" i="68"/>
  <c r="S110" i="68" s="1"/>
  <c r="T91" i="68"/>
  <c r="T110" i="68" s="1"/>
  <c r="W91" i="68"/>
  <c r="W110" i="68" s="1"/>
  <c r="AB91" i="68"/>
  <c r="AB110" i="68" s="1"/>
  <c r="C16" i="62"/>
  <c r="P121" i="68" l="1" a="1"/>
  <c r="P121" i="68" s="1"/>
  <c r="P115" i="68" a="1"/>
  <c r="P115" i="68" s="1"/>
  <c r="P116" i="68" a="1"/>
  <c r="P116" i="68" s="1"/>
  <c r="P118" i="68" a="1"/>
  <c r="P118" i="68" s="1"/>
  <c r="P120" i="68" a="1"/>
  <c r="P120" i="68" s="1"/>
  <c r="P114" i="68" a="1"/>
  <c r="P114" i="68" s="1"/>
  <c r="P117" i="68" a="1"/>
  <c r="P117" i="68" s="1"/>
  <c r="P119" i="68" a="1"/>
  <c r="P119" i="68" s="1"/>
  <c r="AA116" i="68" a="1"/>
  <c r="AA116" i="68" s="1"/>
  <c r="AA118" i="68" a="1"/>
  <c r="AA118" i="68" s="1"/>
  <c r="AA114" i="68" a="1"/>
  <c r="AA114" i="68" s="1"/>
  <c r="AA117" i="68" a="1"/>
  <c r="AA117" i="68" s="1"/>
  <c r="AA115" i="68" a="1"/>
  <c r="AA115" i="68" s="1"/>
  <c r="AA119" i="68" a="1"/>
  <c r="AA119" i="68" s="1"/>
  <c r="AA121" i="68" a="1"/>
  <c r="AA121" i="68" s="1"/>
  <c r="AA120" i="68" a="1"/>
  <c r="AA120" i="68" s="1"/>
  <c r="W120" i="68" a="1"/>
  <c r="W120" i="68" s="1"/>
  <c r="W117" i="68" a="1"/>
  <c r="W117" i="68" s="1"/>
  <c r="W114" i="68" a="1"/>
  <c r="W114" i="68" s="1"/>
  <c r="W121" i="68" a="1"/>
  <c r="W121" i="68" s="1"/>
  <c r="W115" i="68" a="1"/>
  <c r="W115" i="68" s="1"/>
  <c r="W116" i="68" a="1"/>
  <c r="W116" i="68" s="1"/>
  <c r="W119" i="68" a="1"/>
  <c r="W119" i="68" s="1"/>
  <c r="W118" i="68" a="1"/>
  <c r="W118" i="68" s="1"/>
  <c r="S121" i="68" a="1"/>
  <c r="S121" i="68" s="1"/>
  <c r="S115" i="68" a="1"/>
  <c r="S115" i="68" s="1"/>
  <c r="S118" i="68" a="1"/>
  <c r="S118" i="68" s="1"/>
  <c r="S116" i="68" a="1"/>
  <c r="S116" i="68" s="1"/>
  <c r="S119" i="68" a="1"/>
  <c r="S119" i="68" s="1"/>
  <c r="S120" i="68" a="1"/>
  <c r="S120" i="68" s="1"/>
  <c r="S117" i="68" a="1"/>
  <c r="S117" i="68" s="1"/>
  <c r="S114" i="68" a="1"/>
  <c r="S114" i="68" s="1"/>
  <c r="R121" i="68" a="1"/>
  <c r="R121" i="68" s="1"/>
  <c r="R115" i="68" a="1"/>
  <c r="R115" i="68" s="1"/>
  <c r="R118" i="68" a="1"/>
  <c r="R118" i="68" s="1"/>
  <c r="R116" i="68" a="1"/>
  <c r="R116" i="68" s="1"/>
  <c r="R119" i="68" a="1"/>
  <c r="R119" i="68" s="1"/>
  <c r="R120" i="68" a="1"/>
  <c r="R120" i="68" s="1"/>
  <c r="R114" i="68" a="1"/>
  <c r="R114" i="68" s="1"/>
  <c r="R117" i="68" a="1"/>
  <c r="R117" i="68" s="1"/>
  <c r="O121" i="68" a="1"/>
  <c r="O121" i="68" s="1"/>
  <c r="O115" i="68" a="1"/>
  <c r="O115" i="68" s="1"/>
  <c r="O119" i="68" a="1"/>
  <c r="O119" i="68" s="1"/>
  <c r="O116" i="68" a="1"/>
  <c r="O116" i="68" s="1"/>
  <c r="O117" i="68" a="1"/>
  <c r="O117" i="68" s="1"/>
  <c r="O118" i="68" a="1"/>
  <c r="O118" i="68" s="1"/>
  <c r="O120" i="68" a="1"/>
  <c r="O120" i="68" s="1"/>
  <c r="O114" i="68" a="1"/>
  <c r="O114" i="68" s="1"/>
  <c r="L119" i="68" a="1"/>
  <c r="L119" i="68" s="1"/>
  <c r="L116" i="68" a="1"/>
  <c r="L116" i="68" s="1"/>
  <c r="L120" i="68" a="1"/>
  <c r="L120" i="68" s="1"/>
  <c r="L117" i="68" a="1"/>
  <c r="L117" i="68" s="1"/>
  <c r="L115" i="68" a="1"/>
  <c r="L115" i="68" s="1"/>
  <c r="L121" i="68" a="1"/>
  <c r="L121" i="68" s="1"/>
  <c r="L118" i="68" a="1"/>
  <c r="L118" i="68" s="1"/>
  <c r="L114" i="68" a="1"/>
  <c r="L114" i="68" s="1"/>
  <c r="N119" i="68" a="1"/>
  <c r="N119" i="68" s="1"/>
  <c r="N116" i="68" a="1"/>
  <c r="N116" i="68" s="1"/>
  <c r="N121" i="68" a="1"/>
  <c r="N121" i="68" s="1"/>
  <c r="N115" i="68" a="1"/>
  <c r="N115" i="68" s="1"/>
  <c r="N114" i="68" a="1"/>
  <c r="N114" i="68" s="1"/>
  <c r="N120" i="68" a="1"/>
  <c r="N120" i="68" s="1"/>
  <c r="N118" i="68" a="1"/>
  <c r="N118" i="68" s="1"/>
  <c r="N117" i="68" a="1"/>
  <c r="N117" i="68" s="1"/>
  <c r="Y120" i="68" a="1"/>
  <c r="Y120" i="68" s="1"/>
  <c r="Y117" i="68" a="1"/>
  <c r="Y117" i="68" s="1"/>
  <c r="Y114" i="68" a="1"/>
  <c r="Y114" i="68" s="1"/>
  <c r="Y121" i="68" a="1"/>
  <c r="Y121" i="68" s="1"/>
  <c r="Y115" i="68" a="1"/>
  <c r="Y115" i="68" s="1"/>
  <c r="Y116" i="68" a="1"/>
  <c r="Y116" i="68" s="1"/>
  <c r="Y119" i="68" a="1"/>
  <c r="Y119" i="68" s="1"/>
  <c r="Y118" i="68" a="1"/>
  <c r="Y118" i="68" s="1"/>
  <c r="Q121" i="68" a="1"/>
  <c r="Q121" i="68" s="1"/>
  <c r="Q115" i="68" a="1"/>
  <c r="Q115" i="68" s="1"/>
  <c r="Q119" i="68" a="1"/>
  <c r="Q119" i="68" s="1"/>
  <c r="Q116" i="68" a="1"/>
  <c r="Q116" i="68" s="1"/>
  <c r="Q118" i="68" a="1"/>
  <c r="Q118" i="68" s="1"/>
  <c r="Q120" i="68" a="1"/>
  <c r="Q120" i="68" s="1"/>
  <c r="Q114" i="68" a="1"/>
  <c r="Q114" i="68" s="1"/>
  <c r="Q117" i="68" a="1"/>
  <c r="Q117" i="68" s="1"/>
  <c r="K119" i="68" a="1"/>
  <c r="K119" i="68" s="1"/>
  <c r="K116" i="68" a="1"/>
  <c r="K116" i="68" s="1"/>
  <c r="K120" i="68" a="1"/>
  <c r="K120" i="68" s="1"/>
  <c r="K114" i="68" a="1"/>
  <c r="K114" i="68" s="1"/>
  <c r="K117" i="68" a="1"/>
  <c r="K117" i="68" s="1"/>
  <c r="K115" i="68" a="1"/>
  <c r="K115" i="68" s="1"/>
  <c r="K121" i="68" a="1"/>
  <c r="K121" i="68" s="1"/>
  <c r="K118" i="68" a="1"/>
  <c r="K118" i="68" s="1"/>
  <c r="M119" i="68" a="1"/>
  <c r="M119" i="68" s="1"/>
  <c r="M116" i="68" a="1"/>
  <c r="M116" i="68" s="1"/>
  <c r="M120" i="68" a="1"/>
  <c r="M120" i="68" s="1"/>
  <c r="M117" i="68" a="1"/>
  <c r="M117" i="68" s="1"/>
  <c r="M115" i="68" a="1"/>
  <c r="M115" i="68" s="1"/>
  <c r="M121" i="68" a="1"/>
  <c r="M121" i="68" s="1"/>
  <c r="M118" i="68" a="1"/>
  <c r="M118" i="68" s="1"/>
  <c r="M114" i="68" a="1"/>
  <c r="M114" i="68" s="1"/>
  <c r="U117" i="68" a="1"/>
  <c r="U117" i="68" s="1"/>
  <c r="U114" i="68" a="1"/>
  <c r="U114" i="68" s="1"/>
  <c r="U119" i="68" a="1"/>
  <c r="U119" i="68" s="1"/>
  <c r="U115" i="68" a="1"/>
  <c r="U115" i="68" s="1"/>
  <c r="U120" i="68" a="1"/>
  <c r="U120" i="68" s="1"/>
  <c r="U116" i="68" a="1"/>
  <c r="U116" i="68" s="1"/>
  <c r="U121" i="68" a="1"/>
  <c r="U121" i="68" s="1"/>
  <c r="U118" i="68" a="1"/>
  <c r="U118" i="68" s="1"/>
  <c r="X120" i="68" a="1"/>
  <c r="X120" i="68" s="1"/>
  <c r="X117" i="68" a="1"/>
  <c r="X117" i="68" s="1"/>
  <c r="X114" i="68" a="1"/>
  <c r="X114" i="68" s="1"/>
  <c r="X118" i="68" a="1"/>
  <c r="X118" i="68" s="1"/>
  <c r="X115" i="68" a="1"/>
  <c r="X115" i="68" s="1"/>
  <c r="X116" i="68" a="1"/>
  <c r="X116" i="68" s="1"/>
  <c r="X119" i="68" a="1"/>
  <c r="X119" i="68" s="1"/>
  <c r="X121" i="68" a="1"/>
  <c r="X121" i="68" s="1"/>
  <c r="AB116" i="68" a="1"/>
  <c r="AB116" i="68" s="1"/>
  <c r="AB119" i="68" a="1"/>
  <c r="AB119" i="68" s="1"/>
  <c r="AB120" i="68" a="1"/>
  <c r="AB120" i="68" s="1"/>
  <c r="AB114" i="68" a="1"/>
  <c r="AB114" i="68" s="1"/>
  <c r="AB117" i="68" a="1"/>
  <c r="AB117" i="68" s="1"/>
  <c r="AB121" i="68" a="1"/>
  <c r="AB121" i="68" s="1"/>
  <c r="AB115" i="68" a="1"/>
  <c r="AB115" i="68" s="1"/>
  <c r="AB118" i="68" a="1"/>
  <c r="AB118" i="68" s="1"/>
  <c r="T118" i="68" a="1"/>
  <c r="T118" i="68" s="1"/>
  <c r="T116" i="68" a="1"/>
  <c r="T116" i="68" s="1"/>
  <c r="T121" i="68" a="1"/>
  <c r="T121" i="68" s="1"/>
  <c r="T119" i="68" a="1"/>
  <c r="T119" i="68" s="1"/>
  <c r="T117" i="68" a="1"/>
  <c r="T117" i="68" s="1"/>
  <c r="T120" i="68" a="1"/>
  <c r="T120" i="68" s="1"/>
  <c r="T114" i="68" a="1"/>
  <c r="T114" i="68" s="1"/>
  <c r="T115" i="68" a="1"/>
  <c r="T115" i="68" s="1"/>
  <c r="V120" i="68" a="1"/>
  <c r="V120" i="68" s="1"/>
  <c r="V117" i="68" a="1"/>
  <c r="V117" i="68" s="1"/>
  <c r="V114" i="68" a="1"/>
  <c r="V114" i="68" s="1"/>
  <c r="V119" i="68" a="1"/>
  <c r="V119" i="68" s="1"/>
  <c r="V118" i="68" a="1"/>
  <c r="V118" i="68" s="1"/>
  <c r="V115" i="68" a="1"/>
  <c r="V115" i="68" s="1"/>
  <c r="V121" i="68" a="1"/>
  <c r="V121" i="68" s="1"/>
  <c r="V116" i="68" a="1"/>
  <c r="V116" i="68" s="1"/>
  <c r="Z120" i="68" a="1"/>
  <c r="Z120" i="68" s="1"/>
  <c r="Z117" i="68" a="1"/>
  <c r="Z117" i="68" s="1"/>
  <c r="Z116" i="68" a="1"/>
  <c r="Z116" i="68" s="1"/>
  <c r="Z121" i="68" a="1"/>
  <c r="Z121" i="68" s="1"/>
  <c r="Z115" i="68" a="1"/>
  <c r="Z115" i="68" s="1"/>
  <c r="Z114" i="68" a="1"/>
  <c r="Z114" i="68" s="1"/>
  <c r="Z119" i="68" a="1"/>
  <c r="Z119" i="68" s="1"/>
  <c r="Z118" i="68" a="1"/>
  <c r="Z118" i="68" s="1"/>
  <c r="J86" i="72"/>
  <c r="J111" i="72" s="1"/>
  <c r="K86" i="72"/>
  <c r="K111" i="72" s="1"/>
  <c r="AB86" i="72"/>
  <c r="AB111" i="72" s="1"/>
  <c r="AD86" i="72"/>
  <c r="AD111" i="72" s="1"/>
  <c r="Z86" i="72"/>
  <c r="Z111" i="72" s="1"/>
  <c r="Y86" i="72"/>
  <c r="Y111" i="72" s="1"/>
  <c r="O86" i="72"/>
  <c r="O111" i="72" s="1"/>
  <c r="AF86" i="72"/>
  <c r="AF111" i="72" s="1"/>
  <c r="AE86" i="72"/>
  <c r="AE111" i="72" s="1"/>
  <c r="W86" i="72"/>
  <c r="W111" i="72" s="1"/>
  <c r="M86" i="72"/>
  <c r="M111" i="72" s="1"/>
  <c r="N86" i="72"/>
  <c r="N111" i="72" s="1"/>
  <c r="T86" i="72"/>
  <c r="T111" i="72" s="1"/>
  <c r="P86" i="72"/>
  <c r="P111" i="72" s="1"/>
  <c r="R86" i="72"/>
  <c r="R111" i="72" s="1"/>
  <c r="AC86" i="72"/>
  <c r="AC111" i="72" s="1"/>
  <c r="AA86" i="72"/>
  <c r="AA111" i="72" s="1"/>
  <c r="S86" i="72"/>
  <c r="S111" i="72" s="1"/>
  <c r="U86" i="72"/>
  <c r="U111" i="72" s="1"/>
  <c r="AG86" i="72"/>
  <c r="AG111" i="72" s="1"/>
  <c r="X86" i="72"/>
  <c r="X111" i="72" s="1"/>
  <c r="V86" i="72"/>
  <c r="V111" i="72" s="1"/>
  <c r="L86" i="72"/>
  <c r="L111" i="72" s="1"/>
  <c r="J91" i="68"/>
  <c r="J110" i="68" s="1"/>
  <c r="I91" i="68"/>
  <c r="I110" i="68" s="1"/>
  <c r="A1" i="43"/>
  <c r="A1" i="33"/>
  <c r="J119" i="68" l="1" a="1"/>
  <c r="J119" i="68" s="1"/>
  <c r="J116" i="68" a="1"/>
  <c r="J116" i="68" s="1"/>
  <c r="J117" i="68" a="1"/>
  <c r="J117" i="68" s="1"/>
  <c r="J120" i="68" a="1"/>
  <c r="J120" i="68" s="1"/>
  <c r="J114" i="68" a="1"/>
  <c r="J114" i="68" s="1"/>
  <c r="J115" i="68" a="1"/>
  <c r="J115" i="68" s="1"/>
  <c r="J121" i="68" a="1"/>
  <c r="J121" i="68" s="1"/>
  <c r="J118" i="68" a="1"/>
  <c r="J118" i="68" s="1"/>
  <c r="I119" i="68" a="1"/>
  <c r="I119" i="68" s="1"/>
  <c r="I116" i="68" a="1"/>
  <c r="I116" i="68" s="1"/>
  <c r="I118" i="68" a="1"/>
  <c r="I118" i="68" s="1"/>
  <c r="I120" i="68" a="1"/>
  <c r="I120" i="68" s="1"/>
  <c r="I114" i="68" a="1"/>
  <c r="I114" i="68" s="1"/>
  <c r="I121" i="68" a="1"/>
  <c r="I121" i="68" s="1"/>
  <c r="I115" i="68" a="1"/>
  <c r="I115" i="68" s="1"/>
  <c r="I117" i="68" a="1"/>
  <c r="I117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1" i="73" a="1"/>
  <c r="W31" i="73" s="1"/>
  <c r="Q31" i="82" a="1"/>
  <c r="Q31" i="82" s="1"/>
  <c r="AF31" i="82" a="1"/>
  <c r="AF31" i="82" s="1"/>
  <c r="AD31" i="73" a="1"/>
  <c r="AD31" i="73" s="1"/>
  <c r="W31" i="82" a="1"/>
  <c r="W31" i="82" s="1"/>
  <c r="Y31" i="82" a="1"/>
  <c r="Y31" i="82" s="1"/>
  <c r="AF31" i="73" a="1"/>
  <c r="AF31" i="73" s="1"/>
  <c r="AB31" i="73" a="1"/>
  <c r="AB31" i="73" s="1"/>
  <c r="S31" i="73" a="1"/>
  <c r="S31" i="73" s="1"/>
  <c r="AC31" i="73" a="1"/>
  <c r="AC31" i="73" s="1"/>
  <c r="L31" i="73" a="1"/>
  <c r="L31" i="73" s="1"/>
  <c r="AC31" i="82" a="1"/>
  <c r="AC31" i="82" s="1"/>
  <c r="X31" i="82" a="1"/>
  <c r="X31" i="82" s="1"/>
  <c r="T31" i="82" a="1"/>
  <c r="T31" i="82" s="1"/>
  <c r="X31" i="73" a="1"/>
  <c r="X31" i="73" s="1"/>
  <c r="AG31" i="82" a="1"/>
  <c r="AG31" i="82" s="1"/>
  <c r="P31" i="82" a="1"/>
  <c r="P31" i="82" s="1"/>
  <c r="I31" i="73" a="1"/>
  <c r="I31" i="73" s="1"/>
  <c r="O31" i="82" a="1"/>
  <c r="O31" i="82" s="1"/>
  <c r="L31" i="82" a="1"/>
  <c r="L31" i="82" s="1"/>
  <c r="R31" i="73" a="1"/>
  <c r="R31" i="73" s="1"/>
  <c r="I31" i="82" a="1"/>
  <c r="I31" i="82" s="1"/>
  <c r="AB31" i="82" a="1"/>
  <c r="AB31" i="82" s="1"/>
  <c r="AE31" i="73" a="1"/>
  <c r="AE31" i="73" s="1"/>
  <c r="Q31" i="73" a="1"/>
  <c r="Q31" i="73" s="1"/>
  <c r="O31" i="73" a="1"/>
  <c r="O31" i="73" s="1"/>
  <c r="J31" i="82" a="1"/>
  <c r="J31" i="82" s="1"/>
  <c r="AG31" i="73" a="1"/>
  <c r="AG31" i="73" s="1"/>
  <c r="Y31" i="73" a="1"/>
  <c r="Y31" i="73" s="1"/>
  <c r="Z31" i="73" a="1"/>
  <c r="Z31" i="73" s="1"/>
  <c r="M31" i="73" a="1"/>
  <c r="M31" i="73" s="1"/>
  <c r="U31" i="82" a="1"/>
  <c r="U31" i="82" s="1"/>
  <c r="AA31" i="73" a="1"/>
  <c r="AA31" i="73" s="1"/>
  <c r="N31" i="82" a="1"/>
  <c r="N31" i="82" s="1"/>
  <c r="AE31" i="82" a="1"/>
  <c r="AE31" i="82" s="1"/>
  <c r="V31" i="82" a="1"/>
  <c r="V31" i="82" s="1"/>
  <c r="AA31" i="82" a="1"/>
  <c r="AA31" i="82" s="1"/>
  <c r="M31" i="82" a="1"/>
  <c r="M31" i="82" s="1"/>
  <c r="P31" i="73" a="1"/>
  <c r="P31" i="73" s="1"/>
  <c r="AD31" i="82" a="1"/>
  <c r="AD31" i="82" s="1"/>
  <c r="K31" i="82" a="1"/>
  <c r="K31" i="82" s="1"/>
  <c r="U31" i="73" a="1"/>
  <c r="U31" i="73" s="1"/>
  <c r="Z31" i="82" a="1"/>
  <c r="Z31" i="82" s="1"/>
  <c r="T31" i="73" a="1"/>
  <c r="T31" i="73" s="1"/>
  <c r="S31" i="82" a="1"/>
  <c r="S31" i="82" s="1"/>
  <c r="J31" i="73" a="1"/>
  <c r="J31" i="73" s="1"/>
  <c r="R31" i="82" a="1"/>
  <c r="R31" i="82" s="1"/>
  <c r="N31" i="73" a="1"/>
  <c r="N31" i="73" s="1"/>
  <c r="V31" i="73" a="1"/>
  <c r="V31" i="73" s="1"/>
  <c r="K31" i="73" a="1"/>
  <c r="K31" i="73" s="1"/>
  <c r="E29" i="73"/>
  <c r="E29" i="81"/>
  <c r="E29" i="72"/>
  <c r="E29" i="68"/>
  <c r="E29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9" i="82"/>
  <c r="AG29" i="82"/>
  <c r="M29" i="82"/>
  <c r="AF29" i="82"/>
  <c r="L29" i="82"/>
  <c r="AE29" i="82"/>
  <c r="K29" i="82"/>
  <c r="AD29" i="82"/>
  <c r="J29" i="82"/>
  <c r="AC29" i="82"/>
  <c r="I29" i="82"/>
  <c r="AB29" i="82"/>
  <c r="AA29" i="82"/>
  <c r="Z29" i="82"/>
  <c r="Y29" i="82"/>
  <c r="X29" i="82"/>
  <c r="W29" i="82"/>
  <c r="V29" i="82"/>
  <c r="U29" i="82"/>
  <c r="T29" i="82"/>
  <c r="S29" i="82"/>
  <c r="R29" i="82"/>
  <c r="Q29" i="82"/>
  <c r="P29" i="82"/>
  <c r="O29" i="82"/>
  <c r="AC29" i="68"/>
  <c r="AC99" i="75" s="1"/>
  <c r="J29" i="68"/>
  <c r="J99" i="75" s="1"/>
  <c r="AD29" i="68"/>
  <c r="AD99" i="75" s="1"/>
  <c r="K29" i="68"/>
  <c r="K99" i="75" s="1"/>
  <c r="AE29" i="68"/>
  <c r="AF29" i="68"/>
  <c r="L29" i="68"/>
  <c r="L99" i="75" s="1"/>
  <c r="I29" i="68"/>
  <c r="N29" i="68"/>
  <c r="N99" i="75" s="1"/>
  <c r="M29" i="68"/>
  <c r="M99" i="75" s="1"/>
  <c r="AG29" i="68"/>
  <c r="P29" i="68"/>
  <c r="P99" i="75" s="1"/>
  <c r="Q29" i="68"/>
  <c r="Q99" i="75" s="1"/>
  <c r="R29" i="68"/>
  <c r="R99" i="75" s="1"/>
  <c r="V29" i="68"/>
  <c r="V99" i="75" s="1"/>
  <c r="S29" i="68"/>
  <c r="S99" i="75" s="1"/>
  <c r="X29" i="68"/>
  <c r="X99" i="75" s="1"/>
  <c r="AB29" i="68"/>
  <c r="AB99" i="75" s="1"/>
  <c r="Y29" i="68"/>
  <c r="Y99" i="75" s="1"/>
  <c r="T29" i="68"/>
  <c r="T99" i="75" s="1"/>
  <c r="U29" i="68"/>
  <c r="U99" i="75" s="1"/>
  <c r="Z29" i="68"/>
  <c r="Z99" i="75" s="1"/>
  <c r="AA29" i="68"/>
  <c r="O29" i="68"/>
  <c r="W29" i="68"/>
  <c r="W99" i="75" s="1"/>
  <c r="X29" i="72"/>
  <c r="W29" i="72"/>
  <c r="U29" i="72"/>
  <c r="AD29" i="72"/>
  <c r="V29" i="72"/>
  <c r="O29" i="72"/>
  <c r="K29" i="72"/>
  <c r="T29" i="72"/>
  <c r="S29" i="72"/>
  <c r="Q29" i="72"/>
  <c r="P29" i="72"/>
  <c r="J29" i="72"/>
  <c r="N29" i="72"/>
  <c r="AG29" i="72"/>
  <c r="AF29" i="72"/>
  <c r="L29" i="72"/>
  <c r="AC29" i="72"/>
  <c r="I29" i="72"/>
  <c r="R29" i="72"/>
  <c r="AB29" i="72"/>
  <c r="AE29" i="72"/>
  <c r="AA29" i="72"/>
  <c r="Z29" i="72"/>
  <c r="Y29" i="72"/>
  <c r="M29" i="72"/>
  <c r="AC29" i="81"/>
  <c r="I29" i="81"/>
  <c r="AB29" i="81"/>
  <c r="Z29" i="81"/>
  <c r="T29" i="81"/>
  <c r="AA29" i="81"/>
  <c r="P29" i="81"/>
  <c r="Y29" i="81"/>
  <c r="X29" i="81"/>
  <c r="V29" i="81"/>
  <c r="U29" i="81"/>
  <c r="S29" i="81"/>
  <c r="Q29" i="81"/>
  <c r="N29" i="81"/>
  <c r="AG29" i="81"/>
  <c r="M29" i="81"/>
  <c r="O29" i="81"/>
  <c r="AF29" i="81"/>
  <c r="L29" i="81"/>
  <c r="AD29" i="81"/>
  <c r="AE29" i="81"/>
  <c r="K29" i="81"/>
  <c r="J29" i="81"/>
  <c r="W29" i="81"/>
  <c r="R29" i="81"/>
  <c r="S29" i="73"/>
  <c r="R29" i="73"/>
  <c r="AG29" i="73"/>
  <c r="Q29" i="73"/>
  <c r="P29" i="73"/>
  <c r="M29" i="73"/>
  <c r="O29" i="73"/>
  <c r="N29" i="73"/>
  <c r="AF29" i="73"/>
  <c r="L29" i="73"/>
  <c r="AE29" i="73"/>
  <c r="K29" i="73"/>
  <c r="AD29" i="73"/>
  <c r="J29" i="73"/>
  <c r="AC29" i="73"/>
  <c r="I29" i="73"/>
  <c r="AB29" i="73"/>
  <c r="AA29" i="73"/>
  <c r="Z29" i="73"/>
  <c r="Y29" i="73"/>
  <c r="X29" i="73"/>
  <c r="W29" i="73"/>
  <c r="V29" i="73"/>
  <c r="U29" i="73"/>
  <c r="T29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9" i="82"/>
  <c r="AA99" i="75"/>
  <c r="O99" i="75"/>
  <c r="I99" i="75"/>
  <c r="F29" i="68"/>
  <c r="F29" i="72"/>
  <c r="F29" i="81"/>
  <c r="F29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7" i="72"/>
  <c r="L44" i="75" s="1"/>
  <c r="L42" i="75"/>
  <c r="T37" i="81"/>
  <c r="T30" i="75" s="1"/>
  <c r="T28" i="75"/>
  <c r="AG37" i="81"/>
  <c r="AG30" i="75" s="1"/>
  <c r="AG28" i="75"/>
  <c r="N37" i="72"/>
  <c r="N44" i="75" s="1"/>
  <c r="N42" i="75"/>
  <c r="I37" i="68"/>
  <c r="I14" i="75"/>
  <c r="R37" i="82"/>
  <c r="R72" i="75" s="1"/>
  <c r="R70" i="75"/>
  <c r="L37" i="68"/>
  <c r="L14" i="75"/>
  <c r="AF37" i="73"/>
  <c r="AF58" i="75" s="1"/>
  <c r="AF56" i="75"/>
  <c r="AF37" i="81"/>
  <c r="AF30" i="75" s="1"/>
  <c r="AF28" i="75"/>
  <c r="Z37" i="81"/>
  <c r="Z30" i="75" s="1"/>
  <c r="Z28" i="75"/>
  <c r="Q37" i="72"/>
  <c r="Q44" i="75" s="1"/>
  <c r="Q42" i="75"/>
  <c r="Z37" i="68"/>
  <c r="Z14" i="75"/>
  <c r="I37" i="82"/>
  <c r="I72" i="75" s="1"/>
  <c r="I70" i="75"/>
  <c r="X37" i="73"/>
  <c r="X58" i="75" s="1"/>
  <c r="X56" i="75"/>
  <c r="K37" i="81"/>
  <c r="K30" i="75" s="1"/>
  <c r="K28" i="75"/>
  <c r="AE37" i="72"/>
  <c r="AE44" i="75" s="1"/>
  <c r="AE42" i="75"/>
  <c r="K37" i="72"/>
  <c r="K44" i="75" s="1"/>
  <c r="K42" i="75"/>
  <c r="N37" i="68"/>
  <c r="N14" i="75"/>
  <c r="AA37" i="82"/>
  <c r="AA72" i="75" s="1"/>
  <c r="AA70" i="75"/>
  <c r="O37" i="73"/>
  <c r="O58" i="75" s="1"/>
  <c r="O56" i="75"/>
  <c r="Q37" i="81"/>
  <c r="Q30" i="75" s="1"/>
  <c r="Q28" i="75"/>
  <c r="J37" i="72"/>
  <c r="J44" i="75" s="1"/>
  <c r="J42" i="75"/>
  <c r="R37" i="72"/>
  <c r="R44" i="75" s="1"/>
  <c r="R42" i="75"/>
  <c r="AG37" i="68"/>
  <c r="AG14" i="75"/>
  <c r="J37" i="82"/>
  <c r="J70" i="75"/>
  <c r="AD37" i="68"/>
  <c r="AD14" i="75"/>
  <c r="AB37" i="82"/>
  <c r="AB72" i="75" s="1"/>
  <c r="AB70" i="75"/>
  <c r="AE37" i="73"/>
  <c r="AE58" i="75" s="1"/>
  <c r="AE56" i="75"/>
  <c r="U37" i="81"/>
  <c r="U30" i="75" s="1"/>
  <c r="U28" i="75"/>
  <c r="V37" i="72"/>
  <c r="V44" i="75" s="1"/>
  <c r="V42" i="75"/>
  <c r="AD37" i="72"/>
  <c r="AD44" i="75" s="1"/>
  <c r="AD42" i="75"/>
  <c r="V37" i="73"/>
  <c r="V58" i="75" s="1"/>
  <c r="V56" i="75"/>
  <c r="R37" i="81"/>
  <c r="R30" i="75" s="1"/>
  <c r="R28" i="75"/>
  <c r="M37" i="72"/>
  <c r="M44" i="75" s="1"/>
  <c r="M42" i="75"/>
  <c r="T37" i="72"/>
  <c r="T44" i="75" s="1"/>
  <c r="T42" i="75"/>
  <c r="Y37" i="68"/>
  <c r="Y14" i="75"/>
  <c r="U37" i="82"/>
  <c r="U72" i="75" s="1"/>
  <c r="U70" i="75"/>
  <c r="AB37" i="73"/>
  <c r="AB58" i="75" s="1"/>
  <c r="AB56" i="75"/>
  <c r="N37" i="81"/>
  <c r="N30" i="75" s="1"/>
  <c r="N28" i="75"/>
  <c r="AC37" i="72"/>
  <c r="AC44" i="75" s="1"/>
  <c r="AC42" i="75"/>
  <c r="Y37" i="72"/>
  <c r="Y44" i="75" s="1"/>
  <c r="Y42" i="75"/>
  <c r="O37" i="68"/>
  <c r="O14" i="75"/>
  <c r="P37" i="82"/>
  <c r="P72" i="75" s="1"/>
  <c r="P70" i="75"/>
  <c r="S37" i="73"/>
  <c r="S58" i="75" s="1"/>
  <c r="S56" i="75"/>
  <c r="X37" i="81"/>
  <c r="X30" i="75" s="1"/>
  <c r="X28" i="75"/>
  <c r="AG37" i="72"/>
  <c r="AG44" i="75" s="1"/>
  <c r="AG42" i="75"/>
  <c r="AA37" i="68"/>
  <c r="AA14" i="75"/>
  <c r="AE37" i="82"/>
  <c r="AE72" i="75" s="1"/>
  <c r="AE70" i="75"/>
  <c r="T37" i="73"/>
  <c r="T58" i="75" s="1"/>
  <c r="T56" i="75"/>
  <c r="J37" i="81"/>
  <c r="J30" i="75" s="1"/>
  <c r="J28" i="75"/>
  <c r="AB37" i="72"/>
  <c r="AB44" i="75" s="1"/>
  <c r="AB42" i="75"/>
  <c r="M37" i="68"/>
  <c r="M14" i="75"/>
  <c r="X37" i="68"/>
  <c r="X14" i="75"/>
  <c r="T37" i="82"/>
  <c r="T72" i="75" s="1"/>
  <c r="T70" i="75"/>
  <c r="AF37" i="82"/>
  <c r="AF72" i="75" s="1"/>
  <c r="AF70" i="75"/>
  <c r="AB37" i="81"/>
  <c r="AB30" i="75" s="1"/>
  <c r="AB28" i="75"/>
  <c r="AF37" i="68"/>
  <c r="AF14" i="75"/>
  <c r="Y37" i="73"/>
  <c r="Y58" i="75" s="1"/>
  <c r="Y56" i="75"/>
  <c r="Q37" i="73"/>
  <c r="Q58" i="75" s="1"/>
  <c r="Q56" i="75"/>
  <c r="P37" i="81"/>
  <c r="P30" i="75" s="1"/>
  <c r="P28" i="75"/>
  <c r="O37" i="72"/>
  <c r="O44" i="75" s="1"/>
  <c r="O42" i="75"/>
  <c r="W37" i="68"/>
  <c r="W14" i="75"/>
  <c r="T37" i="68"/>
  <c r="T14" i="75"/>
  <c r="M37" i="82"/>
  <c r="M72" i="75" s="1"/>
  <c r="M70" i="75"/>
  <c r="K37" i="73"/>
  <c r="K58" i="75" s="1"/>
  <c r="K56" i="75"/>
  <c r="R37" i="73"/>
  <c r="R58" i="75" s="1"/>
  <c r="R56" i="75"/>
  <c r="M37" i="81"/>
  <c r="M30" i="75" s="1"/>
  <c r="M28" i="75"/>
  <c r="P37" i="72"/>
  <c r="P44" i="75" s="1"/>
  <c r="P42" i="75"/>
  <c r="V37" i="68"/>
  <c r="V14" i="75"/>
  <c r="Q37" i="68"/>
  <c r="Q14" i="75"/>
  <c r="L37" i="82"/>
  <c r="L72" i="75" s="1"/>
  <c r="L70" i="75"/>
  <c r="U37" i="73"/>
  <c r="U58" i="75" s="1"/>
  <c r="U56" i="75"/>
  <c r="I37" i="81"/>
  <c r="I30" i="75" s="1"/>
  <c r="I28" i="75"/>
  <c r="AA37" i="72"/>
  <c r="AA44" i="75" s="1"/>
  <c r="AA42" i="75"/>
  <c r="U37" i="68"/>
  <c r="U14" i="75"/>
  <c r="K37" i="68"/>
  <c r="K14" i="75"/>
  <c r="O37" i="82"/>
  <c r="O72" i="75" s="1"/>
  <c r="O70" i="75"/>
  <c r="I37" i="73"/>
  <c r="I58" i="75" s="1"/>
  <c r="I56" i="75"/>
  <c r="J37" i="73"/>
  <c r="J58" i="75" s="1"/>
  <c r="J56" i="75"/>
  <c r="O37" i="81"/>
  <c r="O30" i="75" s="1"/>
  <c r="O28" i="75"/>
  <c r="X37" i="72"/>
  <c r="X44" i="75" s="1"/>
  <c r="X42" i="75"/>
  <c r="P37" i="68"/>
  <c r="P14" i="75"/>
  <c r="AG37" i="82"/>
  <c r="AG72" i="75" s="1"/>
  <c r="AG70" i="75"/>
  <c r="P37" i="73"/>
  <c r="P58" i="75" s="1"/>
  <c r="P56" i="75"/>
  <c r="AD37" i="73"/>
  <c r="AD58" i="75" s="1"/>
  <c r="AD56" i="75"/>
  <c r="Y37" i="81"/>
  <c r="Y30" i="75" s="1"/>
  <c r="Y28" i="75"/>
  <c r="U37" i="72"/>
  <c r="U44" i="75" s="1"/>
  <c r="U42" i="75"/>
  <c r="R37" i="68"/>
  <c r="R14" i="75"/>
  <c r="N37" i="82"/>
  <c r="N72" i="75" s="1"/>
  <c r="N70" i="75"/>
  <c r="K37" i="82"/>
  <c r="K72" i="75" s="1"/>
  <c r="K70" i="75"/>
  <c r="AC37" i="68"/>
  <c r="AC14" i="75"/>
  <c r="AC37" i="82"/>
  <c r="AC72" i="75" s="1"/>
  <c r="AC70" i="75"/>
  <c r="N37" i="73"/>
  <c r="N58" i="75" s="1"/>
  <c r="N56" i="75"/>
  <c r="W37" i="81"/>
  <c r="W30" i="75" s="1"/>
  <c r="W28" i="75"/>
  <c r="S37" i="81"/>
  <c r="S30" i="75" s="1"/>
  <c r="S28" i="75"/>
  <c r="W37" i="72"/>
  <c r="W44" i="75" s="1"/>
  <c r="W42" i="75"/>
  <c r="J37" i="68"/>
  <c r="J14" i="75"/>
  <c r="X37" i="82"/>
  <c r="X72" i="75" s="1"/>
  <c r="X70" i="75"/>
  <c r="Y37" i="82"/>
  <c r="Y72" i="75" s="1"/>
  <c r="Y70" i="75"/>
  <c r="L37" i="73"/>
  <c r="L58" i="75" s="1"/>
  <c r="L56" i="75"/>
  <c r="AC37" i="73"/>
  <c r="AC58" i="75" s="1"/>
  <c r="AC56" i="75"/>
  <c r="AG37" i="73"/>
  <c r="AG58" i="75" s="1"/>
  <c r="AG56" i="75"/>
  <c r="Z37" i="73"/>
  <c r="Z58" i="75" s="1"/>
  <c r="Z56" i="75"/>
  <c r="AA37" i="81"/>
  <c r="AA30" i="75" s="1"/>
  <c r="AA28" i="75"/>
  <c r="Z37" i="72"/>
  <c r="Z44" i="75" s="1"/>
  <c r="Z42" i="75"/>
  <c r="S37" i="68"/>
  <c r="S14" i="75"/>
  <c r="Z37" i="82"/>
  <c r="Z72" i="75" s="1"/>
  <c r="Z70" i="75"/>
  <c r="V37" i="82"/>
  <c r="V72" i="75" s="1"/>
  <c r="V70" i="75"/>
  <c r="AA37" i="73"/>
  <c r="AA58" i="75" s="1"/>
  <c r="AA56" i="75"/>
  <c r="AE37" i="81"/>
  <c r="AE30" i="75" s="1"/>
  <c r="AE28" i="75"/>
  <c r="AD37" i="81"/>
  <c r="AD30" i="75" s="1"/>
  <c r="AD28" i="75"/>
  <c r="AF37" i="72"/>
  <c r="AF44" i="75" s="1"/>
  <c r="AF42" i="75"/>
  <c r="AB37" i="68"/>
  <c r="AB14" i="75"/>
  <c r="Q37" i="82"/>
  <c r="Q72" i="75" s="1"/>
  <c r="Q70" i="75"/>
  <c r="AD37" i="82"/>
  <c r="AD72" i="75" s="1"/>
  <c r="AD70" i="75"/>
  <c r="I37" i="72"/>
  <c r="I44" i="75" s="1"/>
  <c r="I42" i="75"/>
  <c r="W37" i="73"/>
  <c r="W58" i="75" s="1"/>
  <c r="W56" i="75"/>
  <c r="L37" i="81"/>
  <c r="L30" i="75" s="1"/>
  <c r="L28" i="75"/>
  <c r="M37" i="73"/>
  <c r="M58" i="75" s="1"/>
  <c r="M56" i="75"/>
  <c r="AC37" i="81"/>
  <c r="AC30" i="75" s="1"/>
  <c r="AC28" i="75"/>
  <c r="V37" i="81"/>
  <c r="V30" i="75" s="1"/>
  <c r="V28" i="75"/>
  <c r="S37" i="72"/>
  <c r="S44" i="75" s="1"/>
  <c r="S42" i="75"/>
  <c r="AE37" i="68"/>
  <c r="AE14" i="75"/>
  <c r="S37" i="82"/>
  <c r="S72" i="75" s="1"/>
  <c r="S70" i="75"/>
  <c r="W37" i="82"/>
  <c r="W72" i="75" s="1"/>
  <c r="W70" i="75"/>
  <c r="D99" i="75" l="1"/>
  <c r="C90" i="85"/>
  <c r="F67" i="33" s="1"/>
  <c r="F30" i="75" a="1"/>
  <c r="F30" i="75" s="1"/>
  <c r="AC65" i="82"/>
  <c r="AC88" i="82" s="1"/>
  <c r="AC112" i="82" s="1"/>
  <c r="AC65" i="81"/>
  <c r="AC88" i="81" s="1"/>
  <c r="AC112" i="81" s="1"/>
  <c r="AC65" i="72"/>
  <c r="AC88" i="72" s="1"/>
  <c r="AC112" i="72" s="1"/>
  <c r="AC65" i="73"/>
  <c r="AC88" i="73" s="1"/>
  <c r="AC112" i="73" s="1"/>
  <c r="AC16" i="75"/>
  <c r="P65" i="81"/>
  <c r="P65" i="72"/>
  <c r="P65" i="73"/>
  <c r="P65" i="82"/>
  <c r="P16" i="75"/>
  <c r="U65" i="73"/>
  <c r="U88" i="73" s="1"/>
  <c r="U112" i="73" s="1"/>
  <c r="U65" i="72"/>
  <c r="U88" i="72" s="1"/>
  <c r="U112" i="72" s="1"/>
  <c r="U65" i="82"/>
  <c r="U88" i="82" s="1"/>
  <c r="U112" i="82" s="1"/>
  <c r="U65" i="81"/>
  <c r="U88" i="81" s="1"/>
  <c r="U112" i="81" s="1"/>
  <c r="U16" i="75"/>
  <c r="F42" i="75"/>
  <c r="J65" i="82"/>
  <c r="J72" i="75"/>
  <c r="F72" i="75" s="1"/>
  <c r="AE65" i="73"/>
  <c r="AE88" i="73" s="1"/>
  <c r="AE112" i="73" s="1"/>
  <c r="AE65" i="81"/>
  <c r="AE88" i="81" s="1"/>
  <c r="AE112" i="81" s="1"/>
  <c r="AE65" i="82"/>
  <c r="AE88" i="82" s="1"/>
  <c r="AE112" i="82" s="1"/>
  <c r="AE65" i="72"/>
  <c r="AE88" i="72" s="1"/>
  <c r="AE112" i="72" s="1"/>
  <c r="AE16" i="75"/>
  <c r="F44" i="75"/>
  <c r="F28" i="75"/>
  <c r="O65" i="81"/>
  <c r="O88" i="81" s="1"/>
  <c r="O112" i="81" s="1"/>
  <c r="O65" i="82"/>
  <c r="O65" i="72"/>
  <c r="O65" i="73"/>
  <c r="O16" i="75"/>
  <c r="J65" i="81"/>
  <c r="J88" i="81" s="1"/>
  <c r="J112" i="81" s="1"/>
  <c r="J65" i="73"/>
  <c r="J65" i="72"/>
  <c r="J16" i="75"/>
  <c r="S65" i="82"/>
  <c r="S88" i="82" s="1"/>
  <c r="S112" i="82" s="1"/>
  <c r="S65" i="72"/>
  <c r="S88" i="72" s="1"/>
  <c r="S112" i="72" s="1"/>
  <c r="S65" i="81"/>
  <c r="S88" i="81" s="1"/>
  <c r="S112" i="81" s="1"/>
  <c r="S65" i="73"/>
  <c r="S88" i="73" s="1"/>
  <c r="S112" i="73" s="1"/>
  <c r="S16" i="75"/>
  <c r="AG65" i="81"/>
  <c r="AG88" i="81" s="1"/>
  <c r="AG112" i="81" s="1"/>
  <c r="AG65" i="73"/>
  <c r="AG88" i="73" s="1"/>
  <c r="AG112" i="73" s="1"/>
  <c r="AG65" i="82"/>
  <c r="AG88" i="82" s="1"/>
  <c r="AG112" i="82" s="1"/>
  <c r="AG65" i="72"/>
  <c r="AG88" i="72" s="1"/>
  <c r="AG112" i="72" s="1"/>
  <c r="AG16" i="75"/>
  <c r="L65" i="81"/>
  <c r="L88" i="81" s="1"/>
  <c r="L112" i="81" s="1"/>
  <c r="L65" i="82"/>
  <c r="L65" i="72"/>
  <c r="L65" i="73"/>
  <c r="L16" i="75"/>
  <c r="AF65" i="81"/>
  <c r="AF88" i="81" s="1"/>
  <c r="AF112" i="81" s="1"/>
  <c r="AF65" i="73"/>
  <c r="AF88" i="73" s="1"/>
  <c r="AF112" i="73" s="1"/>
  <c r="AF65" i="82"/>
  <c r="AF88" i="82" s="1"/>
  <c r="AF112" i="82" s="1"/>
  <c r="AF65" i="72"/>
  <c r="AF88" i="72" s="1"/>
  <c r="AF112" i="72" s="1"/>
  <c r="AF16" i="75"/>
  <c r="R65" i="82"/>
  <c r="R88" i="82" s="1"/>
  <c r="R112" i="82" s="1"/>
  <c r="R65" i="73"/>
  <c r="R88" i="73" s="1"/>
  <c r="R112" i="73" s="1"/>
  <c r="R65" i="72"/>
  <c r="R88" i="72" s="1"/>
  <c r="R112" i="72" s="1"/>
  <c r="R65" i="81"/>
  <c r="R88" i="81" s="1"/>
  <c r="R112" i="81" s="1"/>
  <c r="R16" i="75"/>
  <c r="F56" i="75"/>
  <c r="F70" i="75"/>
  <c r="F14" i="75"/>
  <c r="AA65" i="82"/>
  <c r="AA88" i="82" s="1"/>
  <c r="AA112" i="82" s="1"/>
  <c r="AA65" i="72"/>
  <c r="AA88" i="72" s="1"/>
  <c r="AA112" i="72" s="1"/>
  <c r="AA65" i="73"/>
  <c r="AA88" i="73" s="1"/>
  <c r="AA112" i="73" s="1"/>
  <c r="AA65" i="81"/>
  <c r="AA88" i="81" s="1"/>
  <c r="AA112" i="81" s="1"/>
  <c r="AA16" i="75"/>
  <c r="I65" i="72"/>
  <c r="I65" i="82"/>
  <c r="I65" i="73"/>
  <c r="I65" i="81"/>
  <c r="I88" i="81" s="1"/>
  <c r="I112" i="81" s="1"/>
  <c r="I16" i="75"/>
  <c r="K65" i="73"/>
  <c r="K65" i="72"/>
  <c r="K65" i="81"/>
  <c r="K88" i="81" s="1"/>
  <c r="K112" i="81" s="1"/>
  <c r="K65" i="82"/>
  <c r="K16" i="75"/>
  <c r="V65" i="81"/>
  <c r="V88" i="81" s="1"/>
  <c r="V112" i="81" s="1"/>
  <c r="V65" i="82"/>
  <c r="V88" i="82" s="1"/>
  <c r="V112" i="82" s="1"/>
  <c r="V65" i="73"/>
  <c r="V88" i="73" s="1"/>
  <c r="V112" i="73" s="1"/>
  <c r="V65" i="72"/>
  <c r="V88" i="72" s="1"/>
  <c r="V112" i="72" s="1"/>
  <c r="V16" i="75"/>
  <c r="W65" i="81"/>
  <c r="W88" i="81" s="1"/>
  <c r="W112" i="81" s="1"/>
  <c r="W65" i="82"/>
  <c r="W88" i="82" s="1"/>
  <c r="W112" i="82" s="1"/>
  <c r="W65" i="72"/>
  <c r="W88" i="72" s="1"/>
  <c r="W112" i="72" s="1"/>
  <c r="W65" i="73"/>
  <c r="W88" i="73" s="1"/>
  <c r="W112" i="73" s="1"/>
  <c r="W16" i="75"/>
  <c r="Z65" i="72"/>
  <c r="Z88" i="72" s="1"/>
  <c r="Z112" i="72" s="1"/>
  <c r="Z65" i="81"/>
  <c r="Z88" i="81" s="1"/>
  <c r="Z112" i="81" s="1"/>
  <c r="Z65" i="73"/>
  <c r="Z88" i="73" s="1"/>
  <c r="Z112" i="73" s="1"/>
  <c r="Z65" i="82"/>
  <c r="Z88" i="82" s="1"/>
  <c r="Z112" i="82" s="1"/>
  <c r="Z16" i="75"/>
  <c r="AB65" i="72"/>
  <c r="AB88" i="72" s="1"/>
  <c r="AB112" i="72" s="1"/>
  <c r="AB65" i="81"/>
  <c r="AB88" i="81" s="1"/>
  <c r="AB112" i="81" s="1"/>
  <c r="AB65" i="73"/>
  <c r="AB88" i="73" s="1"/>
  <c r="AB112" i="73" s="1"/>
  <c r="AB65" i="82"/>
  <c r="AB88" i="82" s="1"/>
  <c r="AB112" i="82" s="1"/>
  <c r="AB16" i="75"/>
  <c r="X65" i="72"/>
  <c r="X88" i="72" s="1"/>
  <c r="X112" i="72" s="1"/>
  <c r="X65" i="82"/>
  <c r="X88" i="82" s="1"/>
  <c r="X112" i="82" s="1"/>
  <c r="X65" i="81"/>
  <c r="X88" i="81" s="1"/>
  <c r="X112" i="81" s="1"/>
  <c r="X65" i="73"/>
  <c r="X88" i="73" s="1"/>
  <c r="X112" i="73" s="1"/>
  <c r="X16" i="75"/>
  <c r="Y65" i="73"/>
  <c r="Y88" i="73" s="1"/>
  <c r="Y112" i="73" s="1"/>
  <c r="Y65" i="82"/>
  <c r="Y88" i="82" s="1"/>
  <c r="Y112" i="82" s="1"/>
  <c r="Y65" i="81"/>
  <c r="Y88" i="81" s="1"/>
  <c r="Y112" i="81" s="1"/>
  <c r="Y65" i="72"/>
  <c r="Y88" i="72" s="1"/>
  <c r="Y112" i="72" s="1"/>
  <c r="Y16" i="75"/>
  <c r="N65" i="82"/>
  <c r="N65" i="73"/>
  <c r="N65" i="72"/>
  <c r="N65" i="81"/>
  <c r="N88" i="81" s="1"/>
  <c r="N112" i="81" s="1"/>
  <c r="N16" i="75"/>
  <c r="Q65" i="82"/>
  <c r="Q65" i="73"/>
  <c r="Q65" i="72"/>
  <c r="Q65" i="81"/>
  <c r="Q16" i="75"/>
  <c r="F58" i="75"/>
  <c r="T65" i="72"/>
  <c r="T88" i="72" s="1"/>
  <c r="T112" i="72" s="1"/>
  <c r="T65" i="73"/>
  <c r="T88" i="73" s="1"/>
  <c r="T112" i="73" s="1"/>
  <c r="T65" i="82"/>
  <c r="T88" i="82" s="1"/>
  <c r="T112" i="82" s="1"/>
  <c r="T65" i="81"/>
  <c r="T88" i="81" s="1"/>
  <c r="T112" i="81" s="1"/>
  <c r="T16" i="75"/>
  <c r="M65" i="82"/>
  <c r="M65" i="73"/>
  <c r="M65" i="72"/>
  <c r="M65" i="81"/>
  <c r="M88" i="81" s="1"/>
  <c r="M112" i="81" s="1"/>
  <c r="M16" i="75"/>
  <c r="AD65" i="81"/>
  <c r="AD88" i="81" s="1"/>
  <c r="AD112" i="81" s="1"/>
  <c r="AD65" i="73"/>
  <c r="AD88" i="73" s="1"/>
  <c r="AD112" i="73" s="1"/>
  <c r="AD65" i="72"/>
  <c r="AD88" i="72" s="1"/>
  <c r="AD112" i="72" s="1"/>
  <c r="AD65" i="82"/>
  <c r="AD88" i="82" s="1"/>
  <c r="AD112" i="82" s="1"/>
  <c r="AD16" i="75"/>
  <c r="C65" i="81"/>
  <c r="C65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8" i="73"/>
  <c r="Q112" i="73" s="1"/>
  <c r="K88" i="72"/>
  <c r="K112" i="72" s="1"/>
  <c r="I88" i="73"/>
  <c r="I112" i="73" s="1"/>
  <c r="P88" i="82"/>
  <c r="P112" i="82" s="1"/>
  <c r="L88" i="73"/>
  <c r="L112" i="73" s="1"/>
  <c r="M88" i="73"/>
  <c r="M112" i="73" s="1"/>
  <c r="P88" i="72"/>
  <c r="P112" i="72" s="1"/>
  <c r="Q88" i="72"/>
  <c r="Q112" i="72" s="1"/>
  <c r="J88" i="82"/>
  <c r="J112" i="82" s="1"/>
  <c r="Q88" i="82"/>
  <c r="Q112" i="82" s="1"/>
  <c r="J88" i="73"/>
  <c r="J112" i="73" s="1"/>
  <c r="I88" i="82"/>
  <c r="I112" i="82" s="1"/>
  <c r="M88" i="72"/>
  <c r="M112" i="72" s="1"/>
  <c r="O88" i="72"/>
  <c r="O112" i="72" s="1"/>
  <c r="L88" i="72"/>
  <c r="L112" i="72" s="1"/>
  <c r="O88" i="82"/>
  <c r="O112" i="82" s="1"/>
  <c r="M88" i="82"/>
  <c r="M112" i="82" s="1"/>
  <c r="P88" i="81"/>
  <c r="P112" i="81" s="1"/>
  <c r="K88" i="73"/>
  <c r="K112" i="73" s="1"/>
  <c r="J88" i="72"/>
  <c r="J112" i="72" s="1"/>
  <c r="N88" i="72"/>
  <c r="N112" i="72" s="1"/>
  <c r="N88" i="73"/>
  <c r="N112" i="73" s="1"/>
  <c r="N88" i="82"/>
  <c r="N112" i="82" s="1"/>
  <c r="I88" i="72"/>
  <c r="I112" i="72" s="1"/>
  <c r="O88" i="73"/>
  <c r="O112" i="73" s="1"/>
  <c r="P88" i="73"/>
  <c r="P112" i="73" s="1"/>
  <c r="L88" i="82"/>
  <c r="L112" i="82" s="1"/>
  <c r="Q88" i="81"/>
  <c r="Q112" i="81" s="1"/>
  <c r="K88" i="82"/>
  <c r="K112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91" i="72"/>
  <c r="AD110" i="72" s="1"/>
  <c r="AD48" i="75"/>
  <c r="AD50" i="75" s="1"/>
  <c r="AD40" i="85" s="1"/>
  <c r="Z91" i="72"/>
  <c r="Z110" i="72" s="1"/>
  <c r="Z48" i="75"/>
  <c r="Z50" i="75" s="1"/>
  <c r="Z40" i="85" s="1"/>
  <c r="AG91" i="81"/>
  <c r="AG110" i="81" s="1"/>
  <c r="AG34" i="75"/>
  <c r="AG36" i="75" s="1"/>
  <c r="AF12" i="85" s="1"/>
  <c r="AE91" i="81"/>
  <c r="AE110" i="81" s="1"/>
  <c r="AE34" i="75"/>
  <c r="AE36" i="75" s="1"/>
  <c r="AD12" i="85" s="1"/>
  <c r="AE91" i="73"/>
  <c r="AE110" i="73" s="1"/>
  <c r="AE62" i="75"/>
  <c r="AE64" i="75" s="1"/>
  <c r="S91" i="73"/>
  <c r="S110" i="73" s="1"/>
  <c r="S62" i="75"/>
  <c r="S64" i="75" s="1"/>
  <c r="R91" i="81"/>
  <c r="R110" i="81" s="1"/>
  <c r="R34" i="75"/>
  <c r="R36" i="75" s="1"/>
  <c r="AB91" i="81"/>
  <c r="AB110" i="81" s="1"/>
  <c r="AB34" i="75"/>
  <c r="AB36" i="75" s="1"/>
  <c r="AA12" i="85" s="1"/>
  <c r="R91" i="72"/>
  <c r="R110" i="72" s="1"/>
  <c r="R48" i="75"/>
  <c r="R50" i="75" s="1"/>
  <c r="R40" i="85" s="1"/>
  <c r="S91" i="81"/>
  <c r="S110" i="81" s="1"/>
  <c r="S34" i="75"/>
  <c r="S36" i="75" s="1"/>
  <c r="S91" i="72"/>
  <c r="S110" i="72" s="1"/>
  <c r="S48" i="75"/>
  <c r="S50" i="75" s="1"/>
  <c r="S40" i="85" s="1"/>
  <c r="AB91" i="82"/>
  <c r="AB110" i="82" s="1"/>
  <c r="AB76" i="75"/>
  <c r="AB78" i="75" s="1"/>
  <c r="AB91" i="72"/>
  <c r="AB110" i="72" s="1"/>
  <c r="AB48" i="75"/>
  <c r="AB50" i="75" s="1"/>
  <c r="AB40" i="85" s="1"/>
  <c r="R91" i="73"/>
  <c r="R110" i="73" s="1"/>
  <c r="R62" i="75"/>
  <c r="R64" i="75" s="1"/>
  <c r="AD91" i="82"/>
  <c r="AD110" i="82" s="1"/>
  <c r="AD76" i="75"/>
  <c r="AD78" i="75" s="1"/>
  <c r="R91" i="82"/>
  <c r="R110" i="82" s="1"/>
  <c r="R76" i="75"/>
  <c r="R78" i="75" s="1"/>
  <c r="S91" i="82"/>
  <c r="S110" i="82" s="1"/>
  <c r="S76" i="75"/>
  <c r="S78" i="75" s="1"/>
  <c r="U91" i="81"/>
  <c r="U110" i="81" s="1"/>
  <c r="U34" i="75"/>
  <c r="U36" i="75" s="1"/>
  <c r="Z91" i="82"/>
  <c r="Z110" i="82" s="1"/>
  <c r="Z76" i="75"/>
  <c r="Z78" i="75" s="1"/>
  <c r="AD91" i="73"/>
  <c r="AD110" i="73" s="1"/>
  <c r="AD62" i="75"/>
  <c r="AD64" i="75" s="1"/>
  <c r="Z91" i="73"/>
  <c r="Z110" i="73" s="1"/>
  <c r="Z62" i="75"/>
  <c r="Z64" i="75" s="1"/>
  <c r="AF91" i="72"/>
  <c r="AF110" i="72" s="1"/>
  <c r="AF48" i="75"/>
  <c r="AF50" i="75" s="1"/>
  <c r="AF40" i="85" s="1"/>
  <c r="U91" i="82"/>
  <c r="U110" i="82" s="1"/>
  <c r="U76" i="75"/>
  <c r="U78" i="75" s="1"/>
  <c r="Z91" i="81"/>
  <c r="Z110" i="81" s="1"/>
  <c r="Z34" i="75"/>
  <c r="Z36" i="75" s="1"/>
  <c r="AF91" i="82"/>
  <c r="AF110" i="82" s="1"/>
  <c r="AF76" i="75"/>
  <c r="AF78" i="75" s="1"/>
  <c r="U91" i="72"/>
  <c r="U110" i="72" s="1"/>
  <c r="U48" i="75"/>
  <c r="U50" i="75" s="1"/>
  <c r="U40" i="85" s="1"/>
  <c r="AF91" i="73"/>
  <c r="AF110" i="73" s="1"/>
  <c r="AF62" i="75"/>
  <c r="AF64" i="75" s="1"/>
  <c r="J91" i="81"/>
  <c r="J110" i="81" s="1"/>
  <c r="J34" i="75"/>
  <c r="J36" i="75" s="1"/>
  <c r="U91" i="73"/>
  <c r="U110" i="73" s="1"/>
  <c r="U62" i="75"/>
  <c r="U64" i="75" s="1"/>
  <c r="AF91" i="81"/>
  <c r="AF110" i="81" s="1"/>
  <c r="AF34" i="75"/>
  <c r="AF36" i="75" s="1"/>
  <c r="AE12" i="85" s="1"/>
  <c r="P91" i="72"/>
  <c r="P110" i="72" s="1"/>
  <c r="P48" i="75"/>
  <c r="P50" i="75" s="1"/>
  <c r="P40" i="85" s="1"/>
  <c r="W91" i="72"/>
  <c r="W110" i="72" s="1"/>
  <c r="W48" i="75"/>
  <c r="W50" i="75" s="1"/>
  <c r="W40" i="85" s="1"/>
  <c r="Y91" i="73"/>
  <c r="Y110" i="73" s="1"/>
  <c r="Y62" i="75"/>
  <c r="Y64" i="75" s="1"/>
  <c r="W91" i="81"/>
  <c r="W110" i="81" s="1"/>
  <c r="W34" i="75"/>
  <c r="W36" i="75" s="1"/>
  <c r="AA91" i="72"/>
  <c r="AA110" i="72" s="1"/>
  <c r="AA48" i="75"/>
  <c r="AA50" i="75" s="1"/>
  <c r="AA40" i="85" s="1"/>
  <c r="O91" i="81"/>
  <c r="O110" i="81" s="1"/>
  <c r="O34" i="75"/>
  <c r="O36" i="75" s="1"/>
  <c r="Y91" i="81"/>
  <c r="Y110" i="81" s="1"/>
  <c r="Y34" i="75"/>
  <c r="Y36" i="75" s="1"/>
  <c r="AA91" i="82"/>
  <c r="AA110" i="82" s="1"/>
  <c r="AA76" i="75"/>
  <c r="AA78" i="75" s="1"/>
  <c r="L91" i="81"/>
  <c r="L110" i="81" s="1"/>
  <c r="L34" i="75"/>
  <c r="L36" i="75" s="1"/>
  <c r="AB91" i="73"/>
  <c r="AB110" i="73" s="1"/>
  <c r="AB62" i="75"/>
  <c r="AB64" i="75" s="1"/>
  <c r="AD91" i="81"/>
  <c r="AD110" i="81" s="1"/>
  <c r="AD34" i="75"/>
  <c r="AD36" i="75" s="1"/>
  <c r="AC12" i="85" s="1"/>
  <c r="Y91" i="72"/>
  <c r="Y110" i="72" s="1"/>
  <c r="Y48" i="75"/>
  <c r="Y50" i="75" s="1"/>
  <c r="Y40" i="85" s="1"/>
  <c r="AC91" i="73"/>
  <c r="AC110" i="73" s="1"/>
  <c r="AC62" i="75"/>
  <c r="AC64" i="75" s="1"/>
  <c r="K91" i="81"/>
  <c r="K110" i="81" s="1"/>
  <c r="K34" i="75"/>
  <c r="K36" i="75" s="1"/>
  <c r="N91" i="81"/>
  <c r="N110" i="81" s="1"/>
  <c r="N34" i="75"/>
  <c r="N36" i="75" s="1"/>
  <c r="W91" i="73"/>
  <c r="W110" i="73" s="1"/>
  <c r="W62" i="75"/>
  <c r="W64" i="75" s="1"/>
  <c r="AA91" i="81"/>
  <c r="AA110" i="81" s="1"/>
  <c r="AA34" i="75"/>
  <c r="AA36" i="75" s="1"/>
  <c r="Z12" i="85" s="1"/>
  <c r="T91" i="82"/>
  <c r="T110" i="82" s="1"/>
  <c r="T76" i="75"/>
  <c r="T78" i="75" s="1"/>
  <c r="X91" i="81"/>
  <c r="X110" i="81" s="1"/>
  <c r="X34" i="75"/>
  <c r="X36" i="75" s="1"/>
  <c r="V91" i="73"/>
  <c r="V110" i="73" s="1"/>
  <c r="V62" i="75"/>
  <c r="V64" i="75" s="1"/>
  <c r="AG91" i="72"/>
  <c r="AG110" i="72" s="1"/>
  <c r="AG48" i="75"/>
  <c r="AG50" i="75" s="1"/>
  <c r="AG40" i="85" s="1"/>
  <c r="AC91" i="72"/>
  <c r="AC110" i="72" s="1"/>
  <c r="AC48" i="75"/>
  <c r="AC50" i="75" s="1"/>
  <c r="AC40" i="85" s="1"/>
  <c r="I91" i="81"/>
  <c r="I110" i="81" s="1"/>
  <c r="I34" i="75"/>
  <c r="M91" i="81"/>
  <c r="M110" i="81" s="1"/>
  <c r="M34" i="75"/>
  <c r="M36" i="75" s="1"/>
  <c r="Y91" i="82"/>
  <c r="Y110" i="82" s="1"/>
  <c r="Y76" i="75"/>
  <c r="Y78" i="75" s="1"/>
  <c r="X91" i="73"/>
  <c r="X110" i="73" s="1"/>
  <c r="X62" i="75"/>
  <c r="X64" i="75" s="1"/>
  <c r="T91" i="72"/>
  <c r="T110" i="72" s="1"/>
  <c r="T48" i="75"/>
  <c r="T50" i="75" s="1"/>
  <c r="T40" i="85" s="1"/>
  <c r="X91" i="82"/>
  <c r="X110" i="82" s="1"/>
  <c r="X76" i="75"/>
  <c r="X78" i="75" s="1"/>
  <c r="V91" i="82"/>
  <c r="V110" i="82" s="1"/>
  <c r="V76" i="75"/>
  <c r="V78" i="75" s="1"/>
  <c r="AG91" i="82"/>
  <c r="AG110" i="82" s="1"/>
  <c r="AG76" i="75"/>
  <c r="AG78" i="75" s="1"/>
  <c r="AE91" i="72"/>
  <c r="AE110" i="72" s="1"/>
  <c r="AE48" i="75"/>
  <c r="AE50" i="75" s="1"/>
  <c r="AE40" i="85" s="1"/>
  <c r="AC91" i="81"/>
  <c r="AC110" i="81" s="1"/>
  <c r="AC34" i="75"/>
  <c r="AC36" i="75" s="1"/>
  <c r="AB12" i="85" s="1"/>
  <c r="W91" i="82"/>
  <c r="W110" i="82" s="1"/>
  <c r="W76" i="75"/>
  <c r="W78" i="75" s="1"/>
  <c r="AA91" i="73"/>
  <c r="AA110" i="73" s="1"/>
  <c r="AA62" i="75"/>
  <c r="AA64" i="75" s="1"/>
  <c r="T91" i="81"/>
  <c r="T110" i="81" s="1"/>
  <c r="T34" i="75"/>
  <c r="T36" i="75" s="1"/>
  <c r="V91" i="72"/>
  <c r="V110" i="72" s="1"/>
  <c r="V48" i="75"/>
  <c r="V50" i="75" s="1"/>
  <c r="V40" i="85" s="1"/>
  <c r="T91" i="73"/>
  <c r="T110" i="73" s="1"/>
  <c r="T62" i="75"/>
  <c r="T64" i="75" s="1"/>
  <c r="X91" i="72"/>
  <c r="X110" i="72" s="1"/>
  <c r="X48" i="75"/>
  <c r="X50" i="75" s="1"/>
  <c r="X40" i="85" s="1"/>
  <c r="V91" i="81"/>
  <c r="V110" i="81" s="1"/>
  <c r="V34" i="75"/>
  <c r="V36" i="75" s="1"/>
  <c r="AG91" i="73"/>
  <c r="AG110" i="73" s="1"/>
  <c r="AG62" i="75"/>
  <c r="AG64" i="75" s="1"/>
  <c r="AE91" i="82"/>
  <c r="AE110" i="82" s="1"/>
  <c r="AE76" i="75"/>
  <c r="AE78" i="75" s="1"/>
  <c r="AC91" i="82"/>
  <c r="AC110" i="82" s="1"/>
  <c r="AC76" i="75"/>
  <c r="AC78" i="75" s="1"/>
  <c r="P34" i="75" l="1"/>
  <c r="P36" i="75" s="1"/>
  <c r="K48" i="75"/>
  <c r="P91" i="81"/>
  <c r="P110" i="81" s="1"/>
  <c r="P115" i="81" s="1" a="1"/>
  <c r="P115" i="81" s="1"/>
  <c r="K91" i="72"/>
  <c r="K110" i="72" s="1"/>
  <c r="K118" i="72" s="1" a="1"/>
  <c r="K118" i="72" s="1"/>
  <c r="J48" i="75"/>
  <c r="J50" i="75" s="1"/>
  <c r="J40" i="85" s="1"/>
  <c r="J91" i="72"/>
  <c r="J110" i="72" s="1"/>
  <c r="J119" i="72" s="1" a="1"/>
  <c r="J119" i="72" s="1"/>
  <c r="AB115" i="82" a="1"/>
  <c r="AB115" i="82" s="1"/>
  <c r="AB73" i="85" s="1"/>
  <c r="AB121" i="82" a="1"/>
  <c r="AB121" i="82" s="1"/>
  <c r="AB118" i="82" a="1"/>
  <c r="AB118" i="82" s="1"/>
  <c r="AB76" i="85" s="1"/>
  <c r="AB114" i="82" a="1"/>
  <c r="AB114" i="82" s="1"/>
  <c r="AB72" i="85" s="1"/>
  <c r="AB116" i="82" a="1"/>
  <c r="AB116" i="82" s="1"/>
  <c r="AB74" i="85" s="1"/>
  <c r="AB119" i="82" a="1"/>
  <c r="AB119" i="82" s="1"/>
  <c r="AB117" i="82" a="1"/>
  <c r="AB117" i="82" s="1"/>
  <c r="AB75" i="85" s="1"/>
  <c r="AB120" i="82" a="1"/>
  <c r="AB120" i="82" s="1"/>
  <c r="AB70" i="85"/>
  <c r="L76" i="75"/>
  <c r="L78" i="75" s="1"/>
  <c r="X116" i="82" a="1"/>
  <c r="X116" i="82" s="1"/>
  <c r="X74" i="85" s="1"/>
  <c r="X119" i="82" a="1"/>
  <c r="X119" i="82" s="1"/>
  <c r="X115" i="82" a="1"/>
  <c r="X115" i="82" s="1"/>
  <c r="X73" i="85" s="1"/>
  <c r="X121" i="82" a="1"/>
  <c r="X121" i="82" s="1"/>
  <c r="X118" i="82" a="1"/>
  <c r="X118" i="82" s="1"/>
  <c r="X76" i="85" s="1"/>
  <c r="X120" i="82" a="1"/>
  <c r="X120" i="82" s="1"/>
  <c r="X117" i="82" a="1"/>
  <c r="X117" i="82" s="1"/>
  <c r="X75" i="85" s="1"/>
  <c r="X114" i="82" a="1"/>
  <c r="X114" i="82" s="1"/>
  <c r="X72" i="85" s="1"/>
  <c r="X70" i="85"/>
  <c r="AA119" i="82" a="1"/>
  <c r="AA119" i="82" s="1"/>
  <c r="AA115" i="82" a="1"/>
  <c r="AA115" i="82" s="1"/>
  <c r="AA73" i="85" s="1"/>
  <c r="AA121" i="82" a="1"/>
  <c r="AA121" i="82" s="1"/>
  <c r="AA118" i="82" a="1"/>
  <c r="AA118" i="82" s="1"/>
  <c r="AA76" i="85" s="1"/>
  <c r="AA116" i="82" a="1"/>
  <c r="AA116" i="82" s="1"/>
  <c r="AA74" i="85" s="1"/>
  <c r="AA120" i="82" a="1"/>
  <c r="AA120" i="82" s="1"/>
  <c r="AA114" i="82" a="1"/>
  <c r="AA114" i="82" s="1"/>
  <c r="AA72" i="85" s="1"/>
  <c r="AA117" i="82" a="1"/>
  <c r="AA117" i="82" s="1"/>
  <c r="AA75" i="85" s="1"/>
  <c r="AA70" i="85"/>
  <c r="V117" i="72" a="1"/>
  <c r="V117" i="72" s="1"/>
  <c r="V114" i="72" a="1"/>
  <c r="V114" i="72" s="1"/>
  <c r="V120" i="72" a="1"/>
  <c r="V120" i="72" s="1"/>
  <c r="V116" i="72" a="1"/>
  <c r="V116" i="72" s="1"/>
  <c r="V119" i="72" a="1"/>
  <c r="V119" i="72" s="1"/>
  <c r="V121" i="72" a="1"/>
  <c r="V121" i="72" s="1"/>
  <c r="V118" i="72" a="1"/>
  <c r="V118" i="72" s="1"/>
  <c r="V115" i="72" a="1"/>
  <c r="V115" i="72" s="1"/>
  <c r="V42" i="85"/>
  <c r="U117" i="72" a="1"/>
  <c r="U117" i="72" s="1"/>
  <c r="U114" i="72" a="1"/>
  <c r="U114" i="72" s="1"/>
  <c r="U120" i="72" a="1"/>
  <c r="U120" i="72" s="1"/>
  <c r="U116" i="72" a="1"/>
  <c r="U116" i="72" s="1"/>
  <c r="U121" i="72" a="1"/>
  <c r="U121" i="72" s="1"/>
  <c r="U118" i="72" a="1"/>
  <c r="U118" i="72" s="1"/>
  <c r="U115" i="72" a="1"/>
  <c r="U115" i="72" s="1"/>
  <c r="U119" i="72" a="1"/>
  <c r="U119" i="72" s="1"/>
  <c r="U42" i="85"/>
  <c r="S117" i="82" a="1"/>
  <c r="S117" i="82" s="1"/>
  <c r="S75" i="85" s="1"/>
  <c r="S120" i="82" a="1"/>
  <c r="S120" i="82" s="1"/>
  <c r="S116" i="82" a="1"/>
  <c r="S116" i="82" s="1"/>
  <c r="S74" i="85" s="1"/>
  <c r="S119" i="82" a="1"/>
  <c r="S119" i="82" s="1"/>
  <c r="S118" i="82" a="1"/>
  <c r="S118" i="82" s="1"/>
  <c r="S76" i="85" s="1"/>
  <c r="S115" i="82" a="1"/>
  <c r="S115" i="82" s="1"/>
  <c r="S73" i="85" s="1"/>
  <c r="S121" i="82" a="1"/>
  <c r="S121" i="82" s="1"/>
  <c r="S114" i="82" a="1"/>
  <c r="S114" i="82" s="1"/>
  <c r="S72" i="85" s="1"/>
  <c r="S70" i="85"/>
  <c r="AD119" i="72" a="1"/>
  <c r="AD119" i="72" s="1"/>
  <c r="AD115" i="72" a="1"/>
  <c r="AD115" i="72" s="1"/>
  <c r="AD118" i="72" a="1"/>
  <c r="AD118" i="72" s="1"/>
  <c r="AD120" i="72" a="1"/>
  <c r="AD120" i="72" s="1"/>
  <c r="AD117" i="72" a="1"/>
  <c r="AD117" i="72" s="1"/>
  <c r="AD116" i="72" a="1"/>
  <c r="AD116" i="72" s="1"/>
  <c r="AD121" i="72" a="1"/>
  <c r="AD121" i="72" s="1"/>
  <c r="AD114" i="72" a="1"/>
  <c r="AD114" i="72" s="1"/>
  <c r="AD42" i="85"/>
  <c r="T121" i="72" a="1"/>
  <c r="T121" i="72" s="1"/>
  <c r="T117" i="72" a="1"/>
  <c r="T117" i="72" s="1"/>
  <c r="T114" i="72" a="1"/>
  <c r="T114" i="72" s="1"/>
  <c r="T120" i="72" a="1"/>
  <c r="T120" i="72" s="1"/>
  <c r="T116" i="72" a="1"/>
  <c r="T116" i="72" s="1"/>
  <c r="T118" i="72" a="1"/>
  <c r="T118" i="72" s="1"/>
  <c r="T115" i="72" a="1"/>
  <c r="T115" i="72" s="1"/>
  <c r="T119" i="72" a="1"/>
  <c r="T119" i="72" s="1"/>
  <c r="T42" i="85"/>
  <c r="AD120" i="73" a="1"/>
  <c r="AD120" i="73" s="1"/>
  <c r="AD115" i="73" a="1"/>
  <c r="AD115" i="73" s="1"/>
  <c r="AD59" i="85" s="1"/>
  <c r="AD117" i="73" a="1"/>
  <c r="AD117" i="73" s="1"/>
  <c r="AD61" i="85" s="1"/>
  <c r="AD119" i="73" a="1"/>
  <c r="AD119" i="73" s="1"/>
  <c r="AD114" i="73" a="1"/>
  <c r="AD114" i="73" s="1"/>
  <c r="AD58" i="85" s="1"/>
  <c r="AD121" i="73" a="1"/>
  <c r="AD121" i="73" s="1"/>
  <c r="AD118" i="73" a="1"/>
  <c r="AD118" i="73" s="1"/>
  <c r="AD62" i="85" s="1"/>
  <c r="AD116" i="73" a="1"/>
  <c r="AD116" i="73" s="1"/>
  <c r="AD60" i="85" s="1"/>
  <c r="AD56" i="85"/>
  <c r="L91" i="72"/>
  <c r="L110" i="72" s="1"/>
  <c r="AA117" i="73" a="1"/>
  <c r="AA117" i="73" s="1"/>
  <c r="AA61" i="85" s="1"/>
  <c r="AA116" i="73" a="1"/>
  <c r="AA116" i="73" s="1"/>
  <c r="AA60" i="85" s="1"/>
  <c r="AA120" i="73" a="1"/>
  <c r="AA120" i="73" s="1"/>
  <c r="AA118" i="73" a="1"/>
  <c r="AA118" i="73" s="1"/>
  <c r="AA62" i="85" s="1"/>
  <c r="AA121" i="73" a="1"/>
  <c r="AA121" i="73" s="1"/>
  <c r="AA114" i="73" a="1"/>
  <c r="AA114" i="73" s="1"/>
  <c r="AA58" i="85" s="1"/>
  <c r="AA119" i="73" a="1"/>
  <c r="AA119" i="73" s="1"/>
  <c r="AA115" i="73" a="1"/>
  <c r="AA115" i="73" s="1"/>
  <c r="AA59" i="85" s="1"/>
  <c r="AA56" i="85"/>
  <c r="Z116" i="72" a="1"/>
  <c r="Z116" i="72" s="1"/>
  <c r="Z119" i="72" a="1"/>
  <c r="Z119" i="72" s="1"/>
  <c r="Z115" i="72" a="1"/>
  <c r="Z115" i="72" s="1"/>
  <c r="Z121" i="72" a="1"/>
  <c r="Z121" i="72" s="1"/>
  <c r="Z118" i="72" a="1"/>
  <c r="Z118" i="72" s="1"/>
  <c r="Z114" i="72" a="1"/>
  <c r="Z114" i="72" s="1"/>
  <c r="Z120" i="72" a="1"/>
  <c r="Z120" i="72" s="1"/>
  <c r="Z117" i="72" a="1"/>
  <c r="Z117" i="72" s="1"/>
  <c r="Z42" i="85"/>
  <c r="L91" i="82"/>
  <c r="L110" i="82" s="1"/>
  <c r="AC120" i="73" a="1"/>
  <c r="AC120" i="73" s="1"/>
  <c r="AC115" i="73" a="1"/>
  <c r="AC115" i="73" s="1"/>
  <c r="AC59" i="85" s="1"/>
  <c r="AC117" i="73" a="1"/>
  <c r="AC117" i="73" s="1"/>
  <c r="AC61" i="85" s="1"/>
  <c r="AC119" i="73" a="1"/>
  <c r="AC119" i="73" s="1"/>
  <c r="AC114" i="73" a="1"/>
  <c r="AC114" i="73" s="1"/>
  <c r="AC58" i="85" s="1"/>
  <c r="AC121" i="73" a="1"/>
  <c r="AC121" i="73" s="1"/>
  <c r="AC116" i="73" a="1"/>
  <c r="AC116" i="73" s="1"/>
  <c r="AC60" i="85" s="1"/>
  <c r="AC118" i="73" a="1"/>
  <c r="AC118" i="73" s="1"/>
  <c r="AC62" i="85" s="1"/>
  <c r="AC56" i="85"/>
  <c r="R114" i="82" a="1"/>
  <c r="R114" i="82" s="1"/>
  <c r="R72" i="85" s="1"/>
  <c r="R120" i="82" a="1"/>
  <c r="R120" i="82" s="1"/>
  <c r="R117" i="82" a="1"/>
  <c r="R117" i="82" s="1"/>
  <c r="R75" i="85" s="1"/>
  <c r="R116" i="82" a="1"/>
  <c r="R116" i="82" s="1"/>
  <c r="R74" i="85" s="1"/>
  <c r="R119" i="82" a="1"/>
  <c r="R119" i="82" s="1"/>
  <c r="R118" i="82" a="1"/>
  <c r="R118" i="82" s="1"/>
  <c r="R76" i="85" s="1"/>
  <c r="R115" i="82" a="1"/>
  <c r="R115" i="82" s="1"/>
  <c r="R73" i="85" s="1"/>
  <c r="R121" i="82" a="1"/>
  <c r="R121" i="82" s="1"/>
  <c r="R70" i="85"/>
  <c r="AE119" i="72" a="1"/>
  <c r="AE119" i="72" s="1"/>
  <c r="AE118" i="72" a="1"/>
  <c r="AE118" i="72" s="1"/>
  <c r="AE121" i="72" a="1"/>
  <c r="AE121" i="72" s="1"/>
  <c r="AE117" i="72" a="1"/>
  <c r="AE117" i="72" s="1"/>
  <c r="AE114" i="72" a="1"/>
  <c r="AE114" i="72" s="1"/>
  <c r="AE115" i="72" a="1"/>
  <c r="AE115" i="72" s="1"/>
  <c r="AE116" i="72" a="1"/>
  <c r="AE116" i="72" s="1"/>
  <c r="AE120" i="72" a="1"/>
  <c r="AE120" i="72" s="1"/>
  <c r="AE42" i="85"/>
  <c r="S119" i="73" a="1"/>
  <c r="S119" i="73" s="1"/>
  <c r="S114" i="73" a="1"/>
  <c r="S114" i="73" s="1"/>
  <c r="S58" i="85" s="1"/>
  <c r="S116" i="73" a="1"/>
  <c r="S116" i="73" s="1"/>
  <c r="S60" i="85" s="1"/>
  <c r="S121" i="73" a="1"/>
  <c r="S121" i="73" s="1"/>
  <c r="S118" i="73" a="1"/>
  <c r="S118" i="73" s="1"/>
  <c r="S62" i="85" s="1"/>
  <c r="S120" i="73" a="1"/>
  <c r="S120" i="73" s="1"/>
  <c r="S115" i="73" a="1"/>
  <c r="S115" i="73" s="1"/>
  <c r="S59" i="85" s="1"/>
  <c r="S117" i="73" a="1"/>
  <c r="S117" i="73" s="1"/>
  <c r="S61" i="85" s="1"/>
  <c r="S56" i="85"/>
  <c r="X120" i="72" a="1"/>
  <c r="X120" i="72" s="1"/>
  <c r="X116" i="72" a="1"/>
  <c r="X116" i="72" s="1"/>
  <c r="X119" i="72" a="1"/>
  <c r="X119" i="72" s="1"/>
  <c r="X121" i="72" a="1"/>
  <c r="X121" i="72" s="1"/>
  <c r="X117" i="72" a="1"/>
  <c r="X117" i="72" s="1"/>
  <c r="X118" i="72" a="1"/>
  <c r="X118" i="72" s="1"/>
  <c r="X114" i="72" a="1"/>
  <c r="X114" i="72" s="1"/>
  <c r="X115" i="72" a="1"/>
  <c r="X115" i="72" s="1"/>
  <c r="X42" i="85"/>
  <c r="X121" i="73" a="1"/>
  <c r="X121" i="73" s="1"/>
  <c r="X120" i="73" a="1"/>
  <c r="X120" i="73" s="1"/>
  <c r="X115" i="73" a="1"/>
  <c r="X115" i="73" s="1"/>
  <c r="X59" i="85" s="1"/>
  <c r="X116" i="73" a="1"/>
  <c r="X116" i="73" s="1"/>
  <c r="X60" i="85" s="1"/>
  <c r="X114" i="73" a="1"/>
  <c r="X114" i="73" s="1"/>
  <c r="X58" i="85" s="1"/>
  <c r="X118" i="73" a="1"/>
  <c r="X118" i="73" s="1"/>
  <c r="X62" i="85" s="1"/>
  <c r="X119" i="73" a="1"/>
  <c r="X119" i="73" s="1"/>
  <c r="X117" i="73" a="1"/>
  <c r="X117" i="73" s="1"/>
  <c r="X61" i="85" s="1"/>
  <c r="X56" i="85"/>
  <c r="Y116" i="82" a="1"/>
  <c r="Y116" i="82" s="1"/>
  <c r="Y74" i="85" s="1"/>
  <c r="Y119" i="82" a="1"/>
  <c r="Y119" i="82" s="1"/>
  <c r="Y115" i="82" a="1"/>
  <c r="Y115" i="82" s="1"/>
  <c r="Y73" i="85" s="1"/>
  <c r="Y121" i="82" a="1"/>
  <c r="Y121" i="82" s="1"/>
  <c r="Y118" i="82" a="1"/>
  <c r="Y118" i="82" s="1"/>
  <c r="Y76" i="85" s="1"/>
  <c r="Y120" i="82" a="1"/>
  <c r="Y120" i="82" s="1"/>
  <c r="Y114" i="82" a="1"/>
  <c r="Y114" i="82" s="1"/>
  <c r="Y72" i="85" s="1"/>
  <c r="Y117" i="82" a="1"/>
  <c r="Y117" i="82" s="1"/>
  <c r="Y75" i="85" s="1"/>
  <c r="Y70" i="85"/>
  <c r="AF117" i="73" a="1"/>
  <c r="AF117" i="73" s="1"/>
  <c r="AF61" i="85" s="1"/>
  <c r="AF119" i="73" a="1"/>
  <c r="AF119" i="73" s="1"/>
  <c r="AF114" i="73" a="1"/>
  <c r="AF114" i="73" s="1"/>
  <c r="AF58" i="85" s="1"/>
  <c r="AF116" i="73" a="1"/>
  <c r="AF116" i="73" s="1"/>
  <c r="AF60" i="85" s="1"/>
  <c r="AF115" i="73" a="1"/>
  <c r="AF115" i="73" s="1"/>
  <c r="AF59" i="85" s="1"/>
  <c r="AF121" i="73" a="1"/>
  <c r="AF121" i="73" s="1"/>
  <c r="AF118" i="73" a="1"/>
  <c r="AF118" i="73" s="1"/>
  <c r="AF62" i="85" s="1"/>
  <c r="AF120" i="73" a="1"/>
  <c r="AF120" i="73" s="1"/>
  <c r="AF56" i="85"/>
  <c r="W119" i="82" a="1"/>
  <c r="W119" i="82" s="1"/>
  <c r="W115" i="82" a="1"/>
  <c r="W115" i="82" s="1"/>
  <c r="W73" i="85" s="1"/>
  <c r="W121" i="82" a="1"/>
  <c r="W121" i="82" s="1"/>
  <c r="W118" i="82" a="1"/>
  <c r="W118" i="82" s="1"/>
  <c r="W76" i="85" s="1"/>
  <c r="W120" i="82" a="1"/>
  <c r="W120" i="82" s="1"/>
  <c r="W116" i="82" a="1"/>
  <c r="W116" i="82" s="1"/>
  <c r="W74" i="85" s="1"/>
  <c r="W114" i="82" a="1"/>
  <c r="W114" i="82" s="1"/>
  <c r="W72" i="85" s="1"/>
  <c r="W117" i="82" a="1"/>
  <c r="W117" i="82" s="1"/>
  <c r="W75" i="85" s="1"/>
  <c r="W70" i="85"/>
  <c r="AC115" i="82" a="1"/>
  <c r="AC115" i="82" s="1"/>
  <c r="AC73" i="85" s="1"/>
  <c r="AC121" i="82" a="1"/>
  <c r="AC121" i="82" s="1"/>
  <c r="AC118" i="82" a="1"/>
  <c r="AC118" i="82" s="1"/>
  <c r="AC76" i="85" s="1"/>
  <c r="AC114" i="82" a="1"/>
  <c r="AC114" i="82" s="1"/>
  <c r="AC72" i="85" s="1"/>
  <c r="AC117" i="82" a="1"/>
  <c r="AC117" i="82" s="1"/>
  <c r="AC75" i="85" s="1"/>
  <c r="AC116" i="82" a="1"/>
  <c r="AC116" i="82" s="1"/>
  <c r="AC74" i="85" s="1"/>
  <c r="AC119" i="82" a="1"/>
  <c r="AC119" i="82" s="1"/>
  <c r="AC120" i="82" a="1"/>
  <c r="AC120" i="82" s="1"/>
  <c r="AC70" i="85"/>
  <c r="AE115" i="82" a="1"/>
  <c r="AE115" i="82" s="1"/>
  <c r="AE73" i="85" s="1"/>
  <c r="AE121" i="82" a="1"/>
  <c r="AE121" i="82" s="1"/>
  <c r="AE118" i="82" a="1"/>
  <c r="AE118" i="82" s="1"/>
  <c r="AE76" i="85" s="1"/>
  <c r="AE114" i="82" a="1"/>
  <c r="AE114" i="82" s="1"/>
  <c r="AE72" i="85" s="1"/>
  <c r="AE117" i="82" a="1"/>
  <c r="AE117" i="82" s="1"/>
  <c r="AE75" i="85" s="1"/>
  <c r="AE120" i="82" a="1"/>
  <c r="AE120" i="82" s="1"/>
  <c r="AE119" i="82" a="1"/>
  <c r="AE119" i="82" s="1"/>
  <c r="AE116" i="82" a="1"/>
  <c r="AE116" i="82" s="1"/>
  <c r="AE74" i="85" s="1"/>
  <c r="AE70" i="85"/>
  <c r="Y120" i="72" a="1"/>
  <c r="Y120" i="72" s="1"/>
  <c r="Y119" i="72" a="1"/>
  <c r="Y119" i="72" s="1"/>
  <c r="Y118" i="72" a="1"/>
  <c r="Y118" i="72" s="1"/>
  <c r="Y114" i="72" a="1"/>
  <c r="Y114" i="72" s="1"/>
  <c r="Y115" i="72" a="1"/>
  <c r="Y115" i="72" s="1"/>
  <c r="Y116" i="72" a="1"/>
  <c r="Y116" i="72" s="1"/>
  <c r="Y121" i="72" a="1"/>
  <c r="Y121" i="72" s="1"/>
  <c r="Y117" i="72" a="1"/>
  <c r="Y117" i="72" s="1"/>
  <c r="Y42" i="85"/>
  <c r="L48" i="75"/>
  <c r="L50" i="75" s="1"/>
  <c r="L40" i="85" s="1"/>
  <c r="R121" i="72" a="1"/>
  <c r="R121" i="72" s="1"/>
  <c r="R117" i="72" a="1"/>
  <c r="R117" i="72" s="1"/>
  <c r="R114" i="72" a="1"/>
  <c r="R114" i="72" s="1"/>
  <c r="R120" i="72" a="1"/>
  <c r="R120" i="72" s="1"/>
  <c r="R115" i="72" a="1"/>
  <c r="R115" i="72" s="1"/>
  <c r="R116" i="72" a="1"/>
  <c r="R116" i="72" s="1"/>
  <c r="R118" i="72" a="1"/>
  <c r="R118" i="72" s="1"/>
  <c r="R119" i="72" a="1"/>
  <c r="R119" i="72" s="1"/>
  <c r="R42" i="85"/>
  <c r="AA116" i="72" a="1"/>
  <c r="AA116" i="72" s="1"/>
  <c r="AA119" i="72" a="1"/>
  <c r="AA119" i="72" s="1"/>
  <c r="AA115" i="72" a="1"/>
  <c r="AA115" i="72" s="1"/>
  <c r="AA118" i="72" a="1"/>
  <c r="AA118" i="72" s="1"/>
  <c r="AA114" i="72" a="1"/>
  <c r="AA114" i="72" s="1"/>
  <c r="AA120" i="72" a="1"/>
  <c r="AA120" i="72" s="1"/>
  <c r="AA121" i="72" a="1"/>
  <c r="AA121" i="72" s="1"/>
  <c r="AA117" i="72" a="1"/>
  <c r="AA117" i="72" s="1"/>
  <c r="AA42" i="85"/>
  <c r="AG117" i="73" a="1"/>
  <c r="AG117" i="73" s="1"/>
  <c r="AG61" i="85" s="1"/>
  <c r="AG114" i="73" a="1"/>
  <c r="AG114" i="73" s="1"/>
  <c r="AG58" i="85" s="1"/>
  <c r="AG116" i="73" a="1"/>
  <c r="AG116" i="73" s="1"/>
  <c r="AG60" i="85" s="1"/>
  <c r="AG118" i="73" a="1"/>
  <c r="AG118" i="73" s="1"/>
  <c r="AG62" i="85" s="1"/>
  <c r="AG115" i="73" a="1"/>
  <c r="AG115" i="73" s="1"/>
  <c r="AG59" i="85" s="1"/>
  <c r="AG121" i="73" a="1"/>
  <c r="AG121" i="73" s="1"/>
  <c r="AG120" i="73" a="1"/>
  <c r="AG120" i="73" s="1"/>
  <c r="AG119" i="73" a="1"/>
  <c r="AG119" i="73" s="1"/>
  <c r="AG56" i="85"/>
  <c r="AG121" i="82" a="1"/>
  <c r="AG121" i="82" s="1"/>
  <c r="AG118" i="82" a="1"/>
  <c r="AG118" i="82" s="1"/>
  <c r="AG76" i="85" s="1"/>
  <c r="AG114" i="82" a="1"/>
  <c r="AG114" i="82" s="1"/>
  <c r="AG72" i="85" s="1"/>
  <c r="AG117" i="82" a="1"/>
  <c r="AG117" i="82" s="1"/>
  <c r="AG75" i="85" s="1"/>
  <c r="AG120" i="82" a="1"/>
  <c r="AG120" i="82" s="1"/>
  <c r="AG115" i="82" a="1"/>
  <c r="AG115" i="82" s="1"/>
  <c r="AG73" i="85" s="1"/>
  <c r="AG116" i="82" a="1"/>
  <c r="AG116" i="82" s="1"/>
  <c r="AG74" i="85" s="1"/>
  <c r="AG119" i="82" a="1"/>
  <c r="AG119" i="82" s="1"/>
  <c r="AG70" i="85"/>
  <c r="AG115" i="72" a="1"/>
  <c r="AG115" i="72" s="1"/>
  <c r="AG121" i="72" a="1"/>
  <c r="AG121" i="72" s="1"/>
  <c r="AG114" i="72" a="1"/>
  <c r="AG114" i="72" s="1"/>
  <c r="AG117" i="72" a="1"/>
  <c r="AG117" i="72" s="1"/>
  <c r="AG118" i="72" a="1"/>
  <c r="AG118" i="72" s="1"/>
  <c r="AG119" i="72" a="1"/>
  <c r="AG119" i="72" s="1"/>
  <c r="AG116" i="72" a="1"/>
  <c r="AG116" i="72" s="1"/>
  <c r="AG120" i="72" a="1"/>
  <c r="AG120" i="72" s="1"/>
  <c r="AG42" i="85"/>
  <c r="Y118" i="73" a="1"/>
  <c r="Y118" i="73" s="1"/>
  <c r="Y62" i="85" s="1"/>
  <c r="Y120" i="73" a="1"/>
  <c r="Y120" i="73" s="1"/>
  <c r="Y115" i="73" a="1"/>
  <c r="Y115" i="73" s="1"/>
  <c r="Y59" i="85" s="1"/>
  <c r="Y117" i="73" a="1"/>
  <c r="Y117" i="73" s="1"/>
  <c r="Y61" i="85" s="1"/>
  <c r="Y119" i="73" a="1"/>
  <c r="Y119" i="73" s="1"/>
  <c r="Y116" i="73" a="1"/>
  <c r="Y116" i="73" s="1"/>
  <c r="Y60" i="85" s="1"/>
  <c r="Y121" i="73" a="1"/>
  <c r="Y121" i="73" s="1"/>
  <c r="Y114" i="73" a="1"/>
  <c r="Y114" i="73" s="1"/>
  <c r="Y58" i="85" s="1"/>
  <c r="Y56" i="85"/>
  <c r="U116" i="82" a="1"/>
  <c r="U116" i="82" s="1"/>
  <c r="U74" i="85" s="1"/>
  <c r="U119" i="82" a="1"/>
  <c r="U119" i="82" s="1"/>
  <c r="U114" i="82" a="1"/>
  <c r="U114" i="82" s="1"/>
  <c r="U72" i="85" s="1"/>
  <c r="U121" i="82" a="1"/>
  <c r="U121" i="82" s="1"/>
  <c r="U120" i="82" a="1"/>
  <c r="U120" i="82" s="1"/>
  <c r="U117" i="82" a="1"/>
  <c r="U117" i="82" s="1"/>
  <c r="U75" i="85" s="1"/>
  <c r="U115" i="82" a="1"/>
  <c r="U115" i="82" s="1"/>
  <c r="U73" i="85" s="1"/>
  <c r="U118" i="82" a="1"/>
  <c r="U118" i="82" s="1"/>
  <c r="U76" i="85" s="1"/>
  <c r="U70" i="85"/>
  <c r="R119" i="73" a="1"/>
  <c r="R119" i="73" s="1"/>
  <c r="R114" i="73" a="1"/>
  <c r="R114" i="73" s="1"/>
  <c r="R58" i="85" s="1"/>
  <c r="R116" i="73" a="1"/>
  <c r="R116" i="73" s="1"/>
  <c r="R60" i="85" s="1"/>
  <c r="R121" i="73" a="1"/>
  <c r="R121" i="73" s="1"/>
  <c r="R118" i="73" a="1"/>
  <c r="R118" i="73" s="1"/>
  <c r="R62" i="85" s="1"/>
  <c r="R115" i="73" a="1"/>
  <c r="R115" i="73" s="1"/>
  <c r="R59" i="85" s="1"/>
  <c r="R120" i="73" a="1"/>
  <c r="R120" i="73" s="1"/>
  <c r="R117" i="73" a="1"/>
  <c r="R117" i="73" s="1"/>
  <c r="R61" i="85" s="1"/>
  <c r="R56" i="85"/>
  <c r="AE117" i="73" a="1"/>
  <c r="AE117" i="73" s="1"/>
  <c r="AE61" i="85" s="1"/>
  <c r="AE119" i="73" a="1"/>
  <c r="AE119" i="73" s="1"/>
  <c r="AE114" i="73" a="1"/>
  <c r="AE114" i="73" s="1"/>
  <c r="AE58" i="85" s="1"/>
  <c r="AE121" i="73" a="1"/>
  <c r="AE121" i="73" s="1"/>
  <c r="AE115" i="73" a="1"/>
  <c r="AE115" i="73" s="1"/>
  <c r="AE59" i="85" s="1"/>
  <c r="AE118" i="73" a="1"/>
  <c r="AE118" i="73" s="1"/>
  <c r="AE62" i="85" s="1"/>
  <c r="AE116" i="73" a="1"/>
  <c r="AE116" i="73" s="1"/>
  <c r="AE60" i="85" s="1"/>
  <c r="AE120" i="73" a="1"/>
  <c r="AE120" i="73" s="1"/>
  <c r="AE56" i="85"/>
  <c r="P115" i="72" a="1"/>
  <c r="P115" i="72" s="1"/>
  <c r="P118" i="72" a="1"/>
  <c r="P118" i="72" s="1"/>
  <c r="P121" i="72" a="1"/>
  <c r="P121" i="72" s="1"/>
  <c r="P114" i="72" a="1"/>
  <c r="P114" i="72" s="1"/>
  <c r="P117" i="72" a="1"/>
  <c r="P117" i="72" s="1"/>
  <c r="P120" i="72" a="1"/>
  <c r="P120" i="72" s="1"/>
  <c r="P119" i="72" a="1"/>
  <c r="P119" i="72" s="1"/>
  <c r="P116" i="72" a="1"/>
  <c r="P116" i="72" s="1"/>
  <c r="P42" i="85"/>
  <c r="AF115" i="72" a="1"/>
  <c r="AF115" i="72" s="1"/>
  <c r="AF118" i="72" a="1"/>
  <c r="AF118" i="72" s="1"/>
  <c r="AF121" i="72" a="1"/>
  <c r="AF121" i="72" s="1"/>
  <c r="AF114" i="72" a="1"/>
  <c r="AF114" i="72" s="1"/>
  <c r="AF117" i="72" a="1"/>
  <c r="AF117" i="72" s="1"/>
  <c r="AF119" i="72" a="1"/>
  <c r="AF119" i="72" s="1"/>
  <c r="AF116" i="72" a="1"/>
  <c r="AF116" i="72" s="1"/>
  <c r="AF120" i="72" a="1"/>
  <c r="AF120" i="72" s="1"/>
  <c r="AF42" i="85"/>
  <c r="T121" i="73" a="1"/>
  <c r="T121" i="73" s="1"/>
  <c r="T118" i="73" a="1"/>
  <c r="T118" i="73" s="1"/>
  <c r="T62" i="85" s="1"/>
  <c r="T120" i="73" a="1"/>
  <c r="T120" i="73" s="1"/>
  <c r="T119" i="73" a="1"/>
  <c r="T119" i="73" s="1"/>
  <c r="T116" i="73" a="1"/>
  <c r="T116" i="73" s="1"/>
  <c r="T60" i="85" s="1"/>
  <c r="T114" i="73" a="1"/>
  <c r="T114" i="73" s="1"/>
  <c r="T58" i="85" s="1"/>
  <c r="T115" i="73" a="1"/>
  <c r="T115" i="73" s="1"/>
  <c r="T59" i="85" s="1"/>
  <c r="T117" i="73" a="1"/>
  <c r="T117" i="73" s="1"/>
  <c r="T61" i="85" s="1"/>
  <c r="T56" i="85"/>
  <c r="T120" i="82" a="1"/>
  <c r="T120" i="82" s="1"/>
  <c r="T116" i="82" a="1"/>
  <c r="T116" i="82" s="1"/>
  <c r="T74" i="85" s="1"/>
  <c r="T119" i="82" a="1"/>
  <c r="T119" i="82" s="1"/>
  <c r="T117" i="82" a="1"/>
  <c r="T117" i="82" s="1"/>
  <c r="T75" i="85" s="1"/>
  <c r="T118" i="82" a="1"/>
  <c r="T118" i="82" s="1"/>
  <c r="T76" i="85" s="1"/>
  <c r="T121" i="82" a="1"/>
  <c r="T121" i="82" s="1"/>
  <c r="T114" i="82" a="1"/>
  <c r="T114" i="82" s="1"/>
  <c r="T72" i="85" s="1"/>
  <c r="T115" i="82" a="1"/>
  <c r="T115" i="82" s="1"/>
  <c r="T73" i="85" s="1"/>
  <c r="T70" i="85"/>
  <c r="U116" i="73" a="1"/>
  <c r="U116" i="73" s="1"/>
  <c r="U60" i="85" s="1"/>
  <c r="U118" i="73" a="1"/>
  <c r="U118" i="73" s="1"/>
  <c r="U62" i="85" s="1"/>
  <c r="U120" i="73" a="1"/>
  <c r="U120" i="73" s="1"/>
  <c r="U119" i="73" a="1"/>
  <c r="U119" i="73" s="1"/>
  <c r="U121" i="73" a="1"/>
  <c r="U121" i="73" s="1"/>
  <c r="U117" i="73" a="1"/>
  <c r="U117" i="73" s="1"/>
  <c r="U61" i="85" s="1"/>
  <c r="U114" i="73" a="1"/>
  <c r="U114" i="73" s="1"/>
  <c r="U58" i="85" s="1"/>
  <c r="U115" i="73" a="1"/>
  <c r="U115" i="73" s="1"/>
  <c r="U59" i="85" s="1"/>
  <c r="U56" i="85"/>
  <c r="Z119" i="82" a="1"/>
  <c r="Z119" i="82" s="1"/>
  <c r="Z115" i="82" a="1"/>
  <c r="Z115" i="82" s="1"/>
  <c r="Z73" i="85" s="1"/>
  <c r="Z121" i="82" a="1"/>
  <c r="Z121" i="82" s="1"/>
  <c r="Z118" i="82" a="1"/>
  <c r="Z118" i="82" s="1"/>
  <c r="Z76" i="85" s="1"/>
  <c r="Z116" i="82" a="1"/>
  <c r="Z116" i="82" s="1"/>
  <c r="Z74" i="85" s="1"/>
  <c r="Z114" i="82" a="1"/>
  <c r="Z114" i="82" s="1"/>
  <c r="Z72" i="85" s="1"/>
  <c r="Z117" i="82" a="1"/>
  <c r="Z117" i="82" s="1"/>
  <c r="Z75" i="85" s="1"/>
  <c r="Z120" i="82" a="1"/>
  <c r="Z120" i="82" s="1"/>
  <c r="Z70" i="85"/>
  <c r="AC119" i="72" a="1"/>
  <c r="AC119" i="72" s="1"/>
  <c r="AC115" i="72" a="1"/>
  <c r="AC115" i="72" s="1"/>
  <c r="AC118" i="72" a="1"/>
  <c r="AC118" i="72" s="1"/>
  <c r="AC117" i="72" a="1"/>
  <c r="AC117" i="72" s="1"/>
  <c r="AC114" i="72" a="1"/>
  <c r="AC114" i="72" s="1"/>
  <c r="AC116" i="72" a="1"/>
  <c r="AC116" i="72" s="1"/>
  <c r="AC120" i="72" a="1"/>
  <c r="AC120" i="72" s="1"/>
  <c r="AC121" i="72" a="1"/>
  <c r="AC121" i="72" s="1"/>
  <c r="AC42" i="85"/>
  <c r="Z118" i="73" a="1"/>
  <c r="Z118" i="73" s="1"/>
  <c r="Z62" i="85" s="1"/>
  <c r="Z120" i="73" a="1"/>
  <c r="Z120" i="73" s="1"/>
  <c r="Z115" i="73" a="1"/>
  <c r="Z115" i="73" s="1"/>
  <c r="Z59" i="85" s="1"/>
  <c r="Z117" i="73" a="1"/>
  <c r="Z117" i="73" s="1"/>
  <c r="Z61" i="85" s="1"/>
  <c r="Z116" i="73" a="1"/>
  <c r="Z116" i="73" s="1"/>
  <c r="Z60" i="85" s="1"/>
  <c r="Z121" i="73" a="1"/>
  <c r="Z121" i="73" s="1"/>
  <c r="Z119" i="73" a="1"/>
  <c r="Z119" i="73" s="1"/>
  <c r="Z114" i="73" a="1"/>
  <c r="Z114" i="73" s="1"/>
  <c r="Z58" i="85" s="1"/>
  <c r="Z56" i="85"/>
  <c r="S121" i="72" a="1"/>
  <c r="S121" i="72" s="1"/>
  <c r="S120" i="72" a="1"/>
  <c r="S120" i="72" s="1"/>
  <c r="S116" i="72" a="1"/>
  <c r="S116" i="72" s="1"/>
  <c r="S117" i="72" a="1"/>
  <c r="S117" i="72" s="1"/>
  <c r="S119" i="72" a="1"/>
  <c r="S119" i="72" s="1"/>
  <c r="S114" i="72" a="1"/>
  <c r="S114" i="72" s="1"/>
  <c r="S118" i="72" a="1"/>
  <c r="S118" i="72" s="1"/>
  <c r="S115" i="72" a="1"/>
  <c r="S115" i="72" s="1"/>
  <c r="S42" i="85"/>
  <c r="W116" i="73" a="1"/>
  <c r="W116" i="73" s="1"/>
  <c r="W60" i="85" s="1"/>
  <c r="W121" i="73" a="1"/>
  <c r="W121" i="73" s="1"/>
  <c r="W118" i="73" a="1"/>
  <c r="W118" i="73" s="1"/>
  <c r="W62" i="85" s="1"/>
  <c r="W120" i="73" a="1"/>
  <c r="W120" i="73" s="1"/>
  <c r="W115" i="73" a="1"/>
  <c r="W115" i="73" s="1"/>
  <c r="W59" i="85" s="1"/>
  <c r="W119" i="73" a="1"/>
  <c r="W119" i="73" s="1"/>
  <c r="W114" i="73" a="1"/>
  <c r="W114" i="73" s="1"/>
  <c r="W58" i="85" s="1"/>
  <c r="W117" i="73" a="1"/>
  <c r="W117" i="73" s="1"/>
  <c r="W61" i="85" s="1"/>
  <c r="W56" i="85"/>
  <c r="AF121" i="82" a="1"/>
  <c r="AF121" i="82" s="1"/>
  <c r="AF118" i="82" a="1"/>
  <c r="AF118" i="82" s="1"/>
  <c r="AF76" i="85" s="1"/>
  <c r="AF114" i="82" a="1"/>
  <c r="AF114" i="82" s="1"/>
  <c r="AF72" i="85" s="1"/>
  <c r="AF117" i="82" a="1"/>
  <c r="AF117" i="82" s="1"/>
  <c r="AF75" i="85" s="1"/>
  <c r="AF120" i="82" a="1"/>
  <c r="AF120" i="82" s="1"/>
  <c r="AF119" i="82" a="1"/>
  <c r="AF119" i="82" s="1"/>
  <c r="AF115" i="82" a="1"/>
  <c r="AF115" i="82" s="1"/>
  <c r="AF73" i="85" s="1"/>
  <c r="AF116" i="82" a="1"/>
  <c r="AF116" i="82" s="1"/>
  <c r="AF74" i="85" s="1"/>
  <c r="AF70" i="85"/>
  <c r="AD115" i="82" a="1"/>
  <c r="AD115" i="82" s="1"/>
  <c r="AD73" i="85" s="1"/>
  <c r="AD121" i="82" a="1"/>
  <c r="AD121" i="82" s="1"/>
  <c r="AD118" i="82" a="1"/>
  <c r="AD118" i="82" s="1"/>
  <c r="AD76" i="85" s="1"/>
  <c r="AD114" i="82" a="1"/>
  <c r="AD114" i="82" s="1"/>
  <c r="AD72" i="85" s="1"/>
  <c r="AD117" i="82" a="1"/>
  <c r="AD117" i="82" s="1"/>
  <c r="AD75" i="85" s="1"/>
  <c r="AD120" i="82" a="1"/>
  <c r="AD120" i="82" s="1"/>
  <c r="AD116" i="82" a="1"/>
  <c r="AD116" i="82" s="1"/>
  <c r="AD74" i="85" s="1"/>
  <c r="AD119" i="82" a="1"/>
  <c r="AD119" i="82" s="1"/>
  <c r="AD70" i="85"/>
  <c r="V116" i="82" a="1"/>
  <c r="V116" i="82" s="1"/>
  <c r="V74" i="85" s="1"/>
  <c r="V119" i="82" a="1"/>
  <c r="V119" i="82" s="1"/>
  <c r="V115" i="82" a="1"/>
  <c r="V115" i="82" s="1"/>
  <c r="V73" i="85" s="1"/>
  <c r="V121" i="82" a="1"/>
  <c r="V121" i="82" s="1"/>
  <c r="V120" i="82" a="1"/>
  <c r="V120" i="82" s="1"/>
  <c r="V117" i="82" a="1"/>
  <c r="V117" i="82" s="1"/>
  <c r="V75" i="85" s="1"/>
  <c r="V118" i="82" a="1"/>
  <c r="V118" i="82" s="1"/>
  <c r="V76" i="85" s="1"/>
  <c r="V114" i="82" a="1"/>
  <c r="V114" i="82" s="1"/>
  <c r="V72" i="85" s="1"/>
  <c r="V70" i="85"/>
  <c r="V116" i="73" a="1"/>
  <c r="V116" i="73" s="1"/>
  <c r="V60" i="85" s="1"/>
  <c r="V121" i="73" a="1"/>
  <c r="V121" i="73" s="1"/>
  <c r="V118" i="73" a="1"/>
  <c r="V118" i="73" s="1"/>
  <c r="V62" i="85" s="1"/>
  <c r="V120" i="73" a="1"/>
  <c r="V120" i="73" s="1"/>
  <c r="V115" i="73" a="1"/>
  <c r="V115" i="73" s="1"/>
  <c r="V59" i="85" s="1"/>
  <c r="V119" i="73" a="1"/>
  <c r="V119" i="73" s="1"/>
  <c r="V117" i="73" a="1"/>
  <c r="V117" i="73" s="1"/>
  <c r="V61" i="85" s="1"/>
  <c r="V114" i="73" a="1"/>
  <c r="V114" i="73" s="1"/>
  <c r="V58" i="85" s="1"/>
  <c r="V56" i="85"/>
  <c r="AB120" i="73" a="1"/>
  <c r="AB120" i="73" s="1"/>
  <c r="AB115" i="73" a="1"/>
  <c r="AB115" i="73" s="1"/>
  <c r="AB59" i="85" s="1"/>
  <c r="AB117" i="73" a="1"/>
  <c r="AB117" i="73" s="1"/>
  <c r="AB61" i="85" s="1"/>
  <c r="AB121" i="73" a="1"/>
  <c r="AB121" i="73" s="1"/>
  <c r="AB119" i="73" a="1"/>
  <c r="AB119" i="73" s="1"/>
  <c r="AB116" i="73" a="1"/>
  <c r="AB116" i="73" s="1"/>
  <c r="AB60" i="85" s="1"/>
  <c r="AB114" i="73" a="1"/>
  <c r="AB114" i="73" s="1"/>
  <c r="AB58" i="85" s="1"/>
  <c r="AB118" i="73" a="1"/>
  <c r="AB118" i="73" s="1"/>
  <c r="AB62" i="85" s="1"/>
  <c r="AB56" i="85"/>
  <c r="W116" i="72" a="1"/>
  <c r="W116" i="72" s="1"/>
  <c r="W119" i="72" a="1"/>
  <c r="W119" i="72" s="1"/>
  <c r="W117" i="72" a="1"/>
  <c r="W117" i="72" s="1"/>
  <c r="W118" i="72" a="1"/>
  <c r="W118" i="72" s="1"/>
  <c r="W114" i="72" a="1"/>
  <c r="W114" i="72" s="1"/>
  <c r="W121" i="72" a="1"/>
  <c r="W121" i="72" s="1"/>
  <c r="W120" i="72" a="1"/>
  <c r="W120" i="72" s="1"/>
  <c r="W115" i="72" a="1"/>
  <c r="W115" i="72" s="1"/>
  <c r="W42" i="85"/>
  <c r="AB116" i="72" a="1"/>
  <c r="AB116" i="72" s="1"/>
  <c r="AB115" i="72" a="1"/>
  <c r="AB115" i="72" s="1"/>
  <c r="AB118" i="72" a="1"/>
  <c r="AB118" i="72" s="1"/>
  <c r="AB117" i="72" a="1"/>
  <c r="AB117" i="72" s="1"/>
  <c r="AB120" i="72" a="1"/>
  <c r="AB120" i="72" s="1"/>
  <c r="AB114" i="72" a="1"/>
  <c r="AB114" i="72" s="1"/>
  <c r="AB121" i="72" a="1"/>
  <c r="AB121" i="72" s="1"/>
  <c r="AB119" i="72" a="1"/>
  <c r="AB119" i="72" s="1"/>
  <c r="AB42" i="85"/>
  <c r="J118" i="81" a="1"/>
  <c r="J118" i="81" s="1"/>
  <c r="J116" i="81" a="1"/>
  <c r="J116" i="81" s="1"/>
  <c r="J121" i="81" a="1"/>
  <c r="J121" i="81" s="1"/>
  <c r="J115" i="81" a="1"/>
  <c r="J115" i="81" s="1"/>
  <c r="J119" i="81" a="1"/>
  <c r="J119" i="81" s="1"/>
  <c r="J117" i="81" a="1"/>
  <c r="J117" i="81" s="1"/>
  <c r="J114" i="81" a="1"/>
  <c r="J114" i="81" s="1"/>
  <c r="J120" i="81" a="1"/>
  <c r="J120" i="81" s="1"/>
  <c r="M117" i="81" a="1"/>
  <c r="M117" i="81" s="1"/>
  <c r="M114" i="81" a="1"/>
  <c r="M114" i="81" s="1"/>
  <c r="M115" i="81" a="1"/>
  <c r="M115" i="81" s="1"/>
  <c r="M120" i="81" a="1"/>
  <c r="M120" i="81" s="1"/>
  <c r="M119" i="81" a="1"/>
  <c r="M119" i="81" s="1"/>
  <c r="M118" i="81" a="1"/>
  <c r="M118" i="81" s="1"/>
  <c r="M116" i="81" a="1"/>
  <c r="M116" i="81" s="1"/>
  <c r="M121" i="81" a="1"/>
  <c r="M121" i="81" s="1"/>
  <c r="K115" i="81" a="1"/>
  <c r="K115" i="81" s="1"/>
  <c r="K120" i="81" a="1"/>
  <c r="K120" i="81" s="1"/>
  <c r="K118" i="81" a="1"/>
  <c r="K118" i="81" s="1"/>
  <c r="K116" i="81" a="1"/>
  <c r="K116" i="81" s="1"/>
  <c r="K121" i="81" a="1"/>
  <c r="K121" i="81" s="1"/>
  <c r="K119" i="81" a="1"/>
  <c r="K119" i="81" s="1"/>
  <c r="K117" i="81" a="1"/>
  <c r="K117" i="81" s="1"/>
  <c r="K114" i="81" a="1"/>
  <c r="K114" i="81" s="1"/>
  <c r="L115" i="81" a="1"/>
  <c r="L115" i="81" s="1"/>
  <c r="L120" i="81" a="1"/>
  <c r="L120" i="81" s="1"/>
  <c r="L118" i="81" a="1"/>
  <c r="L118" i="81" s="1"/>
  <c r="L117" i="81" a="1"/>
  <c r="L117" i="81" s="1"/>
  <c r="L114" i="81" a="1"/>
  <c r="L114" i="81" s="1"/>
  <c r="L116" i="81" a="1"/>
  <c r="L116" i="81" s="1"/>
  <c r="L121" i="81" a="1"/>
  <c r="L121" i="81" s="1"/>
  <c r="L119" i="81" a="1"/>
  <c r="L119" i="81" s="1"/>
  <c r="I120" i="81" a="1"/>
  <c r="I120" i="81" s="1"/>
  <c r="I118" i="81" a="1"/>
  <c r="I118" i="81" s="1"/>
  <c r="I116" i="81" a="1"/>
  <c r="I116" i="81" s="1"/>
  <c r="I114" i="81" a="1"/>
  <c r="I114" i="81" s="1"/>
  <c r="I119" i="81" a="1"/>
  <c r="I119" i="81" s="1"/>
  <c r="I115" i="81" a="1"/>
  <c r="I115" i="81" s="1"/>
  <c r="I117" i="81" a="1"/>
  <c r="I117" i="81" s="1"/>
  <c r="I121" i="81" a="1"/>
  <c r="I121" i="81" s="1"/>
  <c r="X118" i="81" a="1"/>
  <c r="X118" i="81" s="1"/>
  <c r="X115" i="81" a="1"/>
  <c r="X115" i="81" s="1"/>
  <c r="X114" i="81" a="1"/>
  <c r="X114" i="81" s="1"/>
  <c r="X116" i="81" a="1"/>
  <c r="X116" i="81" s="1"/>
  <c r="X120" i="81" a="1"/>
  <c r="X120" i="81" s="1"/>
  <c r="X117" i="81" a="1"/>
  <c r="X117" i="81" s="1"/>
  <c r="X119" i="81" a="1"/>
  <c r="X119" i="81" s="1"/>
  <c r="X121" i="81" a="1"/>
  <c r="X121" i="81" s="1"/>
  <c r="AF119" i="81" a="1"/>
  <c r="AF119" i="81" s="1"/>
  <c r="AF116" i="81" a="1"/>
  <c r="AF116" i="81" s="1"/>
  <c r="AF120" i="81" a="1"/>
  <c r="AF120" i="81" s="1"/>
  <c r="AF117" i="81" a="1"/>
  <c r="AF117" i="81" s="1"/>
  <c r="AF114" i="81" a="1"/>
  <c r="AF114" i="81" s="1"/>
  <c r="AF118" i="81" a="1"/>
  <c r="AF118" i="81" s="1"/>
  <c r="AF115" i="81" a="1"/>
  <c r="AF115" i="81" s="1"/>
  <c r="AF121" i="81" a="1"/>
  <c r="AF121" i="81" s="1"/>
  <c r="W115" i="81" a="1"/>
  <c r="W115" i="81" s="1"/>
  <c r="W114" i="81" a="1"/>
  <c r="W114" i="81" s="1"/>
  <c r="W119" i="81" a="1"/>
  <c r="W119" i="81" s="1"/>
  <c r="W120" i="81" a="1"/>
  <c r="W120" i="81" s="1"/>
  <c r="W117" i="81" a="1"/>
  <c r="W117" i="81" s="1"/>
  <c r="W116" i="81" a="1"/>
  <c r="W116" i="81" s="1"/>
  <c r="W121" i="81" a="1"/>
  <c r="W121" i="81" s="1"/>
  <c r="W118" i="81" a="1"/>
  <c r="W118" i="81" s="1"/>
  <c r="AG114" i="81" a="1"/>
  <c r="AG114" i="81" s="1"/>
  <c r="AG119" i="81" a="1"/>
  <c r="AG119" i="81" s="1"/>
  <c r="AG120" i="81" a="1"/>
  <c r="AG120" i="81" s="1"/>
  <c r="AG117" i="81" a="1"/>
  <c r="AG117" i="81" s="1"/>
  <c r="AG115" i="81" a="1"/>
  <c r="AG115" i="81" s="1"/>
  <c r="AG118" i="81" a="1"/>
  <c r="AG118" i="81" s="1"/>
  <c r="AG116" i="81" a="1"/>
  <c r="AG116" i="81" s="1"/>
  <c r="AG121" i="81" a="1"/>
  <c r="AG121" i="81" s="1"/>
  <c r="Y121" i="81" a="1"/>
  <c r="Y121" i="81" s="1"/>
  <c r="Y118" i="81" a="1"/>
  <c r="Y118" i="81" s="1"/>
  <c r="Y115" i="81" a="1"/>
  <c r="Y115" i="81" s="1"/>
  <c r="Y119" i="81" a="1"/>
  <c r="Y119" i="81" s="1"/>
  <c r="Y116" i="81" a="1"/>
  <c r="Y116" i="81" s="1"/>
  <c r="Y120" i="81" a="1"/>
  <c r="Y120" i="81" s="1"/>
  <c r="Y117" i="81" a="1"/>
  <c r="Y117" i="81" s="1"/>
  <c r="Y114" i="81" a="1"/>
  <c r="Y114" i="81" s="1"/>
  <c r="T116" i="81" a="1"/>
  <c r="T116" i="81" s="1"/>
  <c r="T120" i="81" a="1"/>
  <c r="T120" i="81" s="1"/>
  <c r="T121" i="81" a="1"/>
  <c r="T121" i="81" s="1"/>
  <c r="T117" i="81" a="1"/>
  <c r="T117" i="81" s="1"/>
  <c r="T118" i="81" a="1"/>
  <c r="T118" i="81" s="1"/>
  <c r="T115" i="81" a="1"/>
  <c r="T115" i="81" s="1"/>
  <c r="T119" i="81" a="1"/>
  <c r="T119" i="81" s="1"/>
  <c r="T114" i="81" a="1"/>
  <c r="T114" i="81" s="1"/>
  <c r="O121" i="81" a="1"/>
  <c r="O121" i="81" s="1"/>
  <c r="O118" i="81" a="1"/>
  <c r="O118" i="81" s="1"/>
  <c r="O115" i="81" a="1"/>
  <c r="O115" i="81" s="1"/>
  <c r="O114" i="81" a="1"/>
  <c r="O114" i="81" s="1"/>
  <c r="O119" i="81" a="1"/>
  <c r="O119" i="81" s="1"/>
  <c r="O116" i="81" a="1"/>
  <c r="O116" i="81" s="1"/>
  <c r="O120" i="81" a="1"/>
  <c r="O120" i="81" s="1"/>
  <c r="O117" i="81" a="1"/>
  <c r="O117" i="81" s="1"/>
  <c r="U119" i="81" a="1"/>
  <c r="U119" i="81" s="1"/>
  <c r="U116" i="81" a="1"/>
  <c r="U116" i="81" s="1"/>
  <c r="U117" i="81" a="1"/>
  <c r="U117" i="81" s="1"/>
  <c r="U121" i="81" a="1"/>
  <c r="U121" i="81" s="1"/>
  <c r="U120" i="81" a="1"/>
  <c r="U120" i="81" s="1"/>
  <c r="U118" i="81" a="1"/>
  <c r="U118" i="81" s="1"/>
  <c r="U115" i="81" a="1"/>
  <c r="U115" i="81" s="1"/>
  <c r="U114" i="81" a="1"/>
  <c r="U114" i="81" s="1"/>
  <c r="AC120" i="81" a="1"/>
  <c r="AC120" i="81" s="1"/>
  <c r="AC117" i="81" a="1"/>
  <c r="AC117" i="81" s="1"/>
  <c r="AC121" i="81" a="1"/>
  <c r="AC121" i="81" s="1"/>
  <c r="AC118" i="81" a="1"/>
  <c r="AC118" i="81" s="1"/>
  <c r="AC115" i="81" a="1"/>
  <c r="AC115" i="81" s="1"/>
  <c r="AC119" i="81" a="1"/>
  <c r="AC119" i="81" s="1"/>
  <c r="AC116" i="81" a="1"/>
  <c r="AC116" i="81" s="1"/>
  <c r="AC114" i="81" a="1"/>
  <c r="AC114" i="81" s="1"/>
  <c r="Z121" i="81" a="1"/>
  <c r="Z121" i="81" s="1"/>
  <c r="Z118" i="81" a="1"/>
  <c r="Z118" i="81" s="1"/>
  <c r="Z119" i="81" a="1"/>
  <c r="Z119" i="81" s="1"/>
  <c r="Z116" i="81" a="1"/>
  <c r="Z116" i="81" s="1"/>
  <c r="Z120" i="81" a="1"/>
  <c r="Z120" i="81" s="1"/>
  <c r="Z114" i="81" a="1"/>
  <c r="Z114" i="81" s="1"/>
  <c r="Z117" i="81" a="1"/>
  <c r="Z117" i="81" s="1"/>
  <c r="Z115" i="81" a="1"/>
  <c r="Z115" i="81" s="1"/>
  <c r="AA117" i="81" a="1"/>
  <c r="AA117" i="81" s="1"/>
  <c r="AA121" i="81" a="1"/>
  <c r="AA121" i="81" s="1"/>
  <c r="AA115" i="81" a="1"/>
  <c r="AA115" i="81" s="1"/>
  <c r="AA114" i="81" a="1"/>
  <c r="AA114" i="81" s="1"/>
  <c r="AA119" i="81" a="1"/>
  <c r="AA119" i="81" s="1"/>
  <c r="AA116" i="81" a="1"/>
  <c r="AA116" i="81" s="1"/>
  <c r="AA120" i="81" a="1"/>
  <c r="AA120" i="81" s="1"/>
  <c r="AA118" i="81" a="1"/>
  <c r="AA118" i="81" s="1"/>
  <c r="S120" i="81" a="1"/>
  <c r="S120" i="81" s="1"/>
  <c r="S117" i="81" a="1"/>
  <c r="S117" i="81" s="1"/>
  <c r="S121" i="81" a="1"/>
  <c r="S121" i="81" s="1"/>
  <c r="S118" i="81" a="1"/>
  <c r="S118" i="81" s="1"/>
  <c r="S115" i="81" a="1"/>
  <c r="S115" i="81" s="1"/>
  <c r="S114" i="81" a="1"/>
  <c r="S114" i="81" s="1"/>
  <c r="S116" i="81" a="1"/>
  <c r="S116" i="81" s="1"/>
  <c r="S119" i="81" a="1"/>
  <c r="S119" i="81" s="1"/>
  <c r="AB120" i="81" a="1"/>
  <c r="AB120" i="81" s="1"/>
  <c r="AB117" i="81" a="1"/>
  <c r="AB117" i="81" s="1"/>
  <c r="AB118" i="81" a="1"/>
  <c r="AB118" i="81" s="1"/>
  <c r="AB115" i="81" a="1"/>
  <c r="AB115" i="81" s="1"/>
  <c r="AB114" i="81" a="1"/>
  <c r="AB114" i="81" s="1"/>
  <c r="AB119" i="81" a="1"/>
  <c r="AB119" i="81" s="1"/>
  <c r="AB116" i="81" a="1"/>
  <c r="AB116" i="81" s="1"/>
  <c r="AB121" i="81" a="1"/>
  <c r="AB121" i="81" s="1"/>
  <c r="R120" i="81" a="1"/>
  <c r="R120" i="81" s="1"/>
  <c r="R117" i="81" a="1"/>
  <c r="R117" i="81" s="1"/>
  <c r="R118" i="81" a="1"/>
  <c r="R118" i="81" s="1"/>
  <c r="R115" i="81" a="1"/>
  <c r="R115" i="81" s="1"/>
  <c r="R114" i="81" a="1"/>
  <c r="R114" i="81" s="1"/>
  <c r="R121" i="81" a="1"/>
  <c r="R121" i="81" s="1"/>
  <c r="R119" i="81" a="1"/>
  <c r="R119" i="81" s="1"/>
  <c r="R116" i="81" a="1"/>
  <c r="R116" i="81" s="1"/>
  <c r="AD116" i="81" a="1"/>
  <c r="AD116" i="81" s="1"/>
  <c r="AD120" i="81" a="1"/>
  <c r="AD120" i="81" s="1"/>
  <c r="AD117" i="81" a="1"/>
  <c r="AD117" i="81" s="1"/>
  <c r="AD121" i="81" a="1"/>
  <c r="AD121" i="81" s="1"/>
  <c r="AD118" i="81" a="1"/>
  <c r="AD118" i="81" s="1"/>
  <c r="AD119" i="81" a="1"/>
  <c r="AD119" i="81" s="1"/>
  <c r="AD115" i="81" a="1"/>
  <c r="AD115" i="81" s="1"/>
  <c r="AD114" i="81" a="1"/>
  <c r="AD114" i="81" s="1"/>
  <c r="V119" i="81" a="1"/>
  <c r="V119" i="81" s="1"/>
  <c r="V116" i="81" a="1"/>
  <c r="V116" i="81" s="1"/>
  <c r="V120" i="81" a="1"/>
  <c r="V120" i="81" s="1"/>
  <c r="V117" i="81" a="1"/>
  <c r="V117" i="81" s="1"/>
  <c r="V121" i="81" a="1"/>
  <c r="V121" i="81" s="1"/>
  <c r="V118" i="81" a="1"/>
  <c r="V118" i="81" s="1"/>
  <c r="V115" i="81" a="1"/>
  <c r="V115" i="81" s="1"/>
  <c r="V114" i="81" a="1"/>
  <c r="V114" i="81" s="1"/>
  <c r="AE116" i="81" a="1"/>
  <c r="AE116" i="81" s="1"/>
  <c r="AE121" i="81" a="1"/>
  <c r="AE121" i="81" s="1"/>
  <c r="AE114" i="81" a="1"/>
  <c r="AE114" i="81" s="1"/>
  <c r="AE119" i="81" a="1"/>
  <c r="AE119" i="81" s="1"/>
  <c r="AE118" i="81" a="1"/>
  <c r="AE118" i="81" s="1"/>
  <c r="AE115" i="81" a="1"/>
  <c r="AE115" i="81" s="1"/>
  <c r="AE120" i="81" a="1"/>
  <c r="AE120" i="81" s="1"/>
  <c r="AE117" i="81" a="1"/>
  <c r="AE117" i="81" s="1"/>
  <c r="N117" i="81" a="1"/>
  <c r="N117" i="81" s="1"/>
  <c r="N120" i="81" a="1"/>
  <c r="N120" i="81" s="1"/>
  <c r="N115" i="81" a="1"/>
  <c r="N115" i="81" s="1"/>
  <c r="N118" i="81" a="1"/>
  <c r="N118" i="81" s="1"/>
  <c r="N121" i="81" a="1"/>
  <c r="N121" i="81" s="1"/>
  <c r="N116" i="81" a="1"/>
  <c r="N116" i="81" s="1"/>
  <c r="N119" i="81" a="1"/>
  <c r="N119" i="81" s="1"/>
  <c r="N114" i="81" a="1"/>
  <c r="N114" i="81" s="1"/>
  <c r="P91" i="73"/>
  <c r="P110" i="73" s="1"/>
  <c r="N48" i="75"/>
  <c r="N50" i="75" s="1"/>
  <c r="N40" i="85" s="1"/>
  <c r="O62" i="75"/>
  <c r="O64" i="75" s="1"/>
  <c r="N91" i="72"/>
  <c r="N110" i="72" s="1"/>
  <c r="M62" i="75"/>
  <c r="M64" i="75" s="1"/>
  <c r="O91" i="73"/>
  <c r="O110" i="73" s="1"/>
  <c r="J76" i="75"/>
  <c r="J78" i="75" s="1"/>
  <c r="M91" i="73"/>
  <c r="M110" i="73" s="1"/>
  <c r="J62" i="75"/>
  <c r="J64" i="75" s="1"/>
  <c r="J91" i="73"/>
  <c r="J110" i="73" s="1"/>
  <c r="N62" i="75"/>
  <c r="N64" i="75" s="1"/>
  <c r="K62" i="75"/>
  <c r="K64" i="75" s="1"/>
  <c r="N91" i="73"/>
  <c r="N110" i="73" s="1"/>
  <c r="Q62" i="75"/>
  <c r="Q64" i="75" s="1"/>
  <c r="I62" i="75"/>
  <c r="I64" i="75" s="1"/>
  <c r="Q76" i="75"/>
  <c r="Q78" i="75" s="1"/>
  <c r="M91" i="82"/>
  <c r="M110" i="82" s="1"/>
  <c r="Q91" i="73"/>
  <c r="Q110" i="73" s="1"/>
  <c r="K91" i="73"/>
  <c r="K110" i="73" s="1"/>
  <c r="Q91" i="82"/>
  <c r="Q110" i="82" s="1"/>
  <c r="M76" i="75"/>
  <c r="M78" i="75" s="1"/>
  <c r="P62" i="75"/>
  <c r="P64" i="75" s="1"/>
  <c r="M48" i="75"/>
  <c r="M50" i="75" s="1"/>
  <c r="M40" i="85" s="1"/>
  <c r="M91" i="72"/>
  <c r="M110" i="72" s="1"/>
  <c r="I91" i="73"/>
  <c r="P76" i="75"/>
  <c r="P78" i="75" s="1"/>
  <c r="I76" i="75"/>
  <c r="I78" i="75" s="1"/>
  <c r="Q34" i="75"/>
  <c r="Q36" i="75" s="1"/>
  <c r="O91" i="82"/>
  <c r="O110" i="82" s="1"/>
  <c r="Q48" i="75"/>
  <c r="Q50" i="75" s="1"/>
  <c r="Q40" i="85" s="1"/>
  <c r="Q91" i="72"/>
  <c r="Q110" i="72" s="1"/>
  <c r="L91" i="73"/>
  <c r="L110" i="73" s="1"/>
  <c r="N91" i="82"/>
  <c r="N110" i="82" s="1"/>
  <c r="O91" i="72"/>
  <c r="O110" i="72" s="1"/>
  <c r="K76" i="75"/>
  <c r="K78" i="75" s="1"/>
  <c r="O76" i="75"/>
  <c r="O78" i="75" s="1"/>
  <c r="I48" i="75"/>
  <c r="I91" i="72"/>
  <c r="I110" i="72" s="1"/>
  <c r="O48" i="75"/>
  <c r="O50" i="75" s="1"/>
  <c r="O40" i="85" s="1"/>
  <c r="L62" i="75"/>
  <c r="L64" i="75" s="1"/>
  <c r="P91" i="82"/>
  <c r="P110" i="82" s="1"/>
  <c r="I91" i="82"/>
  <c r="I110" i="82" s="1"/>
  <c r="Q91" i="81"/>
  <c r="N76" i="75"/>
  <c r="N78" i="75" s="1"/>
  <c r="K91" i="82"/>
  <c r="K110" i="82" s="1"/>
  <c r="J91" i="82"/>
  <c r="J110" i="82" s="1"/>
  <c r="K50" i="75"/>
  <c r="K40" i="85" s="1"/>
  <c r="I36" i="75"/>
  <c r="F52" i="75"/>
  <c r="G11" i="33" s="1"/>
  <c r="P119" i="81" l="1" a="1"/>
  <c r="P119" i="81" s="1"/>
  <c r="P116" i="81" a="1"/>
  <c r="P116" i="81" s="1"/>
  <c r="P114" i="81" a="1"/>
  <c r="P114" i="81" s="1"/>
  <c r="K42" i="85"/>
  <c r="P117" i="81" a="1"/>
  <c r="P117" i="81" s="1"/>
  <c r="P118" i="81" a="1"/>
  <c r="P118" i="81" s="1"/>
  <c r="P121" i="81" a="1"/>
  <c r="P121" i="81" s="1"/>
  <c r="K115" i="72" a="1"/>
  <c r="K115" i="72" s="1"/>
  <c r="P120" i="81" a="1"/>
  <c r="P120" i="81" s="1"/>
  <c r="K119" i="72" a="1"/>
  <c r="K119" i="72" s="1"/>
  <c r="J42" i="85"/>
  <c r="J114" i="72" a="1"/>
  <c r="J114" i="72" s="1"/>
  <c r="J117" i="72" a="1"/>
  <c r="J117" i="72" s="1"/>
  <c r="K114" i="72" a="1"/>
  <c r="K114" i="72" s="1"/>
  <c r="J120" i="72" a="1"/>
  <c r="J120" i="72" s="1"/>
  <c r="K120" i="72" a="1"/>
  <c r="K120" i="72" s="1"/>
  <c r="J116" i="72" a="1"/>
  <c r="J116" i="72" s="1"/>
  <c r="K117" i="72" a="1"/>
  <c r="K117" i="72" s="1"/>
  <c r="J121" i="72" a="1"/>
  <c r="J121" i="72" s="1"/>
  <c r="J118" i="72" a="1"/>
  <c r="J118" i="72" s="1"/>
  <c r="K116" i="72" a="1"/>
  <c r="K116" i="72" s="1"/>
  <c r="J115" i="72" a="1"/>
  <c r="J115" i="72" s="1"/>
  <c r="K121" i="72" a="1"/>
  <c r="K121" i="72" s="1"/>
  <c r="I115" i="82" a="1"/>
  <c r="I115" i="82" s="1"/>
  <c r="I73" i="85" s="1"/>
  <c r="I118" i="82" a="1"/>
  <c r="I118" i="82" s="1"/>
  <c r="I76" i="85" s="1"/>
  <c r="I121" i="82" a="1"/>
  <c r="I121" i="82" s="1"/>
  <c r="I114" i="82" a="1"/>
  <c r="I114" i="82" s="1"/>
  <c r="I72" i="85" s="1"/>
  <c r="I120" i="82" a="1"/>
  <c r="I120" i="82" s="1"/>
  <c r="I116" i="82" a="1"/>
  <c r="I116" i="82" s="1"/>
  <c r="I74" i="85" s="1"/>
  <c r="I119" i="82" a="1"/>
  <c r="I119" i="82" s="1"/>
  <c r="I117" i="82" a="1"/>
  <c r="I117" i="82" s="1"/>
  <c r="I75" i="85" s="1"/>
  <c r="I70" i="85"/>
  <c r="AC65" i="85"/>
  <c r="AC64" i="85"/>
  <c r="AC63" i="85"/>
  <c r="K120" i="73" a="1"/>
  <c r="K120" i="73" s="1"/>
  <c r="K115" i="73" a="1"/>
  <c r="K115" i="73" s="1"/>
  <c r="K59" i="85" s="1"/>
  <c r="K117" i="73" a="1"/>
  <c r="K117" i="73" s="1"/>
  <c r="K61" i="85" s="1"/>
  <c r="K119" i="73" a="1"/>
  <c r="K119" i="73" s="1"/>
  <c r="K114" i="73" a="1"/>
  <c r="K114" i="73" s="1"/>
  <c r="K58" i="85" s="1"/>
  <c r="K118" i="73" a="1"/>
  <c r="K118" i="73" s="1"/>
  <c r="K62" i="85" s="1"/>
  <c r="K121" i="73" a="1"/>
  <c r="K121" i="73" s="1"/>
  <c r="K116" i="73" a="1"/>
  <c r="K116" i="73" s="1"/>
  <c r="K60" i="85" s="1"/>
  <c r="K56" i="85"/>
  <c r="AE65" i="85"/>
  <c r="AE63" i="85"/>
  <c r="AE64" i="85"/>
  <c r="I110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6" i="72" a="1"/>
  <c r="I116" i="72" s="1"/>
  <c r="I119" i="72" a="1"/>
  <c r="I119" i="72" s="1"/>
  <c r="I115" i="72" a="1"/>
  <c r="I115" i="72" s="1"/>
  <c r="I118" i="72" a="1"/>
  <c r="I118" i="72" s="1"/>
  <c r="I120" i="72" a="1"/>
  <c r="I120" i="72" s="1"/>
  <c r="I117" i="72" a="1"/>
  <c r="I117" i="72" s="1"/>
  <c r="I121" i="72" a="1"/>
  <c r="I121" i="72" s="1"/>
  <c r="I114" i="72" a="1"/>
  <c r="I114" i="72" s="1"/>
  <c r="I42" i="85"/>
  <c r="V77" i="85"/>
  <c r="V79" i="85"/>
  <c r="V78" i="85"/>
  <c r="O115" i="72" a="1"/>
  <c r="O115" i="72" s="1"/>
  <c r="O118" i="72" a="1"/>
  <c r="O118" i="72" s="1"/>
  <c r="O121" i="72" a="1"/>
  <c r="O121" i="72" s="1"/>
  <c r="O114" i="72" a="1"/>
  <c r="O114" i="72" s="1"/>
  <c r="O117" i="72" a="1"/>
  <c r="O117" i="72" s="1"/>
  <c r="O119" i="72" a="1"/>
  <c r="O119" i="72" s="1"/>
  <c r="O116" i="72" a="1"/>
  <c r="O116" i="72" s="1"/>
  <c r="O120" i="72" a="1"/>
  <c r="O120" i="72" s="1"/>
  <c r="O42" i="85"/>
  <c r="AA77" i="85"/>
  <c r="AA79" i="85"/>
  <c r="AA78" i="85"/>
  <c r="S63" i="85"/>
  <c r="S65" i="85"/>
  <c r="S64" i="85"/>
  <c r="Q117" i="82" a="1"/>
  <c r="Q117" i="82" s="1"/>
  <c r="Q75" i="85" s="1"/>
  <c r="Q114" i="82" a="1"/>
  <c r="Q114" i="82" s="1"/>
  <c r="Q72" i="85" s="1"/>
  <c r="Q120" i="82" a="1"/>
  <c r="Q120" i="82" s="1"/>
  <c r="Q116" i="82" a="1"/>
  <c r="Q116" i="82" s="1"/>
  <c r="Q74" i="85" s="1"/>
  <c r="Q119" i="82" a="1"/>
  <c r="Q119" i="82" s="1"/>
  <c r="Q118" i="82" a="1"/>
  <c r="Q118" i="82" s="1"/>
  <c r="Q76" i="85" s="1"/>
  <c r="Q115" i="82" a="1"/>
  <c r="Q115" i="82" s="1"/>
  <c r="Q73" i="85" s="1"/>
  <c r="Q121" i="82" a="1"/>
  <c r="Q121" i="82" s="1"/>
  <c r="Q70" i="85"/>
  <c r="L115" i="82" a="1"/>
  <c r="L115" i="82" s="1"/>
  <c r="L73" i="85" s="1"/>
  <c r="L121" i="82" a="1"/>
  <c r="L121" i="82" s="1"/>
  <c r="L118" i="82" a="1"/>
  <c r="L118" i="82" s="1"/>
  <c r="L76" i="85" s="1"/>
  <c r="L114" i="82" a="1"/>
  <c r="L114" i="82" s="1"/>
  <c r="L72" i="85" s="1"/>
  <c r="L117" i="82" a="1"/>
  <c r="L117" i="82" s="1"/>
  <c r="L75" i="85" s="1"/>
  <c r="L120" i="82" a="1"/>
  <c r="L120" i="82" s="1"/>
  <c r="L116" i="82" a="1"/>
  <c r="L116" i="82" s="1"/>
  <c r="L74" i="85" s="1"/>
  <c r="L119" i="82" a="1"/>
  <c r="L119" i="82" s="1"/>
  <c r="L70" i="85"/>
  <c r="N121" i="82" a="1"/>
  <c r="N121" i="82" s="1"/>
  <c r="N114" i="82" a="1"/>
  <c r="N114" i="82" s="1"/>
  <c r="N72" i="85" s="1"/>
  <c r="N117" i="82" a="1"/>
  <c r="N117" i="82" s="1"/>
  <c r="N75" i="85" s="1"/>
  <c r="N120" i="82" a="1"/>
  <c r="N120" i="82" s="1"/>
  <c r="N118" i="82" a="1"/>
  <c r="N118" i="82" s="1"/>
  <c r="N76" i="85" s="1"/>
  <c r="N115" i="82" a="1"/>
  <c r="N115" i="82" s="1"/>
  <c r="N73" i="85" s="1"/>
  <c r="N116" i="82" a="1"/>
  <c r="N116" i="82" s="1"/>
  <c r="N74" i="85" s="1"/>
  <c r="N119" i="82" a="1"/>
  <c r="N119" i="82" s="1"/>
  <c r="N70" i="85"/>
  <c r="N117" i="73" a="1"/>
  <c r="N117" i="73" s="1"/>
  <c r="N61" i="85" s="1"/>
  <c r="N114" i="73" a="1"/>
  <c r="N114" i="73" s="1"/>
  <c r="N58" i="85" s="1"/>
  <c r="N119" i="73" a="1"/>
  <c r="N119" i="73" s="1"/>
  <c r="N116" i="73" a="1"/>
  <c r="N116" i="73" s="1"/>
  <c r="N60" i="85" s="1"/>
  <c r="N118" i="73" a="1"/>
  <c r="N118" i="73" s="1"/>
  <c r="N62" i="85" s="1"/>
  <c r="N115" i="73" a="1"/>
  <c r="N115" i="73" s="1"/>
  <c r="N59" i="85" s="1"/>
  <c r="N120" i="73" a="1"/>
  <c r="N120" i="73" s="1"/>
  <c r="N121" i="73" a="1"/>
  <c r="N121" i="73" s="1"/>
  <c r="N56" i="85"/>
  <c r="AD77" i="85"/>
  <c r="AD79" i="85"/>
  <c r="AD78" i="85"/>
  <c r="W63" i="85"/>
  <c r="W64" i="85"/>
  <c r="W65" i="85"/>
  <c r="AE77" i="85"/>
  <c r="AE79" i="85"/>
  <c r="AE78" i="85"/>
  <c r="N115" i="72" a="1"/>
  <c r="N115" i="72" s="1"/>
  <c r="N121" i="72" a="1"/>
  <c r="N121" i="72" s="1"/>
  <c r="N114" i="72" a="1"/>
  <c r="N114" i="72" s="1"/>
  <c r="N117" i="72" a="1"/>
  <c r="N117" i="72" s="1"/>
  <c r="N120" i="72" a="1"/>
  <c r="N120" i="72" s="1"/>
  <c r="N116" i="72" a="1"/>
  <c r="N116" i="72" s="1"/>
  <c r="N119" i="72" a="1"/>
  <c r="N119" i="72" s="1"/>
  <c r="N118" i="72" a="1"/>
  <c r="N118" i="72" s="1"/>
  <c r="N42" i="85"/>
  <c r="Z65" i="85"/>
  <c r="Z64" i="85"/>
  <c r="Z63" i="85"/>
  <c r="Y78" i="85"/>
  <c r="Y79" i="85"/>
  <c r="Y77" i="85"/>
  <c r="AB78" i="85"/>
  <c r="AB79" i="85"/>
  <c r="AB77" i="85"/>
  <c r="K118" i="82" a="1"/>
  <c r="K118" i="82" s="1"/>
  <c r="K76" i="85" s="1"/>
  <c r="K115" i="82" a="1"/>
  <c r="K115" i="82" s="1"/>
  <c r="K73" i="85" s="1"/>
  <c r="K121" i="82" a="1"/>
  <c r="K121" i="82" s="1"/>
  <c r="K114" i="82" a="1"/>
  <c r="K114" i="82" s="1"/>
  <c r="K72" i="85" s="1"/>
  <c r="K117" i="82" a="1"/>
  <c r="K117" i="82" s="1"/>
  <c r="K75" i="85" s="1"/>
  <c r="K119" i="82" a="1"/>
  <c r="K119" i="82" s="1"/>
  <c r="K120" i="82" a="1"/>
  <c r="K120" i="82" s="1"/>
  <c r="K116" i="82" a="1"/>
  <c r="K116" i="82" s="1"/>
  <c r="K74" i="85" s="1"/>
  <c r="K70" i="85"/>
  <c r="M118" i="72" a="1"/>
  <c r="M118" i="72" s="1"/>
  <c r="M121" i="72" a="1"/>
  <c r="M121" i="72" s="1"/>
  <c r="M114" i="72" a="1"/>
  <c r="M114" i="72" s="1"/>
  <c r="M117" i="72" a="1"/>
  <c r="M117" i="72" s="1"/>
  <c r="M120" i="72" a="1"/>
  <c r="M120" i="72" s="1"/>
  <c r="M115" i="72" a="1"/>
  <c r="M115" i="72" s="1"/>
  <c r="M119" i="72" a="1"/>
  <c r="M119" i="72" s="1"/>
  <c r="M116" i="72" a="1"/>
  <c r="M116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7" i="73" a="1"/>
  <c r="P117" i="73" s="1"/>
  <c r="P61" i="85" s="1"/>
  <c r="P119" i="73" a="1"/>
  <c r="P119" i="73" s="1"/>
  <c r="P116" i="73" a="1"/>
  <c r="P116" i="73" s="1"/>
  <c r="P60" i="85" s="1"/>
  <c r="P121" i="73" a="1"/>
  <c r="P121" i="73" s="1"/>
  <c r="P114" i="73" a="1"/>
  <c r="P114" i="73" s="1"/>
  <c r="P58" i="85" s="1"/>
  <c r="P120" i="73" a="1"/>
  <c r="P120" i="73" s="1"/>
  <c r="P115" i="73" a="1"/>
  <c r="P115" i="73" s="1"/>
  <c r="P59" i="85" s="1"/>
  <c r="P118" i="73" a="1"/>
  <c r="P118" i="73" s="1"/>
  <c r="P62" i="85" s="1"/>
  <c r="P56" i="85"/>
  <c r="Q114" i="73" a="1"/>
  <c r="Q114" i="73" s="1"/>
  <c r="Q58" i="85" s="1"/>
  <c r="Q116" i="73" a="1"/>
  <c r="Q116" i="73" s="1"/>
  <c r="Q60" i="85" s="1"/>
  <c r="Q121" i="73" a="1"/>
  <c r="Q121" i="73" s="1"/>
  <c r="Q115" i="73" a="1"/>
  <c r="Q115" i="73" s="1"/>
  <c r="Q59" i="85" s="1"/>
  <c r="Q119" i="73" a="1"/>
  <c r="Q119" i="73" s="1"/>
  <c r="Q120" i="73" a="1"/>
  <c r="Q120" i="73" s="1"/>
  <c r="Q118" i="73" a="1"/>
  <c r="Q118" i="73" s="1"/>
  <c r="Q62" i="85" s="1"/>
  <c r="Q117" i="73" a="1"/>
  <c r="Q117" i="73" s="1"/>
  <c r="Q61" i="85" s="1"/>
  <c r="Q56" i="85"/>
  <c r="M118" i="82" a="1"/>
  <c r="M118" i="82" s="1"/>
  <c r="M76" i="85" s="1"/>
  <c r="M121" i="82" a="1"/>
  <c r="M121" i="82" s="1"/>
  <c r="M114" i="82" a="1"/>
  <c r="M114" i="82" s="1"/>
  <c r="M72" i="85" s="1"/>
  <c r="M117" i="82" a="1"/>
  <c r="M117" i="82" s="1"/>
  <c r="M75" i="85" s="1"/>
  <c r="M120" i="82" a="1"/>
  <c r="M120" i="82" s="1"/>
  <c r="M115" i="82" a="1"/>
  <c r="M115" i="82" s="1"/>
  <c r="M73" i="85" s="1"/>
  <c r="M116" i="82" a="1"/>
  <c r="M116" i="82" s="1"/>
  <c r="M74" i="85" s="1"/>
  <c r="M119" i="82" a="1"/>
  <c r="M119" i="82" s="1"/>
  <c r="M70" i="85"/>
  <c r="J115" i="73" a="1"/>
  <c r="J115" i="73" s="1"/>
  <c r="J59" i="85" s="1"/>
  <c r="J120" i="73" a="1"/>
  <c r="J120" i="73" s="1"/>
  <c r="J117" i="73" a="1"/>
  <c r="J117" i="73" s="1"/>
  <c r="J61" i="85" s="1"/>
  <c r="J119" i="73" a="1"/>
  <c r="J119" i="73" s="1"/>
  <c r="J118" i="73" a="1"/>
  <c r="J118" i="73" s="1"/>
  <c r="J62" i="85" s="1"/>
  <c r="J121" i="73" a="1"/>
  <c r="J121" i="73" s="1"/>
  <c r="J114" i="73" a="1"/>
  <c r="J114" i="73" s="1"/>
  <c r="J58" i="85" s="1"/>
  <c r="J116" i="73" a="1"/>
  <c r="J116" i="73" s="1"/>
  <c r="J60" i="85" s="1"/>
  <c r="J56" i="85"/>
  <c r="O117" i="82" a="1"/>
  <c r="O117" i="82" s="1"/>
  <c r="O75" i="85" s="1"/>
  <c r="O120" i="82" a="1"/>
  <c r="O120" i="82" s="1"/>
  <c r="O118" i="82" a="1"/>
  <c r="O118" i="82" s="1"/>
  <c r="O76" i="85" s="1"/>
  <c r="O114" i="82" a="1"/>
  <c r="O114" i="82" s="1"/>
  <c r="O72" i="85" s="1"/>
  <c r="O115" i="82" a="1"/>
  <c r="O115" i="82" s="1"/>
  <c r="O73" i="85" s="1"/>
  <c r="O121" i="82" a="1"/>
  <c r="O121" i="82" s="1"/>
  <c r="O119" i="82" a="1"/>
  <c r="O119" i="82" s="1"/>
  <c r="O116" i="82" a="1"/>
  <c r="O116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5" i="73" a="1"/>
  <c r="L115" i="73" s="1"/>
  <c r="L59" i="85" s="1"/>
  <c r="L117" i="73" a="1"/>
  <c r="L117" i="73" s="1"/>
  <c r="L61" i="85" s="1"/>
  <c r="L119" i="73" a="1"/>
  <c r="L119" i="73" s="1"/>
  <c r="L114" i="73" a="1"/>
  <c r="L114" i="73" s="1"/>
  <c r="L58" i="85" s="1"/>
  <c r="L118" i="73" a="1"/>
  <c r="L118" i="73" s="1"/>
  <c r="L62" i="85" s="1"/>
  <c r="L121" i="73" a="1"/>
  <c r="L121" i="73" s="1"/>
  <c r="L116" i="73" a="1"/>
  <c r="L116" i="73" s="1"/>
  <c r="L60" i="85" s="1"/>
  <c r="L120" i="73" a="1"/>
  <c r="L120" i="73" s="1"/>
  <c r="L56" i="85"/>
  <c r="Q118" i="72" a="1"/>
  <c r="Q118" i="72" s="1"/>
  <c r="Q117" i="72" a="1"/>
  <c r="Q117" i="72" s="1"/>
  <c r="Q114" i="72" a="1"/>
  <c r="Q114" i="72" s="1"/>
  <c r="Q120" i="72" a="1"/>
  <c r="Q120" i="72" s="1"/>
  <c r="Q119" i="72" a="1"/>
  <c r="Q119" i="72" s="1"/>
  <c r="Q115" i="72" a="1"/>
  <c r="Q115" i="72" s="1"/>
  <c r="Q121" i="72" a="1"/>
  <c r="Q121" i="72" s="1"/>
  <c r="Q116" i="72" a="1"/>
  <c r="Q116" i="72" s="1"/>
  <c r="Q42" i="85"/>
  <c r="AG65" i="85"/>
  <c r="AG63" i="85"/>
  <c r="AG64" i="85"/>
  <c r="T65" i="85"/>
  <c r="T63" i="85"/>
  <c r="T64" i="85"/>
  <c r="X65" i="85"/>
  <c r="X63" i="85"/>
  <c r="X64" i="85"/>
  <c r="L115" i="72" a="1"/>
  <c r="L115" i="72" s="1"/>
  <c r="L118" i="72" a="1"/>
  <c r="L118" i="72" s="1"/>
  <c r="L121" i="72" a="1"/>
  <c r="L121" i="72" s="1"/>
  <c r="L116" i="72" a="1"/>
  <c r="L116" i="72" s="1"/>
  <c r="L120" i="72" a="1"/>
  <c r="L120" i="72" s="1"/>
  <c r="L117" i="72" a="1"/>
  <c r="L117" i="72" s="1"/>
  <c r="L114" i="72" a="1"/>
  <c r="L114" i="72" s="1"/>
  <c r="L119" i="72" a="1"/>
  <c r="L119" i="72" s="1"/>
  <c r="L42" i="85"/>
  <c r="AD64" i="85"/>
  <c r="AD63" i="85"/>
  <c r="AD65" i="85"/>
  <c r="Z79" i="85"/>
  <c r="Z77" i="85"/>
  <c r="Z78" i="85"/>
  <c r="M114" i="73" a="1"/>
  <c r="M114" i="73" s="1"/>
  <c r="M58" i="85" s="1"/>
  <c r="M119" i="73" a="1"/>
  <c r="M119" i="73" s="1"/>
  <c r="M117" i="73" a="1"/>
  <c r="M117" i="73" s="1"/>
  <c r="M61" i="85" s="1"/>
  <c r="M116" i="73" a="1"/>
  <c r="M116" i="73" s="1"/>
  <c r="M60" i="85" s="1"/>
  <c r="M115" i="73" a="1"/>
  <c r="M115" i="73" s="1"/>
  <c r="M59" i="85" s="1"/>
  <c r="M120" i="73" a="1"/>
  <c r="M120" i="73" s="1"/>
  <c r="M121" i="73" a="1"/>
  <c r="M121" i="73" s="1"/>
  <c r="M118" i="73" a="1"/>
  <c r="M118" i="73" s="1"/>
  <c r="M62" i="85" s="1"/>
  <c r="M56" i="85"/>
  <c r="P114" i="82" a="1"/>
  <c r="P114" i="82" s="1"/>
  <c r="P72" i="85" s="1"/>
  <c r="P117" i="82" a="1"/>
  <c r="P117" i="82" s="1"/>
  <c r="P75" i="85" s="1"/>
  <c r="P120" i="82" a="1"/>
  <c r="P120" i="82" s="1"/>
  <c r="P118" i="82" a="1"/>
  <c r="P118" i="82" s="1"/>
  <c r="P76" i="85" s="1"/>
  <c r="P115" i="82" a="1"/>
  <c r="P115" i="82" s="1"/>
  <c r="P73" i="85" s="1"/>
  <c r="P121" i="82" a="1"/>
  <c r="P121" i="82" s="1"/>
  <c r="P119" i="82" a="1"/>
  <c r="P119" i="82" s="1"/>
  <c r="P116" i="82" a="1"/>
  <c r="P116" i="82" s="1"/>
  <c r="P74" i="85" s="1"/>
  <c r="P70" i="85"/>
  <c r="J115" i="82" a="1"/>
  <c r="J115" i="82" s="1"/>
  <c r="J73" i="85" s="1"/>
  <c r="J118" i="82" a="1"/>
  <c r="J118" i="82" s="1"/>
  <c r="J76" i="85" s="1"/>
  <c r="J121" i="82" a="1"/>
  <c r="J121" i="82" s="1"/>
  <c r="J114" i="82" a="1"/>
  <c r="J114" i="82" s="1"/>
  <c r="J72" i="85" s="1"/>
  <c r="J117" i="82" a="1"/>
  <c r="J117" i="82" s="1"/>
  <c r="J75" i="85" s="1"/>
  <c r="J116" i="82" a="1"/>
  <c r="J116" i="82" s="1"/>
  <c r="J74" i="85" s="1"/>
  <c r="J119" i="82" a="1"/>
  <c r="J119" i="82" s="1"/>
  <c r="J120" i="82" a="1"/>
  <c r="J120" i="82" s="1"/>
  <c r="J70" i="85"/>
  <c r="O117" i="73" a="1"/>
  <c r="O117" i="73" s="1"/>
  <c r="O61" i="85" s="1"/>
  <c r="O114" i="73" a="1"/>
  <c r="O114" i="73" s="1"/>
  <c r="O58" i="85" s="1"/>
  <c r="O119" i="73" a="1"/>
  <c r="O119" i="73" s="1"/>
  <c r="O116" i="73" a="1"/>
  <c r="O116" i="73" s="1"/>
  <c r="O60" i="85" s="1"/>
  <c r="O121" i="73" a="1"/>
  <c r="O121" i="73" s="1"/>
  <c r="O118" i="73" a="1"/>
  <c r="O118" i="73" s="1"/>
  <c r="O62" i="85" s="1"/>
  <c r="O115" i="73" a="1"/>
  <c r="O115" i="73" s="1"/>
  <c r="O59" i="85" s="1"/>
  <c r="O120" i="73" a="1"/>
  <c r="O120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10" i="81"/>
  <c r="F66" i="75"/>
  <c r="G12" i="33" s="1"/>
  <c r="F38" i="75"/>
  <c r="G10" i="33" s="1"/>
  <c r="F51" i="75" l="1" a="1"/>
  <c r="F51" i="75" s="1"/>
  <c r="F70" i="85"/>
  <c r="F76" i="85"/>
  <c r="F42" i="85"/>
  <c r="N65" i="85"/>
  <c r="N63" i="85"/>
  <c r="N64" i="85"/>
  <c r="L63" i="85"/>
  <c r="L64" i="85"/>
  <c r="L65" i="85"/>
  <c r="O79" i="85"/>
  <c r="O77" i="85"/>
  <c r="O78" i="85"/>
  <c r="I120" i="73" a="1"/>
  <c r="I120" i="73" s="1"/>
  <c r="I117" i="73" a="1"/>
  <c r="I117" i="73" s="1"/>
  <c r="I61" i="85" s="1"/>
  <c r="F61" i="85" s="1"/>
  <c r="I114" i="73" a="1"/>
  <c r="I114" i="73" s="1"/>
  <c r="I58" i="85" s="1"/>
  <c r="F58" i="85" s="1"/>
  <c r="I116" i="73" a="1"/>
  <c r="I116" i="73" s="1"/>
  <c r="I60" i="85" s="1"/>
  <c r="F60" i="85" s="1"/>
  <c r="I118" i="73" a="1"/>
  <c r="I118" i="73" s="1"/>
  <c r="I62" i="85" s="1"/>
  <c r="F62" i="85" s="1"/>
  <c r="I121" i="73" a="1"/>
  <c r="I121" i="73" s="1"/>
  <c r="I119" i="73" a="1"/>
  <c r="I119" i="73" s="1"/>
  <c r="I115" i="73" a="1"/>
  <c r="I115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7" i="81" a="1"/>
  <c r="Q117" i="81" s="1"/>
  <c r="Q121" i="81" a="1"/>
  <c r="Q121" i="81" s="1"/>
  <c r="Q115" i="81" a="1"/>
  <c r="Q115" i="81" s="1"/>
  <c r="Q114" i="81" a="1"/>
  <c r="Q114" i="81" s="1"/>
  <c r="Q120" i="81" a="1"/>
  <c r="Q120" i="81" s="1"/>
  <c r="Q118" i="81" a="1"/>
  <c r="Q118" i="81" s="1"/>
  <c r="Q119" i="81" a="1"/>
  <c r="Q119" i="81" s="1"/>
  <c r="Q116" i="81" a="1"/>
  <c r="Q116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J30" i="33"/>
  <c r="G30" i="33"/>
  <c r="F31" i="33"/>
  <c r="I30" i="33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B22" i="85" l="1"/>
  <c r="D22" i="85" s="1"/>
  <c r="B21" i="85"/>
  <c r="D21" i="85" s="1"/>
  <c r="G119" i="81"/>
  <c r="B46" i="85"/>
  <c r="D46" i="85" s="1"/>
  <c r="G120" i="81"/>
  <c r="B17" i="85"/>
  <c r="D17" i="85" s="1"/>
  <c r="B36" i="85"/>
  <c r="B19" i="85"/>
  <c r="D19" i="85" s="1"/>
  <c r="B20" i="85"/>
  <c r="D20" i="85" s="1"/>
  <c r="G117" i="81"/>
  <c r="B23" i="85"/>
  <c r="D23" i="85" s="1"/>
  <c r="B18" i="85"/>
  <c r="D18" i="85" s="1"/>
  <c r="B33" i="85"/>
  <c r="B49" i="85"/>
  <c r="D49" i="85" s="1"/>
  <c r="G118" i="81"/>
  <c r="B34" i="85"/>
  <c r="B35" i="85"/>
  <c r="D35" i="85" s="1"/>
  <c r="B51" i="85"/>
  <c r="D51" i="85" s="1"/>
  <c r="G116" i="81"/>
  <c r="G121" i="81"/>
  <c r="B47" i="85"/>
  <c r="D47" i="85" s="1"/>
  <c r="B37" i="85"/>
  <c r="D37" i="85" s="1"/>
  <c r="G115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4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W30" i="85" l="1"/>
  <c r="F91" i="85"/>
  <c r="I68" i="33" s="1"/>
  <c r="F94" i="85"/>
  <c r="I71" i="33" s="1"/>
  <c r="G91" i="85"/>
  <c r="J68" i="33" s="1"/>
  <c r="G93" i="85"/>
  <c r="J70" i="33" s="1"/>
  <c r="F93" i="85"/>
  <c r="I70" i="33" s="1"/>
  <c r="G90" i="85"/>
  <c r="J67" i="33" s="1"/>
  <c r="F92" i="85"/>
  <c r="I69" i="33" s="1"/>
  <c r="F90" i="85"/>
  <c r="I67" i="33" s="1"/>
  <c r="F95" i="85"/>
  <c r="I72" i="33" s="1"/>
  <c r="G95" i="85"/>
  <c r="J72" i="33" s="1"/>
  <c r="G92" i="85"/>
  <c r="J69" i="33" s="1"/>
  <c r="G94" i="85"/>
  <c r="J71" i="33" s="1"/>
  <c r="F44" i="85"/>
  <c r="E91" i="85" s="1"/>
  <c r="H68" i="33" s="1"/>
  <c r="F45" i="85"/>
  <c r="F50" i="85"/>
  <c r="F48" i="85"/>
  <c r="E90" i="85"/>
  <c r="H67" i="33" s="1"/>
  <c r="E92" i="85"/>
  <c r="H69" i="33" s="1"/>
  <c r="E95" i="85"/>
  <c r="H72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I90" i="85"/>
  <c r="K90" i="85" s="1"/>
  <c r="L67" i="33" s="1"/>
  <c r="F30" i="85"/>
  <c r="D91" i="85" s="1"/>
  <c r="G68" i="33" l="1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<sst xmlns="http://schemas.openxmlformats.org/spreadsheetml/2006/main" count="755" uniqueCount="257">
  <si>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</si>
  <si>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</si>
  <si>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</si>
  <si>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</si>
  <si>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</si>
  <si>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</si>
  <si>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</si>
  <si>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</si>
  <si>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</si>
  <si>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</si>
  <si>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</si>
  <si>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</si>
  <si>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</si>
  <si>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</si>
  <si>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</si>
  <si>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</si>
  <si>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</si>
  <si>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</si>
  <si>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</si>
  <si>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</si>
  <si>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</si>
  <si>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</si>
  <si>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</si>
  <si>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</si>
  <si>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</si>
  <si>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</si>
  <si>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</si>
  <si>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</si>
  <si>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</si>
  <si>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</si>
  <si>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</si>
  <si>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</si>
  <si>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</si>
  <si>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</si>
  <si>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</si>
  <si>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</si>
  <si>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</si>
  <si>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</si>
  <si>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</si>
  <si>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</si>
  <si>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</si>
  <si>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</si>
  <si>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</si>
  <si>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</si>
  <si>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</si>
  <si>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</si>
  <si>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</si>
  <si>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</si>
  <si>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</si>
  <si>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</si>
  <si>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</si>
  <si>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</si>
  <si>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</si>
  <si>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</si>
  <si>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</si>
  <si>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</si>
  <si>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</si>
  <si>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</si>
  <si>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</si>
  <si>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</si>
  <si>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</si>
  <si>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</si>
  <si>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</si>
  <si>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</si>
  <si>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</si>
  <si>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</si>
  <si>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</si>
  <si>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</si>
  <si>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</si>
  <si>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</si>
  <si>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</si>
  <si>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</si>
  <si>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</si>
  <si>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</si>
  <si>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</si>
  <si>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</si>
  <si>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</si>
  <si>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</si>
  <si>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</si>
  <si>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</si>
  <si>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</si>
  <si>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</si>
  <si>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</si>
  <si>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</si>
  <si>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</si>
  <si>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</si>
  <si>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</si>
  <si>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</si>
  <si>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</si>
  <si>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</si>
  <si>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</si>
  <si>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</si>
  <si>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</si>
  <si>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</si>
  <si>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</si>
  <si>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</si>
  <si>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</si>
  <si>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</si>
  <si>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</si>
  <si>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</si>
  <si>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</si>
  <si>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</si>
  <si>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</si>
  <si>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</si>
  <si>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</si>
  <si>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</si>
  <si>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</si>
  <si>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</si>
  <si>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</si>
  <si>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</si>
  <si>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</si>
  <si>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</si>
  <si>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</si>
  <si>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</si>
  <si>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</si>
  <si>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</si>
  <si>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</si>
  <si>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</si>
  <si>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</si>
  <si>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</si>
  <si>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</si>
  <si>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</si>
  <si>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</si>
  <si>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</si>
  <si>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</si>
  <si>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</si>
  <si>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</si>
  <si>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</si>
  <si>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</si>
  <si>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</si>
  <si>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</si>
  <si>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</si>
  <si>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</si>
  <si>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</si>
  <si>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</si>
  <si>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</si>
  <si>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</si>
  <si>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</si>
  <si>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</si>
  <si>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</si>
  <si>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</si>
  <si>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</si>
  <si>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</si>
  <si>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</si>
  <si>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</si>
  <si>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</si>
  <si>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</si>
  <si>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</si>
  <si>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</si>
  <si>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</si>
  <si>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</si>
  <si>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</si>
  <si>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</si>
  <si>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</si>
  <si>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</si>
  <si>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</si>
  <si>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</si>
  <si>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</si>
  <si>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</si>
  <si>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</si>
  <si>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</si>
  <si>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</si>
  <si>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</si>
  <si>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</si>
  <si>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</si>
  <si>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</si>
  <si>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</si>
  <si>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</si>
  <si>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</si>
  <si>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</si>
  <si>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</si>
  <si>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</si>
  <si>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</si>
  <si>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</si>
  <si>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</si>
  <si>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</si>
  <si>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</si>
  <si>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</si>
  <si>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</si>
  <si>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</si>
  <si>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</si>
  <si>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</si>
  <si>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</si>
  <si>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</si>
  <si>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</si>
  <si>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</si>
  <si>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</si>
  <si>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</si>
  <si>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</si>
  <si>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</si>
  <si>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</si>
  <si>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</si>
  <si>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</si>
  <si>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</si>
  <si>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</si>
  <si>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</si>
  <si>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</si>
  <si>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</si>
  <si>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</si>
  <si>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</si>
  <si>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</si>
  <si>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</si>
  <si>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</si>
  <si>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</si>
  <si>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</si>
  <si>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</si>
  <si>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</si>
  <si>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</si>
  <si>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</si>
  <si>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</si>
  <si>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</si>
  <si>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</si>
  <si>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</si>
  <si>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</si>
  <si>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</si>
  <si>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</si>
  <si>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</si>
  <si>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</si>
  <si>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</si>
  <si>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</si>
  <si>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</si>
  <si>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</si>
  <si>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</si>
  <si>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</si>
  <si>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</si>
  <si>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</si>
  <si>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</si>
  <si>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</si>
  <si>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</si>
  <si>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</si>
  <si>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</si>
  <si>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</si>
  <si>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</si>
  <si>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</si>
  <si>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</si>
  <si>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</si>
  <si>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</si>
  <si>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</si>
  <si>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</si>
  <si>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</si>
  <si>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</si>
  <si>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</si>
  <si>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</si>
  <si>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</si>
  <si>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</si>
  <si>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Melton &amp; Wyndham Transformation Capacity Project</t>
  </si>
  <si>
    <t>Southern capacity priority</t>
  </si>
  <si>
    <t>Northern capacity priority</t>
  </si>
  <si>
    <t>Lean investment, Northern capacity priority</t>
  </si>
  <si>
    <t>Lean investment, Southern capacity priority</t>
  </si>
  <si>
    <t>Region average</t>
  </si>
  <si>
    <t>Melton/Wyndham</t>
  </si>
  <si>
    <t>MTC 3rd Tx</t>
  </si>
  <si>
    <t>BMH Rebuild</t>
  </si>
  <si>
    <t>PCK Stage 1</t>
  </si>
  <si>
    <t>New RBE ZSS</t>
  </si>
  <si>
    <t>Greater western Melbourne supply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</si>
</sst>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2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86" fillId="0" borderId="0" xfId="20" applyNumberFormat="1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4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1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6.7600245031355266</c:v>
                </c:pt>
                <c:pt idx="1">
                  <c:v>6.7600245031355266</c:v>
                </c:pt>
                <c:pt idx="2">
                  <c:v>6.7600245031355266</c:v>
                </c:pt>
                <c:pt idx="3">
                  <c:v>6.7600245031355266</c:v>
                </c:pt>
                <c:pt idx="4">
                  <c:v>6.7600245031355266</c:v>
                </c:pt>
                <c:pt idx="5">
                  <c:v>6.7600245031355266</c:v>
                </c:pt>
                <c:pt idx="6">
                  <c:v>6.7600245031355266</c:v>
                </c:pt>
                <c:pt idx="7">
                  <c:v>6.7600245031355266</c:v>
                </c:pt>
                <c:pt idx="8">
                  <c:v>6.7600245031355266</c:v>
                </c:pt>
                <c:pt idx="9">
                  <c:v>6.7600245031355266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5.9714227870944585</c:v>
                </c:pt>
                <c:pt idx="1">
                  <c:v>10.047369533328707</c:v>
                </c:pt>
                <c:pt idx="2">
                  <c:v>13.156180705389129</c:v>
                </c:pt>
                <c:pt idx="3">
                  <c:v>16.407257638034217</c:v>
                </c:pt>
                <c:pt idx="4">
                  <c:v>21.034898585603145</c:v>
                </c:pt>
                <c:pt idx="5">
                  <c:v>28.916203875794466</c:v>
                </c:pt>
                <c:pt idx="6">
                  <c:v>41.69690855869807</c:v>
                </c:pt>
                <c:pt idx="7">
                  <c:v>55.454666058268892</c:v>
                </c:pt>
                <c:pt idx="8">
                  <c:v>69.092963556140674</c:v>
                </c:pt>
                <c:pt idx="9">
                  <c:v>69.092963556140674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662326388888894E-2"/>
          <c:y val="8.5556894243641227E-2"/>
          <c:w val="0.89773680555555535"/>
          <c:h val="0.798845716198125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5.365580853377395</c:v>
                </c:pt>
                <c:pt idx="1">
                  <c:v>9.027994753837735</c:v>
                </c:pt>
                <c:pt idx="2">
                  <c:v>11.821395639406161</c:v>
                </c:pt>
                <c:pt idx="3">
                  <c:v>14.742628445155152</c:v>
                </c:pt>
                <c:pt idx="4">
                  <c:v>18.90076337377619</c:v>
                </c:pt>
                <c:pt idx="5">
                  <c:v>25.982456007576232</c:v>
                </c:pt>
                <c:pt idx="6">
                  <c:v>37.466470250792405</c:v>
                </c:pt>
                <c:pt idx="7">
                  <c:v>49.828408578898056</c:v>
                </c:pt>
                <c:pt idx="8">
                  <c:v>62.083006944533452</c:v>
                </c:pt>
                <c:pt idx="9">
                  <c:v>62.083006944533452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19050</xdr:rowOff>
    </xdr:from>
    <xdr:to>
      <xdr:col>10</xdr:col>
      <xdr:colOff>247650</xdr:colOff>
      <xdr:row>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B0DFB7-A4DA-8835-9143-74793CE3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9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1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1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7" sqref="A27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6"/>
    </row>
    <row r="2" spans="1:19" ht="23.25" x14ac:dyDescent="0.35">
      <c r="A2" s="316"/>
      <c r="C2" s="317" t="s">
        <v>3</v>
      </c>
      <c r="D2" s="318"/>
      <c r="E2" s="318"/>
    </row>
    <row r="3" spans="1:19" ht="15.75" x14ac:dyDescent="0.25">
      <c r="A3" s="316"/>
      <c r="C3" s="319" t="s">
        <v>242</v>
      </c>
      <c r="D3" s="318"/>
      <c r="E3" s="318"/>
    </row>
    <row r="4" spans="1:19" x14ac:dyDescent="0.25">
      <c r="A4" s="316"/>
      <c r="D4" s="318"/>
      <c r="E4" s="318"/>
    </row>
    <row r="5" spans="1:19" x14ac:dyDescent="0.25">
      <c r="A5" s="316"/>
      <c r="C5" s="320" t="s">
        <v>256</v>
      </c>
    </row>
    <row r="6" spans="1:19" x14ac:dyDescent="0.25">
      <c r="A6" s="316"/>
      <c r="C6" s="321" t="s">
        <v>243</v>
      </c>
      <c r="D6" s="329">
        <v>3.01</v>
      </c>
      <c r="E6" s="321"/>
    </row>
    <row r="7" spans="1:19" x14ac:dyDescent="0.25">
      <c r="A7" s="316"/>
      <c r="F7" s="322"/>
      <c r="G7" s="322"/>
      <c r="H7" s="322"/>
      <c r="J7" s="322"/>
      <c r="K7" s="322"/>
      <c r="L7" s="322"/>
      <c r="M7" s="322"/>
      <c r="N7" s="322"/>
      <c r="O7" s="322"/>
      <c r="P7" s="322"/>
      <c r="Q7" s="322"/>
      <c r="R7" s="322"/>
      <c r="S7" s="322"/>
    </row>
    <row r="8" spans="1:19" x14ac:dyDescent="0.25">
      <c r="A8" s="316"/>
      <c r="C8" s="323">
        <v>45688</v>
      </c>
      <c r="F8" s="322"/>
      <c r="G8" s="322"/>
      <c r="H8" s="322"/>
      <c r="J8" s="322"/>
      <c r="K8" s="322"/>
      <c r="L8" s="322"/>
      <c r="M8" s="322"/>
      <c r="N8" s="322"/>
      <c r="O8" s="322"/>
      <c r="P8" s="322"/>
      <c r="Q8" s="322"/>
      <c r="R8" s="322"/>
      <c r="S8" s="322"/>
    </row>
    <row r="9" spans="1:19" x14ac:dyDescent="0.25">
      <c r="A9" s="316"/>
      <c r="C9" s="324"/>
      <c r="D9" s="324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</row>
    <row r="10" spans="1:19" x14ac:dyDescent="0.25">
      <c r="A10" s="316"/>
      <c r="C10" s="324"/>
      <c r="D10" s="324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</row>
    <row r="11" spans="1:19" x14ac:dyDescent="0.25">
      <c r="A11" s="316"/>
      <c r="C11" s="324"/>
      <c r="D11" s="324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</row>
    <row r="12" spans="1:19" x14ac:dyDescent="0.25">
      <c r="A12" s="316"/>
      <c r="C12" s="324"/>
      <c r="D12" s="324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</row>
    <row r="13" spans="1:19" x14ac:dyDescent="0.25">
      <c r="A13" s="316"/>
      <c r="C13" s="324"/>
      <c r="D13" s="324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</row>
    <row r="14" spans="1:19" x14ac:dyDescent="0.25">
      <c r="A14" s="316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</row>
    <row r="15" spans="1:19" x14ac:dyDescent="0.25">
      <c r="A15" s="316"/>
      <c r="C15" s="320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</row>
    <row r="16" spans="1:19" x14ac:dyDescent="0.25">
      <c r="A16" s="316"/>
      <c r="C16" s="320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</row>
    <row r="17" spans="1:19" x14ac:dyDescent="0.25">
      <c r="A17" s="316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</row>
    <row r="18" spans="1:19" x14ac:dyDescent="0.25">
      <c r="A18" s="316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</row>
    <row r="19" spans="1:19" x14ac:dyDescent="0.25">
      <c r="A19" s="316"/>
      <c r="C19" s="322"/>
      <c r="D19" s="322"/>
      <c r="E19" s="322"/>
      <c r="F19" s="322"/>
      <c r="G19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</row>
    <row r="20" spans="1:19" x14ac:dyDescent="0.25">
      <c r="A20" s="316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</row>
    <row r="21" spans="1:19" x14ac:dyDescent="0.25">
      <c r="A21" s="316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</row>
    <row r="22" spans="1:19" x14ac:dyDescent="0.25">
      <c r="A22" s="316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</row>
    <row r="23" spans="1:19" x14ac:dyDescent="0.25">
      <c r="A23" s="316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</row>
    <row r="24" spans="1:19" x14ac:dyDescent="0.25">
      <c r="A24" s="316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</row>
    <row r="25" spans="1:19" x14ac:dyDescent="0.25">
      <c r="A25" s="316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</row>
    <row r="26" spans="1:19" x14ac:dyDescent="0.25">
      <c r="A26" s="316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</row>
    <row r="27" spans="1:19" x14ac:dyDescent="0.25">
      <c r="A27" s="316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</row>
    <row r="28" spans="1:19" x14ac:dyDescent="0.25">
      <c r="A28" s="316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</row>
    <row r="29" spans="1:19" x14ac:dyDescent="0.25">
      <c r="A29" s="316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</row>
    <row r="30" spans="1:19" x14ac:dyDescent="0.25">
      <c r="A30" s="316"/>
      <c r="C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</row>
    <row r="31" spans="1:19" x14ac:dyDescent="0.25">
      <c r="A31" s="316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</row>
    <row r="32" spans="1:19" x14ac:dyDescent="0.25">
      <c r="A32" s="316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</row>
    <row r="33" spans="1:19" x14ac:dyDescent="0.25">
      <c r="A33" s="316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</row>
    <row r="34" spans="1:19" x14ac:dyDescent="0.25">
      <c r="A34" s="316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</row>
    <row r="35" spans="1:19" x14ac:dyDescent="0.25">
      <c r="A35" s="316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</row>
    <row r="36" spans="1:19" x14ac:dyDescent="0.25">
      <c r="A36" s="316"/>
    </row>
    <row r="37" spans="1:19" x14ac:dyDescent="0.25">
      <c r="A37" s="316"/>
    </row>
    <row r="38" spans="1:19" x14ac:dyDescent="0.25">
      <c r="A38" s="316"/>
    </row>
    <row r="39" spans="1:19" x14ac:dyDescent="0.25">
      <c r="A39" s="316"/>
    </row>
    <row r="40" spans="1:19" x14ac:dyDescent="0.25">
      <c r="A40" s="316">
        <f ca="1">_xlfn.SHEETS()</f>
        <v>12</v>
      </c>
    </row>
    <row r="41" spans="1:19" x14ac:dyDescent="0.25">
      <c r="A41" s="31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Melton &amp; Wyndham Transformation Capacity Project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7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5" t="s">
        <v>189</v>
      </c>
      <c r="H7" s="155" t="s">
        <v>190</v>
      </c>
      <c r="I7" s="155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8">
        <f>output_dollars</f>
        <v>46203</v>
      </c>
      <c r="H8" s="188">
        <f>output_dollars</f>
        <v>46203</v>
      </c>
      <c r="I8" s="188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Southern capacity priority</v>
      </c>
      <c r="E10" s="334"/>
      <c r="F10" s="334"/>
      <c r="G10" s="103">
        <f>IF(Data!$C10, "", INDEX(Consol!$F$15:$F$82, MATCH($C10&amp;G$7, Consol!$D$15:$D$82,0))/mill_conv)</f>
        <v>-76.188514826549024</v>
      </c>
      <c r="H10" s="103">
        <f>IF(Data!$C10, "", INDEX(Consol!$F$15:$F$82, MATCH($C10&amp;H$7, Consol!$D$15:$D$82,0))/mill_conv)</f>
        <v>659.35194803823867</v>
      </c>
      <c r="I10" s="103">
        <f>IF(Data!$C10, "", INDEX(Consol!$F$15:$F$82, MATCH($C10&amp;I$7, Consol!$D$15:$D$82,0))/mill_conv)</f>
        <v>583.16343321168972</v>
      </c>
    </row>
    <row r="11" spans="1:13" s="7" customFormat="1" ht="12.75" x14ac:dyDescent="0.2">
      <c r="C11" s="91" t="str">
        <v>Option 3</v>
      </c>
      <c r="D11" s="333" t="str">
        <f>INDEX(Assumptions!$E$14:$E$18, MATCH(C11, Assumptions!$C$14:$C$18,0))</f>
        <v>Northern capacity priority</v>
      </c>
      <c r="E11" s="334"/>
      <c r="F11" s="334"/>
      <c r="G11" s="103">
        <f>IF(Data!$C11, "", INDEX(Consol!$F$15:$F$82, MATCH($C11&amp;G$7, Consol!$D$15:$D$82,0))/mill_conv)</f>
        <v>-75.463712872017609</v>
      </c>
      <c r="H11" s="103">
        <f>IF(Data!$C11, "", INDEX(Consol!$F$15:$F$82, MATCH($C11&amp;H$7, Consol!$D$15:$D$82,0))/mill_conv)</f>
        <v>658.17733832858983</v>
      </c>
      <c r="I11" s="103">
        <f>IF(Data!$C11, "", INDEX(Consol!$F$15:$F$82, MATCH($C11&amp;I$7, Consol!$D$15:$D$82,0))/mill_conv)</f>
        <v>582.713625456572</v>
      </c>
    </row>
    <row r="12" spans="1:13" s="7" customFormat="1" ht="12.75" x14ac:dyDescent="0.2">
      <c r="C12" s="91" t="str">
        <v>Option 4</v>
      </c>
      <c r="D12" s="333" t="str">
        <f>INDEX(Assumptions!$E$14:$E$18, MATCH(C12, Assumptions!$C$14:$C$18,0))</f>
        <v>Lean investment, Northern capacity priority</v>
      </c>
      <c r="E12" s="334"/>
      <c r="F12" s="334"/>
      <c r="G12" s="103">
        <f>IF(Data!$C12, "", INDEX(Consol!$F$15:$F$82, MATCH($C12&amp;G$7, Consol!$D$15:$D$82,0))/mill_conv)</f>
        <v>-62.575776748095024</v>
      </c>
      <c r="H12" s="103">
        <f>IF(Data!$C12, "", INDEX(Consol!$F$15:$F$82, MATCH($C12&amp;H$7, Consol!$D$15:$D$82,0))/mill_conv)</f>
        <v>625.64045378395747</v>
      </c>
      <c r="I12" s="103">
        <f>IF(Data!$C12, "", INDEX(Consol!$F$15:$F$82, MATCH($C12&amp;I$7, Consol!$D$15:$D$82,0))/mill_conv)</f>
        <v>563.06467703586247</v>
      </c>
    </row>
    <row r="13" spans="1:13" s="7" customFormat="1" ht="12.75" x14ac:dyDescent="0.2">
      <c r="C13" s="91" t="str">
        <v>Option 5</v>
      </c>
      <c r="D13" s="333" t="str">
        <f>INDEX(Assumptions!$E$14:$E$18, MATCH(C13, Assumptions!$C$14:$C$18,0))</f>
        <v>Lean investment, Southern capacity priority</v>
      </c>
      <c r="E13" s="334"/>
      <c r="F13" s="334"/>
      <c r="G13" s="103">
        <f>IF(Data!$C13, "", INDEX(Consol!$F$15:$F$82, MATCH($C13&amp;G$7, Consol!$D$15:$D$82,0))/mill_conv)</f>
        <v>-59.170738791948175</v>
      </c>
      <c r="H13" s="103">
        <f>IF(Data!$C13, "", INDEX(Consol!$F$15:$F$82, MATCH($C13&amp;H$7, Consol!$D$15:$D$82,0))/mill_conv)</f>
        <v>613.18084194503876</v>
      </c>
      <c r="I13" s="103">
        <f>IF(Data!$C13, "", INDEX(Consol!$F$15:$F$82, MATCH($C13&amp;I$7, Consol!$D$15:$D$82,0))/mill_conv)</f>
        <v>554.01010315309077</v>
      </c>
    </row>
    <row r="14" spans="1:13" s="7" customFormat="1" ht="12.75" x14ac:dyDescent="0.2">
      <c r="C14" s="91"/>
      <c r="D14" s="252"/>
      <c r="E14" s="252"/>
      <c r="F14" s="246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5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8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Southern capacity priority</v>
      </c>
      <c r="E18" s="330"/>
      <c r="F18" s="330"/>
      <c r="G18" s="104">
        <f>_xlfn.MAXIFS(I9:I13, IF(compliance, Data!$F$9:$F$13, Data!$C$9:$C$13),FALSE)</f>
        <v>583.16343321168972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4">
        <f>output_dollars</f>
        <v>46203</v>
      </c>
      <c r="E29" s="189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30.987262704963815</v>
      </c>
      <c r="G30" s="105">
        <f>-INDEX(Consol!J$15:J$82,MATCH($C$26&amp;$C30,Consol!$D$15:$D$82,0))/mill_conv</f>
        <v>21.100977320906793</v>
      </c>
      <c r="H30" s="105">
        <f>-INDEX(Consol!K$15:K$82,MATCH($C$26&amp;$C30,Consol!$D$15:$D$82,0))/mill_conv</f>
        <v>35.439974193158946</v>
      </c>
      <c r="I30" s="105">
        <f>-INDEX(Consol!L$15:L$82,MATCH($C$26&amp;$C30,Consol!$D$15:$D$82,0))/mill_conv</f>
        <v>44.165516215598188</v>
      </c>
      <c r="J30" s="105">
        <f>-INDEX(Consol!M$15:M$82,MATCH($C$26&amp;$C30,Consol!$D$15:$D$82,0))/mill_conv</f>
        <v>15.263615742698223</v>
      </c>
      <c r="K30" s="190"/>
      <c r="L30" s="190">
        <f>SUM(F30:J30)</f>
        <v>146.95734617732597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0</v>
      </c>
      <c r="I31" s="105">
        <f>-INDEX(Consol!L$15:L$82,MATCH($C$26&amp;$C31,Consol!$D$15:$D$82,0))/mill_conv</f>
        <v>0</v>
      </c>
      <c r="J31" s="105">
        <f>-INDEX(Consol!M$15:M$82,MATCH($C$26&amp;$C31,Consol!$D$15:$D$82,0))/mill_conv</f>
        <v>0</v>
      </c>
      <c r="K31" s="190"/>
      <c r="L31" s="190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8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 s="8" customFormat="1" ht="12.75" x14ac:dyDescent="0.2">
      <c r="C66" s="262" t="s">
        <v>220</v>
      </c>
      <c r="D66" s="189">
        <f>output_dollars</f>
        <v>46203</v>
      </c>
      <c r="E66" s="189"/>
      <c r="F66" s="263" t="str">
        <f>Sensitivity_calcs!C89</f>
        <v>Option 1 (base case)</v>
      </c>
      <c r="G66" s="263" t="str">
        <f>Sensitivity_calcs!D89</f>
        <v>Option 2</v>
      </c>
      <c r="H66" s="263" t="str">
        <f>Sensitivity_calcs!E89</f>
        <v>Option 3</v>
      </c>
      <c r="I66" s="263" t="str">
        <f>Sensitivity_calcs!F89</f>
        <v>Option 4</v>
      </c>
      <c r="J66" s="263" t="str">
        <f>Sensitivity_calcs!G89</f>
        <v>Option 5</v>
      </c>
      <c r="K66" s="267"/>
      <c r="L66" s="292" t="s">
        <v>218</v>
      </c>
      <c r="M66" s="267"/>
    </row>
    <row r="67" spans="3:13" s="8" customFormat="1" ht="12.75" x14ac:dyDescent="0.2">
      <c r="C67" s="290" t="str">
        <f>Sensitivity_calcs!B90</f>
        <v>None</v>
      </c>
      <c r="D67" s="270"/>
      <c r="E67" s="270"/>
      <c r="F67" s="291">
        <f>Sensitivity_calcs!C90</f>
        <v>0</v>
      </c>
      <c r="G67" s="291">
        <f>Sensitivity_calcs!D90</f>
        <v>583.16343321168972</v>
      </c>
      <c r="H67" s="291">
        <f>Sensitivity_calcs!E90</f>
        <v>582.713625456572</v>
      </c>
      <c r="I67" s="291">
        <f>Sensitivity_calcs!F90</f>
        <v>563.06467703586247</v>
      </c>
      <c r="J67" s="291">
        <f>Sensitivity_calcs!G90</f>
        <v>554.01010315309077</v>
      </c>
      <c r="K67" s="261"/>
      <c r="L67" s="293" t="str">
        <f>Sensitivity_calcs!K90</f>
        <v>Option 2</v>
      </c>
      <c r="M67" s="261"/>
    </row>
    <row r="68" spans="3:13" s="8" customFormat="1" ht="12.75" x14ac:dyDescent="0.2">
      <c r="C68" s="269" t="str">
        <f>Sensitivity_calcs!B91</f>
        <v>Capex 10% higher</v>
      </c>
      <c r="D68" s="269"/>
      <c r="E68" s="269"/>
      <c r="F68" s="283">
        <f>Sensitivity_calcs!C91</f>
        <v>0</v>
      </c>
      <c r="G68" s="278">
        <f>Sensitivity_calcs!D91</f>
        <v>575.5445817290348</v>
      </c>
      <c r="H68" s="278">
        <f>Sensitivity_calcs!E91</f>
        <v>575.16725416937027</v>
      </c>
      <c r="I68" s="278">
        <f>Sensitivity_calcs!F91</f>
        <v>556.80709936105291</v>
      </c>
      <c r="J68" s="278">
        <f>Sensitivity_calcs!G91</f>
        <v>548.0930292738957</v>
      </c>
      <c r="K68" s="261"/>
      <c r="L68" s="286" t="str">
        <f>Sensitivity_calcs!K91</f>
        <v>Option 2</v>
      </c>
      <c r="M68" s="261"/>
    </row>
    <row r="69" spans="3:13" s="8" customFormat="1" ht="12.75" x14ac:dyDescent="0.2">
      <c r="C69" s="269" t="str">
        <f>Sensitivity_calcs!B92</f>
        <v>Capex 10% lower</v>
      </c>
      <c r="D69" s="269"/>
      <c r="E69" s="269"/>
      <c r="F69" s="284">
        <f>Sensitivity_calcs!C92</f>
        <v>0</v>
      </c>
      <c r="G69" s="279">
        <f>Sensitivity_calcs!D92</f>
        <v>590.78228469434453</v>
      </c>
      <c r="H69" s="279">
        <f>Sensitivity_calcs!E92</f>
        <v>590.25999674377397</v>
      </c>
      <c r="I69" s="279">
        <f>Sensitivity_calcs!F92</f>
        <v>569.32225471067193</v>
      </c>
      <c r="J69" s="279">
        <f>Sensitivity_calcs!G92</f>
        <v>559.92717703228539</v>
      </c>
      <c r="K69" s="261"/>
      <c r="L69" s="286" t="str">
        <f>Sensitivity_calcs!K92</f>
        <v>Option 2</v>
      </c>
      <c r="M69" s="261"/>
    </row>
    <row r="70" spans="3:13" s="8" customFormat="1" ht="12.75" x14ac:dyDescent="0.2">
      <c r="C70" s="269" t="str">
        <f>Sensitivity_calcs!B93</f>
        <v>Total benefits 10% higher</v>
      </c>
      <c r="D70" s="269"/>
      <c r="E70" s="269"/>
      <c r="F70" s="284">
        <f>Sensitivity_calcs!C93</f>
        <v>0</v>
      </c>
      <c r="G70" s="279">
        <f>Sensitivity_calcs!D93</f>
        <v>649.09862801551344</v>
      </c>
      <c r="H70" s="279">
        <f>Sensitivity_calcs!E93</f>
        <v>648.53135928943107</v>
      </c>
      <c r="I70" s="279">
        <f>Sensitivity_calcs!F93</f>
        <v>625.62872241425828</v>
      </c>
      <c r="J70" s="279">
        <f>Sensitivity_calcs!G93</f>
        <v>615.32818734759451</v>
      </c>
      <c r="K70" s="261"/>
      <c r="L70" s="286" t="str">
        <f>Sensitivity_calcs!K93</f>
        <v>Option 2</v>
      </c>
      <c r="M70" s="261"/>
    </row>
    <row r="71" spans="3:13" s="8" customFormat="1" ht="12.75" x14ac:dyDescent="0.2">
      <c r="C71" s="269" t="str">
        <f>Sensitivity_calcs!B94</f>
        <v>Total benefits 10% lower</v>
      </c>
      <c r="D71" s="269"/>
      <c r="E71" s="269"/>
      <c r="F71" s="284">
        <f>Sensitivity_calcs!C94</f>
        <v>0</v>
      </c>
      <c r="G71" s="279">
        <f>Sensitivity_calcs!D94</f>
        <v>517.22823840786566</v>
      </c>
      <c r="H71" s="279">
        <f>Sensitivity_calcs!E94</f>
        <v>516.89589162371317</v>
      </c>
      <c r="I71" s="279">
        <f>Sensitivity_calcs!F94</f>
        <v>500.50063165746661</v>
      </c>
      <c r="J71" s="279">
        <f>Sensitivity_calcs!G94</f>
        <v>492.69201895858669</v>
      </c>
      <c r="K71" s="261"/>
      <c r="L71" s="286" t="str">
        <f>Sensitivity_calcs!K94</f>
        <v>Option 2</v>
      </c>
      <c r="M71" s="261"/>
    </row>
    <row r="72" spans="3:13" s="8" customFormat="1" ht="12.75" x14ac:dyDescent="0.2">
      <c r="C72" s="269" t="str">
        <f>Sensitivity_calcs!B95</f>
        <v>Capex 10% higher &amp; Total benefits 10% lower</v>
      </c>
      <c r="D72" s="269"/>
      <c r="E72" s="269"/>
      <c r="F72" s="284">
        <f>Sensitivity_calcs!C95</f>
        <v>0</v>
      </c>
      <c r="G72" s="279">
        <f>Sensitivity_calcs!D95</f>
        <v>509.60938692521086</v>
      </c>
      <c r="H72" s="279">
        <f>Sensitivity_calcs!E95</f>
        <v>509.34952033651143</v>
      </c>
      <c r="I72" s="279">
        <f>Sensitivity_calcs!F95</f>
        <v>494.24305398265722</v>
      </c>
      <c r="J72" s="279">
        <f>Sensitivity_calcs!G95</f>
        <v>486.77494507939178</v>
      </c>
      <c r="K72" s="261"/>
      <c r="L72" s="286" t="str">
        <f>Sensitivity_calcs!K95</f>
        <v>Option 2</v>
      </c>
      <c r="M72" s="261"/>
    </row>
    <row r="73" spans="3:13" s="8" customFormat="1" ht="12.75" x14ac:dyDescent="0.2">
      <c r="C73" s="269">
        <f>Sensitivity_calcs!B96</f>
        <v>0</v>
      </c>
      <c r="D73" s="269"/>
      <c r="E73" s="269"/>
      <c r="F73" s="284" t="str">
        <f>Sensitivity_calcs!C96</f>
        <v/>
      </c>
      <c r="G73" s="279" t="str">
        <f>Sensitivity_calcs!D96</f>
        <v/>
      </c>
      <c r="H73" s="279" t="str">
        <f>Sensitivity_calcs!E96</f>
        <v/>
      </c>
      <c r="I73" s="279" t="str">
        <f>Sensitivity_calcs!F96</f>
        <v/>
      </c>
      <c r="J73" s="279" t="str">
        <f>Sensitivity_calcs!G96</f>
        <v/>
      </c>
      <c r="K73" s="261"/>
      <c r="L73" s="286" t="str">
        <f>Sensitivity_calcs!K96</f>
        <v/>
      </c>
      <c r="M73" s="261"/>
    </row>
    <row r="74" spans="3:13" s="8" customFormat="1" ht="12.75" x14ac:dyDescent="0.2">
      <c r="C74" s="269">
        <f>Sensitivity_calcs!B97</f>
        <v>0</v>
      </c>
      <c r="D74" s="264"/>
      <c r="E74" s="264"/>
      <c r="F74" s="284" t="str">
        <f>Sensitivity_calcs!C97</f>
        <v/>
      </c>
      <c r="G74" s="279" t="str">
        <f>Sensitivity_calcs!D97</f>
        <v/>
      </c>
      <c r="H74" s="279" t="str">
        <f>Sensitivity_calcs!E97</f>
        <v/>
      </c>
      <c r="I74" s="279" t="str">
        <f>Sensitivity_calcs!F97</f>
        <v/>
      </c>
      <c r="J74" s="279" t="str">
        <f>Sensitivity_calcs!G97</f>
        <v/>
      </c>
      <c r="K74" s="271">
        <f>IF(C74=0,0, INDEX($F$66:$J$66, MATCH(MAX($F74:$I74),$F74:$I74,0)))</f>
        <v>0</v>
      </c>
      <c r="L74" s="286" t="str">
        <f>Sensitivity_calcs!K97</f>
        <v/>
      </c>
    </row>
    <row r="75" spans="3:13" s="8" customFormat="1" ht="12.75" x14ac:dyDescent="0.2">
      <c r="D75" s="269">
        <f>Sensitivity_calcs!B98</f>
        <v>0</v>
      </c>
      <c r="E75" s="269"/>
      <c r="F75" s="284" t="str">
        <f>Sensitivity_calcs!C98</f>
        <v/>
      </c>
      <c r="G75" s="279" t="str">
        <f>Sensitivity_calcs!D98</f>
        <v/>
      </c>
      <c r="H75" s="279" t="str">
        <f>Sensitivity_calcs!E98</f>
        <v/>
      </c>
      <c r="I75" s="279" t="str">
        <f>Sensitivity_calcs!F98</f>
        <v/>
      </c>
      <c r="J75" s="279" t="str">
        <f>Sensitivity_calcs!G98</f>
        <v/>
      </c>
      <c r="K75" s="261"/>
      <c r="L75" s="286" t="str">
        <f>Sensitivity_calcs!K98</f>
        <v/>
      </c>
      <c r="M75" s="261"/>
    </row>
    <row r="76" spans="3:13" s="8" customFormat="1" ht="12.75" x14ac:dyDescent="0.2">
      <c r="D76" s="269">
        <f>Sensitivity_calcs!B99</f>
        <v>0</v>
      </c>
      <c r="E76" s="269"/>
      <c r="F76" s="285"/>
      <c r="G76" s="105"/>
      <c r="H76" s="105"/>
      <c r="I76" s="105"/>
      <c r="J76" s="105"/>
      <c r="K76" s="261"/>
      <c r="L76" s="261"/>
    </row>
    <row r="77" spans="3:13" s="8" customFormat="1" ht="12.75" x14ac:dyDescent="0.2">
      <c r="F77" s="268"/>
      <c r="G77" s="105"/>
      <c r="H77" s="105"/>
      <c r="I77" s="105"/>
      <c r="J77" s="105"/>
    </row>
    <row r="78" spans="3:13" s="8" customFormat="1" ht="12.75" x14ac:dyDescent="0.2">
      <c r="F78" s="268"/>
      <c r="G78" s="268"/>
      <c r="H78" s="268"/>
      <c r="I78" s="268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9"/>
      <c r="E81" s="249"/>
      <c r="F81" s="249"/>
    </row>
    <row r="82" spans="4:6" s="8" customFormat="1" ht="12.75" x14ac:dyDescent="0.2">
      <c r="D82" s="249"/>
      <c r="E82" s="249"/>
      <c r="F82" s="249"/>
    </row>
    <row r="83" spans="4:6" s="8" customFormat="1" ht="12.75" hidden="1" x14ac:dyDescent="0.2">
      <c r="D83" s="249"/>
      <c r="E83" s="249"/>
      <c r="F83" s="249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Melton &amp; Wyndham Transformation Capacity Project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245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246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 t="s">
        <v>247</v>
      </c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 t="s">
        <v>248</v>
      </c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 t="s">
        <v>249</v>
      </c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5" t="s">
        <v>223</v>
      </c>
      <c r="D20"/>
      <c r="E20" s="296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301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7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8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9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10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7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8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5"/>
      <c r="E41" s="167" t="s">
        <v>250</v>
      </c>
      <c r="F41" s="129"/>
      <c r="G41" s="315" t="s">
        <v>251</v>
      </c>
      <c r="H41" s="134">
        <v>42566</v>
      </c>
      <c r="I41" s="244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11">
        <v>5400000</v>
      </c>
      <c r="H50" s="69">
        <v>45107</v>
      </c>
    </row>
    <row r="52" spans="3:8" x14ac:dyDescent="0.2">
      <c r="C52" s="8" t="s">
        <v>165</v>
      </c>
      <c r="G52" s="168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9">
        <f>Data!F85</f>
        <v>1</v>
      </c>
    </row>
    <row r="56" spans="3:8" x14ac:dyDescent="0.2">
      <c r="C56" s="8" t="str">
        <f>Data!B86</f>
        <v>Harm to property from bushfire</v>
      </c>
      <c r="G56" s="309">
        <f>Data!F86</f>
        <v>1</v>
      </c>
    </row>
    <row r="57" spans="3:8" x14ac:dyDescent="0.2">
      <c r="C57" s="8" t="str">
        <f>Data!B87</f>
        <v>Harm to environment</v>
      </c>
      <c r="G57" s="309">
        <f>Data!F87</f>
        <v>1</v>
      </c>
    </row>
    <row r="58" spans="3:8" x14ac:dyDescent="0.2">
      <c r="C58" s="8" t="str">
        <f>Data!B88</f>
        <v>Safety - Public trespass</v>
      </c>
      <c r="G58" s="309">
        <f>Data!F88</f>
        <v>1</v>
      </c>
    </row>
    <row r="59" spans="3:8" x14ac:dyDescent="0.2">
      <c r="C59" s="8" t="str">
        <f>Data!B89</f>
        <v>Safety - Single fatality or serious injury ^</v>
      </c>
      <c r="G59" s="309">
        <f>Data!F89</f>
        <v>3</v>
      </c>
    </row>
    <row r="60" spans="3:8" x14ac:dyDescent="0.2">
      <c r="C60" s="8" t="str">
        <f>Data!B90</f>
        <v>Safety from bushfire in HBRA</v>
      </c>
      <c r="G60" s="309">
        <f>Data!F90</f>
        <v>3</v>
      </c>
    </row>
    <row r="61" spans="3:8" x14ac:dyDescent="0.2">
      <c r="C61" s="8" t="str">
        <f>Data!B91</f>
        <v>Safety - Multiple fatality or serious injury ^</v>
      </c>
      <c r="G61" s="309">
        <f>Data!F91</f>
        <v>6</v>
      </c>
    </row>
    <row r="62" spans="3:8" x14ac:dyDescent="0.2">
      <c r="C62" s="8" t="str">
        <f>Data!B92</f>
        <v>Safety from bushfire (REFCL declared areas)</v>
      </c>
      <c r="G62" s="309">
        <f>Data!F92</f>
        <v>6</v>
      </c>
    </row>
    <row r="63" spans="3:8" x14ac:dyDescent="0.2">
      <c r="C63" s="8" t="str">
        <f>Data!B93</f>
        <v>Safety from bushfire (electric line construction areas)</v>
      </c>
      <c r="G63" s="309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60" t="s">
        <v>68</v>
      </c>
      <c r="H69" s="160" t="s">
        <v>166</v>
      </c>
      <c r="I69" s="160" t="s">
        <v>180</v>
      </c>
      <c r="J69" s="159" t="s">
        <v>184</v>
      </c>
      <c r="K69" s="160"/>
      <c r="L69" s="160"/>
      <c r="M69" s="160"/>
    </row>
    <row r="70" spans="2:16" x14ac:dyDescent="0.2">
      <c r="C70" s="8" t="s">
        <v>167</v>
      </c>
      <c r="G70" s="161">
        <f>G50*INDEX(hy_escalation, MATCH(input_dollars,hy_dates,0))/INDEX(hy_escalation, MATCH(H50,hy_dates,0))</f>
        <v>5607473.5197347086</v>
      </c>
      <c r="H70" s="166">
        <v>0</v>
      </c>
      <c r="I70" s="169">
        <v>0</v>
      </c>
      <c r="J70" s="335">
        <v>0</v>
      </c>
      <c r="K70" s="336"/>
      <c r="L70" s="336"/>
      <c r="M70" s="337"/>
    </row>
    <row r="71" spans="2:16" x14ac:dyDescent="0.2">
      <c r="C71" s="8" t="s">
        <v>168</v>
      </c>
      <c r="G71" s="161">
        <f>G52*INDEX(hy_escalation, MATCH(input_dollars,hy_dates,0))/INDEX(hy_escalation, MATCH(H52,hy_dates,0))</f>
        <v>0</v>
      </c>
      <c r="H71" s="165">
        <v>0</v>
      </c>
      <c r="I71" s="169">
        <v>0</v>
      </c>
      <c r="J71" s="335">
        <v>0</v>
      </c>
      <c r="K71" s="336"/>
      <c r="L71" s="336"/>
      <c r="M71" s="337"/>
    </row>
    <row r="72" spans="2:16" x14ac:dyDescent="0.2">
      <c r="I72" s="164"/>
      <c r="M72"/>
    </row>
    <row r="73" spans="2:16" x14ac:dyDescent="0.2">
      <c r="G73" s="170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7">
        <v>0</v>
      </c>
      <c r="H78" s="69">
        <f>input_dollars</f>
        <v>45291</v>
      </c>
    </row>
    <row r="79" spans="2:16" x14ac:dyDescent="0.2">
      <c r="C79" s="8" t="s">
        <v>170</v>
      </c>
      <c r="G79" s="157">
        <v>0</v>
      </c>
      <c r="H79" s="69">
        <f>input_dollars</f>
        <v>45291</v>
      </c>
    </row>
    <row r="81" spans="1:16" x14ac:dyDescent="0.2">
      <c r="C81" s="8" t="s">
        <v>171</v>
      </c>
      <c r="G81" s="162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2">
        <v>2.4730486797759084E-2</v>
      </c>
      <c r="L90" s="312">
        <v>2.2340740091772258E-2</v>
      </c>
      <c r="M90" s="312">
        <v>2.0196329122153123E-2</v>
      </c>
      <c r="N90" s="312">
        <v>1.806294207659629E-2</v>
      </c>
      <c r="O90" s="312">
        <v>1.5913397615084226E-2</v>
      </c>
      <c r="P90" s="312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1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1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1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2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2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2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2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2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5"/>
      <c r="C110" s="303"/>
      <c r="D110" s="59"/>
      <c r="E110" s="304"/>
      <c r="F110" s="303"/>
      <c r="G110" s="303" t="s">
        <v>17</v>
      </c>
      <c r="H110" s="303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2"/>
      <c r="G111" s="313">
        <v>0.1</v>
      </c>
      <c r="H111" s="313">
        <v>0</v>
      </c>
      <c r="I111" s="266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2"/>
      <c r="G112" s="313">
        <v>-0.1</v>
      </c>
      <c r="H112" s="313">
        <v>0</v>
      </c>
      <c r="I112" s="266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2"/>
      <c r="G113" s="314">
        <v>0</v>
      </c>
      <c r="H113" s="313">
        <v>0.1</v>
      </c>
      <c r="I113" s="266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2"/>
      <c r="G114" s="314">
        <v>0</v>
      </c>
      <c r="H114" s="313">
        <v>-0.1</v>
      </c>
      <c r="I114" s="266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2"/>
      <c r="G115" s="313">
        <v>0.1</v>
      </c>
      <c r="H115" s="313">
        <v>-0.1</v>
      </c>
      <c r="I115" s="266"/>
      <c r="J115"/>
      <c r="K115"/>
      <c r="L115"/>
      <c r="M115"/>
      <c r="N115"/>
      <c r="O115"/>
      <c r="P115"/>
    </row>
    <row r="116" spans="2:16" x14ac:dyDescent="0.2">
      <c r="E116" s="272"/>
      <c r="H116"/>
      <c r="I116"/>
      <c r="J116"/>
      <c r="K116"/>
      <c r="L116"/>
      <c r="M116"/>
      <c r="N116"/>
      <c r="O116"/>
      <c r="P116"/>
    </row>
    <row r="117" spans="2:16" x14ac:dyDescent="0.2">
      <c r="E117" s="265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conditionalFormatting sqref="G41">
    <cfRule type="expression" dxfId="15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21"/>
  <sheetViews>
    <sheetView showGridLines="0" zoomScale="90" zoomScaleNormal="90" workbookViewId="0">
      <pane xSplit="7" ySplit="10" topLeftCell="H11" activePane="bottomRight" state="frozen"/>
      <selection activeCell="E14" sqref="E14:K14"/>
      <selection pane="topRight" activeCell="E14" sqref="E14:K14"/>
      <selection pane="bottomLeft" activeCell="E14" sqref="E14:K14"/>
      <selection pane="bottomRight" activeCell="C11" sqref="C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Melton &amp; Wyndham Transformation Capacity Project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142</v>
      </c>
      <c r="B3" s="5"/>
      <c r="C3" s="137"/>
      <c r="D3" s="94"/>
    </row>
    <row r="4" spans="1:43" x14ac:dyDescent="0.2">
      <c r="A4" s="171"/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4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3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5"/>
      <c r="B9" s="185"/>
      <c r="C9" s="185"/>
      <c r="D9" s="185"/>
      <c r="E9" s="185"/>
      <c r="F9" s="186"/>
      <c r="G9" s="185" t="s">
        <v>25</v>
      </c>
      <c r="H9" s="326">
        <f>DATE(LEFT(I9,4), 6,30)</f>
        <v>46203</v>
      </c>
      <c r="I9" s="187" t="str">
        <f>start</f>
        <v>2026-27</v>
      </c>
      <c r="J9" s="187" t="str">
        <f t="shared" ref="J9:AG9" si="1">LEFT(I9,4)+1&amp;"-"&amp;RIGHT(I9,2)+1</f>
        <v>2027-28</v>
      </c>
      <c r="K9" s="187" t="str">
        <f t="shared" si="1"/>
        <v>2028-29</v>
      </c>
      <c r="L9" s="187" t="str">
        <f t="shared" si="1"/>
        <v>2029-30</v>
      </c>
      <c r="M9" s="187" t="str">
        <f t="shared" si="1"/>
        <v>2030-31</v>
      </c>
      <c r="N9" s="187" t="str">
        <f t="shared" si="1"/>
        <v>2031-32</v>
      </c>
      <c r="O9" s="187" t="str">
        <f t="shared" si="1"/>
        <v>2032-33</v>
      </c>
      <c r="P9" s="187" t="str">
        <f t="shared" si="1"/>
        <v>2033-34</v>
      </c>
      <c r="Q9" s="187" t="str">
        <f t="shared" si="1"/>
        <v>2034-35</v>
      </c>
      <c r="R9" s="187" t="str">
        <f t="shared" si="1"/>
        <v>2035-36</v>
      </c>
      <c r="S9" s="187" t="str">
        <f t="shared" si="1"/>
        <v>2036-37</v>
      </c>
      <c r="T9" s="187" t="str">
        <f t="shared" si="1"/>
        <v>2037-38</v>
      </c>
      <c r="U9" s="187" t="str">
        <f t="shared" si="1"/>
        <v>2038-39</v>
      </c>
      <c r="V9" s="187" t="str">
        <f t="shared" si="1"/>
        <v>2039-40</v>
      </c>
      <c r="W9" s="187" t="str">
        <f t="shared" si="1"/>
        <v>2040-41</v>
      </c>
      <c r="X9" s="187" t="str">
        <f t="shared" si="1"/>
        <v>2041-42</v>
      </c>
      <c r="Y9" s="187" t="str">
        <f t="shared" si="1"/>
        <v>2042-43</v>
      </c>
      <c r="Z9" s="187" t="str">
        <f t="shared" si="1"/>
        <v>2043-44</v>
      </c>
      <c r="AA9" s="187" t="str">
        <f t="shared" si="1"/>
        <v>2044-45</v>
      </c>
      <c r="AB9" s="187" t="str">
        <f t="shared" si="1"/>
        <v>2045-46</v>
      </c>
      <c r="AC9" s="187" t="str">
        <f t="shared" si="1"/>
        <v>2046-47</v>
      </c>
      <c r="AD9" s="187" t="str">
        <f t="shared" si="1"/>
        <v>2047-48</v>
      </c>
      <c r="AE9" s="187" t="str">
        <f t="shared" si="1"/>
        <v>2048-49</v>
      </c>
      <c r="AF9" s="187" t="str">
        <f t="shared" si="1"/>
        <v>2049-50</v>
      </c>
      <c r="AG9" s="187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58</v>
      </c>
      <c r="D14"/>
      <c r="E14" s="151">
        <v>0</v>
      </c>
      <c r="G14" s="211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57" t="s">
        <v>57</v>
      </c>
      <c r="D17"/>
      <c r="E17" s="151">
        <v>0</v>
      </c>
      <c r="G17" s="211">
        <f>input_dollars</f>
        <v>45291</v>
      </c>
      <c r="H17" s="2"/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/>
      <c r="AI17"/>
      <c r="AJ17"/>
      <c r="AK17"/>
      <c r="AL17"/>
      <c r="AM17"/>
      <c r="AN17"/>
      <c r="AO17"/>
      <c r="AP17"/>
      <c r="AQ17"/>
    </row>
    <row r="18" spans="1:43" x14ac:dyDescent="0.2">
      <c r="C18" s="1" t="s">
        <v>30</v>
      </c>
      <c r="G18" s="211">
        <f>input_dollars</f>
        <v>45291</v>
      </c>
      <c r="H18" s="107"/>
      <c r="I18" s="106">
        <f t="shared" ref="I18:AB18" si="2">SUM(I14:I17)</f>
        <v>0</v>
      </c>
      <c r="J18" s="106">
        <f t="shared" si="2"/>
        <v>0</v>
      </c>
      <c r="K18" s="106">
        <f t="shared" si="2"/>
        <v>0</v>
      </c>
      <c r="L18" s="106">
        <f t="shared" si="2"/>
        <v>0</v>
      </c>
      <c r="M18" s="106">
        <f t="shared" si="2"/>
        <v>0</v>
      </c>
      <c r="N18" s="106">
        <f t="shared" si="2"/>
        <v>0</v>
      </c>
      <c r="O18" s="106">
        <f t="shared" si="2"/>
        <v>0</v>
      </c>
      <c r="P18" s="106">
        <f t="shared" si="2"/>
        <v>0</v>
      </c>
      <c r="Q18" s="106">
        <f t="shared" si="2"/>
        <v>0</v>
      </c>
      <c r="R18" s="106">
        <f t="shared" si="2"/>
        <v>0</v>
      </c>
      <c r="S18" s="106">
        <f t="shared" si="2"/>
        <v>0</v>
      </c>
      <c r="T18" s="106">
        <f t="shared" si="2"/>
        <v>0</v>
      </c>
      <c r="U18" s="106">
        <f t="shared" si="2"/>
        <v>0</v>
      </c>
      <c r="V18" s="106">
        <f t="shared" si="2"/>
        <v>0</v>
      </c>
      <c r="W18" s="106">
        <f t="shared" si="2"/>
        <v>0</v>
      </c>
      <c r="X18" s="106">
        <f t="shared" si="2"/>
        <v>0</v>
      </c>
      <c r="Y18" s="106">
        <f t="shared" si="2"/>
        <v>0</v>
      </c>
      <c r="Z18" s="106">
        <f t="shared" si="2"/>
        <v>0</v>
      </c>
      <c r="AA18" s="106">
        <f t="shared" si="2"/>
        <v>0</v>
      </c>
      <c r="AB18" s="106">
        <f t="shared" si="2"/>
        <v>0</v>
      </c>
      <c r="AC18" s="106">
        <f>SUM(AC14:AC17)</f>
        <v>0</v>
      </c>
      <c r="AD18" s="106">
        <f>SUM(AD14:AD17)</f>
        <v>0</v>
      </c>
      <c r="AE18" s="106">
        <f>SUM(AE14:AE17)</f>
        <v>0</v>
      </c>
      <c r="AF18" s="106">
        <f>SUM(AF14:AF17)</f>
        <v>0</v>
      </c>
      <c r="AG18" s="106">
        <f>SUM(AG14:AG17)</f>
        <v>0</v>
      </c>
    </row>
    <row r="19" spans="1:43" x14ac:dyDescent="0.2">
      <c r="C19"/>
      <c r="D19"/>
      <c r="E19"/>
      <c r="G19" s="2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2">
      <c r="C20" s="1" t="s">
        <v>31</v>
      </c>
      <c r="D20"/>
      <c r="E20"/>
      <c r="F20" s="107"/>
      <c r="G20" s="211">
        <f>input_dollars</f>
        <v>45291</v>
      </c>
      <c r="H20" s="107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</row>
    <row r="21" spans="1:43" x14ac:dyDescent="0.2">
      <c r="G21" s="209"/>
    </row>
    <row r="22" spans="1:43" x14ac:dyDescent="0.2">
      <c r="C22"/>
      <c r="D22"/>
      <c r="E22"/>
      <c r="G22" s="2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15" x14ac:dyDescent="0.2">
      <c r="A23" s="89" t="s">
        <v>150</v>
      </c>
      <c r="B23" s="89"/>
      <c r="C23" s="89"/>
      <c r="D23" s="89"/>
      <c r="E23" s="89"/>
      <c r="F23" s="89"/>
      <c r="G23" s="208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11"/>
      <c r="D24" s="111"/>
      <c r="E24" s="111"/>
      <c r="F24" s="111"/>
      <c r="G24" s="212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111"/>
      <c r="E25" s="111"/>
      <c r="F25" s="111"/>
      <c r="G25" s="212"/>
      <c r="H25" s="111"/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" t="s">
        <v>152</v>
      </c>
      <c r="D26" s="212"/>
      <c r="E26" s="111"/>
      <c r="F26" s="111"/>
      <c r="G26" s="212"/>
      <c r="H26" s="111"/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2"/>
      <c r="E27" s="111"/>
      <c r="F27" s="111"/>
      <c r="G27" s="212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123</v>
      </c>
      <c r="D28" s="209"/>
      <c r="E28"/>
      <c r="G28" s="211" t="s">
        <v>40</v>
      </c>
      <c r="H28"/>
      <c r="I28" s="172">
        <v>126.05320803874913</v>
      </c>
      <c r="J28" s="172">
        <v>212.09403641022726</v>
      </c>
      <c r="K28" s="172">
        <v>277.71920404562707</v>
      </c>
      <c r="L28" s="172">
        <v>346.34751785827069</v>
      </c>
      <c r="M28" s="172">
        <v>444.03428496396634</v>
      </c>
      <c r="N28" s="172">
        <v>610.40398457868321</v>
      </c>
      <c r="O28" s="172">
        <v>880.19711156304106</v>
      </c>
      <c r="P28" s="172">
        <v>1170.6152464149334</v>
      </c>
      <c r="Q28" s="172">
        <v>1458.511651189528</v>
      </c>
      <c r="R28" s="172">
        <v>1458.511651189528</v>
      </c>
      <c r="S28" s="172">
        <v>1458.511651189528</v>
      </c>
      <c r="T28" s="172">
        <v>1458.511651189528</v>
      </c>
      <c r="U28" s="172">
        <v>1458.511651189528</v>
      </c>
      <c r="V28" s="172">
        <v>1458.511651189528</v>
      </c>
      <c r="W28" s="172">
        <v>1458.511651189528</v>
      </c>
      <c r="X28" s="172">
        <v>1458.511651189528</v>
      </c>
      <c r="Y28" s="172">
        <v>1458.511651189528</v>
      </c>
      <c r="Z28" s="172">
        <v>1458.511651189528</v>
      </c>
      <c r="AA28" s="172">
        <v>1458.511651189528</v>
      </c>
      <c r="AB28" s="172">
        <v>1458.511651189528</v>
      </c>
      <c r="AC28" s="172">
        <v>1458.511651189528</v>
      </c>
      <c r="AD28" s="172">
        <v>1458.511651189528</v>
      </c>
      <c r="AE28" s="172">
        <v>1458.511651189528</v>
      </c>
      <c r="AF28" s="172">
        <v>1458.511651189528</v>
      </c>
      <c r="AG28" s="172">
        <v>1458.511651189528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124</v>
      </c>
      <c r="D29" s="209" t="s">
        <v>63</v>
      </c>
      <c r="E29" s="113">
        <f>Assumptions!H41*vcr_esc</f>
        <v>42566</v>
      </c>
      <c r="F29" s="242" t="str">
        <f>IF(AND(SUM(I28:AG28)&lt;&gt;0, E29=0), "!", "")</f>
        <v/>
      </c>
      <c r="G29" s="211">
        <f>input_dollars</f>
        <v>45291</v>
      </c>
      <c r="H29"/>
      <c r="I29" s="119">
        <f>I28*$E$29</f>
        <v>5365580.8533773953</v>
      </c>
      <c r="J29" s="119">
        <f t="shared" ref="J29:AG29" si="3">J28*$E$29</f>
        <v>9027994.7538377345</v>
      </c>
      <c r="K29" s="119">
        <f t="shared" si="3"/>
        <v>11821395.639406161</v>
      </c>
      <c r="L29" s="119">
        <f t="shared" si="3"/>
        <v>14742628.445155151</v>
      </c>
      <c r="M29" s="119">
        <f t="shared" si="3"/>
        <v>18900763.37377619</v>
      </c>
      <c r="N29" s="119">
        <f t="shared" si="3"/>
        <v>25982456.007576231</v>
      </c>
      <c r="O29" s="119">
        <f t="shared" si="3"/>
        <v>37466470.250792406</v>
      </c>
      <c r="P29" s="119">
        <f t="shared" si="3"/>
        <v>49828408.578898057</v>
      </c>
      <c r="Q29" s="119">
        <f t="shared" si="3"/>
        <v>62083006.944533452</v>
      </c>
      <c r="R29" s="119">
        <f t="shared" si="3"/>
        <v>62083006.944533452</v>
      </c>
      <c r="S29" s="119">
        <f t="shared" si="3"/>
        <v>62083006.944533452</v>
      </c>
      <c r="T29" s="119">
        <f t="shared" si="3"/>
        <v>62083006.944533452</v>
      </c>
      <c r="U29" s="119">
        <f t="shared" si="3"/>
        <v>62083006.944533452</v>
      </c>
      <c r="V29" s="119">
        <f t="shared" si="3"/>
        <v>62083006.944533452</v>
      </c>
      <c r="W29" s="119">
        <f t="shared" si="3"/>
        <v>62083006.944533452</v>
      </c>
      <c r="X29" s="119">
        <f t="shared" si="3"/>
        <v>62083006.944533452</v>
      </c>
      <c r="Y29" s="119">
        <f t="shared" si="3"/>
        <v>62083006.944533452</v>
      </c>
      <c r="Z29" s="119">
        <f t="shared" si="3"/>
        <v>62083006.944533452</v>
      </c>
      <c r="AA29" s="119">
        <f t="shared" si="3"/>
        <v>62083006.944533452</v>
      </c>
      <c r="AB29" s="119">
        <f t="shared" si="3"/>
        <v>62083006.944533452</v>
      </c>
      <c r="AC29" s="119">
        <f t="shared" si="3"/>
        <v>62083006.944533452</v>
      </c>
      <c r="AD29" s="119">
        <f t="shared" si="3"/>
        <v>62083006.944533452</v>
      </c>
      <c r="AE29" s="119">
        <f t="shared" si="3"/>
        <v>62083006.944533452</v>
      </c>
      <c r="AF29" s="119">
        <f t="shared" si="3"/>
        <v>62083006.944533452</v>
      </c>
      <c r="AG29" s="119">
        <f t="shared" si="3"/>
        <v>62083006.944533452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10"/>
      <c r="E30"/>
      <c r="G30" s="21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114</v>
      </c>
      <c r="D31" s="209" t="s">
        <v>208</v>
      </c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116</v>
      </c>
      <c r="D32" s="210"/>
      <c r="E32"/>
      <c r="G32" s="211">
        <f>input_dollars</f>
        <v>45291</v>
      </c>
      <c r="H32" s="15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115</v>
      </c>
      <c r="D33" s="209" t="s">
        <v>208</v>
      </c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23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289" t="s">
        <v>173</v>
      </c>
      <c r="D35" s="210"/>
      <c r="E35"/>
      <c r="G35" s="211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10"/>
      <c r="E36"/>
      <c r="G36" s="21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172</v>
      </c>
      <c r="D37" s="222"/>
      <c r="E37" s="107"/>
      <c r="F37" s="3"/>
      <c r="G37" s="213"/>
      <c r="H37" s="107"/>
      <c r="I37" s="106">
        <f>SUM(I29:I35)</f>
        <v>5365580.8533773953</v>
      </c>
      <c r="J37" s="106">
        <f t="shared" ref="J37:AB37" si="4">SUM(J29:J35)</f>
        <v>9027994.7538377345</v>
      </c>
      <c r="K37" s="106">
        <f t="shared" si="4"/>
        <v>11821395.639406161</v>
      </c>
      <c r="L37" s="106">
        <f t="shared" si="4"/>
        <v>14742628.445155151</v>
      </c>
      <c r="M37" s="106">
        <f t="shared" si="4"/>
        <v>18900763.37377619</v>
      </c>
      <c r="N37" s="106">
        <f t="shared" si="4"/>
        <v>25982456.007576231</v>
      </c>
      <c r="O37" s="106">
        <f t="shared" si="4"/>
        <v>37466470.250792406</v>
      </c>
      <c r="P37" s="106">
        <f t="shared" si="4"/>
        <v>49828408.578898057</v>
      </c>
      <c r="Q37" s="106">
        <f t="shared" si="4"/>
        <v>62083006.944533452</v>
      </c>
      <c r="R37" s="106">
        <f t="shared" si="4"/>
        <v>62083006.944533452</v>
      </c>
      <c r="S37" s="106">
        <f t="shared" si="4"/>
        <v>62083006.944533452</v>
      </c>
      <c r="T37" s="106">
        <f t="shared" si="4"/>
        <v>62083006.944533452</v>
      </c>
      <c r="U37" s="106">
        <f t="shared" si="4"/>
        <v>62083006.944533452</v>
      </c>
      <c r="V37" s="106">
        <f t="shared" si="4"/>
        <v>62083006.944533452</v>
      </c>
      <c r="W37" s="106">
        <f t="shared" si="4"/>
        <v>62083006.944533452</v>
      </c>
      <c r="X37" s="106">
        <f t="shared" si="4"/>
        <v>62083006.944533452</v>
      </c>
      <c r="Y37" s="106">
        <f t="shared" si="4"/>
        <v>62083006.944533452</v>
      </c>
      <c r="Z37" s="106">
        <f t="shared" si="4"/>
        <v>62083006.944533452</v>
      </c>
      <c r="AA37" s="106">
        <f t="shared" si="4"/>
        <v>62083006.944533452</v>
      </c>
      <c r="AB37" s="106">
        <f t="shared" si="4"/>
        <v>62083006.944533452</v>
      </c>
      <c r="AC37" s="106">
        <f>SUM(AC29:AC35)</f>
        <v>62083006.944533452</v>
      </c>
      <c r="AD37" s="106">
        <f>SUM(AD29:AD35)</f>
        <v>62083006.944533452</v>
      </c>
      <c r="AE37" s="106">
        <f>SUM(AE29:AE35)</f>
        <v>62083006.944533452</v>
      </c>
      <c r="AF37" s="106">
        <f>SUM(AF29:AF35)</f>
        <v>62083006.944533452</v>
      </c>
      <c r="AG37" s="106">
        <f>SUM(AG29:AG35)</f>
        <v>62083006.944533452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1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56</v>
      </c>
      <c r="B39" s="89"/>
      <c r="C39" s="89"/>
      <c r="D39" s="89"/>
      <c r="E39" s="89"/>
      <c r="F39" s="89"/>
      <c r="G39" s="20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59</v>
      </c>
      <c r="G42" s="209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</row>
    <row r="43" spans="1:16372" ht="13.5" x14ac:dyDescent="0.25">
      <c r="C43" s="1" t="s">
        <v>129</v>
      </c>
      <c r="G43" s="209" t="s">
        <v>104</v>
      </c>
      <c r="I43" s="31">
        <f t="shared" ref="I43:AG43" si="5">I42*I7</f>
        <v>0</v>
      </c>
      <c r="J43" s="31">
        <f t="shared" si="5"/>
        <v>0</v>
      </c>
      <c r="K43" s="31">
        <f t="shared" si="5"/>
        <v>0</v>
      </c>
      <c r="L43" s="31">
        <f t="shared" si="5"/>
        <v>0</v>
      </c>
      <c r="M43" s="31">
        <f t="shared" si="5"/>
        <v>0</v>
      </c>
      <c r="N43" s="31">
        <f t="shared" si="5"/>
        <v>0</v>
      </c>
      <c r="O43" s="31">
        <f t="shared" si="5"/>
        <v>0</v>
      </c>
      <c r="P43" s="31">
        <f t="shared" si="5"/>
        <v>0</v>
      </c>
      <c r="Q43" s="31">
        <f t="shared" si="5"/>
        <v>0</v>
      </c>
      <c r="R43" s="31">
        <f t="shared" si="5"/>
        <v>0</v>
      </c>
      <c r="S43" s="31">
        <f t="shared" si="5"/>
        <v>0</v>
      </c>
      <c r="T43" s="31">
        <f t="shared" si="5"/>
        <v>0</v>
      </c>
      <c r="U43" s="31">
        <f t="shared" si="5"/>
        <v>0</v>
      </c>
      <c r="V43" s="31">
        <f t="shared" si="5"/>
        <v>0</v>
      </c>
      <c r="W43" s="31">
        <f t="shared" si="5"/>
        <v>0</v>
      </c>
      <c r="X43" s="31">
        <f t="shared" si="5"/>
        <v>0</v>
      </c>
      <c r="Y43" s="31">
        <f t="shared" si="5"/>
        <v>0</v>
      </c>
      <c r="Z43" s="31">
        <f t="shared" si="5"/>
        <v>0</v>
      </c>
      <c r="AA43" s="31">
        <f t="shared" si="5"/>
        <v>0</v>
      </c>
      <c r="AB43" s="31">
        <f t="shared" si="5"/>
        <v>0</v>
      </c>
      <c r="AC43" s="31">
        <f t="shared" si="5"/>
        <v>0</v>
      </c>
      <c r="AD43" s="31">
        <f t="shared" si="5"/>
        <v>0</v>
      </c>
      <c r="AE43" s="31">
        <f t="shared" si="5"/>
        <v>0</v>
      </c>
      <c r="AF43" s="31">
        <f t="shared" si="5"/>
        <v>0</v>
      </c>
      <c r="AG43" s="31">
        <f t="shared" si="5"/>
        <v>0</v>
      </c>
    </row>
    <row r="44" spans="1:16372" x14ac:dyDescent="0.2">
      <c r="D44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10"/>
      <c r="E45"/>
      <c r="G45" s="21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9" t="s">
        <v>63</v>
      </c>
      <c r="E46" s="113">
        <f>Assumptions!G94</f>
        <v>151432.81740793545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4</v>
      </c>
      <c r="D47" s="209" t="s">
        <v>63</v>
      </c>
      <c r="E47" s="113">
        <f>Assumptions!G95</f>
        <v>24590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5</v>
      </c>
      <c r="D48" s="209" t="s">
        <v>63</v>
      </c>
      <c r="E48" s="112">
        <f>Assumptions!G96</f>
        <v>88.357719508603083</v>
      </c>
      <c r="G48" s="211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15</v>
      </c>
      <c r="D49" s="209" t="s">
        <v>126</v>
      </c>
      <c r="E49" s="112">
        <f>Assumptions!G97</f>
        <v>0</v>
      </c>
      <c r="G49" s="211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9" t="s">
        <v>206</v>
      </c>
      <c r="E50" s="112">
        <f>Assumptions!G98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204</v>
      </c>
      <c r="D51" s="209" t="s">
        <v>206</v>
      </c>
      <c r="E51" s="112">
        <f>Assumptions!G99</f>
        <v>0.35181336539087127</v>
      </c>
      <c r="G51" s="211" t="s">
        <v>207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6</v>
      </c>
      <c r="D52" s="209" t="s">
        <v>126</v>
      </c>
      <c r="E52" s="112">
        <f>Assumptions!G100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C53" s="1" t="s">
        <v>7</v>
      </c>
      <c r="D53" s="209" t="s">
        <v>126</v>
      </c>
      <c r="E53" s="112">
        <f>Assumptions!G101</f>
        <v>0</v>
      </c>
      <c r="G53" s="211" t="s">
        <v>205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D54" s="209"/>
      <c r="G54" s="211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43" x14ac:dyDescent="0.2">
      <c r="C55" s="1" t="s">
        <v>117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C56" s="1" t="s">
        <v>118</v>
      </c>
      <c r="D56" s="209"/>
      <c r="G56" s="211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</row>
    <row r="57" spans="1:43" x14ac:dyDescent="0.2">
      <c r="D57" s="209"/>
      <c r="G57" s="209"/>
    </row>
    <row r="58" spans="1:43" x14ac:dyDescent="0.2">
      <c r="C58" s="3" t="s">
        <v>125</v>
      </c>
      <c r="D58" s="222"/>
      <c r="E58" s="107"/>
      <c r="F58" s="3"/>
      <c r="G58" s="214">
        <f>input_dollars</f>
        <v>45291</v>
      </c>
      <c r="H58" s="107"/>
      <c r="I58" s="106" cm="1">
        <f t="array" ref="I58">SUMPRODUCT((I$46:I$53)*($E$46:$E$53))+SUM(I55:I56)+I43</f>
        <v>0</v>
      </c>
      <c r="J58" s="106" cm="1">
        <f t="array" ref="J58">SUMPRODUCT((J$46:J$53)*($E$46:$E$53))+SUM(J55:J56)+J43</f>
        <v>0</v>
      </c>
      <c r="K58" s="106" cm="1">
        <f t="array" ref="K58">SUMPRODUCT((K$46:K$53)*($E$46:$E$53))+SUM(K55:K56)+K43</f>
        <v>0</v>
      </c>
      <c r="L58" s="106" cm="1">
        <f t="array" ref="L58">SUMPRODUCT((L$46:L$53)*($E$46:$E$53))+SUM(L55:L56)+L43</f>
        <v>0</v>
      </c>
      <c r="M58" s="106" cm="1">
        <f t="array" ref="M58">SUMPRODUCT((M$46:M$53)*($E$46:$E$53))+SUM(M55:M56)+M43</f>
        <v>0</v>
      </c>
      <c r="N58" s="106" cm="1">
        <f t="array" ref="N58">SUMPRODUCT((N$46:N$53)*($E$46:$E$53))+SUM(N55:N56)+N43</f>
        <v>0</v>
      </c>
      <c r="O58" s="106" cm="1">
        <f t="array" ref="O58">SUMPRODUCT((O$46:O$53)*($E$46:$E$53))+SUM(O55:O56)+O43</f>
        <v>0</v>
      </c>
      <c r="P58" s="106" cm="1">
        <f t="array" ref="P58">SUMPRODUCT((P$46:P$53)*($E$46:$E$53))+SUM(P55:P56)+P43</f>
        <v>0</v>
      </c>
      <c r="Q58" s="106" cm="1">
        <f t="array" ref="Q58">SUMPRODUCT((Q$46:Q$53)*($E$46:$E$53))+SUM(Q55:Q56)+Q43</f>
        <v>0</v>
      </c>
      <c r="R58" s="106" cm="1">
        <f t="array" ref="R58">SUMPRODUCT((R$46:R$53)*($E$46:$E$53))+SUM(R55:R56)+R43</f>
        <v>0</v>
      </c>
      <c r="S58" s="106" cm="1">
        <f t="array" ref="S58">SUMPRODUCT((S$46:S$53)*($E$46:$E$53))+SUM(S55:S56)+S43</f>
        <v>0</v>
      </c>
      <c r="T58" s="106" cm="1">
        <f t="array" ref="T58">SUMPRODUCT((T$46:T$53)*($E$46:$E$53))+SUM(T55:T56)+T43</f>
        <v>0</v>
      </c>
      <c r="U58" s="106" cm="1">
        <f t="array" ref="U58">SUMPRODUCT((U$46:U$53)*($E$46:$E$53))+SUM(U55:U56)+U43</f>
        <v>0</v>
      </c>
      <c r="V58" s="106" cm="1">
        <f t="array" ref="V58">SUMPRODUCT((V$46:V$53)*($E$46:$E$53))+SUM(V55:V56)+V43</f>
        <v>0</v>
      </c>
      <c r="W58" s="106" cm="1">
        <f t="array" ref="W58">SUMPRODUCT((W$46:W$53)*($E$46:$E$53))+SUM(W55:W56)+W43</f>
        <v>0</v>
      </c>
      <c r="X58" s="106" cm="1">
        <f t="array" ref="X58">SUMPRODUCT((X$46:X$53)*($E$46:$E$53))+SUM(X55:X56)+X43</f>
        <v>0</v>
      </c>
      <c r="Y58" s="106" cm="1">
        <f t="array" ref="Y58">SUMPRODUCT((Y$46:Y$53)*($E$46:$E$53))+SUM(Y55:Y56)+Y43</f>
        <v>0</v>
      </c>
      <c r="Z58" s="106" cm="1">
        <f t="array" ref="Z58">SUMPRODUCT((Z$46:Z$53)*($E$46:$E$53))+SUM(Z55:Z56)+Z43</f>
        <v>0</v>
      </c>
      <c r="AA58" s="106" cm="1">
        <f t="array" ref="AA58">SUMPRODUCT((AA$46:AA$53)*($E$46:$E$53))+SUM(AA55:AA56)+AA43</f>
        <v>0</v>
      </c>
      <c r="AB58" s="106" cm="1">
        <f t="array" ref="AB58">SUMPRODUCT((AB$46:AB$53)*($E$46:$E$53))+SUM(AB55:AB56)+AB43</f>
        <v>0</v>
      </c>
      <c r="AC58" s="106" cm="1">
        <f t="array" ref="AC58">SUMPRODUCT((AC$46:AC$53)*($E$46:$E$53))+SUM(AC55:AC56)+AC43</f>
        <v>0</v>
      </c>
      <c r="AD58" s="106" cm="1">
        <f t="array" ref="AD58">SUMPRODUCT((AD$46:AD$53)*($E$46:$E$53))+SUM(AD55:AD56)+AD43</f>
        <v>0</v>
      </c>
      <c r="AE58" s="106" cm="1">
        <f t="array" ref="AE58">SUMPRODUCT((AE$46:AE$53)*($E$46:$E$53))+SUM(AE55:AE56)+AE43</f>
        <v>0</v>
      </c>
      <c r="AF58" s="106" cm="1">
        <f t="array" ref="AF58">SUMPRODUCT((AF$46:AF$53)*($E$46:$E$53))+SUM(AF55:AF56)+AF43</f>
        <v>0</v>
      </c>
      <c r="AG58" s="106" cm="1">
        <f t="array" ref="AG58">SUMPRODUCT((AG$46:AG$53)*($E$46:$E$53))+SUM(AG55:AG56)+AG43</f>
        <v>0</v>
      </c>
    </row>
    <row r="59" spans="1:43" x14ac:dyDescent="0.2">
      <c r="D59" s="209"/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x14ac:dyDescent="0.2">
      <c r="G60" s="209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8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5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C64" s="4"/>
      <c r="F64" s="2"/>
      <c r="G64" s="216"/>
    </row>
    <row r="65" spans="1:33" x14ac:dyDescent="0.2">
      <c r="C65" s="4" t="s">
        <v>121</v>
      </c>
      <c r="G65" s="214">
        <f>input_dollars</f>
        <v>45291</v>
      </c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</row>
    <row r="66" spans="1:33" x14ac:dyDescent="0.2">
      <c r="G66" s="216"/>
    </row>
    <row r="67" spans="1:33" x14ac:dyDescent="0.2">
      <c r="A67" s="8"/>
      <c r="B67" s="8"/>
      <c r="C67" s="150" t="s">
        <v>30</v>
      </c>
      <c r="D67" s="38"/>
      <c r="F67" s="97"/>
      <c r="G67" s="21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x14ac:dyDescent="0.2">
      <c r="A68" s="8"/>
      <c r="B68" s="8"/>
      <c r="C68" s="4" t="str">
        <f>C14</f>
        <v>No change to existing practices</v>
      </c>
      <c r="D68" s="38"/>
      <c r="F68" s="97"/>
      <c r="G68" s="214">
        <f>input_dollars</f>
        <v>45291</v>
      </c>
      <c r="H68" s="31"/>
      <c r="I68" s="119">
        <f t="shared" ref="I68:AG71" si="6">-I14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C15</f>
        <v>&lt; Enter description &gt;</v>
      </c>
      <c r="D69" s="38"/>
      <c r="F69" s="97"/>
      <c r="G69" s="214">
        <f>input_dollars</f>
        <v>45291</v>
      </c>
      <c r="H69" s="31"/>
      <c r="I69" s="119">
        <f t="shared" si="6"/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 t="str">
        <f>C16</f>
        <v>&lt; Enter description &gt;</v>
      </c>
      <c r="D70" s="38"/>
      <c r="F70" s="97"/>
      <c r="G70" s="214">
        <f>input_dollars</f>
        <v>45291</v>
      </c>
      <c r="H70" s="31"/>
      <c r="I70" s="119">
        <f t="shared" si="6"/>
        <v>0</v>
      </c>
      <c r="J70" s="119">
        <f t="shared" si="6"/>
        <v>0</v>
      </c>
      <c r="K70" s="119">
        <f t="shared" si="6"/>
        <v>0</v>
      </c>
      <c r="L70" s="119">
        <f t="shared" si="6"/>
        <v>0</v>
      </c>
      <c r="M70" s="119">
        <f t="shared" si="6"/>
        <v>0</v>
      </c>
      <c r="N70" s="119">
        <f t="shared" si="6"/>
        <v>0</v>
      </c>
      <c r="O70" s="119">
        <f t="shared" si="6"/>
        <v>0</v>
      </c>
      <c r="P70" s="119">
        <f t="shared" si="6"/>
        <v>0</v>
      </c>
      <c r="Q70" s="119">
        <f t="shared" si="6"/>
        <v>0</v>
      </c>
      <c r="R70" s="119">
        <f t="shared" si="6"/>
        <v>0</v>
      </c>
      <c r="S70" s="119">
        <f t="shared" si="6"/>
        <v>0</v>
      </c>
      <c r="T70" s="119">
        <f t="shared" si="6"/>
        <v>0</v>
      </c>
      <c r="U70" s="119">
        <f t="shared" si="6"/>
        <v>0</v>
      </c>
      <c r="V70" s="119">
        <f t="shared" si="6"/>
        <v>0</v>
      </c>
      <c r="W70" s="119">
        <f t="shared" si="6"/>
        <v>0</v>
      </c>
      <c r="X70" s="119">
        <f t="shared" si="6"/>
        <v>0</v>
      </c>
      <c r="Y70" s="119">
        <f t="shared" si="6"/>
        <v>0</v>
      </c>
      <c r="Z70" s="119">
        <f t="shared" si="6"/>
        <v>0</v>
      </c>
      <c r="AA70" s="119">
        <f t="shared" si="6"/>
        <v>0</v>
      </c>
      <c r="AB70" s="119">
        <f t="shared" si="6"/>
        <v>0</v>
      </c>
      <c r="AC70" s="119">
        <f t="shared" si="6"/>
        <v>0</v>
      </c>
      <c r="AD70" s="119">
        <f t="shared" si="6"/>
        <v>0</v>
      </c>
      <c r="AE70" s="119">
        <f t="shared" si="6"/>
        <v>0</v>
      </c>
      <c r="AF70" s="119">
        <f t="shared" si="6"/>
        <v>0</v>
      </c>
      <c r="AG70" s="119">
        <f t="shared" si="6"/>
        <v>0</v>
      </c>
    </row>
    <row r="71" spans="1:33" x14ac:dyDescent="0.2">
      <c r="A71" s="8"/>
      <c r="B71" s="8"/>
      <c r="C71" s="4" t="str">
        <f>C17</f>
        <v>&lt; Enter description &gt;</v>
      </c>
      <c r="D71" s="38"/>
      <c r="F71" s="97"/>
      <c r="G71" s="214">
        <f>input_dollars</f>
        <v>45291</v>
      </c>
      <c r="H71" s="31"/>
      <c r="I71" s="119">
        <f t="shared" si="6"/>
        <v>0</v>
      </c>
      <c r="J71" s="119">
        <f t="shared" si="6"/>
        <v>0</v>
      </c>
      <c r="K71" s="119">
        <f t="shared" si="6"/>
        <v>0</v>
      </c>
      <c r="L71" s="119">
        <f t="shared" si="6"/>
        <v>0</v>
      </c>
      <c r="M71" s="119">
        <f t="shared" si="6"/>
        <v>0</v>
      </c>
      <c r="N71" s="119">
        <f t="shared" si="6"/>
        <v>0</v>
      </c>
      <c r="O71" s="119">
        <f t="shared" si="6"/>
        <v>0</v>
      </c>
      <c r="P71" s="119">
        <f t="shared" si="6"/>
        <v>0</v>
      </c>
      <c r="Q71" s="119">
        <f t="shared" si="6"/>
        <v>0</v>
      </c>
      <c r="R71" s="119">
        <f t="shared" si="6"/>
        <v>0</v>
      </c>
      <c r="S71" s="119">
        <f t="shared" si="6"/>
        <v>0</v>
      </c>
      <c r="T71" s="119">
        <f t="shared" si="6"/>
        <v>0</v>
      </c>
      <c r="U71" s="119">
        <f t="shared" si="6"/>
        <v>0</v>
      </c>
      <c r="V71" s="119">
        <f t="shared" si="6"/>
        <v>0</v>
      </c>
      <c r="W71" s="119">
        <f t="shared" si="6"/>
        <v>0</v>
      </c>
      <c r="X71" s="119">
        <f t="shared" si="6"/>
        <v>0</v>
      </c>
      <c r="Y71" s="119">
        <f t="shared" si="6"/>
        <v>0</v>
      </c>
      <c r="Z71" s="119">
        <f t="shared" si="6"/>
        <v>0</v>
      </c>
      <c r="AA71" s="119">
        <f t="shared" si="6"/>
        <v>0</v>
      </c>
      <c r="AB71" s="119">
        <f t="shared" si="6"/>
        <v>0</v>
      </c>
      <c r="AC71" s="119">
        <f t="shared" si="6"/>
        <v>0</v>
      </c>
      <c r="AD71" s="119">
        <f t="shared" si="6"/>
        <v>0</v>
      </c>
      <c r="AE71" s="119">
        <f t="shared" si="6"/>
        <v>0</v>
      </c>
      <c r="AF71" s="119">
        <f t="shared" si="6"/>
        <v>0</v>
      </c>
      <c r="AG71" s="119">
        <f t="shared" si="6"/>
        <v>0</v>
      </c>
    </row>
    <row r="72" spans="1:33" x14ac:dyDescent="0.2">
      <c r="A72" s="8"/>
      <c r="B72" s="8"/>
      <c r="C72" s="4"/>
      <c r="D72" s="38"/>
      <c r="F72" s="97"/>
      <c r="G72" s="218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x14ac:dyDescent="0.2">
      <c r="A73" s="8"/>
      <c r="B73" s="8"/>
      <c r="C73" s="150" t="s">
        <v>156</v>
      </c>
      <c r="D73" s="38"/>
      <c r="F73" s="97"/>
      <c r="G73" s="217"/>
      <c r="H73" s="31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</row>
    <row r="74" spans="1:33" x14ac:dyDescent="0.2">
      <c r="A74" s="8"/>
      <c r="B74" s="8"/>
      <c r="C74" s="4" t="str">
        <f>C14</f>
        <v>No change to existing practices</v>
      </c>
      <c r="D74" s="38"/>
      <c r="F74" s="97"/>
      <c r="G74" s="214">
        <f>input_dollars</f>
        <v>45291</v>
      </c>
      <c r="H74" s="31"/>
      <c r="I74" s="119" cm="1">
        <f t="array" ref="I74">SUMPRODUCT(($I68:I68))-SUMPRODUCT(($I68:I68)*($I$6:I$6&lt;=(I$6-$E14)))</f>
        <v>0</v>
      </c>
      <c r="J74" s="119" cm="1">
        <f t="array" ref="J74">SUMPRODUCT(($I68:J68))-SUMPRODUCT(($I68:J68)*($I$6:J$6&lt;=(J$6-$E14)))</f>
        <v>0</v>
      </c>
      <c r="K74" s="119" cm="1">
        <f t="array" ref="K74">SUMPRODUCT(($I68:K68))-SUMPRODUCT(($I68:K68)*($I$6:K$6&lt;=(K$6-$E14)))</f>
        <v>0</v>
      </c>
      <c r="L74" s="119" cm="1">
        <f t="array" ref="L74">SUMPRODUCT(($I68:L68))-SUMPRODUCT(($I68:L68)*($I$6:L$6&lt;=(L$6-$E14)))</f>
        <v>0</v>
      </c>
      <c r="M74" s="119" cm="1">
        <f t="array" ref="M74">SUMPRODUCT(($I68:M68))-SUMPRODUCT(($I68:M68)*($I$6:M$6&lt;=(M$6-$E14)))</f>
        <v>0</v>
      </c>
      <c r="N74" s="119" cm="1">
        <f t="array" ref="N74">SUMPRODUCT(($I68:N68))-SUMPRODUCT(($I68:N68)*($I$6:N$6&lt;=(N$6-$E14)))</f>
        <v>0</v>
      </c>
      <c r="O74" s="119" cm="1">
        <f t="array" ref="O74">SUMPRODUCT(($I68:O68))-SUMPRODUCT(($I68:O68)*($I$6:O$6&lt;=(O$6-$E14)))</f>
        <v>0</v>
      </c>
      <c r="P74" s="119" cm="1">
        <f t="array" ref="P74">SUMPRODUCT(($I68:P68))-SUMPRODUCT(($I68:P68)*($I$6:P$6&lt;=(P$6-$E14)))</f>
        <v>0</v>
      </c>
      <c r="Q74" s="119" cm="1">
        <f t="array" ref="Q74">SUMPRODUCT(($I68:Q68))-SUMPRODUCT(($I68:Q68)*($I$6:Q$6&lt;=(Q$6-$E14)))</f>
        <v>0</v>
      </c>
      <c r="R74" s="119" cm="1">
        <f t="array" ref="R74">SUMPRODUCT(($I68:R68))-SUMPRODUCT(($I68:R68)*($I$6:R$6&lt;=(R$6-$E14)))</f>
        <v>0</v>
      </c>
      <c r="S74" s="119" cm="1">
        <f t="array" ref="S74">SUMPRODUCT(($I68:S68))-SUMPRODUCT(($I68:S68)*($I$6:S$6&lt;=(S$6-$E14)))</f>
        <v>0</v>
      </c>
      <c r="T74" s="119" cm="1">
        <f t="array" ref="T74">SUMPRODUCT(($I68:T68))-SUMPRODUCT(($I68:T68)*($I$6:T$6&lt;=(T$6-$E14)))</f>
        <v>0</v>
      </c>
      <c r="U74" s="119" cm="1">
        <f t="array" ref="U74">SUMPRODUCT(($I68:U68))-SUMPRODUCT(($I68:U68)*($I$6:U$6&lt;=(U$6-$E14)))</f>
        <v>0</v>
      </c>
      <c r="V74" s="119" cm="1">
        <f t="array" ref="V74">SUMPRODUCT(($I68:V68))-SUMPRODUCT(($I68:V68)*($I$6:V$6&lt;=(V$6-$E14)))</f>
        <v>0</v>
      </c>
      <c r="W74" s="119" cm="1">
        <f t="array" ref="W74">SUMPRODUCT(($I68:W68))-SUMPRODUCT(($I68:W68)*($I$6:W$6&lt;=(W$6-$E14)))</f>
        <v>0</v>
      </c>
      <c r="X74" s="119" cm="1">
        <f t="array" ref="X74">SUMPRODUCT(($I68:X68))-SUMPRODUCT(($I68:X68)*($I$6:X$6&lt;=(X$6-$E14)))</f>
        <v>0</v>
      </c>
      <c r="Y74" s="119" cm="1">
        <f t="array" ref="Y74">SUMPRODUCT(($I68:Y68))-SUMPRODUCT(($I68:Y68)*($I$6:Y$6&lt;=(Y$6-$E14)))</f>
        <v>0</v>
      </c>
      <c r="Z74" s="119" cm="1">
        <f t="array" ref="Z74">SUMPRODUCT(($I68:Z68))-SUMPRODUCT(($I68:Z68)*($I$6:Z$6&lt;=(Z$6-$E14)))</f>
        <v>0</v>
      </c>
      <c r="AA74" s="119" cm="1">
        <f t="array" ref="AA74">SUMPRODUCT(($I68:AA68))-SUMPRODUCT(($I68:AA68)*($I$6:AA$6&lt;=(AA$6-$E14)))</f>
        <v>0</v>
      </c>
      <c r="AB74" s="119" cm="1">
        <f t="array" ref="AB74">SUMPRODUCT(($I68:AB68))-SUMPRODUCT(($I68:AB68)*($I$6:AB$6&lt;=(AB$6-$E14)))</f>
        <v>0</v>
      </c>
      <c r="AC74" s="119" cm="1">
        <f t="array" ref="AC74">SUMPRODUCT(($I68:AC68))-SUMPRODUCT(($I68:AC68)*($I$6:AC$6&lt;=(AC$6-$E14)))</f>
        <v>0</v>
      </c>
      <c r="AD74" s="119" cm="1">
        <f t="array" ref="AD74">SUMPRODUCT(($I68:AD68))-SUMPRODUCT(($I68:AD68)*($I$6:AD$6&lt;=(AD$6-$E14)))</f>
        <v>0</v>
      </c>
      <c r="AE74" s="119" cm="1">
        <f t="array" ref="AE74">SUMPRODUCT(($I68:AE68))-SUMPRODUCT(($I68:AE68)*($I$6:AE$6&lt;=(AE$6-$E14)))</f>
        <v>0</v>
      </c>
      <c r="AF74" s="119" cm="1">
        <f t="array" ref="AF74">SUMPRODUCT(($I68:AF68))-SUMPRODUCT(($I68:AF68)*($I$6:AF$6&lt;=(AF$6-$E14)))</f>
        <v>0</v>
      </c>
      <c r="AG74" s="119" cm="1">
        <f t="array" ref="AG74">SUMPRODUCT(($I68:AG68))-SUMPRODUCT(($I68:AG68)*($I$6:AG$6&lt;=(AG$6-$E14)))</f>
        <v>0</v>
      </c>
    </row>
    <row r="75" spans="1:33" x14ac:dyDescent="0.2">
      <c r="A75" s="8"/>
      <c r="B75" s="8"/>
      <c r="C75" s="4" t="str">
        <f>C15</f>
        <v>&lt; Enter description &gt;</v>
      </c>
      <c r="D75" s="38"/>
      <c r="F75" s="97"/>
      <c r="G75" s="214">
        <f>input_dollars</f>
        <v>45291</v>
      </c>
      <c r="H75" s="31"/>
      <c r="I75" s="119" cm="1">
        <f t="array" ref="I75">SUMPRODUCT(($I69:I69))-SUMPRODUCT(($I69:I69)*($I$6:I$6&lt;=(I$6-$E15)))</f>
        <v>0</v>
      </c>
      <c r="J75" s="119" cm="1">
        <f t="array" ref="J75">SUMPRODUCT(($I69:J69))-SUMPRODUCT(($I69:J69)*($I$6:J$6&lt;=(J$6-$E15)))</f>
        <v>0</v>
      </c>
      <c r="K75" s="119" cm="1">
        <f t="array" ref="K75">SUMPRODUCT(($I69:K69))-SUMPRODUCT(($I69:K69)*($I$6:K$6&lt;=(K$6-$E15)))</f>
        <v>0</v>
      </c>
      <c r="L75" s="119" cm="1">
        <f t="array" ref="L75">SUMPRODUCT(($I69:L69))-SUMPRODUCT(($I69:L69)*($I$6:L$6&lt;=(L$6-$E15)))</f>
        <v>0</v>
      </c>
      <c r="M75" s="119" cm="1">
        <f t="array" ref="M75">SUMPRODUCT(($I69:M69))-SUMPRODUCT(($I69:M69)*($I$6:M$6&lt;=(M$6-$E15)))</f>
        <v>0</v>
      </c>
      <c r="N75" s="119" cm="1">
        <f t="array" ref="N75">SUMPRODUCT(($I69:N69))-SUMPRODUCT(($I69:N69)*($I$6:N$6&lt;=(N$6-$E15)))</f>
        <v>0</v>
      </c>
      <c r="O75" s="119" cm="1">
        <f t="array" ref="O75">SUMPRODUCT(($I69:O69))-SUMPRODUCT(($I69:O69)*($I$6:O$6&lt;=(O$6-$E15)))</f>
        <v>0</v>
      </c>
      <c r="P75" s="119" cm="1">
        <f t="array" ref="P75">SUMPRODUCT(($I69:P69))-SUMPRODUCT(($I69:P69)*($I$6:P$6&lt;=(P$6-$E15)))</f>
        <v>0</v>
      </c>
      <c r="Q75" s="119" cm="1">
        <f t="array" ref="Q75">SUMPRODUCT(($I69:Q69))-SUMPRODUCT(($I69:Q69)*($I$6:Q$6&lt;=(Q$6-$E15)))</f>
        <v>0</v>
      </c>
      <c r="R75" s="119" cm="1">
        <f t="array" ref="R75">SUMPRODUCT(($I69:R69))-SUMPRODUCT(($I69:R69)*($I$6:R$6&lt;=(R$6-$E15)))</f>
        <v>0</v>
      </c>
      <c r="S75" s="119" cm="1">
        <f t="array" ref="S75">SUMPRODUCT(($I69:S69))-SUMPRODUCT(($I69:S69)*($I$6:S$6&lt;=(S$6-$E15)))</f>
        <v>0</v>
      </c>
      <c r="T75" s="119" cm="1">
        <f t="array" ref="T75">SUMPRODUCT(($I69:T69))-SUMPRODUCT(($I69:T69)*($I$6:T$6&lt;=(T$6-$E15)))</f>
        <v>0</v>
      </c>
      <c r="U75" s="119" cm="1">
        <f t="array" ref="U75">SUMPRODUCT(($I69:U69))-SUMPRODUCT(($I69:U69)*($I$6:U$6&lt;=(U$6-$E15)))</f>
        <v>0</v>
      </c>
      <c r="V75" s="119" cm="1">
        <f t="array" ref="V75">SUMPRODUCT(($I69:V69))-SUMPRODUCT(($I69:V69)*($I$6:V$6&lt;=(V$6-$E15)))</f>
        <v>0</v>
      </c>
      <c r="W75" s="119" cm="1">
        <f t="array" ref="W75">SUMPRODUCT(($I69:W69))-SUMPRODUCT(($I69:W69)*($I$6:W$6&lt;=(W$6-$E15)))</f>
        <v>0</v>
      </c>
      <c r="X75" s="119" cm="1">
        <f t="array" ref="X75">SUMPRODUCT(($I69:X69))-SUMPRODUCT(($I69:X69)*($I$6:X$6&lt;=(X$6-$E15)))</f>
        <v>0</v>
      </c>
      <c r="Y75" s="119" cm="1">
        <f t="array" ref="Y75">SUMPRODUCT(($I69:Y69))-SUMPRODUCT(($I69:Y69)*($I$6:Y$6&lt;=(Y$6-$E15)))</f>
        <v>0</v>
      </c>
      <c r="Z75" s="119" cm="1">
        <f t="array" ref="Z75">SUMPRODUCT(($I69:Z69))-SUMPRODUCT(($I69:Z69)*($I$6:Z$6&lt;=(Z$6-$E15)))</f>
        <v>0</v>
      </c>
      <c r="AA75" s="119" cm="1">
        <f t="array" ref="AA75">SUMPRODUCT(($I69:AA69))-SUMPRODUCT(($I69:AA69)*($I$6:AA$6&lt;=(AA$6-$E15)))</f>
        <v>0</v>
      </c>
      <c r="AB75" s="119" cm="1">
        <f t="array" ref="AB75">SUMPRODUCT(($I69:AB69))-SUMPRODUCT(($I69:AB69)*($I$6:AB$6&lt;=(AB$6-$E15)))</f>
        <v>0</v>
      </c>
      <c r="AC75" s="119" cm="1">
        <f t="array" ref="AC75">SUMPRODUCT(($I69:AC69))-SUMPRODUCT(($I69:AC69)*($I$6:AC$6&lt;=(AC$6-$E15)))</f>
        <v>0</v>
      </c>
      <c r="AD75" s="119" cm="1">
        <f t="array" ref="AD75">SUMPRODUCT(($I69:AD69))-SUMPRODUCT(($I69:AD69)*($I$6:AD$6&lt;=(AD$6-$E15)))</f>
        <v>0</v>
      </c>
      <c r="AE75" s="119" cm="1">
        <f t="array" ref="AE75">SUMPRODUCT(($I69:AE69))-SUMPRODUCT(($I69:AE69)*($I$6:AE$6&lt;=(AE$6-$E15)))</f>
        <v>0</v>
      </c>
      <c r="AF75" s="119" cm="1">
        <f t="array" ref="AF75">SUMPRODUCT(($I69:AF69))-SUMPRODUCT(($I69:AF69)*($I$6:AF$6&lt;=(AF$6-$E15)))</f>
        <v>0</v>
      </c>
      <c r="AG75" s="119" cm="1">
        <f t="array" ref="AG75">SUMPRODUCT(($I69:AG69))-SUMPRODUCT(($I69:AG69)*($I$6:AG$6&lt;=(AG$6-$E15)))</f>
        <v>0</v>
      </c>
    </row>
    <row r="76" spans="1:33" x14ac:dyDescent="0.2">
      <c r="A76" s="8"/>
      <c r="B76" s="8"/>
      <c r="C76" s="4" t="str">
        <f>C16</f>
        <v>&lt; Enter description &gt;</v>
      </c>
      <c r="D76" s="38"/>
      <c r="F76" s="97"/>
      <c r="G76" s="214">
        <f>input_dollars</f>
        <v>45291</v>
      </c>
      <c r="H76" s="31"/>
      <c r="I76" s="119" cm="1">
        <f t="array" ref="I76">SUMPRODUCT(($I70:I70))-SUMPRODUCT(($I70:I70)*($I$6:I$6&lt;=(I$6-$E16)))</f>
        <v>0</v>
      </c>
      <c r="J76" s="119" cm="1">
        <f t="array" ref="J76">SUMPRODUCT(($I70:J70))-SUMPRODUCT(($I70:J70)*($I$6:J$6&lt;=(J$6-$E16)))</f>
        <v>0</v>
      </c>
      <c r="K76" s="119" cm="1">
        <f t="array" ref="K76">SUMPRODUCT(($I70:K70))-SUMPRODUCT(($I70:K70)*($I$6:K$6&lt;=(K$6-$E16)))</f>
        <v>0</v>
      </c>
      <c r="L76" s="119" cm="1">
        <f t="array" ref="L76">SUMPRODUCT(($I70:L70))-SUMPRODUCT(($I70:L70)*($I$6:L$6&lt;=(L$6-$E16)))</f>
        <v>0</v>
      </c>
      <c r="M76" s="119" cm="1">
        <f t="array" ref="M76">SUMPRODUCT(($I70:M70))-SUMPRODUCT(($I70:M70)*($I$6:M$6&lt;=(M$6-$E16)))</f>
        <v>0</v>
      </c>
      <c r="N76" s="119" cm="1">
        <f t="array" ref="N76">SUMPRODUCT(($I70:N70))-SUMPRODUCT(($I70:N70)*($I$6:N$6&lt;=(N$6-$E16)))</f>
        <v>0</v>
      </c>
      <c r="O76" s="119" cm="1">
        <f t="array" ref="O76">SUMPRODUCT(($I70:O70))-SUMPRODUCT(($I70:O70)*($I$6:O$6&lt;=(O$6-$E16)))</f>
        <v>0</v>
      </c>
      <c r="P76" s="119" cm="1">
        <f t="array" ref="P76">SUMPRODUCT(($I70:P70))-SUMPRODUCT(($I70:P70)*($I$6:P$6&lt;=(P$6-$E16)))</f>
        <v>0</v>
      </c>
      <c r="Q76" s="119" cm="1">
        <f t="array" ref="Q76">SUMPRODUCT(($I70:Q70))-SUMPRODUCT(($I70:Q70)*($I$6:Q$6&lt;=(Q$6-$E16)))</f>
        <v>0</v>
      </c>
      <c r="R76" s="119" cm="1">
        <f t="array" ref="R76">SUMPRODUCT(($I70:R70))-SUMPRODUCT(($I70:R70)*($I$6:R$6&lt;=(R$6-$E16)))</f>
        <v>0</v>
      </c>
      <c r="S76" s="119" cm="1">
        <f t="array" ref="S76">SUMPRODUCT(($I70:S70))-SUMPRODUCT(($I70:S70)*($I$6:S$6&lt;=(S$6-$E16)))</f>
        <v>0</v>
      </c>
      <c r="T76" s="119" cm="1">
        <f t="array" ref="T76">SUMPRODUCT(($I70:T70))-SUMPRODUCT(($I70:T70)*($I$6:T$6&lt;=(T$6-$E16)))</f>
        <v>0</v>
      </c>
      <c r="U76" s="119" cm="1">
        <f t="array" ref="U76">SUMPRODUCT(($I70:U70))-SUMPRODUCT(($I70:U70)*($I$6:U$6&lt;=(U$6-$E16)))</f>
        <v>0</v>
      </c>
      <c r="V76" s="119" cm="1">
        <f t="array" ref="V76">SUMPRODUCT(($I70:V70))-SUMPRODUCT(($I70:V70)*($I$6:V$6&lt;=(V$6-$E16)))</f>
        <v>0</v>
      </c>
      <c r="W76" s="119" cm="1">
        <f t="array" ref="W76">SUMPRODUCT(($I70:W70))-SUMPRODUCT(($I70:W70)*($I$6:W$6&lt;=(W$6-$E16)))</f>
        <v>0</v>
      </c>
      <c r="X76" s="119" cm="1">
        <f t="array" ref="X76">SUMPRODUCT(($I70:X70))-SUMPRODUCT(($I70:X70)*($I$6:X$6&lt;=(X$6-$E16)))</f>
        <v>0</v>
      </c>
      <c r="Y76" s="119" cm="1">
        <f t="array" ref="Y76">SUMPRODUCT(($I70:Y70))-SUMPRODUCT(($I70:Y70)*($I$6:Y$6&lt;=(Y$6-$E16)))</f>
        <v>0</v>
      </c>
      <c r="Z76" s="119" cm="1">
        <f t="array" ref="Z76">SUMPRODUCT(($I70:Z70))-SUMPRODUCT(($I70:Z70)*($I$6:Z$6&lt;=(Z$6-$E16)))</f>
        <v>0</v>
      </c>
      <c r="AA76" s="119" cm="1">
        <f t="array" ref="AA76">SUMPRODUCT(($I70:AA70))-SUMPRODUCT(($I70:AA70)*($I$6:AA$6&lt;=(AA$6-$E16)))</f>
        <v>0</v>
      </c>
      <c r="AB76" s="119" cm="1">
        <f t="array" ref="AB76">SUMPRODUCT(($I70:AB70))-SUMPRODUCT(($I70:AB70)*($I$6:AB$6&lt;=(AB$6-$E16)))</f>
        <v>0</v>
      </c>
      <c r="AC76" s="119" cm="1">
        <f t="array" ref="AC76">SUMPRODUCT(($I70:AC70))-SUMPRODUCT(($I70:AC70)*($I$6:AC$6&lt;=(AC$6-$E16)))</f>
        <v>0</v>
      </c>
      <c r="AD76" s="119" cm="1">
        <f t="array" ref="AD76">SUMPRODUCT(($I70:AD70))-SUMPRODUCT(($I70:AD70)*($I$6:AD$6&lt;=(AD$6-$E16)))</f>
        <v>0</v>
      </c>
      <c r="AE76" s="119" cm="1">
        <f t="array" ref="AE76">SUMPRODUCT(($I70:AE70))-SUMPRODUCT(($I70:AE70)*($I$6:AE$6&lt;=(AE$6-$E16)))</f>
        <v>0</v>
      </c>
      <c r="AF76" s="119" cm="1">
        <f t="array" ref="AF76">SUMPRODUCT(($I70:AF70))-SUMPRODUCT(($I70:AF70)*($I$6:AF$6&lt;=(AF$6-$E16)))</f>
        <v>0</v>
      </c>
      <c r="AG76" s="119" cm="1">
        <f t="array" ref="AG76">SUMPRODUCT(($I70:AG70))-SUMPRODUCT(($I70:AG70)*($I$6:AG$6&lt;=(AG$6-$E16)))</f>
        <v>0</v>
      </c>
    </row>
    <row r="77" spans="1:33" x14ac:dyDescent="0.2">
      <c r="A77" s="8"/>
      <c r="B77" s="8"/>
      <c r="C77" s="4" t="str">
        <f>C17</f>
        <v>&lt; Enter description &gt;</v>
      </c>
      <c r="D77" s="38"/>
      <c r="F77" s="97"/>
      <c r="G77" s="214">
        <f>input_dollars</f>
        <v>45291</v>
      </c>
      <c r="H77" s="31"/>
      <c r="I77" s="119" cm="1">
        <f t="array" ref="I77">SUMPRODUCT(($I71:I71))-SUMPRODUCT(($I71:I71)*($I$6:I$6&lt;=(I$6-$E17)))</f>
        <v>0</v>
      </c>
      <c r="J77" s="119" cm="1">
        <f t="array" ref="J77">SUMPRODUCT(($I71:J71))-SUMPRODUCT(($I71:J71)*($I$6:J$6&lt;=(J$6-$E17)))</f>
        <v>0</v>
      </c>
      <c r="K77" s="119" cm="1">
        <f t="array" ref="K77">SUMPRODUCT(($I71:K71))-SUMPRODUCT(($I71:K71)*($I$6:K$6&lt;=(K$6-$E17)))</f>
        <v>0</v>
      </c>
      <c r="L77" s="119" cm="1">
        <f t="array" ref="L77">SUMPRODUCT(($I71:L71))-SUMPRODUCT(($I71:L71)*($I$6:L$6&lt;=(L$6-$E17)))</f>
        <v>0</v>
      </c>
      <c r="M77" s="119" cm="1">
        <f t="array" ref="M77">SUMPRODUCT(($I71:M71))-SUMPRODUCT(($I71:M71)*($I$6:M$6&lt;=(M$6-$E17)))</f>
        <v>0</v>
      </c>
      <c r="N77" s="119" cm="1">
        <f t="array" ref="N77">SUMPRODUCT(($I71:N71))-SUMPRODUCT(($I71:N71)*($I$6:N$6&lt;=(N$6-$E17)))</f>
        <v>0</v>
      </c>
      <c r="O77" s="119" cm="1">
        <f t="array" ref="O77">SUMPRODUCT(($I71:O71))-SUMPRODUCT(($I71:O71)*($I$6:O$6&lt;=(O$6-$E17)))</f>
        <v>0</v>
      </c>
      <c r="P77" s="119" cm="1">
        <f t="array" ref="P77">SUMPRODUCT(($I71:P71))-SUMPRODUCT(($I71:P71)*($I$6:P$6&lt;=(P$6-$E17)))</f>
        <v>0</v>
      </c>
      <c r="Q77" s="119" cm="1">
        <f t="array" ref="Q77">SUMPRODUCT(($I71:Q71))-SUMPRODUCT(($I71:Q71)*($I$6:Q$6&lt;=(Q$6-$E17)))</f>
        <v>0</v>
      </c>
      <c r="R77" s="119" cm="1">
        <f t="array" ref="R77">SUMPRODUCT(($I71:R71))-SUMPRODUCT(($I71:R71)*($I$6:R$6&lt;=(R$6-$E17)))</f>
        <v>0</v>
      </c>
      <c r="S77" s="119" cm="1">
        <f t="array" ref="S77">SUMPRODUCT(($I71:S71))-SUMPRODUCT(($I71:S71)*($I$6:S$6&lt;=(S$6-$E17)))</f>
        <v>0</v>
      </c>
      <c r="T77" s="119" cm="1">
        <f t="array" ref="T77">SUMPRODUCT(($I71:T71))-SUMPRODUCT(($I71:T71)*($I$6:T$6&lt;=(T$6-$E17)))</f>
        <v>0</v>
      </c>
      <c r="U77" s="119" cm="1">
        <f t="array" ref="U77">SUMPRODUCT(($I71:U71))-SUMPRODUCT(($I71:U71)*($I$6:U$6&lt;=(U$6-$E17)))</f>
        <v>0</v>
      </c>
      <c r="V77" s="119" cm="1">
        <f t="array" ref="V77">SUMPRODUCT(($I71:V71))-SUMPRODUCT(($I71:V71)*($I$6:V$6&lt;=(V$6-$E17)))</f>
        <v>0</v>
      </c>
      <c r="W77" s="119" cm="1">
        <f t="array" ref="W77">SUMPRODUCT(($I71:W71))-SUMPRODUCT(($I71:W71)*($I$6:W$6&lt;=(W$6-$E17)))</f>
        <v>0</v>
      </c>
      <c r="X77" s="119" cm="1">
        <f t="array" ref="X77">SUMPRODUCT(($I71:X71))-SUMPRODUCT(($I71:X71)*($I$6:X$6&lt;=(X$6-$E17)))</f>
        <v>0</v>
      </c>
      <c r="Y77" s="119" cm="1">
        <f t="array" ref="Y77">SUMPRODUCT(($I71:Y71))-SUMPRODUCT(($I71:Y71)*($I$6:Y$6&lt;=(Y$6-$E17)))</f>
        <v>0</v>
      </c>
      <c r="Z77" s="119" cm="1">
        <f t="array" ref="Z77">SUMPRODUCT(($I71:Z71))-SUMPRODUCT(($I71:Z71)*($I$6:Z$6&lt;=(Z$6-$E17)))</f>
        <v>0</v>
      </c>
      <c r="AA77" s="119" cm="1">
        <f t="array" ref="AA77">SUMPRODUCT(($I71:AA71))-SUMPRODUCT(($I71:AA71)*($I$6:AA$6&lt;=(AA$6-$E17)))</f>
        <v>0</v>
      </c>
      <c r="AB77" s="119" cm="1">
        <f t="array" ref="AB77">SUMPRODUCT(($I71:AB71))-SUMPRODUCT(($I71:AB71)*($I$6:AB$6&lt;=(AB$6-$E17)))</f>
        <v>0</v>
      </c>
      <c r="AC77" s="119" cm="1">
        <f t="array" ref="AC77">SUMPRODUCT(($I71:AC71))-SUMPRODUCT(($I71:AC71)*($I$6:AC$6&lt;=(AC$6-$E17)))</f>
        <v>0</v>
      </c>
      <c r="AD77" s="119" cm="1">
        <f t="array" ref="AD77">SUMPRODUCT(($I71:AD71))-SUMPRODUCT(($I71:AD71)*($I$6:AD$6&lt;=(AD$6-$E17)))</f>
        <v>0</v>
      </c>
      <c r="AE77" s="119" cm="1">
        <f t="array" ref="AE77">SUMPRODUCT(($I71:AE71))-SUMPRODUCT(($I71:AE71)*($I$6:AE$6&lt;=(AE$6-$E17)))</f>
        <v>0</v>
      </c>
      <c r="AF77" s="119" cm="1">
        <f t="array" ref="AF77">SUMPRODUCT(($I71:AF71))-SUMPRODUCT(($I71:AF71)*($I$6:AF$6&lt;=(AF$6-$E17)))</f>
        <v>0</v>
      </c>
      <c r="AG77" s="119" cm="1">
        <f t="array" ref="AG77">SUMPRODUCT(($I71:AG71))-SUMPRODUCT(($I71:AG71)*($I$6:AG$6&lt;=(AG$6-$E17)))</f>
        <v>0</v>
      </c>
    </row>
    <row r="78" spans="1:33" x14ac:dyDescent="0.2">
      <c r="A78" s="8"/>
      <c r="B78" s="8"/>
      <c r="C78" s="4"/>
      <c r="D78" s="38"/>
      <c r="F78" s="97"/>
      <c r="G78" s="218"/>
      <c r="H78" s="31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</row>
    <row r="79" spans="1:33" x14ac:dyDescent="0.2">
      <c r="A79" s="8"/>
      <c r="B79" s="8"/>
      <c r="C79" s="150" t="s">
        <v>91</v>
      </c>
      <c r="D79" s="38"/>
      <c r="F79" s="97"/>
      <c r="G79" s="217"/>
      <c r="H79" s="31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</row>
    <row r="80" spans="1:33" x14ac:dyDescent="0.2">
      <c r="A80" s="8"/>
      <c r="B80" s="8"/>
      <c r="C80" s="4" t="str">
        <f>$C$79&amp;" - "&amp;C14</f>
        <v>Annualised capex - No change to existing practices</v>
      </c>
      <c r="D80" s="38"/>
      <c r="F80" s="97"/>
      <c r="G80" s="214">
        <f>input_dollars</f>
        <v>45291</v>
      </c>
      <c r="H80" s="31"/>
      <c r="I80" s="119">
        <f t="shared" ref="I80:AG80" si="7">IF($E14=0,0,-PMT(real_disc, $E14,H74,))</f>
        <v>0</v>
      </c>
      <c r="J80" s="119">
        <f t="shared" si="7"/>
        <v>0</v>
      </c>
      <c r="K80" s="119">
        <f t="shared" si="7"/>
        <v>0</v>
      </c>
      <c r="L80" s="119">
        <f t="shared" si="7"/>
        <v>0</v>
      </c>
      <c r="M80" s="119">
        <f t="shared" si="7"/>
        <v>0</v>
      </c>
      <c r="N80" s="119">
        <f t="shared" si="7"/>
        <v>0</v>
      </c>
      <c r="O80" s="119">
        <f t="shared" si="7"/>
        <v>0</v>
      </c>
      <c r="P80" s="119">
        <f t="shared" si="7"/>
        <v>0</v>
      </c>
      <c r="Q80" s="119">
        <f t="shared" si="7"/>
        <v>0</v>
      </c>
      <c r="R80" s="119">
        <f t="shared" si="7"/>
        <v>0</v>
      </c>
      <c r="S80" s="119">
        <f t="shared" si="7"/>
        <v>0</v>
      </c>
      <c r="T80" s="119">
        <f t="shared" si="7"/>
        <v>0</v>
      </c>
      <c r="U80" s="119">
        <f t="shared" si="7"/>
        <v>0</v>
      </c>
      <c r="V80" s="119">
        <f t="shared" si="7"/>
        <v>0</v>
      </c>
      <c r="W80" s="119">
        <f t="shared" si="7"/>
        <v>0</v>
      </c>
      <c r="X80" s="119">
        <f t="shared" si="7"/>
        <v>0</v>
      </c>
      <c r="Y80" s="119">
        <f t="shared" si="7"/>
        <v>0</v>
      </c>
      <c r="Z80" s="119">
        <f t="shared" si="7"/>
        <v>0</v>
      </c>
      <c r="AA80" s="119">
        <f t="shared" si="7"/>
        <v>0</v>
      </c>
      <c r="AB80" s="119">
        <f t="shared" si="7"/>
        <v>0</v>
      </c>
      <c r="AC80" s="119">
        <f t="shared" si="7"/>
        <v>0</v>
      </c>
      <c r="AD80" s="119">
        <f t="shared" si="7"/>
        <v>0</v>
      </c>
      <c r="AE80" s="119">
        <f t="shared" si="7"/>
        <v>0</v>
      </c>
      <c r="AF80" s="119">
        <f t="shared" si="7"/>
        <v>0</v>
      </c>
      <c r="AG80" s="119">
        <f t="shared" si="7"/>
        <v>0</v>
      </c>
    </row>
    <row r="81" spans="1:33" x14ac:dyDescent="0.2">
      <c r="A81" s="8"/>
      <c r="B81" s="8"/>
      <c r="C81" s="4" t="str">
        <f>$C$79&amp;" - "&amp;C15</f>
        <v>Annualised capex - &lt; Enter description &gt;</v>
      </c>
      <c r="D81" s="38"/>
      <c r="F81" s="97"/>
      <c r="G81" s="214">
        <f>input_dollars</f>
        <v>45291</v>
      </c>
      <c r="H81" s="31"/>
      <c r="I81" s="119">
        <f t="shared" ref="I81:I83" si="8">IF($E15=0,0,-PMT(real_disc, $E15,H75,))</f>
        <v>0</v>
      </c>
      <c r="J81" s="119">
        <f t="shared" ref="J81:J83" si="9">IF($E15=0,0,-PMT(real_disc, $E15,I75,))</f>
        <v>0</v>
      </c>
      <c r="K81" s="119">
        <f t="shared" ref="K81:K83" si="10">IF($E15=0,0,-PMT(real_disc, $E15,J75,))</f>
        <v>0</v>
      </c>
      <c r="L81" s="119">
        <f t="shared" ref="L81:L83" si="11">IF($E15=0,0,-PMT(real_disc, $E15,K75,))</f>
        <v>0</v>
      </c>
      <c r="M81" s="119">
        <f t="shared" ref="M81:M83" si="12">IF($E15=0,0,-PMT(real_disc, $E15,L75,))</f>
        <v>0</v>
      </c>
      <c r="N81" s="119">
        <f t="shared" ref="N81:N83" si="13">IF($E15=0,0,-PMT(real_disc, $E15,M75,))</f>
        <v>0</v>
      </c>
      <c r="O81" s="119">
        <f t="shared" ref="O81:O83" si="14">IF($E15=0,0,-PMT(real_disc, $E15,N75,))</f>
        <v>0</v>
      </c>
      <c r="P81" s="119">
        <f t="shared" ref="P81:P83" si="15">IF($E15=0,0,-PMT(real_disc, $E15,O75,))</f>
        <v>0</v>
      </c>
      <c r="Q81" s="119">
        <f t="shared" ref="Q81:Q83" si="16">IF($E15=0,0,-PMT(real_disc, $E15,P75,))</f>
        <v>0</v>
      </c>
      <c r="R81" s="119">
        <f t="shared" ref="R81:R83" si="17">IF($E15=0,0,-PMT(real_disc, $E15,Q75,))</f>
        <v>0</v>
      </c>
      <c r="S81" s="119">
        <f t="shared" ref="S81:S83" si="18">IF($E15=0,0,-PMT(real_disc, $E15,R75,))</f>
        <v>0</v>
      </c>
      <c r="T81" s="119">
        <f t="shared" ref="T81:T83" si="19">IF($E15=0,0,-PMT(real_disc, $E15,S75,))</f>
        <v>0</v>
      </c>
      <c r="U81" s="119">
        <f t="shared" ref="U81:U83" si="20">IF($E15=0,0,-PMT(real_disc, $E15,T75,))</f>
        <v>0</v>
      </c>
      <c r="V81" s="119">
        <f t="shared" ref="V81:V83" si="21">IF($E15=0,0,-PMT(real_disc, $E15,U75,))</f>
        <v>0</v>
      </c>
      <c r="W81" s="119">
        <f t="shared" ref="W81:W83" si="22">IF($E15=0,0,-PMT(real_disc, $E15,V75,))</f>
        <v>0</v>
      </c>
      <c r="X81" s="119">
        <f t="shared" ref="X81:X83" si="23">IF($E15=0,0,-PMT(real_disc, $E15,W75,))</f>
        <v>0</v>
      </c>
      <c r="Y81" s="119">
        <f t="shared" ref="Y81:Y83" si="24">IF($E15=0,0,-PMT(real_disc, $E15,X75,))</f>
        <v>0</v>
      </c>
      <c r="Z81" s="119">
        <f t="shared" ref="Z81:Z83" si="25">IF($E15=0,0,-PMT(real_disc, $E15,Y75,))</f>
        <v>0</v>
      </c>
      <c r="AA81" s="119">
        <f t="shared" ref="AA81:AA83" si="26">IF($E15=0,0,-PMT(real_disc, $E15,Z75,))</f>
        <v>0</v>
      </c>
      <c r="AB81" s="119">
        <f t="shared" ref="AB81:AB83" si="27">IF($E15=0,0,-PMT(real_disc, $E15,AA75,))</f>
        <v>0</v>
      </c>
      <c r="AC81" s="119">
        <f t="shared" ref="AC81:AC83" si="28">IF($E15=0,0,-PMT(real_disc, $E15,AB75,))</f>
        <v>0</v>
      </c>
      <c r="AD81" s="119">
        <f t="shared" ref="AD81:AD83" si="29">IF($E15=0,0,-PMT(real_disc, $E15,AC75,))</f>
        <v>0</v>
      </c>
      <c r="AE81" s="119">
        <f t="shared" ref="AE81:AE83" si="30">IF($E15=0,0,-PMT(real_disc, $E15,AD75,))</f>
        <v>0</v>
      </c>
      <c r="AF81" s="119">
        <f t="shared" ref="AF81:AF83" si="31">IF($E15=0,0,-PMT(real_disc, $E15,AE75,))</f>
        <v>0</v>
      </c>
      <c r="AG81" s="119">
        <f t="shared" ref="AG81:AG83" si="32">IF($E15=0,0,-PMT(real_disc, $E15,AF75,))</f>
        <v>0</v>
      </c>
    </row>
    <row r="82" spans="1:33" x14ac:dyDescent="0.2">
      <c r="A82" s="8"/>
      <c r="B82" s="8"/>
      <c r="C82" s="4" t="str">
        <f>$C$79&amp;" - "&amp;C16</f>
        <v>Annualised capex - &lt; Enter description &gt;</v>
      </c>
      <c r="D82" s="38"/>
      <c r="F82" s="97"/>
      <c r="G82" s="214">
        <f>input_dollars</f>
        <v>45291</v>
      </c>
      <c r="H82" s="31"/>
      <c r="I82" s="119">
        <f t="shared" si="8"/>
        <v>0</v>
      </c>
      <c r="J82" s="119">
        <f t="shared" si="9"/>
        <v>0</v>
      </c>
      <c r="K82" s="119">
        <f t="shared" si="10"/>
        <v>0</v>
      </c>
      <c r="L82" s="119">
        <f t="shared" si="11"/>
        <v>0</v>
      </c>
      <c r="M82" s="119">
        <f t="shared" si="12"/>
        <v>0</v>
      </c>
      <c r="N82" s="119">
        <f t="shared" si="13"/>
        <v>0</v>
      </c>
      <c r="O82" s="119">
        <f t="shared" si="14"/>
        <v>0</v>
      </c>
      <c r="P82" s="119">
        <f t="shared" si="15"/>
        <v>0</v>
      </c>
      <c r="Q82" s="119">
        <f t="shared" si="16"/>
        <v>0</v>
      </c>
      <c r="R82" s="119">
        <f t="shared" si="17"/>
        <v>0</v>
      </c>
      <c r="S82" s="119">
        <f t="shared" si="18"/>
        <v>0</v>
      </c>
      <c r="T82" s="119">
        <f t="shared" si="19"/>
        <v>0</v>
      </c>
      <c r="U82" s="119">
        <f t="shared" si="20"/>
        <v>0</v>
      </c>
      <c r="V82" s="119">
        <f t="shared" si="21"/>
        <v>0</v>
      </c>
      <c r="W82" s="119">
        <f t="shared" si="22"/>
        <v>0</v>
      </c>
      <c r="X82" s="119">
        <f t="shared" si="23"/>
        <v>0</v>
      </c>
      <c r="Y82" s="119">
        <f t="shared" si="24"/>
        <v>0</v>
      </c>
      <c r="Z82" s="119">
        <f t="shared" si="25"/>
        <v>0</v>
      </c>
      <c r="AA82" s="119">
        <f t="shared" si="26"/>
        <v>0</v>
      </c>
      <c r="AB82" s="119">
        <f t="shared" si="27"/>
        <v>0</v>
      </c>
      <c r="AC82" s="119">
        <f t="shared" si="28"/>
        <v>0</v>
      </c>
      <c r="AD82" s="119">
        <f t="shared" si="29"/>
        <v>0</v>
      </c>
      <c r="AE82" s="119">
        <f t="shared" si="30"/>
        <v>0</v>
      </c>
      <c r="AF82" s="119">
        <f t="shared" si="31"/>
        <v>0</v>
      </c>
      <c r="AG82" s="119">
        <f t="shared" si="32"/>
        <v>0</v>
      </c>
    </row>
    <row r="83" spans="1:33" x14ac:dyDescent="0.2">
      <c r="A83" s="8"/>
      <c r="B83" s="8"/>
      <c r="C83" s="4" t="str">
        <f>$C$79&amp;" - "&amp;C17</f>
        <v>Annualised capex - &lt; Enter description &gt;</v>
      </c>
      <c r="D83" s="38"/>
      <c r="F83" s="97"/>
      <c r="G83" s="214">
        <f>input_dollars</f>
        <v>45291</v>
      </c>
      <c r="H83" s="31"/>
      <c r="I83" s="119">
        <f t="shared" si="8"/>
        <v>0</v>
      </c>
      <c r="J83" s="119">
        <f t="shared" si="9"/>
        <v>0</v>
      </c>
      <c r="K83" s="119">
        <f t="shared" si="10"/>
        <v>0</v>
      </c>
      <c r="L83" s="119">
        <f t="shared" si="11"/>
        <v>0</v>
      </c>
      <c r="M83" s="119">
        <f t="shared" si="12"/>
        <v>0</v>
      </c>
      <c r="N83" s="119">
        <f t="shared" si="13"/>
        <v>0</v>
      </c>
      <c r="O83" s="119">
        <f t="shared" si="14"/>
        <v>0</v>
      </c>
      <c r="P83" s="119">
        <f t="shared" si="15"/>
        <v>0</v>
      </c>
      <c r="Q83" s="119">
        <f t="shared" si="16"/>
        <v>0</v>
      </c>
      <c r="R83" s="119">
        <f t="shared" si="17"/>
        <v>0</v>
      </c>
      <c r="S83" s="119">
        <f t="shared" si="18"/>
        <v>0</v>
      </c>
      <c r="T83" s="119">
        <f t="shared" si="19"/>
        <v>0</v>
      </c>
      <c r="U83" s="119">
        <f t="shared" si="20"/>
        <v>0</v>
      </c>
      <c r="V83" s="119">
        <f t="shared" si="21"/>
        <v>0</v>
      </c>
      <c r="W83" s="119">
        <f t="shared" si="22"/>
        <v>0</v>
      </c>
      <c r="X83" s="119">
        <f t="shared" si="23"/>
        <v>0</v>
      </c>
      <c r="Y83" s="119">
        <f t="shared" si="24"/>
        <v>0</v>
      </c>
      <c r="Z83" s="119">
        <f t="shared" si="25"/>
        <v>0</v>
      </c>
      <c r="AA83" s="119">
        <f t="shared" si="26"/>
        <v>0</v>
      </c>
      <c r="AB83" s="119">
        <f t="shared" si="27"/>
        <v>0</v>
      </c>
      <c r="AC83" s="119">
        <f t="shared" si="28"/>
        <v>0</v>
      </c>
      <c r="AD83" s="119">
        <f t="shared" si="29"/>
        <v>0</v>
      </c>
      <c r="AE83" s="119">
        <f t="shared" si="30"/>
        <v>0</v>
      </c>
      <c r="AF83" s="119">
        <f t="shared" si="31"/>
        <v>0</v>
      </c>
      <c r="AG83" s="119">
        <f t="shared" si="32"/>
        <v>0</v>
      </c>
    </row>
    <row r="84" spans="1:33" x14ac:dyDescent="0.2">
      <c r="A84" s="8"/>
      <c r="B84" s="8"/>
      <c r="C84" s="176" t="s">
        <v>157</v>
      </c>
      <c r="D84" s="176"/>
      <c r="E84" s="177"/>
      <c r="F84" s="178"/>
      <c r="G84" s="219">
        <f>input_dollars</f>
        <v>45291</v>
      </c>
      <c r="H84" s="179"/>
      <c r="I84" s="180">
        <f>SUM(I80:I83)</f>
        <v>0</v>
      </c>
      <c r="J84" s="180">
        <f t="shared" ref="J84:AB84" si="33">SUM(J80:J83)</f>
        <v>0</v>
      </c>
      <c r="K84" s="180">
        <f t="shared" si="33"/>
        <v>0</v>
      </c>
      <c r="L84" s="180">
        <f t="shared" si="33"/>
        <v>0</v>
      </c>
      <c r="M84" s="180">
        <f t="shared" si="33"/>
        <v>0</v>
      </c>
      <c r="N84" s="180">
        <f t="shared" si="33"/>
        <v>0</v>
      </c>
      <c r="O84" s="180">
        <f t="shared" si="33"/>
        <v>0</v>
      </c>
      <c r="P84" s="180">
        <f t="shared" si="33"/>
        <v>0</v>
      </c>
      <c r="Q84" s="180">
        <f t="shared" si="33"/>
        <v>0</v>
      </c>
      <c r="R84" s="180">
        <f t="shared" si="33"/>
        <v>0</v>
      </c>
      <c r="S84" s="180">
        <f t="shared" si="33"/>
        <v>0</v>
      </c>
      <c r="T84" s="180">
        <f t="shared" si="33"/>
        <v>0</v>
      </c>
      <c r="U84" s="180">
        <f t="shared" si="33"/>
        <v>0</v>
      </c>
      <c r="V84" s="180">
        <f t="shared" si="33"/>
        <v>0</v>
      </c>
      <c r="W84" s="180">
        <f t="shared" si="33"/>
        <v>0</v>
      </c>
      <c r="X84" s="180">
        <f t="shared" si="33"/>
        <v>0</v>
      </c>
      <c r="Y84" s="180">
        <f t="shared" si="33"/>
        <v>0</v>
      </c>
      <c r="Z84" s="180">
        <f t="shared" si="33"/>
        <v>0</v>
      </c>
      <c r="AA84" s="180">
        <f t="shared" si="33"/>
        <v>0</v>
      </c>
      <c r="AB84" s="180">
        <f t="shared" si="33"/>
        <v>0</v>
      </c>
      <c r="AC84" s="180">
        <f>SUM(AC80:AC83)</f>
        <v>0</v>
      </c>
      <c r="AD84" s="180">
        <f>SUM(AD80:AD83)</f>
        <v>0</v>
      </c>
      <c r="AE84" s="180">
        <f>SUM(AE80:AE83)</f>
        <v>0</v>
      </c>
      <c r="AF84" s="180">
        <f>SUM(AF80:AF83)</f>
        <v>0</v>
      </c>
      <c r="AG84" s="180">
        <f>SUM(AG80:AG83)</f>
        <v>0</v>
      </c>
    </row>
    <row r="85" spans="1:33" x14ac:dyDescent="0.2">
      <c r="A85" s="8"/>
      <c r="B85" s="8"/>
      <c r="C85" s="75"/>
      <c r="D85" s="38"/>
      <c r="F85"/>
      <c r="G85" s="220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">
      <c r="A86" s="8"/>
      <c r="B86" s="8"/>
      <c r="C86" s="4" t="s">
        <v>91</v>
      </c>
      <c r="D86" s="38"/>
      <c r="F86" s="97"/>
      <c r="G86" s="214">
        <f t="shared" ref="G86:G91" si="34">input_dollars</f>
        <v>45291</v>
      </c>
      <c r="H86" s="31"/>
      <c r="I86" s="119">
        <f>I84</f>
        <v>0</v>
      </c>
      <c r="J86" s="119">
        <f t="shared" ref="J86:AB86" si="35">J84</f>
        <v>0</v>
      </c>
      <c r="K86" s="119">
        <f t="shared" si="35"/>
        <v>0</v>
      </c>
      <c r="L86" s="119">
        <f t="shared" si="35"/>
        <v>0</v>
      </c>
      <c r="M86" s="119">
        <f t="shared" si="35"/>
        <v>0</v>
      </c>
      <c r="N86" s="119">
        <f t="shared" si="35"/>
        <v>0</v>
      </c>
      <c r="O86" s="119">
        <f t="shared" si="35"/>
        <v>0</v>
      </c>
      <c r="P86" s="119">
        <f t="shared" si="35"/>
        <v>0</v>
      </c>
      <c r="Q86" s="119">
        <f t="shared" si="35"/>
        <v>0</v>
      </c>
      <c r="R86" s="119">
        <f t="shared" si="35"/>
        <v>0</v>
      </c>
      <c r="S86" s="119">
        <f t="shared" si="35"/>
        <v>0</v>
      </c>
      <c r="T86" s="119">
        <f t="shared" si="35"/>
        <v>0</v>
      </c>
      <c r="U86" s="119">
        <f t="shared" si="35"/>
        <v>0</v>
      </c>
      <c r="V86" s="119">
        <f t="shared" si="35"/>
        <v>0</v>
      </c>
      <c r="W86" s="119">
        <f t="shared" si="35"/>
        <v>0</v>
      </c>
      <c r="X86" s="119">
        <f t="shared" si="35"/>
        <v>0</v>
      </c>
      <c r="Y86" s="119">
        <f t="shared" si="35"/>
        <v>0</v>
      </c>
      <c r="Z86" s="119">
        <f t="shared" si="35"/>
        <v>0</v>
      </c>
      <c r="AA86" s="119">
        <f t="shared" si="35"/>
        <v>0</v>
      </c>
      <c r="AB86" s="119">
        <f t="shared" si="35"/>
        <v>0</v>
      </c>
      <c r="AC86" s="119">
        <f>AC84</f>
        <v>0</v>
      </c>
      <c r="AD86" s="119">
        <f>AD84</f>
        <v>0</v>
      </c>
      <c r="AE86" s="119">
        <f>AE84</f>
        <v>0</v>
      </c>
      <c r="AF86" s="119">
        <f>AF84</f>
        <v>0</v>
      </c>
      <c r="AG86" s="119">
        <f>AG84</f>
        <v>0</v>
      </c>
    </row>
    <row r="87" spans="1:33" x14ac:dyDescent="0.2">
      <c r="A87" s="8"/>
      <c r="B87" s="8"/>
      <c r="C87" s="4" t="s">
        <v>31</v>
      </c>
      <c r="D87" s="38"/>
      <c r="F87" s="97"/>
      <c r="G87" s="214">
        <f t="shared" si="34"/>
        <v>45291</v>
      </c>
      <c r="H87" s="31"/>
      <c r="I87" s="31">
        <f t="shared" ref="I87:AG87" si="36">-I20</f>
        <v>0</v>
      </c>
      <c r="J87" s="31">
        <f t="shared" si="36"/>
        <v>0</v>
      </c>
      <c r="K87" s="31">
        <f t="shared" si="36"/>
        <v>0</v>
      </c>
      <c r="L87" s="31">
        <f t="shared" si="36"/>
        <v>0</v>
      </c>
      <c r="M87" s="31">
        <f t="shared" si="36"/>
        <v>0</v>
      </c>
      <c r="N87" s="31">
        <f t="shared" si="36"/>
        <v>0</v>
      </c>
      <c r="O87" s="31">
        <f t="shared" si="36"/>
        <v>0</v>
      </c>
      <c r="P87" s="31">
        <f t="shared" si="36"/>
        <v>0</v>
      </c>
      <c r="Q87" s="31">
        <f t="shared" si="36"/>
        <v>0</v>
      </c>
      <c r="R87" s="31">
        <f t="shared" si="36"/>
        <v>0</v>
      </c>
      <c r="S87" s="31">
        <f t="shared" si="36"/>
        <v>0</v>
      </c>
      <c r="T87" s="31">
        <f t="shared" si="36"/>
        <v>0</v>
      </c>
      <c r="U87" s="31">
        <f t="shared" si="36"/>
        <v>0</v>
      </c>
      <c r="V87" s="31">
        <f t="shared" si="36"/>
        <v>0</v>
      </c>
      <c r="W87" s="31">
        <f t="shared" si="36"/>
        <v>0</v>
      </c>
      <c r="X87" s="31">
        <f t="shared" si="36"/>
        <v>0</v>
      </c>
      <c r="Y87" s="31">
        <f t="shared" si="36"/>
        <v>0</v>
      </c>
      <c r="Z87" s="31">
        <f t="shared" si="36"/>
        <v>0</v>
      </c>
      <c r="AA87" s="31">
        <f t="shared" si="36"/>
        <v>0</v>
      </c>
      <c r="AB87" s="31">
        <f t="shared" si="36"/>
        <v>0</v>
      </c>
      <c r="AC87" s="31">
        <f t="shared" si="36"/>
        <v>0</v>
      </c>
      <c r="AD87" s="31">
        <f t="shared" si="36"/>
        <v>0</v>
      </c>
      <c r="AE87" s="31">
        <f t="shared" si="36"/>
        <v>0</v>
      </c>
      <c r="AF87" s="31">
        <f t="shared" si="36"/>
        <v>0</v>
      </c>
      <c r="AG87" s="31">
        <f t="shared" si="36"/>
        <v>0</v>
      </c>
    </row>
    <row r="88" spans="1:33" x14ac:dyDescent="0.2">
      <c r="A88" s="8"/>
      <c r="B88" s="8"/>
      <c r="C88" s="4" t="s">
        <v>140</v>
      </c>
      <c r="D88" s="38"/>
      <c r="F88" s="97"/>
      <c r="G88" s="214">
        <f t="shared" si="34"/>
        <v>45291</v>
      </c>
      <c r="H88" s="31"/>
      <c r="I88" s="31">
        <f>I65</f>
        <v>0</v>
      </c>
      <c r="J88" s="31">
        <f t="shared" ref="J88:AB88" si="37">J65</f>
        <v>0</v>
      </c>
      <c r="K88" s="31">
        <f t="shared" si="37"/>
        <v>0</v>
      </c>
      <c r="L88" s="31">
        <f t="shared" si="37"/>
        <v>0</v>
      </c>
      <c r="M88" s="31">
        <f t="shared" si="37"/>
        <v>0</v>
      </c>
      <c r="N88" s="31">
        <f t="shared" si="37"/>
        <v>0</v>
      </c>
      <c r="O88" s="31">
        <f t="shared" si="37"/>
        <v>0</v>
      </c>
      <c r="P88" s="31">
        <f t="shared" si="37"/>
        <v>0</v>
      </c>
      <c r="Q88" s="31">
        <f t="shared" si="37"/>
        <v>0</v>
      </c>
      <c r="R88" s="31">
        <f t="shared" si="37"/>
        <v>0</v>
      </c>
      <c r="S88" s="31">
        <f t="shared" si="37"/>
        <v>0</v>
      </c>
      <c r="T88" s="31">
        <f t="shared" si="37"/>
        <v>0</v>
      </c>
      <c r="U88" s="31">
        <f t="shared" si="37"/>
        <v>0</v>
      </c>
      <c r="V88" s="31">
        <f t="shared" si="37"/>
        <v>0</v>
      </c>
      <c r="W88" s="31">
        <f t="shared" si="37"/>
        <v>0</v>
      </c>
      <c r="X88" s="31">
        <f t="shared" si="37"/>
        <v>0</v>
      </c>
      <c r="Y88" s="31">
        <f t="shared" si="37"/>
        <v>0</v>
      </c>
      <c r="Z88" s="31">
        <f t="shared" si="37"/>
        <v>0</v>
      </c>
      <c r="AA88" s="31">
        <f t="shared" si="37"/>
        <v>0</v>
      </c>
      <c r="AB88" s="31">
        <f t="shared" si="37"/>
        <v>0</v>
      </c>
      <c r="AC88" s="31">
        <f>AC65</f>
        <v>0</v>
      </c>
      <c r="AD88" s="31">
        <f>AD65</f>
        <v>0</v>
      </c>
      <c r="AE88" s="31">
        <f>AE65</f>
        <v>0</v>
      </c>
      <c r="AF88" s="31">
        <f>AF65</f>
        <v>0</v>
      </c>
      <c r="AG88" s="31">
        <f>AG65</f>
        <v>0</v>
      </c>
    </row>
    <row r="89" spans="1:33" x14ac:dyDescent="0.2">
      <c r="A89" s="8"/>
      <c r="B89" s="8"/>
      <c r="C89" s="4" t="s">
        <v>122</v>
      </c>
      <c r="D89" s="38"/>
      <c r="F89" s="97"/>
      <c r="G89" s="214">
        <f t="shared" si="34"/>
        <v>45291</v>
      </c>
      <c r="H89" s="31"/>
      <c r="I89" s="31">
        <f t="shared" ref="I89:AG89" si="38">I58</f>
        <v>0</v>
      </c>
      <c r="J89" s="31">
        <f t="shared" si="38"/>
        <v>0</v>
      </c>
      <c r="K89" s="31">
        <f t="shared" si="38"/>
        <v>0</v>
      </c>
      <c r="L89" s="31">
        <f t="shared" si="38"/>
        <v>0</v>
      </c>
      <c r="M89" s="31">
        <f t="shared" si="38"/>
        <v>0</v>
      </c>
      <c r="N89" s="31">
        <f t="shared" si="38"/>
        <v>0</v>
      </c>
      <c r="O89" s="31">
        <f t="shared" si="38"/>
        <v>0</v>
      </c>
      <c r="P89" s="31">
        <f t="shared" si="38"/>
        <v>0</v>
      </c>
      <c r="Q89" s="31">
        <f t="shared" si="38"/>
        <v>0</v>
      </c>
      <c r="R89" s="31">
        <f t="shared" si="38"/>
        <v>0</v>
      </c>
      <c r="S89" s="31">
        <f t="shared" si="38"/>
        <v>0</v>
      </c>
      <c r="T89" s="31">
        <f t="shared" si="38"/>
        <v>0</v>
      </c>
      <c r="U89" s="31">
        <f t="shared" si="38"/>
        <v>0</v>
      </c>
      <c r="V89" s="31">
        <f t="shared" si="38"/>
        <v>0</v>
      </c>
      <c r="W89" s="31">
        <f t="shared" si="38"/>
        <v>0</v>
      </c>
      <c r="X89" s="31">
        <f t="shared" si="38"/>
        <v>0</v>
      </c>
      <c r="Y89" s="31">
        <f t="shared" si="38"/>
        <v>0</v>
      </c>
      <c r="Z89" s="31">
        <f t="shared" si="38"/>
        <v>0</v>
      </c>
      <c r="AA89" s="31">
        <f t="shared" si="38"/>
        <v>0</v>
      </c>
      <c r="AB89" s="31">
        <f t="shared" si="38"/>
        <v>0</v>
      </c>
      <c r="AC89" s="31">
        <f t="shared" si="38"/>
        <v>0</v>
      </c>
      <c r="AD89" s="31">
        <f t="shared" si="38"/>
        <v>0</v>
      </c>
      <c r="AE89" s="31">
        <f t="shared" si="38"/>
        <v>0</v>
      </c>
      <c r="AF89" s="31">
        <f t="shared" si="38"/>
        <v>0</v>
      </c>
      <c r="AG89" s="31">
        <f t="shared" si="38"/>
        <v>0</v>
      </c>
    </row>
    <row r="90" spans="1:33" x14ac:dyDescent="0.2">
      <c r="A90" s="8"/>
      <c r="B90" s="8"/>
      <c r="C90" s="4"/>
      <c r="D90" s="38"/>
      <c r="F90" s="31"/>
      <c r="G90" s="21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x14ac:dyDescent="0.2">
      <c r="A91" s="8"/>
      <c r="B91" s="8"/>
      <c r="C91" s="184" t="s">
        <v>188</v>
      </c>
      <c r="D91" s="182"/>
      <c r="E91" s="177"/>
      <c r="F91" s="183"/>
      <c r="G91" s="219">
        <f t="shared" si="34"/>
        <v>45291</v>
      </c>
      <c r="H91" s="183"/>
      <c r="I91" s="183">
        <f t="shared" ref="I91:AB91" si="39">SUM(I86:I90)</f>
        <v>0</v>
      </c>
      <c r="J91" s="183">
        <f t="shared" si="39"/>
        <v>0</v>
      </c>
      <c r="K91" s="183">
        <f t="shared" si="39"/>
        <v>0</v>
      </c>
      <c r="L91" s="183">
        <f t="shared" si="39"/>
        <v>0</v>
      </c>
      <c r="M91" s="183">
        <f t="shared" si="39"/>
        <v>0</v>
      </c>
      <c r="N91" s="183">
        <f t="shared" si="39"/>
        <v>0</v>
      </c>
      <c r="O91" s="183">
        <f t="shared" si="39"/>
        <v>0</v>
      </c>
      <c r="P91" s="183">
        <f t="shared" si="39"/>
        <v>0</v>
      </c>
      <c r="Q91" s="183">
        <f t="shared" si="39"/>
        <v>0</v>
      </c>
      <c r="R91" s="183">
        <f t="shared" si="39"/>
        <v>0</v>
      </c>
      <c r="S91" s="183">
        <f t="shared" si="39"/>
        <v>0</v>
      </c>
      <c r="T91" s="183">
        <f t="shared" si="39"/>
        <v>0</v>
      </c>
      <c r="U91" s="183">
        <f t="shared" si="39"/>
        <v>0</v>
      </c>
      <c r="V91" s="183">
        <f t="shared" si="39"/>
        <v>0</v>
      </c>
      <c r="W91" s="183">
        <f t="shared" si="39"/>
        <v>0</v>
      </c>
      <c r="X91" s="183">
        <f t="shared" si="39"/>
        <v>0</v>
      </c>
      <c r="Y91" s="183">
        <f t="shared" si="39"/>
        <v>0</v>
      </c>
      <c r="Z91" s="183">
        <f t="shared" si="39"/>
        <v>0</v>
      </c>
      <c r="AA91" s="183">
        <f t="shared" si="39"/>
        <v>0</v>
      </c>
      <c r="AB91" s="183">
        <f t="shared" si="39"/>
        <v>0</v>
      </c>
      <c r="AC91" s="183">
        <f>SUM(AC86:AC90)</f>
        <v>0</v>
      </c>
      <c r="AD91" s="183">
        <f>SUM(AD86:AD90)</f>
        <v>0</v>
      </c>
      <c r="AE91" s="183">
        <f>SUM(AE86:AE90)</f>
        <v>0</v>
      </c>
      <c r="AF91" s="183">
        <f>SUM(AF86:AF90)</f>
        <v>0</v>
      </c>
      <c r="AG91" s="183">
        <f>SUM(AG86:AG90)</f>
        <v>0</v>
      </c>
    </row>
    <row r="92" spans="1:33" x14ac:dyDescent="0.2">
      <c r="A92" s="8"/>
      <c r="B92" s="8"/>
      <c r="C92" s="75"/>
      <c r="D92" s="141"/>
      <c r="E92" s="64"/>
      <c r="F92" s="143"/>
      <c r="G92" s="221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</row>
    <row r="93" spans="1:33" x14ac:dyDescent="0.2">
      <c r="A93" s="8"/>
      <c r="B93" s="8"/>
      <c r="C93" s="75"/>
      <c r="D93" s="141"/>
      <c r="E93" s="64"/>
      <c r="F93" s="143"/>
      <c r="G93" s="221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</row>
    <row r="94" spans="1:33" x14ac:dyDescent="0.2">
      <c r="A94" s="8"/>
      <c r="B94" s="8"/>
      <c r="C94" s="234"/>
      <c r="D94" s="82"/>
      <c r="E94" s="235"/>
      <c r="F94" s="236"/>
      <c r="G94" s="235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x14ac:dyDescent="0.2">
      <c r="C95" s="235"/>
      <c r="D95" s="235"/>
      <c r="E95" s="235"/>
      <c r="F95" s="235"/>
      <c r="G95" s="235"/>
    </row>
    <row r="96" spans="1:33" x14ac:dyDescent="0.2">
      <c r="C96" s="235"/>
      <c r="D96" s="235"/>
      <c r="E96" s="235"/>
      <c r="F96" s="235"/>
      <c r="G96" s="235"/>
    </row>
    <row r="98" spans="1:43" x14ac:dyDescent="0.2">
      <c r="G98" s="12"/>
    </row>
    <row r="106" spans="1:43" ht="15" x14ac:dyDescent="0.2">
      <c r="A106" s="89" t="s">
        <v>216</v>
      </c>
      <c r="B106" s="89"/>
      <c r="C106" s="89"/>
      <c r="D106" s="89"/>
      <c r="E106" s="89"/>
      <c r="F106" s="89"/>
      <c r="G106" s="208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/>
      <c r="AI106"/>
      <c r="AJ106"/>
      <c r="AK106"/>
      <c r="AL106"/>
      <c r="AM106"/>
      <c r="AN106"/>
      <c r="AO106"/>
      <c r="AP106"/>
      <c r="AQ106"/>
    </row>
    <row r="108" spans="1:43" x14ac:dyDescent="0.2"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</row>
    <row r="109" spans="1:43" x14ac:dyDescent="0.2">
      <c r="E109"/>
      <c r="F109"/>
      <c r="G109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">
        <v>119</v>
      </c>
      <c r="C110" s="1" t="s">
        <v>188</v>
      </c>
      <c r="D110"/>
      <c r="E110"/>
      <c r="F110"/>
      <c r="G110" s="38" t="str">
        <f>PROPER($A$3)&amp;A110</f>
        <v>Option 1 (Base Case)NPV</v>
      </c>
      <c r="I110" s="31">
        <f>I91</f>
        <v>0</v>
      </c>
      <c r="J110" s="31">
        <f t="shared" ref="J110:AG110" si="40">J91</f>
        <v>0</v>
      </c>
      <c r="K110" s="31">
        <f t="shared" si="40"/>
        <v>0</v>
      </c>
      <c r="L110" s="31">
        <f t="shared" si="40"/>
        <v>0</v>
      </c>
      <c r="M110" s="31">
        <f t="shared" si="40"/>
        <v>0</v>
      </c>
      <c r="N110" s="31">
        <f t="shared" si="40"/>
        <v>0</v>
      </c>
      <c r="O110" s="31">
        <f t="shared" si="40"/>
        <v>0</v>
      </c>
      <c r="P110" s="31">
        <f t="shared" si="40"/>
        <v>0</v>
      </c>
      <c r="Q110" s="31">
        <f t="shared" si="40"/>
        <v>0</v>
      </c>
      <c r="R110" s="31">
        <f t="shared" si="40"/>
        <v>0</v>
      </c>
      <c r="S110" s="31">
        <f t="shared" si="40"/>
        <v>0</v>
      </c>
      <c r="T110" s="31">
        <f t="shared" si="40"/>
        <v>0</v>
      </c>
      <c r="U110" s="31">
        <f t="shared" si="40"/>
        <v>0</v>
      </c>
      <c r="V110" s="31">
        <f t="shared" si="40"/>
        <v>0</v>
      </c>
      <c r="W110" s="31">
        <f t="shared" si="40"/>
        <v>0</v>
      </c>
      <c r="X110" s="31">
        <f t="shared" si="40"/>
        <v>0</v>
      </c>
      <c r="Y110" s="31">
        <f t="shared" si="40"/>
        <v>0</v>
      </c>
      <c r="Z110" s="31">
        <f t="shared" si="40"/>
        <v>0</v>
      </c>
      <c r="AA110" s="31">
        <f t="shared" si="40"/>
        <v>0</v>
      </c>
      <c r="AB110" s="31">
        <f t="shared" si="40"/>
        <v>0</v>
      </c>
      <c r="AC110" s="31">
        <f t="shared" si="40"/>
        <v>0</v>
      </c>
      <c r="AD110" s="31">
        <f t="shared" si="40"/>
        <v>0</v>
      </c>
      <c r="AE110" s="31">
        <f t="shared" si="40"/>
        <v>0</v>
      </c>
      <c r="AF110" s="31">
        <f t="shared" si="40"/>
        <v>0</v>
      </c>
      <c r="AG110" s="31">
        <f t="shared" si="40"/>
        <v>0</v>
      </c>
    </row>
    <row r="111" spans="1:43" x14ac:dyDescent="0.2">
      <c r="C111" s="1" t="s">
        <v>157</v>
      </c>
      <c r="D111"/>
      <c r="E111"/>
      <c r="F111"/>
      <c r="G111"/>
      <c r="I111" s="31">
        <f>I86</f>
        <v>0</v>
      </c>
      <c r="J111" s="31">
        <f t="shared" ref="J111:AG111" si="41">J86</f>
        <v>0</v>
      </c>
      <c r="K111" s="31">
        <f t="shared" si="41"/>
        <v>0</v>
      </c>
      <c r="L111" s="31">
        <f t="shared" si="41"/>
        <v>0</v>
      </c>
      <c r="M111" s="31">
        <f t="shared" si="41"/>
        <v>0</v>
      </c>
      <c r="N111" s="31">
        <f t="shared" si="41"/>
        <v>0</v>
      </c>
      <c r="O111" s="31">
        <f t="shared" si="41"/>
        <v>0</v>
      </c>
      <c r="P111" s="31">
        <f t="shared" si="41"/>
        <v>0</v>
      </c>
      <c r="Q111" s="31">
        <f t="shared" si="41"/>
        <v>0</v>
      </c>
      <c r="R111" s="31">
        <f t="shared" si="41"/>
        <v>0</v>
      </c>
      <c r="S111" s="31">
        <f t="shared" si="41"/>
        <v>0</v>
      </c>
      <c r="T111" s="31">
        <f t="shared" si="41"/>
        <v>0</v>
      </c>
      <c r="U111" s="31">
        <f t="shared" si="41"/>
        <v>0</v>
      </c>
      <c r="V111" s="31">
        <f t="shared" si="41"/>
        <v>0</v>
      </c>
      <c r="W111" s="31">
        <f t="shared" si="41"/>
        <v>0</v>
      </c>
      <c r="X111" s="31">
        <f t="shared" si="41"/>
        <v>0</v>
      </c>
      <c r="Y111" s="31">
        <f t="shared" si="41"/>
        <v>0</v>
      </c>
      <c r="Z111" s="31">
        <f t="shared" si="41"/>
        <v>0</v>
      </c>
      <c r="AA111" s="31">
        <f t="shared" si="41"/>
        <v>0</v>
      </c>
      <c r="AB111" s="31">
        <f t="shared" si="41"/>
        <v>0</v>
      </c>
      <c r="AC111" s="31">
        <f t="shared" si="41"/>
        <v>0</v>
      </c>
      <c r="AD111" s="31">
        <f t="shared" si="41"/>
        <v>0</v>
      </c>
      <c r="AE111" s="31">
        <f t="shared" si="41"/>
        <v>0</v>
      </c>
      <c r="AF111" s="31">
        <f t="shared" si="41"/>
        <v>0</v>
      </c>
      <c r="AG111" s="31">
        <f t="shared" si="41"/>
        <v>0</v>
      </c>
    </row>
    <row r="112" spans="1:43" x14ac:dyDescent="0.2">
      <c r="C112" s="1" t="s">
        <v>241</v>
      </c>
      <c r="D112" s="257"/>
      <c r="E112" s="38"/>
      <c r="I112" s="31">
        <f>SUM(I88:I89)</f>
        <v>0</v>
      </c>
      <c r="J112" s="31">
        <f t="shared" ref="J112:AG112" si="42">SUM(J88:J89)</f>
        <v>0</v>
      </c>
      <c r="K112" s="31">
        <f t="shared" si="42"/>
        <v>0</v>
      </c>
      <c r="L112" s="31">
        <f t="shared" si="42"/>
        <v>0</v>
      </c>
      <c r="M112" s="31">
        <f t="shared" si="42"/>
        <v>0</v>
      </c>
      <c r="N112" s="31">
        <f t="shared" si="42"/>
        <v>0</v>
      </c>
      <c r="O112" s="31">
        <f t="shared" si="42"/>
        <v>0</v>
      </c>
      <c r="P112" s="31">
        <f t="shared" si="42"/>
        <v>0</v>
      </c>
      <c r="Q112" s="31">
        <f t="shared" si="42"/>
        <v>0</v>
      </c>
      <c r="R112" s="31">
        <f t="shared" si="42"/>
        <v>0</v>
      </c>
      <c r="S112" s="31">
        <f t="shared" si="42"/>
        <v>0</v>
      </c>
      <c r="T112" s="31">
        <f t="shared" si="42"/>
        <v>0</v>
      </c>
      <c r="U112" s="31">
        <f t="shared" si="42"/>
        <v>0</v>
      </c>
      <c r="V112" s="31">
        <f t="shared" si="42"/>
        <v>0</v>
      </c>
      <c r="W112" s="31">
        <f t="shared" si="42"/>
        <v>0</v>
      </c>
      <c r="X112" s="31">
        <f t="shared" si="42"/>
        <v>0</v>
      </c>
      <c r="Y112" s="31">
        <f t="shared" si="42"/>
        <v>0</v>
      </c>
      <c r="Z112" s="31">
        <f t="shared" si="42"/>
        <v>0</v>
      </c>
      <c r="AA112" s="31">
        <f t="shared" si="42"/>
        <v>0</v>
      </c>
      <c r="AB112" s="31">
        <f t="shared" si="42"/>
        <v>0</v>
      </c>
      <c r="AC112" s="31">
        <f t="shared" si="42"/>
        <v>0</v>
      </c>
      <c r="AD112" s="31">
        <f t="shared" si="42"/>
        <v>0</v>
      </c>
      <c r="AE112" s="31">
        <f t="shared" si="42"/>
        <v>0</v>
      </c>
      <c r="AF112" s="31">
        <f t="shared" si="42"/>
        <v>0</v>
      </c>
      <c r="AG112" s="31">
        <f t="shared" si="42"/>
        <v>0</v>
      </c>
    </row>
    <row r="113" spans="1:33" x14ac:dyDescent="0.2">
      <c r="D113" s="306" t="str">
        <f>Assumptions!G110</f>
        <v>Capex</v>
      </c>
      <c r="E113" s="306" t="str">
        <f>Assumptions!H110</f>
        <v>Total benefits</v>
      </c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</row>
    <row r="114" spans="1:33" x14ac:dyDescent="0.2">
      <c r="A114" s="1" t="str">
        <f>"sens"&amp;Assumptions!B111</f>
        <v>sens1</v>
      </c>
      <c r="C114" s="305" t="str">
        <f>Assumptions!C111</f>
        <v>Capex 10% higher</v>
      </c>
      <c r="D114" s="306">
        <f>Assumptions!G111</f>
        <v>0.1</v>
      </c>
      <c r="E114" s="306">
        <f>Assumptions!H111</f>
        <v>0</v>
      </c>
      <c r="G114" s="38" t="str">
        <f>PROPER($A$3)&amp;A114</f>
        <v>Option 1 (Base Case)sens1</v>
      </c>
      <c r="I114" s="31" cm="1">
        <f t="array" ref="I114">I$110+IF($C114&lt;&gt;0,SUMPRODUCT((I$111:I$112)*TRANSPOSE(($D114:$E114))),0)</f>
        <v>0</v>
      </c>
      <c r="J114" s="31" cm="1">
        <f t="array" ref="J114">J$110+IF($C114&lt;&gt;0,SUMPRODUCT((J$111:J$112)*TRANSPOSE(($D114:$E114))),0)</f>
        <v>0</v>
      </c>
      <c r="K114" s="31" cm="1">
        <f t="array" ref="K114">K$110+IF($C114&lt;&gt;0,SUMPRODUCT((K$111:K$112)*TRANSPOSE(($D114:$E114))),0)</f>
        <v>0</v>
      </c>
      <c r="L114" s="31" cm="1">
        <f t="array" ref="L114">L$110+IF($C114&lt;&gt;0,SUMPRODUCT((L$111:L$112)*TRANSPOSE(($D114:$E114))),0)</f>
        <v>0</v>
      </c>
      <c r="M114" s="31" cm="1">
        <f t="array" ref="M114">M$110+IF($C114&lt;&gt;0,SUMPRODUCT((M$111:M$112)*TRANSPOSE(($D114:$E114))),0)</f>
        <v>0</v>
      </c>
      <c r="N114" s="31" cm="1">
        <f t="array" ref="N114">N$110+IF($C114&lt;&gt;0,SUMPRODUCT((N$111:N$112)*TRANSPOSE(($D114:$E114))),0)</f>
        <v>0</v>
      </c>
      <c r="O114" s="31" cm="1">
        <f t="array" ref="O114">O$110+IF($C114&lt;&gt;0,SUMPRODUCT((O$111:O$112)*TRANSPOSE(($D114:$E114))),0)</f>
        <v>0</v>
      </c>
      <c r="P114" s="31" cm="1">
        <f t="array" ref="P114">P$110+IF($C114&lt;&gt;0,SUMPRODUCT((P$111:P$112)*TRANSPOSE(($D114:$E114))),0)</f>
        <v>0</v>
      </c>
      <c r="Q114" s="31" cm="1">
        <f t="array" ref="Q114">Q$110+IF($C114&lt;&gt;0,SUMPRODUCT((Q$111:Q$112)*TRANSPOSE(($D114:$E114))),0)</f>
        <v>0</v>
      </c>
      <c r="R114" s="31" cm="1">
        <f t="array" ref="R114">R$110+IF($C114&lt;&gt;0,SUMPRODUCT((R$111:R$112)*TRANSPOSE(($D114:$E114))),0)</f>
        <v>0</v>
      </c>
      <c r="S114" s="31" cm="1">
        <f t="array" ref="S114">S$110+IF($C114&lt;&gt;0,SUMPRODUCT((S$111:S$112)*TRANSPOSE(($D114:$E114))),0)</f>
        <v>0</v>
      </c>
      <c r="T114" s="31" cm="1">
        <f t="array" ref="T114">T$110+IF($C114&lt;&gt;0,SUMPRODUCT((T$111:T$112)*TRANSPOSE(($D114:$E114))),0)</f>
        <v>0</v>
      </c>
      <c r="U114" s="31" cm="1">
        <f t="array" ref="U114">U$110+IF($C114&lt;&gt;0,SUMPRODUCT((U$111:U$112)*TRANSPOSE(($D114:$E114))),0)</f>
        <v>0</v>
      </c>
      <c r="V114" s="31" cm="1">
        <f t="array" ref="V114">V$110+IF($C114&lt;&gt;0,SUMPRODUCT((V$111:V$112)*TRANSPOSE(($D114:$E114))),0)</f>
        <v>0</v>
      </c>
      <c r="W114" s="31" cm="1">
        <f t="array" ref="W114">W$110+IF($C114&lt;&gt;0,SUMPRODUCT((W$111:W$112)*TRANSPOSE(($D114:$E114))),0)</f>
        <v>0</v>
      </c>
      <c r="X114" s="31" cm="1">
        <f t="array" ref="X114">X$110+IF($C114&lt;&gt;0,SUMPRODUCT((X$111:X$112)*TRANSPOSE(($D114:$E114))),0)</f>
        <v>0</v>
      </c>
      <c r="Y114" s="31" cm="1">
        <f t="array" ref="Y114">Y$110+IF($C114&lt;&gt;0,SUMPRODUCT((Y$111:Y$112)*TRANSPOSE(($D114:$E114))),0)</f>
        <v>0</v>
      </c>
      <c r="Z114" s="31" cm="1">
        <f t="array" ref="Z114">Z$110+IF($C114&lt;&gt;0,SUMPRODUCT((Z$111:Z$112)*TRANSPOSE(($D114:$E114))),0)</f>
        <v>0</v>
      </c>
      <c r="AA114" s="31" cm="1">
        <f t="array" ref="AA114">AA$110+IF($C114&lt;&gt;0,SUMPRODUCT((AA$111:AA$112)*TRANSPOSE(($D114:$E114))),0)</f>
        <v>0</v>
      </c>
      <c r="AB114" s="31" cm="1">
        <f t="array" ref="AB114">AB$110+IF($C114&lt;&gt;0,SUMPRODUCT((AB$111:AB$112)*TRANSPOSE(($D114:$E114))),0)</f>
        <v>0</v>
      </c>
      <c r="AC114" s="31" cm="1">
        <f t="array" ref="AC114">AC$110+IF($C114&lt;&gt;0,SUMPRODUCT((AC$111:AC$112)*TRANSPOSE(($D114:$E114))),0)</f>
        <v>0</v>
      </c>
      <c r="AD114" s="31" cm="1">
        <f t="array" ref="AD114">AD$110+IF($C114&lt;&gt;0,SUMPRODUCT((AD$111:AD$112)*TRANSPOSE(($D114:$E114))),0)</f>
        <v>0</v>
      </c>
      <c r="AE114" s="31" cm="1">
        <f t="array" ref="AE114">AE$110+IF($C114&lt;&gt;0,SUMPRODUCT((AE$111:AE$112)*TRANSPOSE(($D114:$E114))),0)</f>
        <v>0</v>
      </c>
      <c r="AF114" s="31" cm="1">
        <f t="array" ref="AF114">AF$110+IF($C114&lt;&gt;0,SUMPRODUCT((AF$111:AF$112)*TRANSPOSE(($D114:$E114))),0)</f>
        <v>0</v>
      </c>
      <c r="AG114" s="31" cm="1">
        <f t="array" ref="AG114">AG$110+IF($C114&lt;&gt;0,SUMPRODUCT((AG$111:AG$112)*TRANSPOSE(($D114:$E114))),0)</f>
        <v>0</v>
      </c>
    </row>
    <row r="115" spans="1:33" x14ac:dyDescent="0.2">
      <c r="A115" s="1" t="str">
        <f>"sens"&amp;Assumptions!B112</f>
        <v>sens2</v>
      </c>
      <c r="C115" s="305" t="str">
        <f>Assumptions!C112</f>
        <v>Capex 10% lower</v>
      </c>
      <c r="D115" s="306">
        <f>Assumptions!G112</f>
        <v>-0.1</v>
      </c>
      <c r="E115" s="306">
        <f>Assumptions!H112</f>
        <v>0</v>
      </c>
      <c r="G115" s="38" t="str">
        <f t="shared" ref="G115:G121" si="43">PROPER($A$3)&amp;A115</f>
        <v>Option 1 (Base Case)sens2</v>
      </c>
      <c r="I115" s="31" cm="1">
        <f t="array" ref="I115">I$110+IF($C115&lt;&gt;0,SUMPRODUCT((I$111:I$112)*TRANSPOSE(($D115:$E115))),0)</f>
        <v>0</v>
      </c>
      <c r="J115" s="31" cm="1">
        <f t="array" ref="J115">J$110+IF($C115&lt;&gt;0,SUMPRODUCT((J$111:J$112)*TRANSPOSE(($D115:$E115))),0)</f>
        <v>0</v>
      </c>
      <c r="K115" s="31" cm="1">
        <f t="array" ref="K115">K$110+IF($C115&lt;&gt;0,SUMPRODUCT((K$111:K$112)*TRANSPOSE(($D115:$E115))),0)</f>
        <v>0</v>
      </c>
      <c r="L115" s="31" cm="1">
        <f t="array" ref="L115">L$110+IF($C115&lt;&gt;0,SUMPRODUCT((L$111:L$112)*TRANSPOSE(($D115:$E115))),0)</f>
        <v>0</v>
      </c>
      <c r="M115" s="31" cm="1">
        <f t="array" ref="M115">M$110+IF($C115&lt;&gt;0,SUMPRODUCT((M$111:M$112)*TRANSPOSE(($D115:$E115))),0)</f>
        <v>0</v>
      </c>
      <c r="N115" s="31" cm="1">
        <f t="array" ref="N115">N$110+IF($C115&lt;&gt;0,SUMPRODUCT((N$111:N$112)*TRANSPOSE(($D115:$E115))),0)</f>
        <v>0</v>
      </c>
      <c r="O115" s="31" cm="1">
        <f t="array" ref="O115">O$110+IF($C115&lt;&gt;0,SUMPRODUCT((O$111:O$112)*TRANSPOSE(($D115:$E115))),0)</f>
        <v>0</v>
      </c>
      <c r="P115" s="31" cm="1">
        <f t="array" ref="P115">P$110+IF($C115&lt;&gt;0,SUMPRODUCT((P$111:P$112)*TRANSPOSE(($D115:$E115))),0)</f>
        <v>0</v>
      </c>
      <c r="Q115" s="31" cm="1">
        <f t="array" ref="Q115">Q$110+IF($C115&lt;&gt;0,SUMPRODUCT((Q$111:Q$112)*TRANSPOSE(($D115:$E115))),0)</f>
        <v>0</v>
      </c>
      <c r="R115" s="31" cm="1">
        <f t="array" ref="R115">R$110+IF($C115&lt;&gt;0,SUMPRODUCT((R$111:R$112)*TRANSPOSE(($D115:$E115))),0)</f>
        <v>0</v>
      </c>
      <c r="S115" s="31" cm="1">
        <f t="array" ref="S115">S$110+IF($C115&lt;&gt;0,SUMPRODUCT((S$111:S$112)*TRANSPOSE(($D115:$E115))),0)</f>
        <v>0</v>
      </c>
      <c r="T115" s="31" cm="1">
        <f t="array" ref="T115">T$110+IF($C115&lt;&gt;0,SUMPRODUCT((T$111:T$112)*TRANSPOSE(($D115:$E115))),0)</f>
        <v>0</v>
      </c>
      <c r="U115" s="31" cm="1">
        <f t="array" ref="U115">U$110+IF($C115&lt;&gt;0,SUMPRODUCT((U$111:U$112)*TRANSPOSE(($D115:$E115))),0)</f>
        <v>0</v>
      </c>
      <c r="V115" s="31" cm="1">
        <f t="array" ref="V115">V$110+IF($C115&lt;&gt;0,SUMPRODUCT((V$111:V$112)*TRANSPOSE(($D115:$E115))),0)</f>
        <v>0</v>
      </c>
      <c r="W115" s="31" cm="1">
        <f t="array" ref="W115">W$110+IF($C115&lt;&gt;0,SUMPRODUCT((W$111:W$112)*TRANSPOSE(($D115:$E115))),0)</f>
        <v>0</v>
      </c>
      <c r="X115" s="31" cm="1">
        <f t="array" ref="X115">X$110+IF($C115&lt;&gt;0,SUMPRODUCT((X$111:X$112)*TRANSPOSE(($D115:$E115))),0)</f>
        <v>0</v>
      </c>
      <c r="Y115" s="31" cm="1">
        <f t="array" ref="Y115">Y$110+IF($C115&lt;&gt;0,SUMPRODUCT((Y$111:Y$112)*TRANSPOSE(($D115:$E115))),0)</f>
        <v>0</v>
      </c>
      <c r="Z115" s="31" cm="1">
        <f t="array" ref="Z115">Z$110+IF($C115&lt;&gt;0,SUMPRODUCT((Z$111:Z$112)*TRANSPOSE(($D115:$E115))),0)</f>
        <v>0</v>
      </c>
      <c r="AA115" s="31" cm="1">
        <f t="array" ref="AA115">AA$110+IF($C115&lt;&gt;0,SUMPRODUCT((AA$111:AA$112)*TRANSPOSE(($D115:$E115))),0)</f>
        <v>0</v>
      </c>
      <c r="AB115" s="31" cm="1">
        <f t="array" ref="AB115">AB$110+IF($C115&lt;&gt;0,SUMPRODUCT((AB$111:AB$112)*TRANSPOSE(($D115:$E115))),0)</f>
        <v>0</v>
      </c>
      <c r="AC115" s="31" cm="1">
        <f t="array" ref="AC115">AC$110+IF($C115&lt;&gt;0,SUMPRODUCT((AC$111:AC$112)*TRANSPOSE(($D115:$E115))),0)</f>
        <v>0</v>
      </c>
      <c r="AD115" s="31" cm="1">
        <f t="array" ref="AD115">AD$110+IF($C115&lt;&gt;0,SUMPRODUCT((AD$111:AD$112)*TRANSPOSE(($D115:$E115))),0)</f>
        <v>0</v>
      </c>
      <c r="AE115" s="31" cm="1">
        <f t="array" ref="AE115">AE$110+IF($C115&lt;&gt;0,SUMPRODUCT((AE$111:AE$112)*TRANSPOSE(($D115:$E115))),0)</f>
        <v>0</v>
      </c>
      <c r="AF115" s="31" cm="1">
        <f t="array" ref="AF115">AF$110+IF($C115&lt;&gt;0,SUMPRODUCT((AF$111:AF$112)*TRANSPOSE(($D115:$E115))),0)</f>
        <v>0</v>
      </c>
      <c r="AG115" s="31" cm="1">
        <f t="array" ref="AG115">AG$110+IF($C115&lt;&gt;0,SUMPRODUCT((AG$111:AG$112)*TRANSPOSE(($D115:$E115))),0)</f>
        <v>0</v>
      </c>
    </row>
    <row r="116" spans="1:33" x14ac:dyDescent="0.2">
      <c r="A116" s="1" t="str">
        <f>"sens"&amp;Assumptions!B113</f>
        <v>sens3</v>
      </c>
      <c r="C116" s="305" t="str">
        <f>Assumptions!C113</f>
        <v>Total benefits 10% higher</v>
      </c>
      <c r="D116" s="306">
        <f>Assumptions!G113</f>
        <v>0</v>
      </c>
      <c r="E116" s="306">
        <f>Assumptions!H113</f>
        <v>0.1</v>
      </c>
      <c r="G116" s="38" t="str">
        <f t="shared" si="43"/>
        <v>Option 1 (Base Case)sens3</v>
      </c>
      <c r="I116" s="31" cm="1">
        <f t="array" ref="I116">I$110+IF($C116&lt;&gt;0,SUMPRODUCT((I$111:I$112)*TRANSPOSE(($D116:$E116))),0)</f>
        <v>0</v>
      </c>
      <c r="J116" s="31" cm="1">
        <f t="array" ref="J116">J$110+IF($C116&lt;&gt;0,SUMPRODUCT((J$111:J$112)*TRANSPOSE(($D116:$E116))),0)</f>
        <v>0</v>
      </c>
      <c r="K116" s="31" cm="1">
        <f t="array" ref="K116">K$110+IF($C116&lt;&gt;0,SUMPRODUCT((K$111:K$112)*TRANSPOSE(($D116:$E116))),0)</f>
        <v>0</v>
      </c>
      <c r="L116" s="31" cm="1">
        <f t="array" ref="L116">L$110+IF($C116&lt;&gt;0,SUMPRODUCT((L$111:L$112)*TRANSPOSE(($D116:$E116))),0)</f>
        <v>0</v>
      </c>
      <c r="M116" s="31" cm="1">
        <f t="array" ref="M116">M$110+IF($C116&lt;&gt;0,SUMPRODUCT((M$111:M$112)*TRANSPOSE(($D116:$E116))),0)</f>
        <v>0</v>
      </c>
      <c r="N116" s="31" cm="1">
        <f t="array" ref="N116">N$110+IF($C116&lt;&gt;0,SUMPRODUCT((N$111:N$112)*TRANSPOSE(($D116:$E116))),0)</f>
        <v>0</v>
      </c>
      <c r="O116" s="31" cm="1">
        <f t="array" ref="O116">O$110+IF($C116&lt;&gt;0,SUMPRODUCT((O$111:O$112)*TRANSPOSE(($D116:$E116))),0)</f>
        <v>0</v>
      </c>
      <c r="P116" s="31" cm="1">
        <f t="array" ref="P116">P$110+IF($C116&lt;&gt;0,SUMPRODUCT((P$111:P$112)*TRANSPOSE(($D116:$E116))),0)</f>
        <v>0</v>
      </c>
      <c r="Q116" s="31" cm="1">
        <f t="array" ref="Q116">Q$110+IF($C116&lt;&gt;0,SUMPRODUCT((Q$111:Q$112)*TRANSPOSE(($D116:$E116))),0)</f>
        <v>0</v>
      </c>
      <c r="R116" s="31" cm="1">
        <f t="array" ref="R116">R$110+IF($C116&lt;&gt;0,SUMPRODUCT((R$111:R$112)*TRANSPOSE(($D116:$E116))),0)</f>
        <v>0</v>
      </c>
      <c r="S116" s="31" cm="1">
        <f t="array" ref="S116">S$110+IF($C116&lt;&gt;0,SUMPRODUCT((S$111:S$112)*TRANSPOSE(($D116:$E116))),0)</f>
        <v>0</v>
      </c>
      <c r="T116" s="31" cm="1">
        <f t="array" ref="T116">T$110+IF($C116&lt;&gt;0,SUMPRODUCT((T$111:T$112)*TRANSPOSE(($D116:$E116))),0)</f>
        <v>0</v>
      </c>
      <c r="U116" s="31" cm="1">
        <f t="array" ref="U116">U$110+IF($C116&lt;&gt;0,SUMPRODUCT((U$111:U$112)*TRANSPOSE(($D116:$E116))),0)</f>
        <v>0</v>
      </c>
      <c r="V116" s="31" cm="1">
        <f t="array" ref="V116">V$110+IF($C116&lt;&gt;0,SUMPRODUCT((V$111:V$112)*TRANSPOSE(($D116:$E116))),0)</f>
        <v>0</v>
      </c>
      <c r="W116" s="31" cm="1">
        <f t="array" ref="W116">W$110+IF($C116&lt;&gt;0,SUMPRODUCT((W$111:W$112)*TRANSPOSE(($D116:$E116))),0)</f>
        <v>0</v>
      </c>
      <c r="X116" s="31" cm="1">
        <f t="array" ref="X116">X$110+IF($C116&lt;&gt;0,SUMPRODUCT((X$111:X$112)*TRANSPOSE(($D116:$E116))),0)</f>
        <v>0</v>
      </c>
      <c r="Y116" s="31" cm="1">
        <f t="array" ref="Y116">Y$110+IF($C116&lt;&gt;0,SUMPRODUCT((Y$111:Y$112)*TRANSPOSE(($D116:$E116))),0)</f>
        <v>0</v>
      </c>
      <c r="Z116" s="31" cm="1">
        <f t="array" ref="Z116">Z$110+IF($C116&lt;&gt;0,SUMPRODUCT((Z$111:Z$112)*TRANSPOSE(($D116:$E116))),0)</f>
        <v>0</v>
      </c>
      <c r="AA116" s="31" cm="1">
        <f t="array" ref="AA116">AA$110+IF($C116&lt;&gt;0,SUMPRODUCT((AA$111:AA$112)*TRANSPOSE(($D116:$E116))),0)</f>
        <v>0</v>
      </c>
      <c r="AB116" s="31" cm="1">
        <f t="array" ref="AB116">AB$110+IF($C116&lt;&gt;0,SUMPRODUCT((AB$111:AB$112)*TRANSPOSE(($D116:$E116))),0)</f>
        <v>0</v>
      </c>
      <c r="AC116" s="31" cm="1">
        <f t="array" ref="AC116">AC$110+IF($C116&lt;&gt;0,SUMPRODUCT((AC$111:AC$112)*TRANSPOSE(($D116:$E116))),0)</f>
        <v>0</v>
      </c>
      <c r="AD116" s="31" cm="1">
        <f t="array" ref="AD116">AD$110+IF($C116&lt;&gt;0,SUMPRODUCT((AD$111:AD$112)*TRANSPOSE(($D116:$E116))),0)</f>
        <v>0</v>
      </c>
      <c r="AE116" s="31" cm="1">
        <f t="array" ref="AE116">AE$110+IF($C116&lt;&gt;0,SUMPRODUCT((AE$111:AE$112)*TRANSPOSE(($D116:$E116))),0)</f>
        <v>0</v>
      </c>
      <c r="AF116" s="31" cm="1">
        <f t="array" ref="AF116">AF$110+IF($C116&lt;&gt;0,SUMPRODUCT((AF$111:AF$112)*TRANSPOSE(($D116:$E116))),0)</f>
        <v>0</v>
      </c>
      <c r="AG116" s="31" cm="1">
        <f t="array" ref="AG116">AG$110+IF($C116&lt;&gt;0,SUMPRODUCT((AG$111:AG$112)*TRANSPOSE(($D116:$E116))),0)</f>
        <v>0</v>
      </c>
    </row>
    <row r="117" spans="1:33" x14ac:dyDescent="0.2">
      <c r="A117" s="1" t="str">
        <f>"sens"&amp;Assumptions!B114</f>
        <v>sens4</v>
      </c>
      <c r="C117" s="305" t="str">
        <f>Assumptions!C114</f>
        <v>Total benefits 10% lower</v>
      </c>
      <c r="D117" s="306">
        <f>Assumptions!G114</f>
        <v>0</v>
      </c>
      <c r="E117" s="306">
        <f>Assumptions!H114</f>
        <v>-0.1</v>
      </c>
      <c r="G117" s="38" t="str">
        <f t="shared" si="43"/>
        <v>Option 1 (Base Case)sens4</v>
      </c>
      <c r="I117" s="31" cm="1">
        <f t="array" ref="I117">I$110+IF($C117&lt;&gt;0,SUMPRODUCT((I$111:I$112)*TRANSPOSE(($D117:$E117))),0)</f>
        <v>0</v>
      </c>
      <c r="J117" s="31" cm="1">
        <f t="array" ref="J117">J$110+IF($C117&lt;&gt;0,SUMPRODUCT((J$111:J$112)*TRANSPOSE(($D117:$E117))),0)</f>
        <v>0</v>
      </c>
      <c r="K117" s="31" cm="1">
        <f t="array" ref="K117">K$110+IF($C117&lt;&gt;0,SUMPRODUCT((K$111:K$112)*TRANSPOSE(($D117:$E117))),0)</f>
        <v>0</v>
      </c>
      <c r="L117" s="31" cm="1">
        <f t="array" ref="L117">L$110+IF($C117&lt;&gt;0,SUMPRODUCT((L$111:L$112)*TRANSPOSE(($D117:$E117))),0)</f>
        <v>0</v>
      </c>
      <c r="M117" s="31" cm="1">
        <f t="array" ref="M117">M$110+IF($C117&lt;&gt;0,SUMPRODUCT((M$111:M$112)*TRANSPOSE(($D117:$E117))),0)</f>
        <v>0</v>
      </c>
      <c r="N117" s="31" cm="1">
        <f t="array" ref="N117">N$110+IF($C117&lt;&gt;0,SUMPRODUCT((N$111:N$112)*TRANSPOSE(($D117:$E117))),0)</f>
        <v>0</v>
      </c>
      <c r="O117" s="31" cm="1">
        <f t="array" ref="O117">O$110+IF($C117&lt;&gt;0,SUMPRODUCT((O$111:O$112)*TRANSPOSE(($D117:$E117))),0)</f>
        <v>0</v>
      </c>
      <c r="P117" s="31" cm="1">
        <f t="array" ref="P117">P$110+IF($C117&lt;&gt;0,SUMPRODUCT((P$111:P$112)*TRANSPOSE(($D117:$E117))),0)</f>
        <v>0</v>
      </c>
      <c r="Q117" s="31" cm="1">
        <f t="array" ref="Q117">Q$110+IF($C117&lt;&gt;0,SUMPRODUCT((Q$111:Q$112)*TRANSPOSE(($D117:$E117))),0)</f>
        <v>0</v>
      </c>
      <c r="R117" s="31" cm="1">
        <f t="array" ref="R117">R$110+IF($C117&lt;&gt;0,SUMPRODUCT((R$111:R$112)*TRANSPOSE(($D117:$E117))),0)</f>
        <v>0</v>
      </c>
      <c r="S117" s="31" cm="1">
        <f t="array" ref="S117">S$110+IF($C117&lt;&gt;0,SUMPRODUCT((S$111:S$112)*TRANSPOSE(($D117:$E117))),0)</f>
        <v>0</v>
      </c>
      <c r="T117" s="31" cm="1">
        <f t="array" ref="T117">T$110+IF($C117&lt;&gt;0,SUMPRODUCT((T$111:T$112)*TRANSPOSE(($D117:$E117))),0)</f>
        <v>0</v>
      </c>
      <c r="U117" s="31" cm="1">
        <f t="array" ref="U117">U$110+IF($C117&lt;&gt;0,SUMPRODUCT((U$111:U$112)*TRANSPOSE(($D117:$E117))),0)</f>
        <v>0</v>
      </c>
      <c r="V117" s="31" cm="1">
        <f t="array" ref="V117">V$110+IF($C117&lt;&gt;0,SUMPRODUCT((V$111:V$112)*TRANSPOSE(($D117:$E117))),0)</f>
        <v>0</v>
      </c>
      <c r="W117" s="31" cm="1">
        <f t="array" ref="W117">W$110+IF($C117&lt;&gt;0,SUMPRODUCT((W$111:W$112)*TRANSPOSE(($D117:$E117))),0)</f>
        <v>0</v>
      </c>
      <c r="X117" s="31" cm="1">
        <f t="array" ref="X117">X$110+IF($C117&lt;&gt;0,SUMPRODUCT((X$111:X$112)*TRANSPOSE(($D117:$E117))),0)</f>
        <v>0</v>
      </c>
      <c r="Y117" s="31" cm="1">
        <f t="array" ref="Y117">Y$110+IF($C117&lt;&gt;0,SUMPRODUCT((Y$111:Y$112)*TRANSPOSE(($D117:$E117))),0)</f>
        <v>0</v>
      </c>
      <c r="Z117" s="31" cm="1">
        <f t="array" ref="Z117">Z$110+IF($C117&lt;&gt;0,SUMPRODUCT((Z$111:Z$112)*TRANSPOSE(($D117:$E117))),0)</f>
        <v>0</v>
      </c>
      <c r="AA117" s="31" cm="1">
        <f t="array" ref="AA117">AA$110+IF($C117&lt;&gt;0,SUMPRODUCT((AA$111:AA$112)*TRANSPOSE(($D117:$E117))),0)</f>
        <v>0</v>
      </c>
      <c r="AB117" s="31" cm="1">
        <f t="array" ref="AB117">AB$110+IF($C117&lt;&gt;0,SUMPRODUCT((AB$111:AB$112)*TRANSPOSE(($D117:$E117))),0)</f>
        <v>0</v>
      </c>
      <c r="AC117" s="31" cm="1">
        <f t="array" ref="AC117">AC$110+IF($C117&lt;&gt;0,SUMPRODUCT((AC$111:AC$112)*TRANSPOSE(($D117:$E117))),0)</f>
        <v>0</v>
      </c>
      <c r="AD117" s="31" cm="1">
        <f t="array" ref="AD117">AD$110+IF($C117&lt;&gt;0,SUMPRODUCT((AD$111:AD$112)*TRANSPOSE(($D117:$E117))),0)</f>
        <v>0</v>
      </c>
      <c r="AE117" s="31" cm="1">
        <f t="array" ref="AE117">AE$110+IF($C117&lt;&gt;0,SUMPRODUCT((AE$111:AE$112)*TRANSPOSE(($D117:$E117))),0)</f>
        <v>0</v>
      </c>
      <c r="AF117" s="31" cm="1">
        <f t="array" ref="AF117">AF$110+IF($C117&lt;&gt;0,SUMPRODUCT((AF$111:AF$112)*TRANSPOSE(($D117:$E117))),0)</f>
        <v>0</v>
      </c>
      <c r="AG117" s="31" cm="1">
        <f t="array" ref="AG117">AG$110+IF($C117&lt;&gt;0,SUMPRODUCT((AG$111:AG$112)*TRANSPOSE(($D117:$E117))),0)</f>
        <v>0</v>
      </c>
    </row>
    <row r="118" spans="1:33" x14ac:dyDescent="0.2">
      <c r="A118" s="1" t="str">
        <f>"sens"&amp;Assumptions!B115</f>
        <v>sens5</v>
      </c>
      <c r="C118" s="305" t="str">
        <f>Assumptions!C115</f>
        <v>Capex 10% higher &amp; Total benefits 10% lower</v>
      </c>
      <c r="D118" s="306">
        <f>Assumptions!G115</f>
        <v>0.1</v>
      </c>
      <c r="E118" s="306">
        <f>Assumptions!H115</f>
        <v>-0.1</v>
      </c>
      <c r="G118" s="38" t="str">
        <f t="shared" si="43"/>
        <v>Option 1 (Base Case)sens5</v>
      </c>
      <c r="I118" s="31" cm="1">
        <f t="array" ref="I118">I$110+IF($C118&lt;&gt;0,SUMPRODUCT((I$111:I$112)*TRANSPOSE(($D118:$E118))),0)</f>
        <v>0</v>
      </c>
      <c r="J118" s="31" cm="1">
        <f t="array" ref="J118">J$110+IF($C118&lt;&gt;0,SUMPRODUCT((J$111:J$112)*TRANSPOSE(($D118:$E118))),0)</f>
        <v>0</v>
      </c>
      <c r="K118" s="31" cm="1">
        <f t="array" ref="K118">K$110+IF($C118&lt;&gt;0,SUMPRODUCT((K$111:K$112)*TRANSPOSE(($D118:$E118))),0)</f>
        <v>0</v>
      </c>
      <c r="L118" s="31" cm="1">
        <f t="array" ref="L118">L$110+IF($C118&lt;&gt;0,SUMPRODUCT((L$111:L$112)*TRANSPOSE(($D118:$E118))),0)</f>
        <v>0</v>
      </c>
      <c r="M118" s="31" cm="1">
        <f t="array" ref="M118">M$110+IF($C118&lt;&gt;0,SUMPRODUCT((M$111:M$112)*TRANSPOSE(($D118:$E118))),0)</f>
        <v>0</v>
      </c>
      <c r="N118" s="31" cm="1">
        <f t="array" ref="N118">N$110+IF($C118&lt;&gt;0,SUMPRODUCT((N$111:N$112)*TRANSPOSE(($D118:$E118))),0)</f>
        <v>0</v>
      </c>
      <c r="O118" s="31" cm="1">
        <f t="array" ref="O118">O$110+IF($C118&lt;&gt;0,SUMPRODUCT((O$111:O$112)*TRANSPOSE(($D118:$E118))),0)</f>
        <v>0</v>
      </c>
      <c r="P118" s="31" cm="1">
        <f t="array" ref="P118">P$110+IF($C118&lt;&gt;0,SUMPRODUCT((P$111:P$112)*TRANSPOSE(($D118:$E118))),0)</f>
        <v>0</v>
      </c>
      <c r="Q118" s="31" cm="1">
        <f t="array" ref="Q118">Q$110+IF($C118&lt;&gt;0,SUMPRODUCT((Q$111:Q$112)*TRANSPOSE(($D118:$E118))),0)</f>
        <v>0</v>
      </c>
      <c r="R118" s="31" cm="1">
        <f t="array" ref="R118">R$110+IF($C118&lt;&gt;0,SUMPRODUCT((R$111:R$112)*TRANSPOSE(($D118:$E118))),0)</f>
        <v>0</v>
      </c>
      <c r="S118" s="31" cm="1">
        <f t="array" ref="S118">S$110+IF($C118&lt;&gt;0,SUMPRODUCT((S$111:S$112)*TRANSPOSE(($D118:$E118))),0)</f>
        <v>0</v>
      </c>
      <c r="T118" s="31" cm="1">
        <f t="array" ref="T118">T$110+IF($C118&lt;&gt;0,SUMPRODUCT((T$111:T$112)*TRANSPOSE(($D118:$E118))),0)</f>
        <v>0</v>
      </c>
      <c r="U118" s="31" cm="1">
        <f t="array" ref="U118">U$110+IF($C118&lt;&gt;0,SUMPRODUCT((U$111:U$112)*TRANSPOSE(($D118:$E118))),0)</f>
        <v>0</v>
      </c>
      <c r="V118" s="31" cm="1">
        <f t="array" ref="V118">V$110+IF($C118&lt;&gt;0,SUMPRODUCT((V$111:V$112)*TRANSPOSE(($D118:$E118))),0)</f>
        <v>0</v>
      </c>
      <c r="W118" s="31" cm="1">
        <f t="array" ref="W118">W$110+IF($C118&lt;&gt;0,SUMPRODUCT((W$111:W$112)*TRANSPOSE(($D118:$E118))),0)</f>
        <v>0</v>
      </c>
      <c r="X118" s="31" cm="1">
        <f t="array" ref="X118">X$110+IF($C118&lt;&gt;0,SUMPRODUCT((X$111:X$112)*TRANSPOSE(($D118:$E118))),0)</f>
        <v>0</v>
      </c>
      <c r="Y118" s="31" cm="1">
        <f t="array" ref="Y118">Y$110+IF($C118&lt;&gt;0,SUMPRODUCT((Y$111:Y$112)*TRANSPOSE(($D118:$E118))),0)</f>
        <v>0</v>
      </c>
      <c r="Z118" s="31" cm="1">
        <f t="array" ref="Z118">Z$110+IF($C118&lt;&gt;0,SUMPRODUCT((Z$111:Z$112)*TRANSPOSE(($D118:$E118))),0)</f>
        <v>0</v>
      </c>
      <c r="AA118" s="31" cm="1">
        <f t="array" ref="AA118">AA$110+IF($C118&lt;&gt;0,SUMPRODUCT((AA$111:AA$112)*TRANSPOSE(($D118:$E118))),0)</f>
        <v>0</v>
      </c>
      <c r="AB118" s="31" cm="1">
        <f t="array" ref="AB118">AB$110+IF($C118&lt;&gt;0,SUMPRODUCT((AB$111:AB$112)*TRANSPOSE(($D118:$E118))),0)</f>
        <v>0</v>
      </c>
      <c r="AC118" s="31" cm="1">
        <f t="array" ref="AC118">AC$110+IF($C118&lt;&gt;0,SUMPRODUCT((AC$111:AC$112)*TRANSPOSE(($D118:$E118))),0)</f>
        <v>0</v>
      </c>
      <c r="AD118" s="31" cm="1">
        <f t="array" ref="AD118">AD$110+IF($C118&lt;&gt;0,SUMPRODUCT((AD$111:AD$112)*TRANSPOSE(($D118:$E118))),0)</f>
        <v>0</v>
      </c>
      <c r="AE118" s="31" cm="1">
        <f t="array" ref="AE118">AE$110+IF($C118&lt;&gt;0,SUMPRODUCT((AE$111:AE$112)*TRANSPOSE(($D118:$E118))),0)</f>
        <v>0</v>
      </c>
      <c r="AF118" s="31" cm="1">
        <f t="array" ref="AF118">AF$110+IF($C118&lt;&gt;0,SUMPRODUCT((AF$111:AF$112)*TRANSPOSE(($D118:$E118))),0)</f>
        <v>0</v>
      </c>
      <c r="AG118" s="31" cm="1">
        <f t="array" ref="AG118">AG$110+IF($C118&lt;&gt;0,SUMPRODUCT((AG$111:AG$112)*TRANSPOSE(($D118:$E118))),0)</f>
        <v>0</v>
      </c>
    </row>
    <row r="119" spans="1:33" x14ac:dyDescent="0.2">
      <c r="A119" s="1" t="str">
        <f>"sens"&amp;Assumptions!B116</f>
        <v>sens</v>
      </c>
      <c r="C119" s="305">
        <f>Assumptions!C116</f>
        <v>0</v>
      </c>
      <c r="D119" s="306">
        <f>Assumptions!G116</f>
        <v>0</v>
      </c>
      <c r="E119" s="306">
        <f>Assumptions!H116</f>
        <v>0</v>
      </c>
      <c r="G119" s="38" t="str">
        <f t="shared" si="43"/>
        <v>Option 1 (Base Case)sens</v>
      </c>
      <c r="I119" s="31" cm="1">
        <f t="array" ref="I119">I$110+IF($C119&lt;&gt;0,SUMPRODUCT((I$111:I$112)*TRANSPOSE(($D119:$E119))),0)</f>
        <v>0</v>
      </c>
      <c r="J119" s="31" cm="1">
        <f t="array" ref="J119">J$110+IF($C119&lt;&gt;0,SUMPRODUCT((J$111:J$112)*TRANSPOSE(($D119:$E119))),0)</f>
        <v>0</v>
      </c>
      <c r="K119" s="31" cm="1">
        <f t="array" ref="K119">K$110+IF($C119&lt;&gt;0,SUMPRODUCT((K$111:K$112)*TRANSPOSE(($D119:$E119))),0)</f>
        <v>0</v>
      </c>
      <c r="L119" s="31" cm="1">
        <f t="array" ref="L119">L$110+IF($C119&lt;&gt;0,SUMPRODUCT((L$111:L$112)*TRANSPOSE(($D119:$E119))),0)</f>
        <v>0</v>
      </c>
      <c r="M119" s="31" cm="1">
        <f t="array" ref="M119">M$110+IF($C119&lt;&gt;0,SUMPRODUCT((M$111:M$112)*TRANSPOSE(($D119:$E119))),0)</f>
        <v>0</v>
      </c>
      <c r="N119" s="31" cm="1">
        <f t="array" ref="N119">N$110+IF($C119&lt;&gt;0,SUMPRODUCT((N$111:N$112)*TRANSPOSE(($D119:$E119))),0)</f>
        <v>0</v>
      </c>
      <c r="O119" s="31" cm="1">
        <f t="array" ref="O119">O$110+IF($C119&lt;&gt;0,SUMPRODUCT((O$111:O$112)*TRANSPOSE(($D119:$E119))),0)</f>
        <v>0</v>
      </c>
      <c r="P119" s="31" cm="1">
        <f t="array" ref="P119">P$110+IF($C119&lt;&gt;0,SUMPRODUCT((P$111:P$112)*TRANSPOSE(($D119:$E119))),0)</f>
        <v>0</v>
      </c>
      <c r="Q119" s="31" cm="1">
        <f t="array" ref="Q119">Q$110+IF($C119&lt;&gt;0,SUMPRODUCT((Q$111:Q$112)*TRANSPOSE(($D119:$E119))),0)</f>
        <v>0</v>
      </c>
      <c r="R119" s="31" cm="1">
        <f t="array" ref="R119">R$110+IF($C119&lt;&gt;0,SUMPRODUCT((R$111:R$112)*TRANSPOSE(($D119:$E119))),0)</f>
        <v>0</v>
      </c>
      <c r="S119" s="31" cm="1">
        <f t="array" ref="S119">S$110+IF($C119&lt;&gt;0,SUMPRODUCT((S$111:S$112)*TRANSPOSE(($D119:$E119))),0)</f>
        <v>0</v>
      </c>
      <c r="T119" s="31" cm="1">
        <f t="array" ref="T119">T$110+IF($C119&lt;&gt;0,SUMPRODUCT((T$111:T$112)*TRANSPOSE(($D119:$E119))),0)</f>
        <v>0</v>
      </c>
      <c r="U119" s="31" cm="1">
        <f t="array" ref="U119">U$110+IF($C119&lt;&gt;0,SUMPRODUCT((U$111:U$112)*TRANSPOSE(($D119:$E119))),0)</f>
        <v>0</v>
      </c>
      <c r="V119" s="31" cm="1">
        <f t="array" ref="V119">V$110+IF($C119&lt;&gt;0,SUMPRODUCT((V$111:V$112)*TRANSPOSE(($D119:$E119))),0)</f>
        <v>0</v>
      </c>
      <c r="W119" s="31" cm="1">
        <f t="array" ref="W119">W$110+IF($C119&lt;&gt;0,SUMPRODUCT((W$111:W$112)*TRANSPOSE(($D119:$E119))),0)</f>
        <v>0</v>
      </c>
      <c r="X119" s="31" cm="1">
        <f t="array" ref="X119">X$110+IF($C119&lt;&gt;0,SUMPRODUCT((X$111:X$112)*TRANSPOSE(($D119:$E119))),0)</f>
        <v>0</v>
      </c>
      <c r="Y119" s="31" cm="1">
        <f t="array" ref="Y119">Y$110+IF($C119&lt;&gt;0,SUMPRODUCT((Y$111:Y$112)*TRANSPOSE(($D119:$E119))),0)</f>
        <v>0</v>
      </c>
      <c r="Z119" s="31" cm="1">
        <f t="array" ref="Z119">Z$110+IF($C119&lt;&gt;0,SUMPRODUCT((Z$111:Z$112)*TRANSPOSE(($D119:$E119))),0)</f>
        <v>0</v>
      </c>
      <c r="AA119" s="31" cm="1">
        <f t="array" ref="AA119">AA$110+IF($C119&lt;&gt;0,SUMPRODUCT((AA$111:AA$112)*TRANSPOSE(($D119:$E119))),0)</f>
        <v>0</v>
      </c>
      <c r="AB119" s="31" cm="1">
        <f t="array" ref="AB119">AB$110+IF($C119&lt;&gt;0,SUMPRODUCT((AB$111:AB$112)*TRANSPOSE(($D119:$E119))),0)</f>
        <v>0</v>
      </c>
      <c r="AC119" s="31" cm="1">
        <f t="array" ref="AC119">AC$110+IF($C119&lt;&gt;0,SUMPRODUCT((AC$111:AC$112)*TRANSPOSE(($D119:$E119))),0)</f>
        <v>0</v>
      </c>
      <c r="AD119" s="31" cm="1">
        <f t="array" ref="AD119">AD$110+IF($C119&lt;&gt;0,SUMPRODUCT((AD$111:AD$112)*TRANSPOSE(($D119:$E119))),0)</f>
        <v>0</v>
      </c>
      <c r="AE119" s="31" cm="1">
        <f t="array" ref="AE119">AE$110+IF($C119&lt;&gt;0,SUMPRODUCT((AE$111:AE$112)*TRANSPOSE(($D119:$E119))),0)</f>
        <v>0</v>
      </c>
      <c r="AF119" s="31" cm="1">
        <f t="array" ref="AF119">AF$110+IF($C119&lt;&gt;0,SUMPRODUCT((AF$111:AF$112)*TRANSPOSE(($D119:$E119))),0)</f>
        <v>0</v>
      </c>
      <c r="AG119" s="31" cm="1">
        <f t="array" ref="AG119">AG$110+IF($C119&lt;&gt;0,SUMPRODUCT((AG$111:AG$112)*TRANSPOSE(($D119:$E119))),0)</f>
        <v>0</v>
      </c>
    </row>
    <row r="120" spans="1:33" x14ac:dyDescent="0.2">
      <c r="A120" s="1" t="str">
        <f>"sens"&amp;Assumptions!B117</f>
        <v>sens</v>
      </c>
      <c r="C120" s="305">
        <f>Assumptions!C117</f>
        <v>0</v>
      </c>
      <c r="D120" s="306">
        <f>Assumptions!G117</f>
        <v>0</v>
      </c>
      <c r="E120" s="306">
        <f>Assumptions!H117</f>
        <v>0</v>
      </c>
      <c r="G120" s="38" t="str">
        <f t="shared" si="43"/>
        <v>Option 1 (Base Case)sens</v>
      </c>
      <c r="I120" s="31" cm="1">
        <f t="array" ref="I120">I$110+IF($C120&lt;&gt;0,SUMPRODUCT((I$111:I$112)*TRANSPOSE(($D120:$E120))),0)</f>
        <v>0</v>
      </c>
      <c r="J120" s="31" cm="1">
        <f t="array" ref="J120">J$110+IF($C120&lt;&gt;0,SUMPRODUCT((J$111:J$112)*TRANSPOSE(($D120:$E120))),0)</f>
        <v>0</v>
      </c>
      <c r="K120" s="31" cm="1">
        <f t="array" ref="K120">K$110+IF($C120&lt;&gt;0,SUMPRODUCT((K$111:K$112)*TRANSPOSE(($D120:$E120))),0)</f>
        <v>0</v>
      </c>
      <c r="L120" s="31" cm="1">
        <f t="array" ref="L120">L$110+IF($C120&lt;&gt;0,SUMPRODUCT((L$111:L$112)*TRANSPOSE(($D120:$E120))),0)</f>
        <v>0</v>
      </c>
      <c r="M120" s="31" cm="1">
        <f t="array" ref="M120">M$110+IF($C120&lt;&gt;0,SUMPRODUCT((M$111:M$112)*TRANSPOSE(($D120:$E120))),0)</f>
        <v>0</v>
      </c>
      <c r="N120" s="31" cm="1">
        <f t="array" ref="N120">N$110+IF($C120&lt;&gt;0,SUMPRODUCT((N$111:N$112)*TRANSPOSE(($D120:$E120))),0)</f>
        <v>0</v>
      </c>
      <c r="O120" s="31" cm="1">
        <f t="array" ref="O120">O$110+IF($C120&lt;&gt;0,SUMPRODUCT((O$111:O$112)*TRANSPOSE(($D120:$E120))),0)</f>
        <v>0</v>
      </c>
      <c r="P120" s="31" cm="1">
        <f t="array" ref="P120">P$110+IF($C120&lt;&gt;0,SUMPRODUCT((P$111:P$112)*TRANSPOSE(($D120:$E120))),0)</f>
        <v>0</v>
      </c>
      <c r="Q120" s="31" cm="1">
        <f t="array" ref="Q120">Q$110+IF($C120&lt;&gt;0,SUMPRODUCT((Q$111:Q$112)*TRANSPOSE(($D120:$E120))),0)</f>
        <v>0</v>
      </c>
      <c r="R120" s="31" cm="1">
        <f t="array" ref="R120">R$110+IF($C120&lt;&gt;0,SUMPRODUCT((R$111:R$112)*TRANSPOSE(($D120:$E120))),0)</f>
        <v>0</v>
      </c>
      <c r="S120" s="31" cm="1">
        <f t="array" ref="S120">S$110+IF($C120&lt;&gt;0,SUMPRODUCT((S$111:S$112)*TRANSPOSE(($D120:$E120))),0)</f>
        <v>0</v>
      </c>
      <c r="T120" s="31" cm="1">
        <f t="array" ref="T120">T$110+IF($C120&lt;&gt;0,SUMPRODUCT((T$111:T$112)*TRANSPOSE(($D120:$E120))),0)</f>
        <v>0</v>
      </c>
      <c r="U120" s="31" cm="1">
        <f t="array" ref="U120">U$110+IF($C120&lt;&gt;0,SUMPRODUCT((U$111:U$112)*TRANSPOSE(($D120:$E120))),0)</f>
        <v>0</v>
      </c>
      <c r="V120" s="31" cm="1">
        <f t="array" ref="V120">V$110+IF($C120&lt;&gt;0,SUMPRODUCT((V$111:V$112)*TRANSPOSE(($D120:$E120))),0)</f>
        <v>0</v>
      </c>
      <c r="W120" s="31" cm="1">
        <f t="array" ref="W120">W$110+IF($C120&lt;&gt;0,SUMPRODUCT((W$111:W$112)*TRANSPOSE(($D120:$E120))),0)</f>
        <v>0</v>
      </c>
      <c r="X120" s="31" cm="1">
        <f t="array" ref="X120">X$110+IF($C120&lt;&gt;0,SUMPRODUCT((X$111:X$112)*TRANSPOSE(($D120:$E120))),0)</f>
        <v>0</v>
      </c>
      <c r="Y120" s="31" cm="1">
        <f t="array" ref="Y120">Y$110+IF($C120&lt;&gt;0,SUMPRODUCT((Y$111:Y$112)*TRANSPOSE(($D120:$E120))),0)</f>
        <v>0</v>
      </c>
      <c r="Z120" s="31" cm="1">
        <f t="array" ref="Z120">Z$110+IF($C120&lt;&gt;0,SUMPRODUCT((Z$111:Z$112)*TRANSPOSE(($D120:$E120))),0)</f>
        <v>0</v>
      </c>
      <c r="AA120" s="31" cm="1">
        <f t="array" ref="AA120">AA$110+IF($C120&lt;&gt;0,SUMPRODUCT((AA$111:AA$112)*TRANSPOSE(($D120:$E120))),0)</f>
        <v>0</v>
      </c>
      <c r="AB120" s="31" cm="1">
        <f t="array" ref="AB120">AB$110+IF($C120&lt;&gt;0,SUMPRODUCT((AB$111:AB$112)*TRANSPOSE(($D120:$E120))),0)</f>
        <v>0</v>
      </c>
      <c r="AC120" s="31" cm="1">
        <f t="array" ref="AC120">AC$110+IF($C120&lt;&gt;0,SUMPRODUCT((AC$111:AC$112)*TRANSPOSE(($D120:$E120))),0)</f>
        <v>0</v>
      </c>
      <c r="AD120" s="31" cm="1">
        <f t="array" ref="AD120">AD$110+IF($C120&lt;&gt;0,SUMPRODUCT((AD$111:AD$112)*TRANSPOSE(($D120:$E120))),0)</f>
        <v>0</v>
      </c>
      <c r="AE120" s="31" cm="1">
        <f t="array" ref="AE120">AE$110+IF($C120&lt;&gt;0,SUMPRODUCT((AE$111:AE$112)*TRANSPOSE(($D120:$E120))),0)</f>
        <v>0</v>
      </c>
      <c r="AF120" s="31" cm="1">
        <f t="array" ref="AF120">AF$110+IF($C120&lt;&gt;0,SUMPRODUCT((AF$111:AF$112)*TRANSPOSE(($D120:$E120))),0)</f>
        <v>0</v>
      </c>
      <c r="AG120" s="31" cm="1">
        <f t="array" ref="AG120">AG$110+IF($C120&lt;&gt;0,SUMPRODUCT((AG$111:AG$112)*TRANSPOSE(($D120:$E120))),0)</f>
        <v>0</v>
      </c>
    </row>
    <row r="121" spans="1:33" x14ac:dyDescent="0.2">
      <c r="A121" s="1" t="str">
        <f>"sens"&amp;Assumptions!B118</f>
        <v>sens</v>
      </c>
      <c r="C121" s="305">
        <f>Assumptions!C118</f>
        <v>0</v>
      </c>
      <c r="D121" s="306">
        <f>Assumptions!G118</f>
        <v>0</v>
      </c>
      <c r="E121" s="306">
        <f>Assumptions!H118</f>
        <v>0</v>
      </c>
      <c r="G121" s="38" t="str">
        <f t="shared" si="43"/>
        <v>Option 1 (Base Case)sens</v>
      </c>
      <c r="I121" s="31" cm="1">
        <f t="array" ref="I121">I$110+IF($C121&lt;&gt;0,SUMPRODUCT((I$111:I$112)*TRANSPOSE(($D121:$E121))),0)</f>
        <v>0</v>
      </c>
      <c r="J121" s="31" cm="1">
        <f t="array" ref="J121">J$110+IF($C121&lt;&gt;0,SUMPRODUCT((J$111:J$112)*TRANSPOSE(($D121:$E121))),0)</f>
        <v>0</v>
      </c>
      <c r="K121" s="31" cm="1">
        <f t="array" ref="K121">K$110+IF($C121&lt;&gt;0,SUMPRODUCT((K$111:K$112)*TRANSPOSE(($D121:$E121))),0)</f>
        <v>0</v>
      </c>
      <c r="L121" s="31" cm="1">
        <f t="array" ref="L121">L$110+IF($C121&lt;&gt;0,SUMPRODUCT((L$111:L$112)*TRANSPOSE(($D121:$E121))),0)</f>
        <v>0</v>
      </c>
      <c r="M121" s="31" cm="1">
        <f t="array" ref="M121">M$110+IF($C121&lt;&gt;0,SUMPRODUCT((M$111:M$112)*TRANSPOSE(($D121:$E121))),0)</f>
        <v>0</v>
      </c>
      <c r="N121" s="31" cm="1">
        <f t="array" ref="N121">N$110+IF($C121&lt;&gt;0,SUMPRODUCT((N$111:N$112)*TRANSPOSE(($D121:$E121))),0)</f>
        <v>0</v>
      </c>
      <c r="O121" s="31" cm="1">
        <f t="array" ref="O121">O$110+IF($C121&lt;&gt;0,SUMPRODUCT((O$111:O$112)*TRANSPOSE(($D121:$E121))),0)</f>
        <v>0</v>
      </c>
      <c r="P121" s="31" cm="1">
        <f t="array" ref="P121">P$110+IF($C121&lt;&gt;0,SUMPRODUCT((P$111:P$112)*TRANSPOSE(($D121:$E121))),0)</f>
        <v>0</v>
      </c>
      <c r="Q121" s="31" cm="1">
        <f t="array" ref="Q121">Q$110+IF($C121&lt;&gt;0,SUMPRODUCT((Q$111:Q$112)*TRANSPOSE(($D121:$E121))),0)</f>
        <v>0</v>
      </c>
      <c r="R121" s="31" cm="1">
        <f t="array" ref="R121">R$110+IF($C121&lt;&gt;0,SUMPRODUCT((R$111:R$112)*TRANSPOSE(($D121:$E121))),0)</f>
        <v>0</v>
      </c>
      <c r="S121" s="31" cm="1">
        <f t="array" ref="S121">S$110+IF($C121&lt;&gt;0,SUMPRODUCT((S$111:S$112)*TRANSPOSE(($D121:$E121))),0)</f>
        <v>0</v>
      </c>
      <c r="T121" s="31" cm="1">
        <f t="array" ref="T121">T$110+IF($C121&lt;&gt;0,SUMPRODUCT((T$111:T$112)*TRANSPOSE(($D121:$E121))),0)</f>
        <v>0</v>
      </c>
      <c r="U121" s="31" cm="1">
        <f t="array" ref="U121">U$110+IF($C121&lt;&gt;0,SUMPRODUCT((U$111:U$112)*TRANSPOSE(($D121:$E121))),0)</f>
        <v>0</v>
      </c>
      <c r="V121" s="31" cm="1">
        <f t="array" ref="V121">V$110+IF($C121&lt;&gt;0,SUMPRODUCT((V$111:V$112)*TRANSPOSE(($D121:$E121))),0)</f>
        <v>0</v>
      </c>
      <c r="W121" s="31" cm="1">
        <f t="array" ref="W121">W$110+IF($C121&lt;&gt;0,SUMPRODUCT((W$111:W$112)*TRANSPOSE(($D121:$E121))),0)</f>
        <v>0</v>
      </c>
      <c r="X121" s="31" cm="1">
        <f t="array" ref="X121">X$110+IF($C121&lt;&gt;0,SUMPRODUCT((X$111:X$112)*TRANSPOSE(($D121:$E121))),0)</f>
        <v>0</v>
      </c>
      <c r="Y121" s="31" cm="1">
        <f t="array" ref="Y121">Y$110+IF($C121&lt;&gt;0,SUMPRODUCT((Y$111:Y$112)*TRANSPOSE(($D121:$E121))),0)</f>
        <v>0</v>
      </c>
      <c r="Z121" s="31" cm="1">
        <f t="array" ref="Z121">Z$110+IF($C121&lt;&gt;0,SUMPRODUCT((Z$111:Z$112)*TRANSPOSE(($D121:$E121))),0)</f>
        <v>0</v>
      </c>
      <c r="AA121" s="31" cm="1">
        <f t="array" ref="AA121">AA$110+IF($C121&lt;&gt;0,SUMPRODUCT((AA$111:AA$112)*TRANSPOSE(($D121:$E121))),0)</f>
        <v>0</v>
      </c>
      <c r="AB121" s="31" cm="1">
        <f t="array" ref="AB121">AB$110+IF($C121&lt;&gt;0,SUMPRODUCT((AB$111:AB$112)*TRANSPOSE(($D121:$E121))),0)</f>
        <v>0</v>
      </c>
      <c r="AC121" s="31" cm="1">
        <f t="array" ref="AC121">AC$110+IF($C121&lt;&gt;0,SUMPRODUCT((AC$111:AC$112)*TRANSPOSE(($D121:$E121))),0)</f>
        <v>0</v>
      </c>
      <c r="AD121" s="31" cm="1">
        <f t="array" ref="AD121">AD$110+IF($C121&lt;&gt;0,SUMPRODUCT((AD$111:AD$112)*TRANSPOSE(($D121:$E121))),0)</f>
        <v>0</v>
      </c>
      <c r="AE121" s="31" cm="1">
        <f t="array" ref="AE121">AE$110+IF($C121&lt;&gt;0,SUMPRODUCT((AE$111:AE$112)*TRANSPOSE(($D121:$E121))),0)</f>
        <v>0</v>
      </c>
      <c r="AF121" s="31" cm="1">
        <f t="array" ref="AF121">AF$110+IF($C121&lt;&gt;0,SUMPRODUCT((AF$111:AF$112)*TRANSPOSE(($D121:$E121))),0)</f>
        <v>0</v>
      </c>
      <c r="AG121" s="31" cm="1">
        <f t="array" ref="AG121">AG$110+IF($C121&lt;&gt;0,SUMPRODUCT((AG$111:AG$112)*TRANSPOSE(($D121:$E121))),0)</f>
        <v>0</v>
      </c>
    </row>
  </sheetData>
  <conditionalFormatting sqref="E14:E17">
    <cfRule type="expression" dxfId="13" priority="12">
      <formula>AND(SUM($I14:$AB14)&lt;&gt;0, E14=0)</formula>
    </cfRule>
  </conditionalFormatting>
  <conditionalFormatting sqref="E29">
    <cfRule type="expression" dxfId="12" priority="239">
      <formula>AND(SUM($I$28:$AG$28)&gt;0, $E$29=0)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40"/>
  <sheetViews>
    <sheetView showGridLines="0" zoomScale="90" zoomScaleNormal="90" workbookViewId="0">
      <pane xSplit="7" ySplit="10" topLeftCell="I11" activePane="bottomRight" state="frozen"/>
      <selection activeCell="E14" sqref="E14:K14"/>
      <selection pane="topRight" activeCell="E14" sqref="E14:K14"/>
      <selection pane="bottomLeft" activeCell="E14" sqref="E14:K14"/>
      <selection pane="bottomRight" activeCell="L17" sqref="L1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Melton &amp; Wyndham Transformation Capacity Project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130</v>
      </c>
      <c r="B3" s="5"/>
      <c r="C3" s="204" t="str">
        <f>INDEX(Assumptions!$E$14:$E$18, MATCH(A3,_xlfn.ANCHORARRAY( Assumptions!$C$14),0))</f>
        <v>Southern capacity priority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252</v>
      </c>
      <c r="D14"/>
      <c r="E14" s="151">
        <v>50</v>
      </c>
      <c r="G14" s="211">
        <f>input_dollars</f>
        <v>45291</v>
      </c>
      <c r="H14" s="152"/>
      <c r="I14" s="32">
        <v>14291649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253</v>
      </c>
      <c r="D15"/>
      <c r="E15" s="151">
        <v>50</v>
      </c>
      <c r="G15" s="211">
        <f>input_dollars</f>
        <v>45291</v>
      </c>
      <c r="H15" s="2"/>
      <c r="I15" s="32">
        <v>13551742.666666666</v>
      </c>
      <c r="J15" s="32">
        <v>13551742.666666666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254</v>
      </c>
      <c r="D16"/>
      <c r="E16" s="151">
        <v>50</v>
      </c>
      <c r="G16" s="211">
        <f>input_dollars</f>
        <v>45291</v>
      </c>
      <c r="H16" s="2"/>
      <c r="I16" s="32">
        <v>0</v>
      </c>
      <c r="J16" s="32">
        <v>5408395.2999999998</v>
      </c>
      <c r="K16" s="32">
        <v>24162535.933333334</v>
      </c>
      <c r="L16" s="32">
        <v>22120559.43333333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10425980.333333332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57" t="s">
        <v>255</v>
      </c>
      <c r="D17"/>
      <c r="E17" s="151">
        <v>50</v>
      </c>
      <c r="G17" s="211">
        <f>input_dollars</f>
        <v>45291</v>
      </c>
      <c r="H17" s="2"/>
      <c r="I17" s="32">
        <v>0</v>
      </c>
      <c r="J17" s="32">
        <v>0</v>
      </c>
      <c r="K17" s="32">
        <v>7681809</v>
      </c>
      <c r="L17" s="32">
        <v>17564061.240000002</v>
      </c>
      <c r="M17" s="32">
        <v>13715016.889999999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/>
      <c r="AI17"/>
      <c r="AJ17"/>
      <c r="AK17"/>
      <c r="AL17"/>
      <c r="AM17"/>
      <c r="AN17"/>
      <c r="AO17"/>
      <c r="AP17"/>
      <c r="AQ17"/>
    </row>
    <row r="18" spans="1:43" x14ac:dyDescent="0.2">
      <c r="C18" s="6" t="s">
        <v>30</v>
      </c>
      <c r="G18" s="211">
        <f>input_dollars</f>
        <v>45291</v>
      </c>
      <c r="H18" s="107"/>
      <c r="I18" s="106">
        <f t="shared" ref="I18:Q18" si="0">SUM(I14:I17)</f>
        <v>27843391.666666664</v>
      </c>
      <c r="J18" s="106">
        <f t="shared" si="0"/>
        <v>18960137.966666665</v>
      </c>
      <c r="K18" s="106">
        <f t="shared" si="0"/>
        <v>31844344.933333334</v>
      </c>
      <c r="L18" s="106">
        <f t="shared" si="0"/>
        <v>39684620.673333332</v>
      </c>
      <c r="M18" s="106">
        <f t="shared" si="0"/>
        <v>13715016.889999999</v>
      </c>
      <c r="N18" s="106">
        <f t="shared" si="0"/>
        <v>0</v>
      </c>
      <c r="O18" s="106">
        <f t="shared" si="0"/>
        <v>0</v>
      </c>
      <c r="P18" s="106">
        <f t="shared" si="0"/>
        <v>0</v>
      </c>
      <c r="Q18" s="106">
        <f t="shared" si="0"/>
        <v>0</v>
      </c>
      <c r="R18" s="106">
        <f t="shared" ref="R18:AG18" si="1">SUM(R14:R17)</f>
        <v>10425980.333333332</v>
      </c>
      <c r="S18" s="106">
        <f t="shared" si="1"/>
        <v>0</v>
      </c>
      <c r="T18" s="106">
        <f t="shared" si="1"/>
        <v>0</v>
      </c>
      <c r="U18" s="106">
        <f t="shared" si="1"/>
        <v>0</v>
      </c>
      <c r="V18" s="106">
        <f t="shared" si="1"/>
        <v>0</v>
      </c>
      <c r="W18" s="106">
        <f t="shared" si="1"/>
        <v>0</v>
      </c>
      <c r="X18" s="106">
        <f t="shared" si="1"/>
        <v>0</v>
      </c>
      <c r="Y18" s="106">
        <f t="shared" si="1"/>
        <v>0</v>
      </c>
      <c r="Z18" s="106">
        <f t="shared" si="1"/>
        <v>0</v>
      </c>
      <c r="AA18" s="106">
        <f t="shared" si="1"/>
        <v>0</v>
      </c>
      <c r="AB18" s="106">
        <f t="shared" si="1"/>
        <v>0</v>
      </c>
      <c r="AC18" s="106">
        <f t="shared" si="1"/>
        <v>0</v>
      </c>
      <c r="AD18" s="106">
        <f t="shared" si="1"/>
        <v>0</v>
      </c>
      <c r="AE18" s="106">
        <f t="shared" si="1"/>
        <v>0</v>
      </c>
      <c r="AF18" s="106">
        <f t="shared" si="1"/>
        <v>0</v>
      </c>
      <c r="AG18" s="106">
        <f t="shared" si="1"/>
        <v>0</v>
      </c>
    </row>
    <row r="19" spans="1:43" x14ac:dyDescent="0.2">
      <c r="C19"/>
      <c r="D19"/>
      <c r="E19"/>
      <c r="G19" s="2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2">
      <c r="C20" s="1" t="s">
        <v>31</v>
      </c>
      <c r="D20"/>
      <c r="E20"/>
      <c r="F20" s="107"/>
      <c r="G20" s="211">
        <f>input_dollars</f>
        <v>45291</v>
      </c>
      <c r="H20" s="107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</row>
    <row r="21" spans="1:43" x14ac:dyDescent="0.2">
      <c r="G21" s="209"/>
    </row>
    <row r="22" spans="1:43" x14ac:dyDescent="0.2">
      <c r="C22"/>
      <c r="D22"/>
      <c r="E22"/>
      <c r="G22" s="2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15" x14ac:dyDescent="0.2">
      <c r="A23" s="89" t="s">
        <v>150</v>
      </c>
      <c r="B23" s="89"/>
      <c r="C23" s="89"/>
      <c r="D23" s="89"/>
      <c r="E23" s="89"/>
      <c r="F23" s="89"/>
      <c r="G23" s="208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11"/>
      <c r="D24" s="111"/>
      <c r="E24" s="111"/>
      <c r="F24" s="111"/>
      <c r="G24" s="212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111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" t="s">
        <v>152</v>
      </c>
      <c r="D26" s="212"/>
      <c r="E26" s="111"/>
      <c r="F26" s="111"/>
      <c r="G26" s="212"/>
      <c r="H26" s="111"/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  <c r="O26" s="173">
        <v>0</v>
      </c>
      <c r="P26" s="173">
        <v>0</v>
      </c>
      <c r="Q26" s="173">
        <v>0</v>
      </c>
      <c r="R26" s="173">
        <v>0</v>
      </c>
      <c r="S26" s="173">
        <v>0</v>
      </c>
      <c r="T26" s="173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73">
        <v>0</v>
      </c>
      <c r="AA26" s="173">
        <v>0</v>
      </c>
      <c r="AB26" s="173">
        <v>0</v>
      </c>
      <c r="AC26" s="173">
        <v>0</v>
      </c>
      <c r="AD26" s="173">
        <v>0</v>
      </c>
      <c r="AE26" s="173">
        <v>0</v>
      </c>
      <c r="AF26" s="173">
        <v>0</v>
      </c>
      <c r="AG26" s="173">
        <v>0</v>
      </c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2"/>
      <c r="E27" s="111"/>
      <c r="F27" s="111"/>
      <c r="G27" s="212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123</v>
      </c>
      <c r="D28" s="209"/>
      <c r="E28"/>
      <c r="G28" s="211" t="s">
        <v>40</v>
      </c>
      <c r="H28"/>
      <c r="I28" s="172">
        <v>126.05320803874913</v>
      </c>
      <c r="J28" s="172">
        <v>22.537205290308748</v>
      </c>
      <c r="K28" s="172">
        <v>14.235776929169011</v>
      </c>
      <c r="L28" s="172">
        <v>21.284495360365604</v>
      </c>
      <c r="M28" s="172">
        <v>19.770583746712916</v>
      </c>
      <c r="N28" s="172">
        <v>6.9911285864609152</v>
      </c>
      <c r="O28" s="172">
        <v>11.487789859882742</v>
      </c>
      <c r="P28" s="172">
        <v>17.262406600208998</v>
      </c>
      <c r="Q28" s="172">
        <v>17.262406600208998</v>
      </c>
      <c r="R28" s="172">
        <v>17.262406600208998</v>
      </c>
      <c r="S28" s="172">
        <v>17.262406600208998</v>
      </c>
      <c r="T28" s="172">
        <v>17.262406600208998</v>
      </c>
      <c r="U28" s="172">
        <v>17.262406600208998</v>
      </c>
      <c r="V28" s="172">
        <v>17.262406600208998</v>
      </c>
      <c r="W28" s="172">
        <v>17.262406600208998</v>
      </c>
      <c r="X28" s="172">
        <v>17.262406600208998</v>
      </c>
      <c r="Y28" s="172">
        <v>17.262406600208998</v>
      </c>
      <c r="Z28" s="172">
        <v>17.262406600208998</v>
      </c>
      <c r="AA28" s="172">
        <v>17.262406600208998</v>
      </c>
      <c r="AB28" s="172">
        <v>17.262406600208998</v>
      </c>
      <c r="AC28" s="172">
        <v>17.262406600208998</v>
      </c>
      <c r="AD28" s="172">
        <v>17.262406600208998</v>
      </c>
      <c r="AE28" s="172">
        <v>17.262406600208998</v>
      </c>
      <c r="AF28" s="172">
        <v>17.262406600208998</v>
      </c>
      <c r="AG28" s="172">
        <v>17.262406600208998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124</v>
      </c>
      <c r="D29" s="209" t="s">
        <v>63</v>
      </c>
      <c r="E29" s="113">
        <f>Assumptions!H41*vcr_esc</f>
        <v>42566</v>
      </c>
      <c r="F29" s="242" t="str">
        <f>IF(AND(SUM(I28:AG28)&lt;&gt;0, E29=0), "!", "")</f>
        <v/>
      </c>
      <c r="G29" s="211">
        <f>input_dollars</f>
        <v>45291</v>
      </c>
      <c r="H29"/>
      <c r="I29" s="119">
        <f>I28*$E$29</f>
        <v>5365580.8533773953</v>
      </c>
      <c r="J29" s="119">
        <f t="shared" ref="J29:AG29" si="2">J28*$E$29</f>
        <v>959318.68038728216</v>
      </c>
      <c r="K29" s="119">
        <f t="shared" si="2"/>
        <v>605960.08076700813</v>
      </c>
      <c r="L29" s="119">
        <f t="shared" si="2"/>
        <v>905995.8295093223</v>
      </c>
      <c r="M29" s="119">
        <f t="shared" si="2"/>
        <v>841554.66776258196</v>
      </c>
      <c r="N29" s="119">
        <f t="shared" si="2"/>
        <v>297584.37941129529</v>
      </c>
      <c r="O29" s="119">
        <f t="shared" si="2"/>
        <v>488989.26317576878</v>
      </c>
      <c r="P29" s="119">
        <f t="shared" si="2"/>
        <v>734791.59934449615</v>
      </c>
      <c r="Q29" s="119">
        <f t="shared" si="2"/>
        <v>734791.59934449615</v>
      </c>
      <c r="R29" s="119">
        <f t="shared" si="2"/>
        <v>734791.59934449615</v>
      </c>
      <c r="S29" s="119">
        <f t="shared" si="2"/>
        <v>734791.59934449615</v>
      </c>
      <c r="T29" s="119">
        <f t="shared" si="2"/>
        <v>734791.59934449615</v>
      </c>
      <c r="U29" s="119">
        <f t="shared" si="2"/>
        <v>734791.59934449615</v>
      </c>
      <c r="V29" s="119">
        <f t="shared" si="2"/>
        <v>734791.59934449615</v>
      </c>
      <c r="W29" s="119">
        <f t="shared" si="2"/>
        <v>734791.59934449615</v>
      </c>
      <c r="X29" s="119">
        <f t="shared" si="2"/>
        <v>734791.59934449615</v>
      </c>
      <c r="Y29" s="119">
        <f t="shared" si="2"/>
        <v>734791.59934449615</v>
      </c>
      <c r="Z29" s="119">
        <f t="shared" si="2"/>
        <v>734791.59934449615</v>
      </c>
      <c r="AA29" s="119">
        <f t="shared" si="2"/>
        <v>734791.59934449615</v>
      </c>
      <c r="AB29" s="119">
        <f t="shared" si="2"/>
        <v>734791.59934449615</v>
      </c>
      <c r="AC29" s="119">
        <f t="shared" si="2"/>
        <v>734791.59934449615</v>
      </c>
      <c r="AD29" s="119">
        <f t="shared" si="2"/>
        <v>734791.59934449615</v>
      </c>
      <c r="AE29" s="119">
        <f t="shared" si="2"/>
        <v>734791.59934449615</v>
      </c>
      <c r="AF29" s="119">
        <f t="shared" si="2"/>
        <v>734791.59934449615</v>
      </c>
      <c r="AG29" s="119">
        <f t="shared" si="2"/>
        <v>734791.59934449615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10"/>
      <c r="E30"/>
      <c r="G30" s="21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114</v>
      </c>
      <c r="D31" s="209" t="s">
        <v>208</v>
      </c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116</v>
      </c>
      <c r="D32" s="210"/>
      <c r="E32"/>
      <c r="G32" s="211">
        <f>input_dollars</f>
        <v>45291</v>
      </c>
      <c r="H32" s="15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115</v>
      </c>
      <c r="D33" s="209" t="s">
        <v>208</v>
      </c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23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57" t="s">
        <v>173</v>
      </c>
      <c r="D35" s="210"/>
      <c r="E35"/>
      <c r="G35" s="211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10"/>
      <c r="E36"/>
      <c r="G36" s="21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172</v>
      </c>
      <c r="D37" s="222"/>
      <c r="E37" s="107"/>
      <c r="F37" s="3"/>
      <c r="G37" s="213"/>
      <c r="H37" s="107"/>
      <c r="I37" s="174">
        <f>SUM(I29:I35)</f>
        <v>5365580.8533773953</v>
      </c>
      <c r="J37" s="174">
        <f t="shared" ref="J37:AG37" si="3">SUM(J29:J35)</f>
        <v>959318.68038728216</v>
      </c>
      <c r="K37" s="174">
        <f t="shared" si="3"/>
        <v>605960.08076700813</v>
      </c>
      <c r="L37" s="174">
        <f t="shared" si="3"/>
        <v>905995.8295093223</v>
      </c>
      <c r="M37" s="174">
        <f t="shared" si="3"/>
        <v>841554.66776258196</v>
      </c>
      <c r="N37" s="174">
        <f t="shared" si="3"/>
        <v>297584.37941129529</v>
      </c>
      <c r="O37" s="174">
        <f t="shared" si="3"/>
        <v>488989.26317576878</v>
      </c>
      <c r="P37" s="174">
        <f t="shared" si="3"/>
        <v>734791.59934449615</v>
      </c>
      <c r="Q37" s="174">
        <f t="shared" si="3"/>
        <v>734791.59934449615</v>
      </c>
      <c r="R37" s="174">
        <f t="shared" si="3"/>
        <v>734791.59934449615</v>
      </c>
      <c r="S37" s="174">
        <f t="shared" si="3"/>
        <v>734791.59934449615</v>
      </c>
      <c r="T37" s="174">
        <f t="shared" si="3"/>
        <v>734791.59934449615</v>
      </c>
      <c r="U37" s="174">
        <f t="shared" si="3"/>
        <v>734791.59934449615</v>
      </c>
      <c r="V37" s="174">
        <f t="shared" si="3"/>
        <v>734791.59934449615</v>
      </c>
      <c r="W37" s="174">
        <f t="shared" si="3"/>
        <v>734791.59934449615</v>
      </c>
      <c r="X37" s="174">
        <f t="shared" si="3"/>
        <v>734791.59934449615</v>
      </c>
      <c r="Y37" s="174">
        <f t="shared" si="3"/>
        <v>734791.59934449615</v>
      </c>
      <c r="Z37" s="174">
        <f t="shared" si="3"/>
        <v>734791.59934449615</v>
      </c>
      <c r="AA37" s="174">
        <f t="shared" si="3"/>
        <v>734791.59934449615</v>
      </c>
      <c r="AB37" s="174">
        <f t="shared" si="3"/>
        <v>734791.59934449615</v>
      </c>
      <c r="AC37" s="174">
        <f t="shared" si="3"/>
        <v>734791.59934449615</v>
      </c>
      <c r="AD37" s="174">
        <f t="shared" si="3"/>
        <v>734791.59934449615</v>
      </c>
      <c r="AE37" s="174">
        <f t="shared" si="3"/>
        <v>734791.59934449615</v>
      </c>
      <c r="AF37" s="174">
        <f t="shared" si="3"/>
        <v>734791.59934449615</v>
      </c>
      <c r="AG37" s="174">
        <f t="shared" si="3"/>
        <v>734791.59934449615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1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56</v>
      </c>
      <c r="B39" s="89"/>
      <c r="C39" s="89"/>
      <c r="D39" s="89"/>
      <c r="E39" s="89"/>
      <c r="F39" s="89"/>
      <c r="G39" s="20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59</v>
      </c>
      <c r="G42" s="209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</row>
    <row r="43" spans="1:16372" ht="13.5" x14ac:dyDescent="0.25">
      <c r="C43" s="1" t="s">
        <v>129</v>
      </c>
      <c r="G43" s="209" t="s">
        <v>104</v>
      </c>
      <c r="I43" s="85">
        <f t="shared" ref="I43:AG43" si="4">I42*I7</f>
        <v>0</v>
      </c>
      <c r="J43" s="85">
        <f t="shared" si="4"/>
        <v>0</v>
      </c>
      <c r="K43" s="85">
        <f t="shared" si="4"/>
        <v>0</v>
      </c>
      <c r="L43" s="85">
        <f t="shared" si="4"/>
        <v>0</v>
      </c>
      <c r="M43" s="85">
        <f t="shared" si="4"/>
        <v>0</v>
      </c>
      <c r="N43" s="85">
        <f t="shared" si="4"/>
        <v>0</v>
      </c>
      <c r="O43" s="85">
        <f t="shared" si="4"/>
        <v>0</v>
      </c>
      <c r="P43" s="85">
        <f t="shared" si="4"/>
        <v>0</v>
      </c>
      <c r="Q43" s="85">
        <f t="shared" si="4"/>
        <v>0</v>
      </c>
      <c r="R43" s="85">
        <f t="shared" si="4"/>
        <v>0</v>
      </c>
      <c r="S43" s="85">
        <f t="shared" si="4"/>
        <v>0</v>
      </c>
      <c r="T43" s="85">
        <f t="shared" si="4"/>
        <v>0</v>
      </c>
      <c r="U43" s="85">
        <f t="shared" si="4"/>
        <v>0</v>
      </c>
      <c r="V43" s="85">
        <f t="shared" si="4"/>
        <v>0</v>
      </c>
      <c r="W43" s="85">
        <f t="shared" si="4"/>
        <v>0</v>
      </c>
      <c r="X43" s="85">
        <f t="shared" si="4"/>
        <v>0</v>
      </c>
      <c r="Y43" s="85">
        <f t="shared" si="4"/>
        <v>0</v>
      </c>
      <c r="Z43" s="85">
        <f t="shared" si="4"/>
        <v>0</v>
      </c>
      <c r="AA43" s="85">
        <f t="shared" si="4"/>
        <v>0</v>
      </c>
      <c r="AB43" s="85">
        <f t="shared" si="4"/>
        <v>0</v>
      </c>
      <c r="AC43" s="85">
        <f t="shared" si="4"/>
        <v>0</v>
      </c>
      <c r="AD43" s="85">
        <f t="shared" si="4"/>
        <v>0</v>
      </c>
      <c r="AE43" s="85">
        <f t="shared" si="4"/>
        <v>0</v>
      </c>
      <c r="AF43" s="85">
        <f t="shared" si="4"/>
        <v>0</v>
      </c>
      <c r="AG43" s="85">
        <f t="shared" si="4"/>
        <v>0</v>
      </c>
    </row>
    <row r="44" spans="1:16372" x14ac:dyDescent="0.2">
      <c r="D44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10"/>
      <c r="E45"/>
      <c r="G45" s="21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9" t="s">
        <v>63</v>
      </c>
      <c r="E46" s="113">
        <f>Assumptions!G94</f>
        <v>151432.81740793545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4</v>
      </c>
      <c r="D47" s="209" t="s">
        <v>63</v>
      </c>
      <c r="E47" s="113">
        <f>Assumptions!G95</f>
        <v>24590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5</v>
      </c>
      <c r="D48" s="209" t="s">
        <v>63</v>
      </c>
      <c r="E48" s="112">
        <f>Assumptions!G96</f>
        <v>88.357719508603083</v>
      </c>
      <c r="G48" s="211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15</v>
      </c>
      <c r="D49" s="209" t="s">
        <v>126</v>
      </c>
      <c r="E49" s="112">
        <f>Assumptions!G97</f>
        <v>0</v>
      </c>
      <c r="G49" s="211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9" t="s">
        <v>206</v>
      </c>
      <c r="E50" s="112">
        <f>Assumptions!G98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204</v>
      </c>
      <c r="D51" s="209" t="s">
        <v>206</v>
      </c>
      <c r="E51" s="112">
        <f>Assumptions!G99</f>
        <v>0.35181336539087127</v>
      </c>
      <c r="G51" s="211" t="s">
        <v>207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6</v>
      </c>
      <c r="D52" s="209" t="s">
        <v>126</v>
      </c>
      <c r="E52" s="112">
        <f>Assumptions!G100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C53" s="1" t="s">
        <v>7</v>
      </c>
      <c r="D53" s="209" t="s">
        <v>126</v>
      </c>
      <c r="E53" s="112">
        <f>Assumptions!G101</f>
        <v>0</v>
      </c>
      <c r="G53" s="211" t="s">
        <v>205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D54" s="209"/>
      <c r="G54" s="211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43" x14ac:dyDescent="0.2">
      <c r="C55" s="1" t="s">
        <v>117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C56" s="1" t="s">
        <v>118</v>
      </c>
      <c r="D56" s="209"/>
      <c r="G56" s="211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</row>
    <row r="57" spans="1:43" x14ac:dyDescent="0.2">
      <c r="D57" s="209"/>
      <c r="G57" s="209"/>
    </row>
    <row r="58" spans="1:43" x14ac:dyDescent="0.2">
      <c r="C58" s="3" t="s">
        <v>125</v>
      </c>
      <c r="D58" s="222"/>
      <c r="E58" s="107"/>
      <c r="F58" s="3"/>
      <c r="G58" s="214">
        <f>input_dollars</f>
        <v>45291</v>
      </c>
      <c r="H58" s="107"/>
      <c r="I58" s="174" cm="1">
        <f t="array" ref="I58">SUMPRODUCT((I$46:I$53)*($E$46:$E$53))+SUM(I55:I56)+I43</f>
        <v>0</v>
      </c>
      <c r="J58" s="174" cm="1">
        <f t="array" ref="J58">SUMPRODUCT((J$46:J$53)*($E$46:$E$53))+SUM(J55:J56)+J43</f>
        <v>0</v>
      </c>
      <c r="K58" s="174" cm="1">
        <f t="array" ref="K58">SUMPRODUCT((K$46:K$53)*($E$46:$E$53))+SUM(K55:K56)+K43</f>
        <v>0</v>
      </c>
      <c r="L58" s="174" cm="1">
        <f t="array" ref="L58">SUMPRODUCT((L$46:L$53)*($E$46:$E$53))+SUM(L55:L56)+L43</f>
        <v>0</v>
      </c>
      <c r="M58" s="174" cm="1">
        <f t="array" ref="M58">SUMPRODUCT((M$46:M$53)*($E$46:$E$53))+SUM(M55:M56)+M43</f>
        <v>0</v>
      </c>
      <c r="N58" s="174" cm="1">
        <f t="array" ref="N58">SUMPRODUCT((N$46:N$53)*($E$46:$E$53))+SUM(N55:N56)+N43</f>
        <v>0</v>
      </c>
      <c r="O58" s="174" cm="1">
        <f t="array" ref="O58">SUMPRODUCT((O$46:O$53)*($E$46:$E$53))+SUM(O55:O56)+O43</f>
        <v>0</v>
      </c>
      <c r="P58" s="174" cm="1">
        <f t="array" ref="P58">SUMPRODUCT((P$46:P$53)*($E$46:$E$53))+SUM(P55:P56)+P43</f>
        <v>0</v>
      </c>
      <c r="Q58" s="174" cm="1">
        <f t="array" ref="Q58">SUMPRODUCT((Q$46:Q$53)*($E$46:$E$53))+SUM(Q55:Q56)+Q43</f>
        <v>0</v>
      </c>
      <c r="R58" s="174" cm="1">
        <f t="array" ref="R58">SUMPRODUCT((R$46:R$53)*($E$46:$E$53))+SUM(R55:R56)+R43</f>
        <v>0</v>
      </c>
      <c r="S58" s="174" cm="1">
        <f t="array" ref="S58">SUMPRODUCT((S$46:S$53)*($E$46:$E$53))+SUM(S55:S56)+S43</f>
        <v>0</v>
      </c>
      <c r="T58" s="174" cm="1">
        <f t="array" ref="T58">SUMPRODUCT((T$46:T$53)*($E$46:$E$53))+SUM(T55:T56)+T43</f>
        <v>0</v>
      </c>
      <c r="U58" s="174" cm="1">
        <f t="array" ref="U58">SUMPRODUCT((U$46:U$53)*($E$46:$E$53))+SUM(U55:U56)+U43</f>
        <v>0</v>
      </c>
      <c r="V58" s="174" cm="1">
        <f t="array" ref="V58">SUMPRODUCT((V$46:V$53)*($E$46:$E$53))+SUM(V55:V56)+V43</f>
        <v>0</v>
      </c>
      <c r="W58" s="174" cm="1">
        <f t="array" ref="W58">SUMPRODUCT((W$46:W$53)*($E$46:$E$53))+SUM(W55:W56)+W43</f>
        <v>0</v>
      </c>
      <c r="X58" s="174" cm="1">
        <f t="array" ref="X58">SUMPRODUCT((X$46:X$53)*($E$46:$E$53))+SUM(X55:X56)+X43</f>
        <v>0</v>
      </c>
      <c r="Y58" s="174" cm="1">
        <f t="array" ref="Y58">SUMPRODUCT((Y$46:Y$53)*($E$46:$E$53))+SUM(Y55:Y56)+Y43</f>
        <v>0</v>
      </c>
      <c r="Z58" s="174" cm="1">
        <f t="array" ref="Z58">SUMPRODUCT((Z$46:Z$53)*($E$46:$E$53))+SUM(Z55:Z56)+Z43</f>
        <v>0</v>
      </c>
      <c r="AA58" s="174" cm="1">
        <f t="array" ref="AA58">SUMPRODUCT((AA$46:AA$53)*($E$46:$E$53))+SUM(AA55:AA56)+AA43</f>
        <v>0</v>
      </c>
      <c r="AB58" s="174" cm="1">
        <f t="array" ref="AB58">SUMPRODUCT((AB$46:AB$53)*($E$46:$E$53))+SUM(AB55:AB56)+AB43</f>
        <v>0</v>
      </c>
      <c r="AC58" s="174" cm="1">
        <f t="array" ref="AC58">SUMPRODUCT((AC$46:AC$53)*($E$46:$E$53))+SUM(AC55:AC56)+AC43</f>
        <v>0</v>
      </c>
      <c r="AD58" s="174" cm="1">
        <f t="array" ref="AD58">SUMPRODUCT((AD$46:AD$53)*($E$46:$E$53))+SUM(AD55:AD56)+AD43</f>
        <v>0</v>
      </c>
      <c r="AE58" s="174" cm="1">
        <f t="array" ref="AE58">SUMPRODUCT((AE$46:AE$53)*($E$46:$E$53))+SUM(AE55:AE56)+AE43</f>
        <v>0</v>
      </c>
      <c r="AF58" s="174" cm="1">
        <f t="array" ref="AF58">SUMPRODUCT((AF$46:AF$53)*($E$46:$E$53))+SUM(AF55:AF56)+AF43</f>
        <v>0</v>
      </c>
      <c r="AG58" s="174" cm="1">
        <f t="array" ref="AG58">SUMPRODUCT((AG$46:AG$53)*($E$46:$E$53))+SUM(AG55:AG56)+AG43</f>
        <v>0</v>
      </c>
    </row>
    <row r="59" spans="1:43" x14ac:dyDescent="0.2">
      <c r="D59" s="209"/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x14ac:dyDescent="0.2">
      <c r="G60" s="209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8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5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C64" s="4"/>
      <c r="F64" s="2"/>
      <c r="G64" s="216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</row>
    <row r="65" spans="1:33" x14ac:dyDescent="0.2">
      <c r="C65" s="4" t="str">
        <f>'Option1 (base case)'!C65</f>
        <v>Risks mitigated vs base case</v>
      </c>
      <c r="G65" s="214">
        <f>input_dollars</f>
        <v>45291</v>
      </c>
      <c r="I65" s="135">
        <f>(1-INDEX(Data!$C$9:$C$13, MATCH($A$3, options,0)))*('Option1 (base case)'!I37-I37)</f>
        <v>0</v>
      </c>
      <c r="J65" s="135">
        <f>(1-INDEX(Data!$C$9:$C$13, MATCH($A$3, options,0)))*('Option1 (base case)'!J37-J37)</f>
        <v>8068676.0734504526</v>
      </c>
      <c r="K65" s="135">
        <f>(1-INDEX(Data!$C$9:$C$13, MATCH($A$3, options,0)))*('Option1 (base case)'!K37-K37)</f>
        <v>11215435.558639154</v>
      </c>
      <c r="L65" s="135">
        <f>(1-INDEX(Data!$C$9:$C$13, MATCH($A$3, options,0)))*('Option1 (base case)'!L37-L37)</f>
        <v>13836632.61564583</v>
      </c>
      <c r="M65" s="135">
        <f>(1-INDEX(Data!$C$9:$C$13, MATCH($A$3, options,0)))*('Option1 (base case)'!M37-M37)</f>
        <v>18059208.706013609</v>
      </c>
      <c r="N65" s="135">
        <f>(1-INDEX(Data!$C$9:$C$13, MATCH($A$3, options,0)))*('Option1 (base case)'!N37-N37)</f>
        <v>25684871.628164936</v>
      </c>
      <c r="O65" s="135">
        <f>(1-INDEX(Data!$C$9:$C$13, MATCH($A$3, options,0)))*('Option1 (base case)'!O37-O37)</f>
        <v>36977480.987616636</v>
      </c>
      <c r="P65" s="135">
        <f>(1-INDEX(Data!$C$9:$C$13, MATCH($A$3, options,0)))*('Option1 (base case)'!P37-P37)</f>
        <v>49093616.979553558</v>
      </c>
      <c r="Q65" s="135">
        <f>(1-INDEX(Data!$C$9:$C$13, MATCH($A$3, options,0)))*('Option1 (base case)'!Q37-Q37)</f>
        <v>61348215.345188953</v>
      </c>
      <c r="R65" s="135">
        <f>(1-INDEX(Data!$C$9:$C$13, MATCH($A$3, options,0)))*('Option1 (base case)'!R37-R37)</f>
        <v>61348215.345188953</v>
      </c>
      <c r="S65" s="135">
        <f>(1-INDEX(Data!$C$9:$C$13, MATCH($A$3, options,0)))*('Option1 (base case)'!S37-S37)</f>
        <v>61348215.345188953</v>
      </c>
      <c r="T65" s="135">
        <f>(1-INDEX(Data!$C$9:$C$13, MATCH($A$3, options,0)))*('Option1 (base case)'!T37-T37)</f>
        <v>61348215.345188953</v>
      </c>
      <c r="U65" s="135">
        <f>(1-INDEX(Data!$C$9:$C$13, MATCH($A$3, options,0)))*('Option1 (base case)'!U37-U37)</f>
        <v>61348215.345188953</v>
      </c>
      <c r="V65" s="135">
        <f>(1-INDEX(Data!$C$9:$C$13, MATCH($A$3, options,0)))*('Option1 (base case)'!V37-V37)</f>
        <v>61348215.345188953</v>
      </c>
      <c r="W65" s="135">
        <f>(1-INDEX(Data!$C$9:$C$13, MATCH($A$3, options,0)))*('Option1 (base case)'!W37-W37)</f>
        <v>61348215.345188953</v>
      </c>
      <c r="X65" s="135">
        <f>(1-INDEX(Data!$C$9:$C$13, MATCH($A$3, options,0)))*('Option1 (base case)'!X37-X37)</f>
        <v>61348215.345188953</v>
      </c>
      <c r="Y65" s="135">
        <f>(1-INDEX(Data!$C$9:$C$13, MATCH($A$3, options,0)))*('Option1 (base case)'!Y37-Y37)</f>
        <v>61348215.345188953</v>
      </c>
      <c r="Z65" s="135">
        <f>(1-INDEX(Data!$C$9:$C$13, MATCH($A$3, options,0)))*('Option1 (base case)'!Z37-Z37)</f>
        <v>61348215.345188953</v>
      </c>
      <c r="AA65" s="135">
        <f>(1-INDEX(Data!$C$9:$C$13, MATCH($A$3, options,0)))*('Option1 (base case)'!AA37-AA37)</f>
        <v>61348215.345188953</v>
      </c>
      <c r="AB65" s="135">
        <f>(1-INDEX(Data!$C$9:$C$13, MATCH($A$3, options,0)))*('Option1 (base case)'!AB37-AB37)</f>
        <v>61348215.345188953</v>
      </c>
      <c r="AC65" s="135">
        <f>(1-INDEX(Data!$C$9:$C$13, MATCH($A$3, options,0)))*('Option1 (base case)'!AC37-AC37)</f>
        <v>61348215.345188953</v>
      </c>
      <c r="AD65" s="135">
        <f>(1-INDEX(Data!$C$9:$C$13, MATCH($A$3, options,0)))*('Option1 (base case)'!AD37-AD37)</f>
        <v>61348215.345188953</v>
      </c>
      <c r="AE65" s="135">
        <f>(1-INDEX(Data!$C$9:$C$13, MATCH($A$3, options,0)))*('Option1 (base case)'!AE37-AE37)</f>
        <v>61348215.345188953</v>
      </c>
      <c r="AF65" s="135">
        <f>(1-INDEX(Data!$C$9:$C$13, MATCH($A$3, options,0)))*('Option1 (base case)'!AF37-AF37)</f>
        <v>61348215.345188953</v>
      </c>
      <c r="AG65" s="135">
        <f>(1-INDEX(Data!$C$9:$C$13, MATCH($A$3, options,0)))*('Option1 (base case)'!AG37-AG37)</f>
        <v>61348215.345188953</v>
      </c>
    </row>
    <row r="66" spans="1:33" x14ac:dyDescent="0.2">
      <c r="G66" s="216"/>
    </row>
    <row r="67" spans="1:33" x14ac:dyDescent="0.2">
      <c r="A67" s="8"/>
      <c r="B67" s="8"/>
      <c r="C67" s="150" t="s">
        <v>30</v>
      </c>
      <c r="D67" s="38"/>
      <c r="F67" s="97"/>
      <c r="G67" s="21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x14ac:dyDescent="0.2">
      <c r="A68" s="8"/>
      <c r="B68" s="8"/>
      <c r="C68" s="4" t="str">
        <f>C14</f>
        <v>MTC 3rd Tx</v>
      </c>
      <c r="D68" s="38"/>
      <c r="F68" s="97"/>
      <c r="G68" s="214">
        <f>input_dollars</f>
        <v>45291</v>
      </c>
      <c r="H68" s="31"/>
      <c r="I68" s="119">
        <f t="shared" ref="I68:AG71" si="5">-I14</f>
        <v>-14291649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 t="str">
        <f>C15</f>
        <v>BMH Rebuild</v>
      </c>
      <c r="D69" s="38"/>
      <c r="F69" s="97"/>
      <c r="G69" s="214">
        <f>input_dollars</f>
        <v>45291</v>
      </c>
      <c r="H69" s="31"/>
      <c r="I69" s="119">
        <f t="shared" si="5"/>
        <v>-13551742.666666666</v>
      </c>
      <c r="J69" s="119">
        <f t="shared" si="5"/>
        <v>-13551742.666666666</v>
      </c>
      <c r="K69" s="119">
        <f t="shared" si="5"/>
        <v>0</v>
      </c>
      <c r="L69" s="119">
        <f t="shared" si="5"/>
        <v>0</v>
      </c>
      <c r="M69" s="119">
        <f t="shared" si="5"/>
        <v>0</v>
      </c>
      <c r="N69" s="119">
        <f t="shared" si="5"/>
        <v>0</v>
      </c>
      <c r="O69" s="119">
        <f t="shared" si="5"/>
        <v>0</v>
      </c>
      <c r="P69" s="119">
        <f t="shared" si="5"/>
        <v>0</v>
      </c>
      <c r="Q69" s="119">
        <f t="shared" si="5"/>
        <v>0</v>
      </c>
      <c r="R69" s="119">
        <f t="shared" si="5"/>
        <v>0</v>
      </c>
      <c r="S69" s="119">
        <f t="shared" si="5"/>
        <v>0</v>
      </c>
      <c r="T69" s="119">
        <f t="shared" si="5"/>
        <v>0</v>
      </c>
      <c r="U69" s="119">
        <f t="shared" si="5"/>
        <v>0</v>
      </c>
      <c r="V69" s="119">
        <f t="shared" si="5"/>
        <v>0</v>
      </c>
      <c r="W69" s="119">
        <f t="shared" si="5"/>
        <v>0</v>
      </c>
      <c r="X69" s="119">
        <f t="shared" si="5"/>
        <v>0</v>
      </c>
      <c r="Y69" s="119">
        <f t="shared" si="5"/>
        <v>0</v>
      </c>
      <c r="Z69" s="119">
        <f t="shared" si="5"/>
        <v>0</v>
      </c>
      <c r="AA69" s="119">
        <f t="shared" si="5"/>
        <v>0</v>
      </c>
      <c r="AB69" s="119">
        <f t="shared" si="5"/>
        <v>0</v>
      </c>
      <c r="AC69" s="119">
        <f t="shared" si="5"/>
        <v>0</v>
      </c>
      <c r="AD69" s="119">
        <f t="shared" si="5"/>
        <v>0</v>
      </c>
      <c r="AE69" s="119">
        <f t="shared" si="5"/>
        <v>0</v>
      </c>
      <c r="AF69" s="119">
        <f t="shared" si="5"/>
        <v>0</v>
      </c>
      <c r="AG69" s="119">
        <f t="shared" si="5"/>
        <v>0</v>
      </c>
    </row>
    <row r="70" spans="1:33" x14ac:dyDescent="0.2">
      <c r="A70" s="8"/>
      <c r="B70" s="8"/>
      <c r="C70" s="4" t="str">
        <f>C16</f>
        <v>PCK Stage 1</v>
      </c>
      <c r="D70" s="38"/>
      <c r="F70" s="97"/>
      <c r="G70" s="214">
        <f>input_dollars</f>
        <v>45291</v>
      </c>
      <c r="H70" s="31"/>
      <c r="I70" s="119">
        <f t="shared" si="5"/>
        <v>0</v>
      </c>
      <c r="J70" s="119">
        <f t="shared" si="5"/>
        <v>-5408395.2999999998</v>
      </c>
      <c r="K70" s="119">
        <f t="shared" si="5"/>
        <v>-24162535.933333334</v>
      </c>
      <c r="L70" s="119">
        <f t="shared" si="5"/>
        <v>-22120559.43333333</v>
      </c>
      <c r="M70" s="119">
        <f t="shared" si="5"/>
        <v>0</v>
      </c>
      <c r="N70" s="119">
        <f t="shared" si="5"/>
        <v>0</v>
      </c>
      <c r="O70" s="119">
        <f t="shared" si="5"/>
        <v>0</v>
      </c>
      <c r="P70" s="119">
        <f t="shared" si="5"/>
        <v>0</v>
      </c>
      <c r="Q70" s="119">
        <f t="shared" si="5"/>
        <v>0</v>
      </c>
      <c r="R70" s="119">
        <f t="shared" si="5"/>
        <v>-10425980.333333332</v>
      </c>
      <c r="S70" s="119">
        <f t="shared" si="5"/>
        <v>0</v>
      </c>
      <c r="T70" s="119">
        <f t="shared" si="5"/>
        <v>0</v>
      </c>
      <c r="U70" s="119">
        <f t="shared" si="5"/>
        <v>0</v>
      </c>
      <c r="V70" s="119">
        <f t="shared" si="5"/>
        <v>0</v>
      </c>
      <c r="W70" s="119">
        <f t="shared" si="5"/>
        <v>0</v>
      </c>
      <c r="X70" s="119">
        <f t="shared" si="5"/>
        <v>0</v>
      </c>
      <c r="Y70" s="119">
        <f t="shared" si="5"/>
        <v>0</v>
      </c>
      <c r="Z70" s="119">
        <f t="shared" si="5"/>
        <v>0</v>
      </c>
      <c r="AA70" s="119">
        <f t="shared" si="5"/>
        <v>0</v>
      </c>
      <c r="AB70" s="119">
        <f t="shared" si="5"/>
        <v>0</v>
      </c>
      <c r="AC70" s="119">
        <f t="shared" si="5"/>
        <v>0</v>
      </c>
      <c r="AD70" s="119">
        <f t="shared" si="5"/>
        <v>0</v>
      </c>
      <c r="AE70" s="119">
        <f t="shared" si="5"/>
        <v>0</v>
      </c>
      <c r="AF70" s="119">
        <f t="shared" si="5"/>
        <v>0</v>
      </c>
      <c r="AG70" s="119">
        <f t="shared" si="5"/>
        <v>0</v>
      </c>
    </row>
    <row r="71" spans="1:33" x14ac:dyDescent="0.2">
      <c r="A71" s="8"/>
      <c r="B71" s="8"/>
      <c r="C71" s="4" t="str">
        <f>C17</f>
        <v>New RBE ZSS</v>
      </c>
      <c r="D71" s="38"/>
      <c r="F71" s="97"/>
      <c r="G71" s="214">
        <f>input_dollars</f>
        <v>45291</v>
      </c>
      <c r="H71" s="31"/>
      <c r="I71" s="119">
        <f t="shared" si="5"/>
        <v>0</v>
      </c>
      <c r="J71" s="119">
        <f t="shared" si="5"/>
        <v>0</v>
      </c>
      <c r="K71" s="119">
        <f t="shared" si="5"/>
        <v>-7681809</v>
      </c>
      <c r="L71" s="119">
        <f t="shared" si="5"/>
        <v>-17564061.240000002</v>
      </c>
      <c r="M71" s="119">
        <f t="shared" si="5"/>
        <v>-13715016.889999999</v>
      </c>
      <c r="N71" s="119">
        <f t="shared" si="5"/>
        <v>0</v>
      </c>
      <c r="O71" s="119">
        <f t="shared" si="5"/>
        <v>0</v>
      </c>
      <c r="P71" s="119">
        <f t="shared" si="5"/>
        <v>0</v>
      </c>
      <c r="Q71" s="119">
        <f t="shared" si="5"/>
        <v>0</v>
      </c>
      <c r="R71" s="119">
        <f t="shared" si="5"/>
        <v>0</v>
      </c>
      <c r="S71" s="119">
        <f t="shared" si="5"/>
        <v>0</v>
      </c>
      <c r="T71" s="119">
        <f t="shared" si="5"/>
        <v>0</v>
      </c>
      <c r="U71" s="119">
        <f t="shared" si="5"/>
        <v>0</v>
      </c>
      <c r="V71" s="119">
        <f t="shared" si="5"/>
        <v>0</v>
      </c>
      <c r="W71" s="119">
        <f t="shared" si="5"/>
        <v>0</v>
      </c>
      <c r="X71" s="119">
        <f t="shared" si="5"/>
        <v>0</v>
      </c>
      <c r="Y71" s="119">
        <f t="shared" si="5"/>
        <v>0</v>
      </c>
      <c r="Z71" s="119">
        <f t="shared" si="5"/>
        <v>0</v>
      </c>
      <c r="AA71" s="119">
        <f t="shared" si="5"/>
        <v>0</v>
      </c>
      <c r="AB71" s="119">
        <f t="shared" si="5"/>
        <v>0</v>
      </c>
      <c r="AC71" s="119">
        <f t="shared" si="5"/>
        <v>0</v>
      </c>
      <c r="AD71" s="119">
        <f t="shared" si="5"/>
        <v>0</v>
      </c>
      <c r="AE71" s="119">
        <f t="shared" si="5"/>
        <v>0</v>
      </c>
      <c r="AF71" s="119">
        <f t="shared" si="5"/>
        <v>0</v>
      </c>
      <c r="AG71" s="119">
        <f t="shared" si="5"/>
        <v>0</v>
      </c>
    </row>
    <row r="72" spans="1:33" x14ac:dyDescent="0.2">
      <c r="A72" s="8"/>
      <c r="B72" s="8"/>
      <c r="C72" s="4"/>
      <c r="D72" s="38"/>
      <c r="F72" s="97"/>
      <c r="G72" s="218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x14ac:dyDescent="0.2">
      <c r="A73" s="8"/>
      <c r="B73" s="8"/>
      <c r="C73" s="150" t="s">
        <v>156</v>
      </c>
      <c r="D73" s="38"/>
      <c r="F73" s="97"/>
      <c r="G73" s="217"/>
      <c r="H73" s="31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</row>
    <row r="74" spans="1:33" x14ac:dyDescent="0.2">
      <c r="A74" s="8"/>
      <c r="B74" s="8"/>
      <c r="C74" s="4" t="str">
        <f>C14</f>
        <v>MTC 3rd Tx</v>
      </c>
      <c r="D74" s="38"/>
      <c r="F74" s="97"/>
      <c r="G74" s="214">
        <f>input_dollars</f>
        <v>45291</v>
      </c>
      <c r="H74" s="31"/>
      <c r="I74" s="119" cm="1">
        <f t="array" ref="I74">SUMPRODUCT(($I68:I68))-SUMPRODUCT(($I68:I68)*($I$6:I$6&lt;=(I$6-$E14)))</f>
        <v>-14291649</v>
      </c>
      <c r="J74" s="119" cm="1">
        <f t="array" ref="J74">SUMPRODUCT(($I68:J68))-SUMPRODUCT(($I68:J68)*($I$6:J$6&lt;=(J$6-$E14)))</f>
        <v>-14291649</v>
      </c>
      <c r="K74" s="119" cm="1">
        <f t="array" ref="K74">SUMPRODUCT(($I68:K68))-SUMPRODUCT(($I68:K68)*($I$6:K$6&lt;=(K$6-$E14)))</f>
        <v>-14291649</v>
      </c>
      <c r="L74" s="119" cm="1">
        <f t="array" ref="L74">SUMPRODUCT(($I68:L68))-SUMPRODUCT(($I68:L68)*($I$6:L$6&lt;=(L$6-$E14)))</f>
        <v>-14291649</v>
      </c>
      <c r="M74" s="119" cm="1">
        <f t="array" ref="M74">SUMPRODUCT(($I68:M68))-SUMPRODUCT(($I68:M68)*($I$6:M$6&lt;=(M$6-$E14)))</f>
        <v>-14291649</v>
      </c>
      <c r="N74" s="119" cm="1">
        <f t="array" ref="N74">SUMPRODUCT(($I68:N68))-SUMPRODUCT(($I68:N68)*($I$6:N$6&lt;=(N$6-$E14)))</f>
        <v>-14291649</v>
      </c>
      <c r="O74" s="119" cm="1">
        <f t="array" ref="O74">SUMPRODUCT(($I68:O68))-SUMPRODUCT(($I68:O68)*($I$6:O$6&lt;=(O$6-$E14)))</f>
        <v>-14291649</v>
      </c>
      <c r="P74" s="119" cm="1">
        <f t="array" ref="P74">SUMPRODUCT(($I68:P68))-SUMPRODUCT(($I68:P68)*($I$6:P$6&lt;=(P$6-$E14)))</f>
        <v>-14291649</v>
      </c>
      <c r="Q74" s="119" cm="1">
        <f t="array" ref="Q74">SUMPRODUCT(($I68:Q68))-SUMPRODUCT(($I68:Q68)*($I$6:Q$6&lt;=(Q$6-$E14)))</f>
        <v>-14291649</v>
      </c>
      <c r="R74" s="119" cm="1">
        <f t="array" ref="R74">SUMPRODUCT(($I68:R68))-SUMPRODUCT(($I68:R68)*($I$6:R$6&lt;=(R$6-$E14)))</f>
        <v>-14291649</v>
      </c>
      <c r="S74" s="119" cm="1">
        <f t="array" ref="S74">SUMPRODUCT(($I68:S68))-SUMPRODUCT(($I68:S68)*($I$6:S$6&lt;=(S$6-$E14)))</f>
        <v>-14291649</v>
      </c>
      <c r="T74" s="119" cm="1">
        <f t="array" ref="T74">SUMPRODUCT(($I68:T68))-SUMPRODUCT(($I68:T68)*($I$6:T$6&lt;=(T$6-$E14)))</f>
        <v>-14291649</v>
      </c>
      <c r="U74" s="119" cm="1">
        <f t="array" ref="U74">SUMPRODUCT(($I68:U68))-SUMPRODUCT(($I68:U68)*($I$6:U$6&lt;=(U$6-$E14)))</f>
        <v>-14291649</v>
      </c>
      <c r="V74" s="119" cm="1">
        <f t="array" ref="V74">SUMPRODUCT(($I68:V68))-SUMPRODUCT(($I68:V68)*($I$6:V$6&lt;=(V$6-$E14)))</f>
        <v>-14291649</v>
      </c>
      <c r="W74" s="119" cm="1">
        <f t="array" ref="W74">SUMPRODUCT(($I68:W68))-SUMPRODUCT(($I68:W68)*($I$6:W$6&lt;=(W$6-$E14)))</f>
        <v>-14291649</v>
      </c>
      <c r="X74" s="119" cm="1">
        <f t="array" ref="X74">SUMPRODUCT(($I68:X68))-SUMPRODUCT(($I68:X68)*($I$6:X$6&lt;=(X$6-$E14)))</f>
        <v>-14291649</v>
      </c>
      <c r="Y74" s="119" cm="1">
        <f t="array" ref="Y74">SUMPRODUCT(($I68:Y68))-SUMPRODUCT(($I68:Y68)*($I$6:Y$6&lt;=(Y$6-$E14)))</f>
        <v>-14291649</v>
      </c>
      <c r="Z74" s="119" cm="1">
        <f t="array" ref="Z74">SUMPRODUCT(($I68:Z68))-SUMPRODUCT(($I68:Z68)*($I$6:Z$6&lt;=(Z$6-$E14)))</f>
        <v>-14291649</v>
      </c>
      <c r="AA74" s="119" cm="1">
        <f t="array" ref="AA74">SUMPRODUCT(($I68:AA68))-SUMPRODUCT(($I68:AA68)*($I$6:AA$6&lt;=(AA$6-$E14)))</f>
        <v>-14291649</v>
      </c>
      <c r="AB74" s="119" cm="1">
        <f t="array" ref="AB74">SUMPRODUCT(($I68:AB68))-SUMPRODUCT(($I68:AB68)*($I$6:AB$6&lt;=(AB$6-$E14)))</f>
        <v>-14291649</v>
      </c>
      <c r="AC74" s="119" cm="1">
        <f t="array" ref="AC74">SUMPRODUCT(($I68:AC68))-SUMPRODUCT(($I68:AC68)*($I$6:AC$6&lt;=(AC$6-$E14)))</f>
        <v>-14291649</v>
      </c>
      <c r="AD74" s="119" cm="1">
        <f t="array" ref="AD74">SUMPRODUCT(($I68:AD68))-SUMPRODUCT(($I68:AD68)*($I$6:AD$6&lt;=(AD$6-$E14)))</f>
        <v>-14291649</v>
      </c>
      <c r="AE74" s="119" cm="1">
        <f t="array" ref="AE74">SUMPRODUCT(($I68:AE68))-SUMPRODUCT(($I68:AE68)*($I$6:AE$6&lt;=(AE$6-$E14)))</f>
        <v>-14291649</v>
      </c>
      <c r="AF74" s="119" cm="1">
        <f t="array" ref="AF74">SUMPRODUCT(($I68:AF68))-SUMPRODUCT(($I68:AF68)*($I$6:AF$6&lt;=(AF$6-$E14)))</f>
        <v>-14291649</v>
      </c>
      <c r="AG74" s="119" cm="1">
        <f t="array" ref="AG74">SUMPRODUCT(($I68:AG68))-SUMPRODUCT(($I68:AG68)*($I$6:AG$6&lt;=(AG$6-$E14)))</f>
        <v>-14291649</v>
      </c>
    </row>
    <row r="75" spans="1:33" x14ac:dyDescent="0.2">
      <c r="A75" s="8"/>
      <c r="B75" s="8"/>
      <c r="C75" s="4" t="str">
        <f>C15</f>
        <v>BMH Rebuild</v>
      </c>
      <c r="D75" s="38"/>
      <c r="F75" s="97"/>
      <c r="G75" s="214">
        <f>input_dollars</f>
        <v>45291</v>
      </c>
      <c r="H75" s="31"/>
      <c r="I75" s="119" cm="1">
        <f t="array" ref="I75">SUMPRODUCT(($I69:I69))-SUMPRODUCT(($I69:I69)*($I$6:I$6&lt;=(I$6-$E15)))</f>
        <v>-13551742.666666666</v>
      </c>
      <c r="J75" s="119" cm="1">
        <f t="array" ref="J75">SUMPRODUCT(($I69:J69))-SUMPRODUCT(($I69:J69)*($I$6:J$6&lt;=(J$6-$E15)))</f>
        <v>-27103485.333333332</v>
      </c>
      <c r="K75" s="119" cm="1">
        <f t="array" ref="K75">SUMPRODUCT(($I69:K69))-SUMPRODUCT(($I69:K69)*($I$6:K$6&lt;=(K$6-$E15)))</f>
        <v>-27103485.333333332</v>
      </c>
      <c r="L75" s="119" cm="1">
        <f t="array" ref="L75">SUMPRODUCT(($I69:L69))-SUMPRODUCT(($I69:L69)*($I$6:L$6&lt;=(L$6-$E15)))</f>
        <v>-27103485.333333332</v>
      </c>
      <c r="M75" s="119" cm="1">
        <f t="array" ref="M75">SUMPRODUCT(($I69:M69))-SUMPRODUCT(($I69:M69)*($I$6:M$6&lt;=(M$6-$E15)))</f>
        <v>-27103485.333333332</v>
      </c>
      <c r="N75" s="119" cm="1">
        <f t="array" ref="N75">SUMPRODUCT(($I69:N69))-SUMPRODUCT(($I69:N69)*($I$6:N$6&lt;=(N$6-$E15)))</f>
        <v>-27103485.333333332</v>
      </c>
      <c r="O75" s="119" cm="1">
        <f t="array" ref="O75">SUMPRODUCT(($I69:O69))-SUMPRODUCT(($I69:O69)*($I$6:O$6&lt;=(O$6-$E15)))</f>
        <v>-27103485.333333332</v>
      </c>
      <c r="P75" s="119" cm="1">
        <f t="array" ref="P75">SUMPRODUCT(($I69:P69))-SUMPRODUCT(($I69:P69)*($I$6:P$6&lt;=(P$6-$E15)))</f>
        <v>-27103485.333333332</v>
      </c>
      <c r="Q75" s="119" cm="1">
        <f t="array" ref="Q75">SUMPRODUCT(($I69:Q69))-SUMPRODUCT(($I69:Q69)*($I$6:Q$6&lt;=(Q$6-$E15)))</f>
        <v>-27103485.333333332</v>
      </c>
      <c r="R75" s="119" cm="1">
        <f t="array" ref="R75">SUMPRODUCT(($I69:R69))-SUMPRODUCT(($I69:R69)*($I$6:R$6&lt;=(R$6-$E15)))</f>
        <v>-27103485.333333332</v>
      </c>
      <c r="S75" s="119" cm="1">
        <f t="array" ref="S75">SUMPRODUCT(($I69:S69))-SUMPRODUCT(($I69:S69)*($I$6:S$6&lt;=(S$6-$E15)))</f>
        <v>-27103485.333333332</v>
      </c>
      <c r="T75" s="119" cm="1">
        <f t="array" ref="T75">SUMPRODUCT(($I69:T69))-SUMPRODUCT(($I69:T69)*($I$6:T$6&lt;=(T$6-$E15)))</f>
        <v>-27103485.333333332</v>
      </c>
      <c r="U75" s="119" cm="1">
        <f t="array" ref="U75">SUMPRODUCT(($I69:U69))-SUMPRODUCT(($I69:U69)*($I$6:U$6&lt;=(U$6-$E15)))</f>
        <v>-27103485.333333332</v>
      </c>
      <c r="V75" s="119" cm="1">
        <f t="array" ref="V75">SUMPRODUCT(($I69:V69))-SUMPRODUCT(($I69:V69)*($I$6:V$6&lt;=(V$6-$E15)))</f>
        <v>-27103485.333333332</v>
      </c>
      <c r="W75" s="119" cm="1">
        <f t="array" ref="W75">SUMPRODUCT(($I69:W69))-SUMPRODUCT(($I69:W69)*($I$6:W$6&lt;=(W$6-$E15)))</f>
        <v>-27103485.333333332</v>
      </c>
      <c r="X75" s="119" cm="1">
        <f t="array" ref="X75">SUMPRODUCT(($I69:X69))-SUMPRODUCT(($I69:X69)*($I$6:X$6&lt;=(X$6-$E15)))</f>
        <v>-27103485.333333332</v>
      </c>
      <c r="Y75" s="119" cm="1">
        <f t="array" ref="Y75">SUMPRODUCT(($I69:Y69))-SUMPRODUCT(($I69:Y69)*($I$6:Y$6&lt;=(Y$6-$E15)))</f>
        <v>-27103485.333333332</v>
      </c>
      <c r="Z75" s="119" cm="1">
        <f t="array" ref="Z75">SUMPRODUCT(($I69:Z69))-SUMPRODUCT(($I69:Z69)*($I$6:Z$6&lt;=(Z$6-$E15)))</f>
        <v>-27103485.333333332</v>
      </c>
      <c r="AA75" s="119" cm="1">
        <f t="array" ref="AA75">SUMPRODUCT(($I69:AA69))-SUMPRODUCT(($I69:AA69)*($I$6:AA$6&lt;=(AA$6-$E15)))</f>
        <v>-27103485.333333332</v>
      </c>
      <c r="AB75" s="119" cm="1">
        <f t="array" ref="AB75">SUMPRODUCT(($I69:AB69))-SUMPRODUCT(($I69:AB69)*($I$6:AB$6&lt;=(AB$6-$E15)))</f>
        <v>-27103485.333333332</v>
      </c>
      <c r="AC75" s="119" cm="1">
        <f t="array" ref="AC75">SUMPRODUCT(($I69:AC69))-SUMPRODUCT(($I69:AC69)*($I$6:AC$6&lt;=(AC$6-$E15)))</f>
        <v>-27103485.333333332</v>
      </c>
      <c r="AD75" s="119" cm="1">
        <f t="array" ref="AD75">SUMPRODUCT(($I69:AD69))-SUMPRODUCT(($I69:AD69)*($I$6:AD$6&lt;=(AD$6-$E15)))</f>
        <v>-27103485.333333332</v>
      </c>
      <c r="AE75" s="119" cm="1">
        <f t="array" ref="AE75">SUMPRODUCT(($I69:AE69))-SUMPRODUCT(($I69:AE69)*($I$6:AE$6&lt;=(AE$6-$E15)))</f>
        <v>-27103485.333333332</v>
      </c>
      <c r="AF75" s="119" cm="1">
        <f t="array" ref="AF75">SUMPRODUCT(($I69:AF69))-SUMPRODUCT(($I69:AF69)*($I$6:AF$6&lt;=(AF$6-$E15)))</f>
        <v>-27103485.333333332</v>
      </c>
      <c r="AG75" s="119" cm="1">
        <f t="array" ref="AG75">SUMPRODUCT(($I69:AG69))-SUMPRODUCT(($I69:AG69)*($I$6:AG$6&lt;=(AG$6-$E15)))</f>
        <v>-27103485.333333332</v>
      </c>
    </row>
    <row r="76" spans="1:33" x14ac:dyDescent="0.2">
      <c r="A76" s="8"/>
      <c r="B76" s="8"/>
      <c r="C76" s="4" t="str">
        <f>C16</f>
        <v>PCK Stage 1</v>
      </c>
      <c r="D76" s="38"/>
      <c r="F76" s="97"/>
      <c r="G76" s="214">
        <f>input_dollars</f>
        <v>45291</v>
      </c>
      <c r="H76" s="31"/>
      <c r="I76" s="119" cm="1">
        <f t="array" ref="I76">SUMPRODUCT(($I70:I70))-SUMPRODUCT(($I70:I70)*($I$6:I$6&lt;=(I$6-$E16)))</f>
        <v>0</v>
      </c>
      <c r="J76" s="119" cm="1">
        <f t="array" ref="J76">SUMPRODUCT(($I70:J70))-SUMPRODUCT(($I70:J70)*($I$6:J$6&lt;=(J$6-$E16)))</f>
        <v>-5408395.2999999998</v>
      </c>
      <c r="K76" s="119" cm="1">
        <f t="array" ref="K76">SUMPRODUCT(($I70:K70))-SUMPRODUCT(($I70:K70)*($I$6:K$6&lt;=(K$6-$E16)))</f>
        <v>-29570931.233333334</v>
      </c>
      <c r="L76" s="119" cm="1">
        <f t="array" ref="L76">SUMPRODUCT(($I70:L70))-SUMPRODUCT(($I70:L70)*($I$6:L$6&lt;=(L$6-$E16)))</f>
        <v>-51691490.666666664</v>
      </c>
      <c r="M76" s="119" cm="1">
        <f t="array" ref="M76">SUMPRODUCT(($I70:M70))-SUMPRODUCT(($I70:M70)*($I$6:M$6&lt;=(M$6-$E16)))</f>
        <v>-51691490.666666664</v>
      </c>
      <c r="N76" s="119" cm="1">
        <f t="array" ref="N76">SUMPRODUCT(($I70:N70))-SUMPRODUCT(($I70:N70)*($I$6:N$6&lt;=(N$6-$E16)))</f>
        <v>-51691490.666666664</v>
      </c>
      <c r="O76" s="119" cm="1">
        <f t="array" ref="O76">SUMPRODUCT(($I70:O70))-SUMPRODUCT(($I70:O70)*($I$6:O$6&lt;=(O$6-$E16)))</f>
        <v>-51691490.666666664</v>
      </c>
      <c r="P76" s="119" cm="1">
        <f t="array" ref="P76">SUMPRODUCT(($I70:P70))-SUMPRODUCT(($I70:P70)*($I$6:P$6&lt;=(P$6-$E16)))</f>
        <v>-51691490.666666664</v>
      </c>
      <c r="Q76" s="119" cm="1">
        <f t="array" ref="Q76">SUMPRODUCT(($I70:Q70))-SUMPRODUCT(($I70:Q70)*($I$6:Q$6&lt;=(Q$6-$E16)))</f>
        <v>-51691490.666666664</v>
      </c>
      <c r="R76" s="119" cm="1">
        <f t="array" ref="R76">SUMPRODUCT(($I70:R70))-SUMPRODUCT(($I70:R70)*($I$6:R$6&lt;=(R$6-$E16)))</f>
        <v>-62117471</v>
      </c>
      <c r="S76" s="119" cm="1">
        <f t="array" ref="S76">SUMPRODUCT(($I70:S70))-SUMPRODUCT(($I70:S70)*($I$6:S$6&lt;=(S$6-$E16)))</f>
        <v>-62117471</v>
      </c>
      <c r="T76" s="119" cm="1">
        <f t="array" ref="T76">SUMPRODUCT(($I70:T70))-SUMPRODUCT(($I70:T70)*($I$6:T$6&lt;=(T$6-$E16)))</f>
        <v>-62117471</v>
      </c>
      <c r="U76" s="119" cm="1">
        <f t="array" ref="U76">SUMPRODUCT(($I70:U70))-SUMPRODUCT(($I70:U70)*($I$6:U$6&lt;=(U$6-$E16)))</f>
        <v>-62117471</v>
      </c>
      <c r="V76" s="119" cm="1">
        <f t="array" ref="V76">SUMPRODUCT(($I70:V70))-SUMPRODUCT(($I70:V70)*($I$6:V$6&lt;=(V$6-$E16)))</f>
        <v>-62117471</v>
      </c>
      <c r="W76" s="119" cm="1">
        <f t="array" ref="W76">SUMPRODUCT(($I70:W70))-SUMPRODUCT(($I70:W70)*($I$6:W$6&lt;=(W$6-$E16)))</f>
        <v>-62117471</v>
      </c>
      <c r="X76" s="119" cm="1">
        <f t="array" ref="X76">SUMPRODUCT(($I70:X70))-SUMPRODUCT(($I70:X70)*($I$6:X$6&lt;=(X$6-$E16)))</f>
        <v>-62117471</v>
      </c>
      <c r="Y76" s="119" cm="1">
        <f t="array" ref="Y76">SUMPRODUCT(($I70:Y70))-SUMPRODUCT(($I70:Y70)*($I$6:Y$6&lt;=(Y$6-$E16)))</f>
        <v>-62117471</v>
      </c>
      <c r="Z76" s="119" cm="1">
        <f t="array" ref="Z76">SUMPRODUCT(($I70:Z70))-SUMPRODUCT(($I70:Z70)*($I$6:Z$6&lt;=(Z$6-$E16)))</f>
        <v>-62117471</v>
      </c>
      <c r="AA76" s="119" cm="1">
        <f t="array" ref="AA76">SUMPRODUCT(($I70:AA70))-SUMPRODUCT(($I70:AA70)*($I$6:AA$6&lt;=(AA$6-$E16)))</f>
        <v>-62117471</v>
      </c>
      <c r="AB76" s="119" cm="1">
        <f t="array" ref="AB76">SUMPRODUCT(($I70:AB70))-SUMPRODUCT(($I70:AB70)*($I$6:AB$6&lt;=(AB$6-$E16)))</f>
        <v>-62117471</v>
      </c>
      <c r="AC76" s="119" cm="1">
        <f t="array" ref="AC76">SUMPRODUCT(($I70:AC70))-SUMPRODUCT(($I70:AC70)*($I$6:AC$6&lt;=(AC$6-$E16)))</f>
        <v>-62117471</v>
      </c>
      <c r="AD76" s="119" cm="1">
        <f t="array" ref="AD76">SUMPRODUCT(($I70:AD70))-SUMPRODUCT(($I70:AD70)*($I$6:AD$6&lt;=(AD$6-$E16)))</f>
        <v>-62117471</v>
      </c>
      <c r="AE76" s="119" cm="1">
        <f t="array" ref="AE76">SUMPRODUCT(($I70:AE70))-SUMPRODUCT(($I70:AE70)*($I$6:AE$6&lt;=(AE$6-$E16)))</f>
        <v>-62117471</v>
      </c>
      <c r="AF76" s="119" cm="1">
        <f t="array" ref="AF76">SUMPRODUCT(($I70:AF70))-SUMPRODUCT(($I70:AF70)*($I$6:AF$6&lt;=(AF$6-$E16)))</f>
        <v>-62117471</v>
      </c>
      <c r="AG76" s="119" cm="1">
        <f t="array" ref="AG76">SUMPRODUCT(($I70:AG70))-SUMPRODUCT(($I70:AG70)*($I$6:AG$6&lt;=(AG$6-$E16)))</f>
        <v>-62117471</v>
      </c>
    </row>
    <row r="77" spans="1:33" x14ac:dyDescent="0.2">
      <c r="A77" s="8"/>
      <c r="B77" s="8"/>
      <c r="C77" s="4" t="str">
        <f>C17</f>
        <v>New RBE ZSS</v>
      </c>
      <c r="D77" s="38"/>
      <c r="F77" s="97"/>
      <c r="G77" s="214">
        <f>input_dollars</f>
        <v>45291</v>
      </c>
      <c r="H77" s="31"/>
      <c r="I77" s="119" cm="1">
        <f t="array" ref="I77">SUMPRODUCT(($I71:I71))-SUMPRODUCT(($I71:I71)*($I$6:I$6&lt;=(I$6-$E17)))</f>
        <v>0</v>
      </c>
      <c r="J77" s="119" cm="1">
        <f t="array" ref="J77">SUMPRODUCT(($I71:J71))-SUMPRODUCT(($I71:J71)*($I$6:J$6&lt;=(J$6-$E17)))</f>
        <v>0</v>
      </c>
      <c r="K77" s="119" cm="1">
        <f t="array" ref="K77">SUMPRODUCT(($I71:K71))-SUMPRODUCT(($I71:K71)*($I$6:K$6&lt;=(K$6-$E17)))</f>
        <v>-7681809</v>
      </c>
      <c r="L77" s="119" cm="1">
        <f t="array" ref="L77">SUMPRODUCT(($I71:L71))-SUMPRODUCT(($I71:L71)*($I$6:L$6&lt;=(L$6-$E17)))</f>
        <v>-25245870.240000002</v>
      </c>
      <c r="M77" s="119" cm="1">
        <f t="array" ref="M77">SUMPRODUCT(($I71:M71))-SUMPRODUCT(($I71:M71)*($I$6:M$6&lt;=(M$6-$E17)))</f>
        <v>-38960887.130000003</v>
      </c>
      <c r="N77" s="119" cm="1">
        <f t="array" ref="N77">SUMPRODUCT(($I71:N71))-SUMPRODUCT(($I71:N71)*($I$6:N$6&lt;=(N$6-$E17)))</f>
        <v>-38960887.130000003</v>
      </c>
      <c r="O77" s="119" cm="1">
        <f t="array" ref="O77">SUMPRODUCT(($I71:O71))-SUMPRODUCT(($I71:O71)*($I$6:O$6&lt;=(O$6-$E17)))</f>
        <v>-38960887.130000003</v>
      </c>
      <c r="P77" s="119" cm="1">
        <f t="array" ref="P77">SUMPRODUCT(($I71:P71))-SUMPRODUCT(($I71:P71)*($I$6:P$6&lt;=(P$6-$E17)))</f>
        <v>-38960887.130000003</v>
      </c>
      <c r="Q77" s="119" cm="1">
        <f t="array" ref="Q77">SUMPRODUCT(($I71:Q71))-SUMPRODUCT(($I71:Q71)*($I$6:Q$6&lt;=(Q$6-$E17)))</f>
        <v>-38960887.130000003</v>
      </c>
      <c r="R77" s="119" cm="1">
        <f t="array" ref="R77">SUMPRODUCT(($I71:R71))-SUMPRODUCT(($I71:R71)*($I$6:R$6&lt;=(R$6-$E17)))</f>
        <v>-38960887.130000003</v>
      </c>
      <c r="S77" s="119" cm="1">
        <f t="array" ref="S77">SUMPRODUCT(($I71:S71))-SUMPRODUCT(($I71:S71)*($I$6:S$6&lt;=(S$6-$E17)))</f>
        <v>-38960887.130000003</v>
      </c>
      <c r="T77" s="119" cm="1">
        <f t="array" ref="T77">SUMPRODUCT(($I71:T71))-SUMPRODUCT(($I71:T71)*($I$6:T$6&lt;=(T$6-$E17)))</f>
        <v>-38960887.130000003</v>
      </c>
      <c r="U77" s="119" cm="1">
        <f t="array" ref="U77">SUMPRODUCT(($I71:U71))-SUMPRODUCT(($I71:U71)*($I$6:U$6&lt;=(U$6-$E17)))</f>
        <v>-38960887.130000003</v>
      </c>
      <c r="V77" s="119" cm="1">
        <f t="array" ref="V77">SUMPRODUCT(($I71:V71))-SUMPRODUCT(($I71:V71)*($I$6:V$6&lt;=(V$6-$E17)))</f>
        <v>-38960887.130000003</v>
      </c>
      <c r="W77" s="119" cm="1">
        <f t="array" ref="W77">SUMPRODUCT(($I71:W71))-SUMPRODUCT(($I71:W71)*($I$6:W$6&lt;=(W$6-$E17)))</f>
        <v>-38960887.130000003</v>
      </c>
      <c r="X77" s="119" cm="1">
        <f t="array" ref="X77">SUMPRODUCT(($I71:X71))-SUMPRODUCT(($I71:X71)*($I$6:X$6&lt;=(X$6-$E17)))</f>
        <v>-38960887.130000003</v>
      </c>
      <c r="Y77" s="119" cm="1">
        <f t="array" ref="Y77">SUMPRODUCT(($I71:Y71))-SUMPRODUCT(($I71:Y71)*($I$6:Y$6&lt;=(Y$6-$E17)))</f>
        <v>-38960887.130000003</v>
      </c>
      <c r="Z77" s="119" cm="1">
        <f t="array" ref="Z77">SUMPRODUCT(($I71:Z71))-SUMPRODUCT(($I71:Z71)*($I$6:Z$6&lt;=(Z$6-$E17)))</f>
        <v>-38960887.130000003</v>
      </c>
      <c r="AA77" s="119" cm="1">
        <f t="array" ref="AA77">SUMPRODUCT(($I71:AA71))-SUMPRODUCT(($I71:AA71)*($I$6:AA$6&lt;=(AA$6-$E17)))</f>
        <v>-38960887.130000003</v>
      </c>
      <c r="AB77" s="119" cm="1">
        <f t="array" ref="AB77">SUMPRODUCT(($I71:AB71))-SUMPRODUCT(($I71:AB71)*($I$6:AB$6&lt;=(AB$6-$E17)))</f>
        <v>-38960887.130000003</v>
      </c>
      <c r="AC77" s="119" cm="1">
        <f t="array" ref="AC77">SUMPRODUCT(($I71:AC71))-SUMPRODUCT(($I71:AC71)*($I$6:AC$6&lt;=(AC$6-$E17)))</f>
        <v>-38960887.130000003</v>
      </c>
      <c r="AD77" s="119" cm="1">
        <f t="array" ref="AD77">SUMPRODUCT(($I71:AD71))-SUMPRODUCT(($I71:AD71)*($I$6:AD$6&lt;=(AD$6-$E17)))</f>
        <v>-38960887.130000003</v>
      </c>
      <c r="AE77" s="119" cm="1">
        <f t="array" ref="AE77">SUMPRODUCT(($I71:AE71))-SUMPRODUCT(($I71:AE71)*($I$6:AE$6&lt;=(AE$6-$E17)))</f>
        <v>-38960887.130000003</v>
      </c>
      <c r="AF77" s="119" cm="1">
        <f t="array" ref="AF77">SUMPRODUCT(($I71:AF71))-SUMPRODUCT(($I71:AF71)*($I$6:AF$6&lt;=(AF$6-$E17)))</f>
        <v>-38960887.130000003</v>
      </c>
      <c r="AG77" s="119" cm="1">
        <f t="array" ref="AG77">SUMPRODUCT(($I71:AG71))-SUMPRODUCT(($I71:AG71)*($I$6:AG$6&lt;=(AG$6-$E17)))</f>
        <v>-38960887.130000003</v>
      </c>
    </row>
    <row r="78" spans="1:33" x14ac:dyDescent="0.2">
      <c r="A78" s="8"/>
      <c r="B78" s="8"/>
      <c r="C78" s="4"/>
      <c r="D78" s="38"/>
      <c r="F78" s="97"/>
      <c r="G78" s="218"/>
      <c r="H78" s="31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</row>
    <row r="79" spans="1:33" x14ac:dyDescent="0.2">
      <c r="A79" s="8"/>
      <c r="B79" s="8"/>
      <c r="C79" s="150" t="s">
        <v>91</v>
      </c>
      <c r="D79" s="38"/>
      <c r="F79" s="97"/>
      <c r="G79" s="217"/>
      <c r="H79" s="31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</row>
    <row r="80" spans="1:33" x14ac:dyDescent="0.2">
      <c r="A80" s="8"/>
      <c r="B80" s="8"/>
      <c r="C80" s="4" t="str">
        <f>$C$79&amp;" - "&amp;C14</f>
        <v>Annualised capex - MTC 3rd Tx</v>
      </c>
      <c r="D80" s="38"/>
      <c r="F80" s="97"/>
      <c r="G80" s="214">
        <f>input_dollars</f>
        <v>45291</v>
      </c>
      <c r="H80" s="31"/>
      <c r="I80" s="119">
        <f t="shared" ref="I80:AG80" si="6">IF($E14=0,0,-PMT(real_disc, $E14,H74,))</f>
        <v>0</v>
      </c>
      <c r="J80" s="119">
        <f t="shared" si="6"/>
        <v>-609306.01269304589</v>
      </c>
      <c r="K80" s="119">
        <f t="shared" si="6"/>
        <v>-609306.01269304589</v>
      </c>
      <c r="L80" s="119">
        <f t="shared" si="6"/>
        <v>-609306.01269304589</v>
      </c>
      <c r="M80" s="119">
        <f t="shared" si="6"/>
        <v>-609306.01269304589</v>
      </c>
      <c r="N80" s="119">
        <f t="shared" si="6"/>
        <v>-609306.01269304589</v>
      </c>
      <c r="O80" s="119">
        <f t="shared" si="6"/>
        <v>-609306.01269304589</v>
      </c>
      <c r="P80" s="119">
        <f t="shared" si="6"/>
        <v>-609306.01269304589</v>
      </c>
      <c r="Q80" s="119">
        <f t="shared" si="6"/>
        <v>-609306.01269304589</v>
      </c>
      <c r="R80" s="119">
        <f t="shared" si="6"/>
        <v>-609306.01269304589</v>
      </c>
      <c r="S80" s="119">
        <f t="shared" si="6"/>
        <v>-609306.01269304589</v>
      </c>
      <c r="T80" s="119">
        <f t="shared" si="6"/>
        <v>-609306.01269304589</v>
      </c>
      <c r="U80" s="119">
        <f t="shared" si="6"/>
        <v>-609306.01269304589</v>
      </c>
      <c r="V80" s="119">
        <f t="shared" si="6"/>
        <v>-609306.01269304589</v>
      </c>
      <c r="W80" s="119">
        <f t="shared" si="6"/>
        <v>-609306.01269304589</v>
      </c>
      <c r="X80" s="119">
        <f t="shared" si="6"/>
        <v>-609306.01269304589</v>
      </c>
      <c r="Y80" s="119">
        <f t="shared" si="6"/>
        <v>-609306.01269304589</v>
      </c>
      <c r="Z80" s="119">
        <f t="shared" si="6"/>
        <v>-609306.01269304589</v>
      </c>
      <c r="AA80" s="119">
        <f t="shared" si="6"/>
        <v>-609306.01269304589</v>
      </c>
      <c r="AB80" s="119">
        <f t="shared" si="6"/>
        <v>-609306.01269304589</v>
      </c>
      <c r="AC80" s="119">
        <f t="shared" si="6"/>
        <v>-609306.01269304589</v>
      </c>
      <c r="AD80" s="119">
        <f t="shared" si="6"/>
        <v>-609306.01269304589</v>
      </c>
      <c r="AE80" s="119">
        <f t="shared" si="6"/>
        <v>-609306.01269304589</v>
      </c>
      <c r="AF80" s="119">
        <f t="shared" si="6"/>
        <v>-609306.01269304589</v>
      </c>
      <c r="AG80" s="119">
        <f t="shared" si="6"/>
        <v>-609306.01269304589</v>
      </c>
    </row>
    <row r="81" spans="1:33" x14ac:dyDescent="0.2">
      <c r="A81" s="8"/>
      <c r="B81" s="8"/>
      <c r="C81" s="4" t="str">
        <f>$C$79&amp;" - "&amp;C15</f>
        <v>Annualised capex - BMH Rebuild</v>
      </c>
      <c r="D81" s="38"/>
      <c r="F81" s="97"/>
      <c r="G81" s="214">
        <f>input_dollars</f>
        <v>45291</v>
      </c>
      <c r="H81" s="31"/>
      <c r="I81" s="119">
        <f t="shared" ref="I81:I83" si="7">IF($E15=0,0,-PMT(real_disc, $E15,H75,))</f>
        <v>0</v>
      </c>
      <c r="J81" s="119">
        <f t="shared" ref="J81:J83" si="8">IF($E15=0,0,-PMT(real_disc, $E15,I75,))</f>
        <v>-577761.0609712631</v>
      </c>
      <c r="K81" s="119">
        <f t="shared" ref="K81:K83" si="9">IF($E15=0,0,-PMT(real_disc, $E15,J75,))</f>
        <v>-1155522.1219425262</v>
      </c>
      <c r="L81" s="119">
        <f t="shared" ref="L81:L83" si="10">IF($E15=0,0,-PMT(real_disc, $E15,K75,))</f>
        <v>-1155522.1219425262</v>
      </c>
      <c r="M81" s="119">
        <f t="shared" ref="M81:M83" si="11">IF($E15=0,0,-PMT(real_disc, $E15,L75,))</f>
        <v>-1155522.1219425262</v>
      </c>
      <c r="N81" s="119">
        <f t="shared" ref="N81:N83" si="12">IF($E15=0,0,-PMT(real_disc, $E15,M75,))</f>
        <v>-1155522.1219425262</v>
      </c>
      <c r="O81" s="119">
        <f t="shared" ref="O81:O83" si="13">IF($E15=0,0,-PMT(real_disc, $E15,N75,))</f>
        <v>-1155522.1219425262</v>
      </c>
      <c r="P81" s="119">
        <f t="shared" ref="P81:P83" si="14">IF($E15=0,0,-PMT(real_disc, $E15,O75,))</f>
        <v>-1155522.1219425262</v>
      </c>
      <c r="Q81" s="119">
        <f t="shared" ref="Q81:Q83" si="15">IF($E15=0,0,-PMT(real_disc, $E15,P75,))</f>
        <v>-1155522.1219425262</v>
      </c>
      <c r="R81" s="119">
        <f t="shared" ref="R81:R83" si="16">IF($E15=0,0,-PMT(real_disc, $E15,Q75,))</f>
        <v>-1155522.1219425262</v>
      </c>
      <c r="S81" s="119">
        <f t="shared" ref="S81:S83" si="17">IF($E15=0,0,-PMT(real_disc, $E15,R75,))</f>
        <v>-1155522.1219425262</v>
      </c>
      <c r="T81" s="119">
        <f t="shared" ref="T81:T83" si="18">IF($E15=0,0,-PMT(real_disc, $E15,S75,))</f>
        <v>-1155522.1219425262</v>
      </c>
      <c r="U81" s="119">
        <f t="shared" ref="U81:U83" si="19">IF($E15=0,0,-PMT(real_disc, $E15,T75,))</f>
        <v>-1155522.1219425262</v>
      </c>
      <c r="V81" s="119">
        <f t="shared" ref="V81:V83" si="20">IF($E15=0,0,-PMT(real_disc, $E15,U75,))</f>
        <v>-1155522.1219425262</v>
      </c>
      <c r="W81" s="119">
        <f t="shared" ref="W81:W83" si="21">IF($E15=0,0,-PMT(real_disc, $E15,V75,))</f>
        <v>-1155522.1219425262</v>
      </c>
      <c r="X81" s="119">
        <f t="shared" ref="X81:X83" si="22">IF($E15=0,0,-PMT(real_disc, $E15,W75,))</f>
        <v>-1155522.1219425262</v>
      </c>
      <c r="Y81" s="119">
        <f t="shared" ref="Y81:Y83" si="23">IF($E15=0,0,-PMT(real_disc, $E15,X75,))</f>
        <v>-1155522.1219425262</v>
      </c>
      <c r="Z81" s="119">
        <f t="shared" ref="Z81:Z83" si="24">IF($E15=0,0,-PMT(real_disc, $E15,Y75,))</f>
        <v>-1155522.1219425262</v>
      </c>
      <c r="AA81" s="119">
        <f t="shared" ref="AA81:AA83" si="25">IF($E15=0,0,-PMT(real_disc, $E15,Z75,))</f>
        <v>-1155522.1219425262</v>
      </c>
      <c r="AB81" s="119">
        <f t="shared" ref="AB81:AB83" si="26">IF($E15=0,0,-PMT(real_disc, $E15,AA75,))</f>
        <v>-1155522.1219425262</v>
      </c>
      <c r="AC81" s="119">
        <f t="shared" ref="AC81:AC83" si="27">IF($E15=0,0,-PMT(real_disc, $E15,AB75,))</f>
        <v>-1155522.1219425262</v>
      </c>
      <c r="AD81" s="119">
        <f t="shared" ref="AD81:AD83" si="28">IF($E15=0,0,-PMT(real_disc, $E15,AC75,))</f>
        <v>-1155522.1219425262</v>
      </c>
      <c r="AE81" s="119">
        <f t="shared" ref="AE81:AE83" si="29">IF($E15=0,0,-PMT(real_disc, $E15,AD75,))</f>
        <v>-1155522.1219425262</v>
      </c>
      <c r="AF81" s="119">
        <f t="shared" ref="AF81:AF83" si="30">IF($E15=0,0,-PMT(real_disc, $E15,AE75,))</f>
        <v>-1155522.1219425262</v>
      </c>
      <c r="AG81" s="119">
        <f t="shared" ref="AG81:AG83" si="31">IF($E15=0,0,-PMT(real_disc, $E15,AF75,))</f>
        <v>-1155522.1219425262</v>
      </c>
    </row>
    <row r="82" spans="1:33" x14ac:dyDescent="0.2">
      <c r="A82" s="8"/>
      <c r="B82" s="8"/>
      <c r="C82" s="4" t="str">
        <f>$C$79&amp;" - "&amp;C16</f>
        <v>Annualised capex - PCK Stage 1</v>
      </c>
      <c r="D82" s="38"/>
      <c r="F82" s="97"/>
      <c r="G82" s="214">
        <f>input_dollars</f>
        <v>45291</v>
      </c>
      <c r="H82" s="31"/>
      <c r="I82" s="119">
        <f t="shared" si="7"/>
        <v>0</v>
      </c>
      <c r="J82" s="119">
        <f t="shared" si="8"/>
        <v>0</v>
      </c>
      <c r="K82" s="119">
        <f t="shared" si="9"/>
        <v>-230579.95444128313</v>
      </c>
      <c r="L82" s="119">
        <f t="shared" si="10"/>
        <v>-1260718.4938142959</v>
      </c>
      <c r="M82" s="119">
        <f t="shared" si="11"/>
        <v>-2203800.0001445925</v>
      </c>
      <c r="N82" s="119">
        <f t="shared" si="12"/>
        <v>-2203800.0001445925</v>
      </c>
      <c r="O82" s="119">
        <f t="shared" si="13"/>
        <v>-2203800.0001445925</v>
      </c>
      <c r="P82" s="119">
        <f t="shared" si="14"/>
        <v>-2203800.0001445925</v>
      </c>
      <c r="Q82" s="119">
        <f t="shared" si="15"/>
        <v>-2203800.0001445925</v>
      </c>
      <c r="R82" s="119">
        <f t="shared" si="16"/>
        <v>-2203800.0001445925</v>
      </c>
      <c r="S82" s="119">
        <f t="shared" si="17"/>
        <v>-2648298.2176224669</v>
      </c>
      <c r="T82" s="119">
        <f t="shared" si="18"/>
        <v>-2648298.2176224669</v>
      </c>
      <c r="U82" s="119">
        <f t="shared" si="19"/>
        <v>-2648298.2176224669</v>
      </c>
      <c r="V82" s="119">
        <f t="shared" si="20"/>
        <v>-2648298.2176224669</v>
      </c>
      <c r="W82" s="119">
        <f t="shared" si="21"/>
        <v>-2648298.2176224669</v>
      </c>
      <c r="X82" s="119">
        <f t="shared" si="22"/>
        <v>-2648298.2176224669</v>
      </c>
      <c r="Y82" s="119">
        <f t="shared" si="23"/>
        <v>-2648298.2176224669</v>
      </c>
      <c r="Z82" s="119">
        <f t="shared" si="24"/>
        <v>-2648298.2176224669</v>
      </c>
      <c r="AA82" s="119">
        <f t="shared" si="25"/>
        <v>-2648298.2176224669</v>
      </c>
      <c r="AB82" s="119">
        <f t="shared" si="26"/>
        <v>-2648298.2176224669</v>
      </c>
      <c r="AC82" s="119">
        <f t="shared" si="27"/>
        <v>-2648298.2176224669</v>
      </c>
      <c r="AD82" s="119">
        <f t="shared" si="28"/>
        <v>-2648298.2176224669</v>
      </c>
      <c r="AE82" s="119">
        <f t="shared" si="29"/>
        <v>-2648298.2176224669</v>
      </c>
      <c r="AF82" s="119">
        <f t="shared" si="30"/>
        <v>-2648298.2176224669</v>
      </c>
      <c r="AG82" s="119">
        <f t="shared" si="31"/>
        <v>-2648298.2176224669</v>
      </c>
    </row>
    <row r="83" spans="1:33" x14ac:dyDescent="0.2">
      <c r="A83" s="8"/>
      <c r="B83" s="8"/>
      <c r="C83" s="4" t="str">
        <f>$C$79&amp;" - "&amp;C17</f>
        <v>Annualised capex - New RBE ZSS</v>
      </c>
      <c r="D83" s="38"/>
      <c r="F83" s="97"/>
      <c r="G83" s="214">
        <f>input_dollars</f>
        <v>45291</v>
      </c>
      <c r="H83" s="31"/>
      <c r="I83" s="119">
        <f t="shared" si="7"/>
        <v>0</v>
      </c>
      <c r="J83" s="119">
        <f t="shared" si="8"/>
        <v>0</v>
      </c>
      <c r="K83" s="119">
        <f t="shared" si="9"/>
        <v>0</v>
      </c>
      <c r="L83" s="119">
        <f t="shared" si="10"/>
        <v>-327504.01385169436</v>
      </c>
      <c r="M83" s="119">
        <f t="shared" si="11"/>
        <v>-1076325.0995669169</v>
      </c>
      <c r="N83" s="119">
        <f t="shared" si="12"/>
        <v>-1661047.1463554774</v>
      </c>
      <c r="O83" s="119">
        <f t="shared" si="13"/>
        <v>-1661047.1463554774</v>
      </c>
      <c r="P83" s="119">
        <f t="shared" si="14"/>
        <v>-1661047.1463554774</v>
      </c>
      <c r="Q83" s="119">
        <f t="shared" si="15"/>
        <v>-1661047.1463554774</v>
      </c>
      <c r="R83" s="119">
        <f t="shared" si="16"/>
        <v>-1661047.1463554774</v>
      </c>
      <c r="S83" s="119">
        <f t="shared" si="17"/>
        <v>-1661047.1463554774</v>
      </c>
      <c r="T83" s="119">
        <f t="shared" si="18"/>
        <v>-1661047.1463554774</v>
      </c>
      <c r="U83" s="119">
        <f t="shared" si="19"/>
        <v>-1661047.1463554774</v>
      </c>
      <c r="V83" s="119">
        <f t="shared" si="20"/>
        <v>-1661047.1463554774</v>
      </c>
      <c r="W83" s="119">
        <f t="shared" si="21"/>
        <v>-1661047.1463554774</v>
      </c>
      <c r="X83" s="119">
        <f t="shared" si="22"/>
        <v>-1661047.1463554774</v>
      </c>
      <c r="Y83" s="119">
        <f t="shared" si="23"/>
        <v>-1661047.1463554774</v>
      </c>
      <c r="Z83" s="119">
        <f t="shared" si="24"/>
        <v>-1661047.1463554774</v>
      </c>
      <c r="AA83" s="119">
        <f t="shared" si="25"/>
        <v>-1661047.1463554774</v>
      </c>
      <c r="AB83" s="119">
        <f t="shared" si="26"/>
        <v>-1661047.1463554774</v>
      </c>
      <c r="AC83" s="119">
        <f t="shared" si="27"/>
        <v>-1661047.1463554774</v>
      </c>
      <c r="AD83" s="119">
        <f t="shared" si="28"/>
        <v>-1661047.1463554774</v>
      </c>
      <c r="AE83" s="119">
        <f t="shared" si="29"/>
        <v>-1661047.1463554774</v>
      </c>
      <c r="AF83" s="119">
        <f t="shared" si="30"/>
        <v>-1661047.1463554774</v>
      </c>
      <c r="AG83" s="119">
        <f t="shared" si="31"/>
        <v>-1661047.1463554774</v>
      </c>
    </row>
    <row r="84" spans="1:33" x14ac:dyDescent="0.2">
      <c r="A84" s="8"/>
      <c r="B84" s="8"/>
      <c r="C84" s="176" t="s">
        <v>157</v>
      </c>
      <c r="D84" s="176"/>
      <c r="E84" s="177"/>
      <c r="F84" s="178"/>
      <c r="G84" s="219">
        <f>input_dollars</f>
        <v>45291</v>
      </c>
      <c r="H84" s="179"/>
      <c r="I84" s="180">
        <f>SUM(I80:I83)</f>
        <v>0</v>
      </c>
      <c r="J84" s="180">
        <f t="shared" ref="J84:AB84" si="32">SUM(J80:J83)</f>
        <v>-1187067.073664309</v>
      </c>
      <c r="K84" s="180">
        <f t="shared" si="32"/>
        <v>-1995408.0890768552</v>
      </c>
      <c r="L84" s="180">
        <f t="shared" si="32"/>
        <v>-3353050.6423015622</v>
      </c>
      <c r="M84" s="180">
        <f t="shared" si="32"/>
        <v>-5044953.2343470817</v>
      </c>
      <c r="N84" s="180">
        <f t="shared" si="32"/>
        <v>-5629675.281135642</v>
      </c>
      <c r="O84" s="180">
        <f t="shared" si="32"/>
        <v>-5629675.281135642</v>
      </c>
      <c r="P84" s="180">
        <f t="shared" si="32"/>
        <v>-5629675.281135642</v>
      </c>
      <c r="Q84" s="180">
        <f t="shared" si="32"/>
        <v>-5629675.281135642</v>
      </c>
      <c r="R84" s="180">
        <f t="shared" si="32"/>
        <v>-5629675.281135642</v>
      </c>
      <c r="S84" s="180">
        <f t="shared" si="32"/>
        <v>-6074173.4986135159</v>
      </c>
      <c r="T84" s="180">
        <f t="shared" si="32"/>
        <v>-6074173.4986135159</v>
      </c>
      <c r="U84" s="180">
        <f t="shared" si="32"/>
        <v>-6074173.4986135159</v>
      </c>
      <c r="V84" s="180">
        <f t="shared" si="32"/>
        <v>-6074173.4986135159</v>
      </c>
      <c r="W84" s="180">
        <f t="shared" si="32"/>
        <v>-6074173.4986135159</v>
      </c>
      <c r="X84" s="180">
        <f t="shared" si="32"/>
        <v>-6074173.4986135159</v>
      </c>
      <c r="Y84" s="180">
        <f t="shared" si="32"/>
        <v>-6074173.4986135159</v>
      </c>
      <c r="Z84" s="180">
        <f t="shared" si="32"/>
        <v>-6074173.4986135159</v>
      </c>
      <c r="AA84" s="180">
        <f t="shared" si="32"/>
        <v>-6074173.4986135159</v>
      </c>
      <c r="AB84" s="180">
        <f t="shared" si="32"/>
        <v>-6074173.4986135159</v>
      </c>
      <c r="AC84" s="180">
        <f>SUM(AC80:AC83)</f>
        <v>-6074173.4986135159</v>
      </c>
      <c r="AD84" s="180">
        <f>SUM(AD80:AD83)</f>
        <v>-6074173.4986135159</v>
      </c>
      <c r="AE84" s="180">
        <f>SUM(AE80:AE83)</f>
        <v>-6074173.4986135159</v>
      </c>
      <c r="AF84" s="180">
        <f>SUM(AF80:AF83)</f>
        <v>-6074173.4986135159</v>
      </c>
      <c r="AG84" s="180">
        <f>SUM(AG80:AG83)</f>
        <v>-6074173.4986135159</v>
      </c>
    </row>
    <row r="85" spans="1:33" x14ac:dyDescent="0.2">
      <c r="A85" s="8"/>
      <c r="B85" s="8"/>
      <c r="C85" s="75"/>
      <c r="D85" s="38"/>
      <c r="F85"/>
      <c r="G85" s="220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">
      <c r="A86" s="8"/>
      <c r="B86" s="8"/>
      <c r="C86" s="4" t="s">
        <v>91</v>
      </c>
      <c r="D86" s="38"/>
      <c r="F86" s="97"/>
      <c r="G86" s="214">
        <f t="shared" ref="G86:G91" si="33">input_dollars</f>
        <v>45291</v>
      </c>
      <c r="H86" s="31"/>
      <c r="I86" s="119">
        <f>I84</f>
        <v>0</v>
      </c>
      <c r="J86" s="119">
        <f t="shared" ref="J86:AB86" si="34">J84</f>
        <v>-1187067.073664309</v>
      </c>
      <c r="K86" s="119">
        <f t="shared" si="34"/>
        <v>-1995408.0890768552</v>
      </c>
      <c r="L86" s="119">
        <f t="shared" si="34"/>
        <v>-3353050.6423015622</v>
      </c>
      <c r="M86" s="119">
        <f t="shared" si="34"/>
        <v>-5044953.2343470817</v>
      </c>
      <c r="N86" s="119">
        <f t="shared" si="34"/>
        <v>-5629675.281135642</v>
      </c>
      <c r="O86" s="119">
        <f t="shared" si="34"/>
        <v>-5629675.281135642</v>
      </c>
      <c r="P86" s="119">
        <f t="shared" si="34"/>
        <v>-5629675.281135642</v>
      </c>
      <c r="Q86" s="119">
        <f t="shared" si="34"/>
        <v>-5629675.281135642</v>
      </c>
      <c r="R86" s="119">
        <f t="shared" si="34"/>
        <v>-5629675.281135642</v>
      </c>
      <c r="S86" s="119">
        <f t="shared" si="34"/>
        <v>-6074173.4986135159</v>
      </c>
      <c r="T86" s="119">
        <f t="shared" si="34"/>
        <v>-6074173.4986135159</v>
      </c>
      <c r="U86" s="119">
        <f t="shared" si="34"/>
        <v>-6074173.4986135159</v>
      </c>
      <c r="V86" s="119">
        <f t="shared" si="34"/>
        <v>-6074173.4986135159</v>
      </c>
      <c r="W86" s="119">
        <f t="shared" si="34"/>
        <v>-6074173.4986135159</v>
      </c>
      <c r="X86" s="119">
        <f t="shared" si="34"/>
        <v>-6074173.4986135159</v>
      </c>
      <c r="Y86" s="119">
        <f t="shared" si="34"/>
        <v>-6074173.4986135159</v>
      </c>
      <c r="Z86" s="119">
        <f t="shared" si="34"/>
        <v>-6074173.4986135159</v>
      </c>
      <c r="AA86" s="119">
        <f t="shared" si="34"/>
        <v>-6074173.4986135159</v>
      </c>
      <c r="AB86" s="119">
        <f t="shared" si="34"/>
        <v>-6074173.4986135159</v>
      </c>
      <c r="AC86" s="119">
        <f>AC84</f>
        <v>-6074173.4986135159</v>
      </c>
      <c r="AD86" s="119">
        <f>AD84</f>
        <v>-6074173.4986135159</v>
      </c>
      <c r="AE86" s="119">
        <f>AE84</f>
        <v>-6074173.4986135159</v>
      </c>
      <c r="AF86" s="119">
        <f>AF84</f>
        <v>-6074173.4986135159</v>
      </c>
      <c r="AG86" s="119">
        <f>AG84</f>
        <v>-6074173.4986135159</v>
      </c>
    </row>
    <row r="87" spans="1:33" x14ac:dyDescent="0.2">
      <c r="A87" s="8"/>
      <c r="B87" s="8"/>
      <c r="C87" s="4" t="s">
        <v>31</v>
      </c>
      <c r="D87" s="38"/>
      <c r="F87" s="97"/>
      <c r="G87" s="214">
        <f t="shared" si="33"/>
        <v>45291</v>
      </c>
      <c r="H87" s="31"/>
      <c r="I87" s="31">
        <f t="shared" ref="I87:AG87" si="35">-I20</f>
        <v>0</v>
      </c>
      <c r="J87" s="31">
        <f t="shared" si="35"/>
        <v>0</v>
      </c>
      <c r="K87" s="31">
        <f t="shared" si="35"/>
        <v>0</v>
      </c>
      <c r="L87" s="31">
        <f t="shared" si="35"/>
        <v>0</v>
      </c>
      <c r="M87" s="31">
        <f t="shared" si="35"/>
        <v>0</v>
      </c>
      <c r="N87" s="31">
        <f t="shared" si="35"/>
        <v>0</v>
      </c>
      <c r="O87" s="31">
        <f t="shared" si="35"/>
        <v>0</v>
      </c>
      <c r="P87" s="31">
        <f t="shared" si="35"/>
        <v>0</v>
      </c>
      <c r="Q87" s="31">
        <f t="shared" si="35"/>
        <v>0</v>
      </c>
      <c r="R87" s="31">
        <f t="shared" si="35"/>
        <v>0</v>
      </c>
      <c r="S87" s="31">
        <f t="shared" si="35"/>
        <v>0</v>
      </c>
      <c r="T87" s="31">
        <f t="shared" si="35"/>
        <v>0</v>
      </c>
      <c r="U87" s="31">
        <f t="shared" si="35"/>
        <v>0</v>
      </c>
      <c r="V87" s="31">
        <f t="shared" si="35"/>
        <v>0</v>
      </c>
      <c r="W87" s="31">
        <f t="shared" si="35"/>
        <v>0</v>
      </c>
      <c r="X87" s="31">
        <f t="shared" si="35"/>
        <v>0</v>
      </c>
      <c r="Y87" s="31">
        <f t="shared" si="35"/>
        <v>0</v>
      </c>
      <c r="Z87" s="31">
        <f t="shared" si="35"/>
        <v>0</v>
      </c>
      <c r="AA87" s="31">
        <f t="shared" si="35"/>
        <v>0</v>
      </c>
      <c r="AB87" s="31">
        <f t="shared" si="35"/>
        <v>0</v>
      </c>
      <c r="AC87" s="31">
        <f t="shared" si="35"/>
        <v>0</v>
      </c>
      <c r="AD87" s="31">
        <f t="shared" si="35"/>
        <v>0</v>
      </c>
      <c r="AE87" s="31">
        <f t="shared" si="35"/>
        <v>0</v>
      </c>
      <c r="AF87" s="31">
        <f t="shared" si="35"/>
        <v>0</v>
      </c>
      <c r="AG87" s="31">
        <f t="shared" si="35"/>
        <v>0</v>
      </c>
    </row>
    <row r="88" spans="1:33" x14ac:dyDescent="0.2">
      <c r="A88" s="8"/>
      <c r="B88" s="8"/>
      <c r="C88" s="4" t="s">
        <v>140</v>
      </c>
      <c r="D88" s="38"/>
      <c r="F88" s="97"/>
      <c r="G88" s="214">
        <f t="shared" si="33"/>
        <v>45291</v>
      </c>
      <c r="H88" s="31"/>
      <c r="I88" s="31">
        <f>I65</f>
        <v>0</v>
      </c>
      <c r="J88" s="31">
        <f t="shared" ref="J88:AB88" si="36">J65</f>
        <v>8068676.0734504526</v>
      </c>
      <c r="K88" s="31">
        <f t="shared" si="36"/>
        <v>11215435.558639154</v>
      </c>
      <c r="L88" s="31">
        <f t="shared" si="36"/>
        <v>13836632.61564583</v>
      </c>
      <c r="M88" s="31">
        <f t="shared" si="36"/>
        <v>18059208.706013609</v>
      </c>
      <c r="N88" s="31">
        <f t="shared" si="36"/>
        <v>25684871.628164936</v>
      </c>
      <c r="O88" s="31">
        <f t="shared" si="36"/>
        <v>36977480.987616636</v>
      </c>
      <c r="P88" s="31">
        <f t="shared" si="36"/>
        <v>49093616.979553558</v>
      </c>
      <c r="Q88" s="31">
        <f t="shared" si="36"/>
        <v>61348215.345188953</v>
      </c>
      <c r="R88" s="31">
        <f t="shared" si="36"/>
        <v>61348215.345188953</v>
      </c>
      <c r="S88" s="31">
        <f t="shared" si="36"/>
        <v>61348215.345188953</v>
      </c>
      <c r="T88" s="31">
        <f t="shared" si="36"/>
        <v>61348215.345188953</v>
      </c>
      <c r="U88" s="31">
        <f t="shared" si="36"/>
        <v>61348215.345188953</v>
      </c>
      <c r="V88" s="31">
        <f t="shared" si="36"/>
        <v>61348215.345188953</v>
      </c>
      <c r="W88" s="31">
        <f t="shared" si="36"/>
        <v>61348215.345188953</v>
      </c>
      <c r="X88" s="31">
        <f t="shared" si="36"/>
        <v>61348215.345188953</v>
      </c>
      <c r="Y88" s="31">
        <f t="shared" si="36"/>
        <v>61348215.345188953</v>
      </c>
      <c r="Z88" s="31">
        <f t="shared" si="36"/>
        <v>61348215.345188953</v>
      </c>
      <c r="AA88" s="31">
        <f t="shared" si="36"/>
        <v>61348215.345188953</v>
      </c>
      <c r="AB88" s="31">
        <f t="shared" si="36"/>
        <v>61348215.345188953</v>
      </c>
      <c r="AC88" s="31">
        <f>AC65</f>
        <v>61348215.345188953</v>
      </c>
      <c r="AD88" s="31">
        <f>AD65</f>
        <v>61348215.345188953</v>
      </c>
      <c r="AE88" s="31">
        <f>AE65</f>
        <v>61348215.345188953</v>
      </c>
      <c r="AF88" s="31">
        <f>AF65</f>
        <v>61348215.345188953</v>
      </c>
      <c r="AG88" s="31">
        <f>AG65</f>
        <v>61348215.345188953</v>
      </c>
    </row>
    <row r="89" spans="1:33" x14ac:dyDescent="0.2">
      <c r="A89" s="8"/>
      <c r="B89" s="8"/>
      <c r="C89" s="4" t="s">
        <v>122</v>
      </c>
      <c r="D89" s="38"/>
      <c r="F89" s="97"/>
      <c r="G89" s="214">
        <f t="shared" si="33"/>
        <v>45291</v>
      </c>
      <c r="H89" s="31"/>
      <c r="I89" s="31">
        <f t="shared" ref="I89:AG89" si="37">I58</f>
        <v>0</v>
      </c>
      <c r="J89" s="31">
        <f t="shared" si="37"/>
        <v>0</v>
      </c>
      <c r="K89" s="31">
        <f t="shared" si="37"/>
        <v>0</v>
      </c>
      <c r="L89" s="31">
        <f t="shared" si="37"/>
        <v>0</v>
      </c>
      <c r="M89" s="31">
        <f t="shared" si="37"/>
        <v>0</v>
      </c>
      <c r="N89" s="31">
        <f t="shared" si="37"/>
        <v>0</v>
      </c>
      <c r="O89" s="31">
        <f t="shared" si="37"/>
        <v>0</v>
      </c>
      <c r="P89" s="31">
        <f t="shared" si="37"/>
        <v>0</v>
      </c>
      <c r="Q89" s="31">
        <f t="shared" si="37"/>
        <v>0</v>
      </c>
      <c r="R89" s="31">
        <f t="shared" si="37"/>
        <v>0</v>
      </c>
      <c r="S89" s="31">
        <f t="shared" si="37"/>
        <v>0</v>
      </c>
      <c r="T89" s="31">
        <f t="shared" si="37"/>
        <v>0</v>
      </c>
      <c r="U89" s="31">
        <f t="shared" si="37"/>
        <v>0</v>
      </c>
      <c r="V89" s="31">
        <f t="shared" si="37"/>
        <v>0</v>
      </c>
      <c r="W89" s="31">
        <f t="shared" si="37"/>
        <v>0</v>
      </c>
      <c r="X89" s="31">
        <f t="shared" si="37"/>
        <v>0</v>
      </c>
      <c r="Y89" s="31">
        <f t="shared" si="37"/>
        <v>0</v>
      </c>
      <c r="Z89" s="31">
        <f t="shared" si="37"/>
        <v>0</v>
      </c>
      <c r="AA89" s="31">
        <f t="shared" si="37"/>
        <v>0</v>
      </c>
      <c r="AB89" s="31">
        <f t="shared" si="37"/>
        <v>0</v>
      </c>
      <c r="AC89" s="31">
        <f t="shared" si="37"/>
        <v>0</v>
      </c>
      <c r="AD89" s="31">
        <f t="shared" si="37"/>
        <v>0</v>
      </c>
      <c r="AE89" s="31">
        <f t="shared" si="37"/>
        <v>0</v>
      </c>
      <c r="AF89" s="31">
        <f t="shared" si="37"/>
        <v>0</v>
      </c>
      <c r="AG89" s="31">
        <f t="shared" si="37"/>
        <v>0</v>
      </c>
    </row>
    <row r="90" spans="1:33" x14ac:dyDescent="0.2">
      <c r="A90" s="8"/>
      <c r="B90" s="8"/>
      <c r="C90" s="4"/>
      <c r="D90" s="38"/>
      <c r="F90" s="31"/>
      <c r="G90" s="21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x14ac:dyDescent="0.2">
      <c r="A91" s="8"/>
      <c r="B91" s="8"/>
      <c r="C91" s="181" t="s">
        <v>188</v>
      </c>
      <c r="D91" s="182"/>
      <c r="E91" s="177"/>
      <c r="F91" s="183"/>
      <c r="G91" s="219">
        <f t="shared" si="33"/>
        <v>45291</v>
      </c>
      <c r="H91" s="183"/>
      <c r="I91" s="183">
        <f t="shared" ref="I91:AB91" si="38">SUM(I86:I90)</f>
        <v>0</v>
      </c>
      <c r="J91" s="183">
        <f t="shared" si="38"/>
        <v>6881608.9997861441</v>
      </c>
      <c r="K91" s="183">
        <f t="shared" si="38"/>
        <v>9220027.4695622995</v>
      </c>
      <c r="L91" s="183">
        <f t="shared" si="38"/>
        <v>10483581.973344266</v>
      </c>
      <c r="M91" s="183">
        <f t="shared" si="38"/>
        <v>13014255.471666526</v>
      </c>
      <c r="N91" s="183">
        <f t="shared" si="38"/>
        <v>20055196.347029295</v>
      </c>
      <c r="O91" s="183">
        <f t="shared" si="38"/>
        <v>31347805.706480995</v>
      </c>
      <c r="P91" s="183">
        <f t="shared" si="38"/>
        <v>43463941.698417917</v>
      </c>
      <c r="Q91" s="183">
        <f t="shared" si="38"/>
        <v>55718540.064053312</v>
      </c>
      <c r="R91" s="183">
        <f t="shared" si="38"/>
        <v>55718540.064053312</v>
      </c>
      <c r="S91" s="183">
        <f t="shared" si="38"/>
        <v>55274041.846575439</v>
      </c>
      <c r="T91" s="183">
        <f t="shared" si="38"/>
        <v>55274041.846575439</v>
      </c>
      <c r="U91" s="183">
        <f t="shared" si="38"/>
        <v>55274041.846575439</v>
      </c>
      <c r="V91" s="183">
        <f t="shared" si="38"/>
        <v>55274041.846575439</v>
      </c>
      <c r="W91" s="183">
        <f t="shared" si="38"/>
        <v>55274041.846575439</v>
      </c>
      <c r="X91" s="183">
        <f t="shared" si="38"/>
        <v>55274041.846575439</v>
      </c>
      <c r="Y91" s="183">
        <f t="shared" si="38"/>
        <v>55274041.846575439</v>
      </c>
      <c r="Z91" s="183">
        <f t="shared" si="38"/>
        <v>55274041.846575439</v>
      </c>
      <c r="AA91" s="183">
        <f t="shared" si="38"/>
        <v>55274041.846575439</v>
      </c>
      <c r="AB91" s="183">
        <f t="shared" si="38"/>
        <v>55274041.846575439</v>
      </c>
      <c r="AC91" s="183">
        <f>SUM(AC86:AC90)</f>
        <v>55274041.846575439</v>
      </c>
      <c r="AD91" s="183">
        <f>SUM(AD86:AD90)</f>
        <v>55274041.846575439</v>
      </c>
      <c r="AE91" s="183">
        <f>SUM(AE86:AE90)</f>
        <v>55274041.846575439</v>
      </c>
      <c r="AF91" s="183">
        <f>SUM(AF86:AF90)</f>
        <v>55274041.846575439</v>
      </c>
      <c r="AG91" s="183">
        <f>SUM(AG86:AG90)</f>
        <v>55274041.846575439</v>
      </c>
    </row>
    <row r="92" spans="1:33" x14ac:dyDescent="0.2">
      <c r="A92" s="8"/>
      <c r="B92" s="8"/>
      <c r="C92" s="75"/>
      <c r="D92" s="141"/>
      <c r="F92" s="144"/>
      <c r="G92" s="221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</row>
    <row r="93" spans="1:33" x14ac:dyDescent="0.2">
      <c r="A93" s="8"/>
      <c r="B93" s="8"/>
      <c r="C93" s="75"/>
      <c r="D93" s="141"/>
      <c r="F93" s="144"/>
      <c r="G93" s="221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</row>
    <row r="94" spans="1:33" x14ac:dyDescent="0.2">
      <c r="A94" s="8"/>
      <c r="B94" s="8"/>
      <c r="C94" s="234" t="s">
        <v>198</v>
      </c>
      <c r="D94" s="82"/>
      <c r="E94" s="235"/>
      <c r="F94" s="236"/>
      <c r="G94" s="237" cm="1">
        <f t="array" ref="G94">IF(SUM($I18:$AG18)=0,0,(INDEX(I$6:AG$6,MATCH(TRUE,INDEX($I18:$AG18&lt;&gt;0,),0))))</f>
        <v>1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x14ac:dyDescent="0.2">
      <c r="A95" s="8"/>
      <c r="B95" s="8"/>
      <c r="C95" s="82"/>
      <c r="D95" s="238"/>
      <c r="E95" s="235"/>
      <c r="F95" s="236"/>
      <c r="G95" s="237"/>
      <c r="H95" s="3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</row>
    <row r="96" spans="1:33" x14ac:dyDescent="0.2">
      <c r="C96" s="239" t="s">
        <v>193</v>
      </c>
      <c r="D96" s="240"/>
      <c r="E96" s="240"/>
      <c r="F96" s="240"/>
      <c r="G96" s="241">
        <f>IF(_xlfn.MINIFS($G$94:$G$95, $G$94:$G$95, "&gt;"&amp;0)=0, $A$4, _xlfn.MINIFS($G$94:$G$95, $G$94:$G$95, "&gt;"&amp;0))</f>
        <v>1</v>
      </c>
    </row>
    <row r="98" spans="1:43" x14ac:dyDescent="0.2">
      <c r="G98" s="12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:43" x14ac:dyDescent="0.2"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43" x14ac:dyDescent="0.2"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43" x14ac:dyDescent="0.2"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43" x14ac:dyDescent="0.2"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</row>
    <row r="103" spans="1:43" x14ac:dyDescent="0.2"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ht="15" x14ac:dyDescent="0.2">
      <c r="A106" s="89" t="s">
        <v>216</v>
      </c>
      <c r="B106" s="89"/>
      <c r="C106" s="89"/>
      <c r="D106" s="89"/>
      <c r="E106" s="89"/>
      <c r="F106" s="89"/>
      <c r="G106" s="208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/>
      <c r="AI106"/>
      <c r="AJ106"/>
      <c r="AK106"/>
      <c r="AL106"/>
      <c r="AM106"/>
      <c r="AN106"/>
      <c r="AO106"/>
      <c r="AP106"/>
      <c r="AQ106"/>
    </row>
    <row r="108" spans="1:43" x14ac:dyDescent="0.2"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</row>
    <row r="109" spans="1:43" x14ac:dyDescent="0.2">
      <c r="D109"/>
      <c r="E109"/>
      <c r="F109"/>
      <c r="G109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">
        <v>119</v>
      </c>
      <c r="C110" s="1" t="s">
        <v>188</v>
      </c>
      <c r="D110"/>
      <c r="E110"/>
      <c r="F110"/>
      <c r="G110" s="38" t="str">
        <f>PROPER($A$3)&amp;A110</f>
        <v>Option 2NPV</v>
      </c>
      <c r="I110" s="31">
        <f>I91</f>
        <v>0</v>
      </c>
      <c r="J110" s="31">
        <f t="shared" ref="J110:AG110" si="39">J91</f>
        <v>6881608.9997861441</v>
      </c>
      <c r="K110" s="31">
        <f t="shared" si="39"/>
        <v>9220027.4695622995</v>
      </c>
      <c r="L110" s="31">
        <f t="shared" si="39"/>
        <v>10483581.973344266</v>
      </c>
      <c r="M110" s="31">
        <f t="shared" si="39"/>
        <v>13014255.471666526</v>
      </c>
      <c r="N110" s="31">
        <f t="shared" si="39"/>
        <v>20055196.347029295</v>
      </c>
      <c r="O110" s="31">
        <f t="shared" si="39"/>
        <v>31347805.706480995</v>
      </c>
      <c r="P110" s="31">
        <f t="shared" si="39"/>
        <v>43463941.698417917</v>
      </c>
      <c r="Q110" s="31">
        <f t="shared" si="39"/>
        <v>55718540.064053312</v>
      </c>
      <c r="R110" s="31">
        <f t="shared" si="39"/>
        <v>55718540.064053312</v>
      </c>
      <c r="S110" s="31">
        <f t="shared" si="39"/>
        <v>55274041.846575439</v>
      </c>
      <c r="T110" s="31">
        <f t="shared" si="39"/>
        <v>55274041.846575439</v>
      </c>
      <c r="U110" s="31">
        <f t="shared" si="39"/>
        <v>55274041.846575439</v>
      </c>
      <c r="V110" s="31">
        <f t="shared" si="39"/>
        <v>55274041.846575439</v>
      </c>
      <c r="W110" s="31">
        <f t="shared" si="39"/>
        <v>55274041.846575439</v>
      </c>
      <c r="X110" s="31">
        <f t="shared" si="39"/>
        <v>55274041.846575439</v>
      </c>
      <c r="Y110" s="31">
        <f t="shared" si="39"/>
        <v>55274041.846575439</v>
      </c>
      <c r="Z110" s="31">
        <f t="shared" si="39"/>
        <v>55274041.846575439</v>
      </c>
      <c r="AA110" s="31">
        <f t="shared" si="39"/>
        <v>55274041.846575439</v>
      </c>
      <c r="AB110" s="31">
        <f t="shared" si="39"/>
        <v>55274041.846575439</v>
      </c>
      <c r="AC110" s="31">
        <f t="shared" si="39"/>
        <v>55274041.846575439</v>
      </c>
      <c r="AD110" s="31">
        <f t="shared" si="39"/>
        <v>55274041.846575439</v>
      </c>
      <c r="AE110" s="31">
        <f t="shared" si="39"/>
        <v>55274041.846575439</v>
      </c>
      <c r="AF110" s="31">
        <f t="shared" si="39"/>
        <v>55274041.846575439</v>
      </c>
      <c r="AG110" s="31">
        <f t="shared" si="39"/>
        <v>55274041.846575439</v>
      </c>
    </row>
    <row r="111" spans="1:43" x14ac:dyDescent="0.2">
      <c r="C111" s="1" t="s">
        <v>157</v>
      </c>
      <c r="D111"/>
      <c r="E111"/>
      <c r="F111"/>
      <c r="G111"/>
      <c r="I111" s="31">
        <f>I86</f>
        <v>0</v>
      </c>
      <c r="J111" s="31">
        <f t="shared" ref="J111:AG111" si="40">J86</f>
        <v>-1187067.073664309</v>
      </c>
      <c r="K111" s="31">
        <f t="shared" si="40"/>
        <v>-1995408.0890768552</v>
      </c>
      <c r="L111" s="31">
        <f t="shared" si="40"/>
        <v>-3353050.6423015622</v>
      </c>
      <c r="M111" s="31">
        <f t="shared" si="40"/>
        <v>-5044953.2343470817</v>
      </c>
      <c r="N111" s="31">
        <f t="shared" si="40"/>
        <v>-5629675.281135642</v>
      </c>
      <c r="O111" s="31">
        <f t="shared" si="40"/>
        <v>-5629675.281135642</v>
      </c>
      <c r="P111" s="31">
        <f t="shared" si="40"/>
        <v>-5629675.281135642</v>
      </c>
      <c r="Q111" s="31">
        <f t="shared" si="40"/>
        <v>-5629675.281135642</v>
      </c>
      <c r="R111" s="31">
        <f t="shared" si="40"/>
        <v>-5629675.281135642</v>
      </c>
      <c r="S111" s="31">
        <f t="shared" si="40"/>
        <v>-6074173.4986135159</v>
      </c>
      <c r="T111" s="31">
        <f t="shared" si="40"/>
        <v>-6074173.4986135159</v>
      </c>
      <c r="U111" s="31">
        <f t="shared" si="40"/>
        <v>-6074173.4986135159</v>
      </c>
      <c r="V111" s="31">
        <f t="shared" si="40"/>
        <v>-6074173.4986135159</v>
      </c>
      <c r="W111" s="31">
        <f t="shared" si="40"/>
        <v>-6074173.4986135159</v>
      </c>
      <c r="X111" s="31">
        <f t="shared" si="40"/>
        <v>-6074173.4986135159</v>
      </c>
      <c r="Y111" s="31">
        <f t="shared" si="40"/>
        <v>-6074173.4986135159</v>
      </c>
      <c r="Z111" s="31">
        <f t="shared" si="40"/>
        <v>-6074173.4986135159</v>
      </c>
      <c r="AA111" s="31">
        <f t="shared" si="40"/>
        <v>-6074173.4986135159</v>
      </c>
      <c r="AB111" s="31">
        <f t="shared" si="40"/>
        <v>-6074173.4986135159</v>
      </c>
      <c r="AC111" s="31">
        <f t="shared" si="40"/>
        <v>-6074173.4986135159</v>
      </c>
      <c r="AD111" s="31">
        <f t="shared" si="40"/>
        <v>-6074173.4986135159</v>
      </c>
      <c r="AE111" s="31">
        <f t="shared" si="40"/>
        <v>-6074173.4986135159</v>
      </c>
      <c r="AF111" s="31">
        <f t="shared" si="40"/>
        <v>-6074173.4986135159</v>
      </c>
      <c r="AG111" s="31">
        <f t="shared" si="40"/>
        <v>-6074173.4986135159</v>
      </c>
    </row>
    <row r="112" spans="1:43" x14ac:dyDescent="0.2">
      <c r="C112" s="1" t="s">
        <v>241</v>
      </c>
      <c r="D112" s="257"/>
      <c r="E112" s="38"/>
      <c r="I112" s="31">
        <f>SUM(I88:I89)</f>
        <v>0</v>
      </c>
      <c r="J112" s="31">
        <f t="shared" ref="J112:AG112" si="41">SUM(J88:J89)</f>
        <v>8068676.0734504526</v>
      </c>
      <c r="K112" s="31">
        <f t="shared" si="41"/>
        <v>11215435.558639154</v>
      </c>
      <c r="L112" s="31">
        <f t="shared" si="41"/>
        <v>13836632.61564583</v>
      </c>
      <c r="M112" s="31">
        <f t="shared" si="41"/>
        <v>18059208.706013609</v>
      </c>
      <c r="N112" s="31">
        <f t="shared" si="41"/>
        <v>25684871.628164936</v>
      </c>
      <c r="O112" s="31">
        <f t="shared" si="41"/>
        <v>36977480.987616636</v>
      </c>
      <c r="P112" s="31">
        <f t="shared" si="41"/>
        <v>49093616.979553558</v>
      </c>
      <c r="Q112" s="31">
        <f t="shared" si="41"/>
        <v>61348215.345188953</v>
      </c>
      <c r="R112" s="31">
        <f t="shared" si="41"/>
        <v>61348215.345188953</v>
      </c>
      <c r="S112" s="31">
        <f t="shared" si="41"/>
        <v>61348215.345188953</v>
      </c>
      <c r="T112" s="31">
        <f t="shared" si="41"/>
        <v>61348215.345188953</v>
      </c>
      <c r="U112" s="31">
        <f t="shared" si="41"/>
        <v>61348215.345188953</v>
      </c>
      <c r="V112" s="31">
        <f t="shared" si="41"/>
        <v>61348215.345188953</v>
      </c>
      <c r="W112" s="31">
        <f t="shared" si="41"/>
        <v>61348215.345188953</v>
      </c>
      <c r="X112" s="31">
        <f t="shared" si="41"/>
        <v>61348215.345188953</v>
      </c>
      <c r="Y112" s="31">
        <f t="shared" si="41"/>
        <v>61348215.345188953</v>
      </c>
      <c r="Z112" s="31">
        <f t="shared" si="41"/>
        <v>61348215.345188953</v>
      </c>
      <c r="AA112" s="31">
        <f t="shared" si="41"/>
        <v>61348215.345188953</v>
      </c>
      <c r="AB112" s="31">
        <f t="shared" si="41"/>
        <v>61348215.345188953</v>
      </c>
      <c r="AC112" s="31">
        <f t="shared" si="41"/>
        <v>61348215.345188953</v>
      </c>
      <c r="AD112" s="31">
        <f t="shared" si="41"/>
        <v>61348215.345188953</v>
      </c>
      <c r="AE112" s="31">
        <f t="shared" si="41"/>
        <v>61348215.345188953</v>
      </c>
      <c r="AF112" s="31">
        <f t="shared" si="41"/>
        <v>61348215.345188953</v>
      </c>
      <c r="AG112" s="31">
        <f t="shared" si="41"/>
        <v>61348215.345188953</v>
      </c>
    </row>
    <row r="113" spans="1:33" x14ac:dyDescent="0.2">
      <c r="D113" s="306" t="str">
        <f>Assumptions!G110</f>
        <v>Capex</v>
      </c>
      <c r="E113" s="306" t="str">
        <f>Assumptions!H110</f>
        <v>Total benefits</v>
      </c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</row>
    <row r="114" spans="1:33" x14ac:dyDescent="0.2">
      <c r="A114" s="1" t="str">
        <f>"sens"&amp;Assumptions!B111</f>
        <v>sens1</v>
      </c>
      <c r="C114" s="305" t="str">
        <f>Assumptions!C111</f>
        <v>Capex 10% higher</v>
      </c>
      <c r="D114" s="306">
        <f>Assumptions!G111</f>
        <v>0.1</v>
      </c>
      <c r="E114" s="306">
        <f>Assumptions!H111</f>
        <v>0</v>
      </c>
      <c r="G114" s="38" t="str">
        <f>PROPER($A$3)&amp;A114</f>
        <v>Option 2sens1</v>
      </c>
      <c r="I114" s="31" cm="1">
        <f t="array" ref="I114">I$110+IF($C114&lt;&gt;0,SUMPRODUCT((I$111:I$112)*TRANSPOSE(($D114:$E114))),0)</f>
        <v>0</v>
      </c>
      <c r="J114" s="31" cm="1">
        <f t="array" ref="J114">J$110+IF($C114&lt;&gt;0,SUMPRODUCT((J$111:J$112)*TRANSPOSE(($D114:$E114))),0)</f>
        <v>6762902.292419713</v>
      </c>
      <c r="K114" s="31" cm="1">
        <f t="array" ref="K114">K$110+IF($C114&lt;&gt;0,SUMPRODUCT((K$111:K$112)*TRANSPOSE(($D114:$E114))),0)</f>
        <v>9020486.6606546137</v>
      </c>
      <c r="L114" s="31" cm="1">
        <f t="array" ref="L114">L$110+IF($C114&lt;&gt;0,SUMPRODUCT((L$111:L$112)*TRANSPOSE(($D114:$E114))),0)</f>
        <v>10148276.909114109</v>
      </c>
      <c r="M114" s="31" cm="1">
        <f t="array" ref="M114">M$110+IF($C114&lt;&gt;0,SUMPRODUCT((M$111:M$112)*TRANSPOSE(($D114:$E114))),0)</f>
        <v>12509760.148231817</v>
      </c>
      <c r="N114" s="31" cm="1">
        <f t="array" ref="N114">N$110+IF($C114&lt;&gt;0,SUMPRODUCT((N$111:N$112)*TRANSPOSE(($D114:$E114))),0)</f>
        <v>19492228.818915732</v>
      </c>
      <c r="O114" s="31" cm="1">
        <f t="array" ref="O114">O$110+IF($C114&lt;&gt;0,SUMPRODUCT((O$111:O$112)*TRANSPOSE(($D114:$E114))),0)</f>
        <v>30784838.178367432</v>
      </c>
      <c r="P114" s="31" cm="1">
        <f t="array" ref="P114">P$110+IF($C114&lt;&gt;0,SUMPRODUCT((P$111:P$112)*TRANSPOSE(($D114:$E114))),0)</f>
        <v>42900974.170304351</v>
      </c>
      <c r="Q114" s="31" cm="1">
        <f t="array" ref="Q114">Q$110+IF($C114&lt;&gt;0,SUMPRODUCT((Q$111:Q$112)*TRANSPOSE(($D114:$E114))),0)</f>
        <v>55155572.535939746</v>
      </c>
      <c r="R114" s="31" cm="1">
        <f t="array" ref="R114">R$110+IF($C114&lt;&gt;0,SUMPRODUCT((R$111:R$112)*TRANSPOSE(($D114:$E114))),0)</f>
        <v>55155572.535939746</v>
      </c>
      <c r="S114" s="31" cm="1">
        <f t="array" ref="S114">S$110+IF($C114&lt;&gt;0,SUMPRODUCT((S$111:S$112)*TRANSPOSE(($D114:$E114))),0)</f>
        <v>54666624.496714085</v>
      </c>
      <c r="T114" s="31" cm="1">
        <f t="array" ref="T114">T$110+IF($C114&lt;&gt;0,SUMPRODUCT((T$111:T$112)*TRANSPOSE(($D114:$E114))),0)</f>
        <v>54666624.496714085</v>
      </c>
      <c r="U114" s="31" cm="1">
        <f t="array" ref="U114">U$110+IF($C114&lt;&gt;0,SUMPRODUCT((U$111:U$112)*TRANSPOSE(($D114:$E114))),0)</f>
        <v>54666624.496714085</v>
      </c>
      <c r="V114" s="31" cm="1">
        <f t="array" ref="V114">V$110+IF($C114&lt;&gt;0,SUMPRODUCT((V$111:V$112)*TRANSPOSE(($D114:$E114))),0)</f>
        <v>54666624.496714085</v>
      </c>
      <c r="W114" s="31" cm="1">
        <f t="array" ref="W114">W$110+IF($C114&lt;&gt;0,SUMPRODUCT((W$111:W$112)*TRANSPOSE(($D114:$E114))),0)</f>
        <v>54666624.496714085</v>
      </c>
      <c r="X114" s="31" cm="1">
        <f t="array" ref="X114">X$110+IF($C114&lt;&gt;0,SUMPRODUCT((X$111:X$112)*TRANSPOSE(($D114:$E114))),0)</f>
        <v>54666624.496714085</v>
      </c>
      <c r="Y114" s="31" cm="1">
        <f t="array" ref="Y114">Y$110+IF($C114&lt;&gt;0,SUMPRODUCT((Y$111:Y$112)*TRANSPOSE(($D114:$E114))),0)</f>
        <v>54666624.496714085</v>
      </c>
      <c r="Z114" s="31" cm="1">
        <f t="array" ref="Z114">Z$110+IF($C114&lt;&gt;0,SUMPRODUCT((Z$111:Z$112)*TRANSPOSE(($D114:$E114))),0)</f>
        <v>54666624.496714085</v>
      </c>
      <c r="AA114" s="31" cm="1">
        <f t="array" ref="AA114">AA$110+IF($C114&lt;&gt;0,SUMPRODUCT((AA$111:AA$112)*TRANSPOSE(($D114:$E114))),0)</f>
        <v>54666624.496714085</v>
      </c>
      <c r="AB114" s="31" cm="1">
        <f t="array" ref="AB114">AB$110+IF($C114&lt;&gt;0,SUMPRODUCT((AB$111:AB$112)*TRANSPOSE(($D114:$E114))),0)</f>
        <v>54666624.496714085</v>
      </c>
      <c r="AC114" s="31" cm="1">
        <f t="array" ref="AC114">AC$110+IF($C114&lt;&gt;0,SUMPRODUCT((AC$111:AC$112)*TRANSPOSE(($D114:$E114))),0)</f>
        <v>54666624.496714085</v>
      </c>
      <c r="AD114" s="31" cm="1">
        <f t="array" ref="AD114">AD$110+IF($C114&lt;&gt;0,SUMPRODUCT((AD$111:AD$112)*TRANSPOSE(($D114:$E114))),0)</f>
        <v>54666624.496714085</v>
      </c>
      <c r="AE114" s="31" cm="1">
        <f t="array" ref="AE114">AE$110+IF($C114&lt;&gt;0,SUMPRODUCT((AE$111:AE$112)*TRANSPOSE(($D114:$E114))),0)</f>
        <v>54666624.496714085</v>
      </c>
      <c r="AF114" s="31" cm="1">
        <f t="array" ref="AF114">AF$110+IF($C114&lt;&gt;0,SUMPRODUCT((AF$111:AF$112)*TRANSPOSE(($D114:$E114))),0)</f>
        <v>54666624.496714085</v>
      </c>
      <c r="AG114" s="31" cm="1">
        <f t="array" ref="AG114">AG$110+IF($C114&lt;&gt;0,SUMPRODUCT((AG$111:AG$112)*TRANSPOSE(($D114:$E114))),0)</f>
        <v>54666624.496714085</v>
      </c>
    </row>
    <row r="115" spans="1:33" x14ac:dyDescent="0.2">
      <c r="A115" s="1" t="str">
        <f>"sens"&amp;Assumptions!B112</f>
        <v>sens2</v>
      </c>
      <c r="C115" s="305" t="str">
        <f>Assumptions!C112</f>
        <v>Capex 10% lower</v>
      </c>
      <c r="D115" s="306">
        <f>Assumptions!G112</f>
        <v>-0.1</v>
      </c>
      <c r="E115" s="306">
        <f>Assumptions!H112</f>
        <v>0</v>
      </c>
      <c r="G115" s="38" t="str">
        <f t="shared" ref="G115:G121" si="42">PROPER($A$3)&amp;A115</f>
        <v>Option 2sens2</v>
      </c>
      <c r="I115" s="31" cm="1">
        <f t="array" ref="I115">I$110+IF($C115&lt;&gt;0,SUMPRODUCT((I$111:I$112)*TRANSPOSE(($D115:$E115))),0)</f>
        <v>0</v>
      </c>
      <c r="J115" s="31" cm="1">
        <f t="array" ref="J115">J$110+IF($C115&lt;&gt;0,SUMPRODUCT((J$111:J$112)*TRANSPOSE(($D115:$E115))),0)</f>
        <v>7000315.7071525753</v>
      </c>
      <c r="K115" s="31" cm="1">
        <f t="array" ref="K115">K$110+IF($C115&lt;&gt;0,SUMPRODUCT((K$111:K$112)*TRANSPOSE(($D115:$E115))),0)</f>
        <v>9419568.2784699854</v>
      </c>
      <c r="L115" s="31" cm="1">
        <f t="array" ref="L115">L$110+IF($C115&lt;&gt;0,SUMPRODUCT((L$111:L$112)*TRANSPOSE(($D115:$E115))),0)</f>
        <v>10818887.037574423</v>
      </c>
      <c r="M115" s="31" cm="1">
        <f t="array" ref="M115">M$110+IF($C115&lt;&gt;0,SUMPRODUCT((M$111:M$112)*TRANSPOSE(($D115:$E115))),0)</f>
        <v>13518750.795101235</v>
      </c>
      <c r="N115" s="31" cm="1">
        <f t="array" ref="N115">N$110+IF($C115&lt;&gt;0,SUMPRODUCT((N$111:N$112)*TRANSPOSE(($D115:$E115))),0)</f>
        <v>20618163.875142857</v>
      </c>
      <c r="O115" s="31" cm="1">
        <f t="array" ref="O115">O$110+IF($C115&lt;&gt;0,SUMPRODUCT((O$111:O$112)*TRANSPOSE(($D115:$E115))),0)</f>
        <v>31910773.234594557</v>
      </c>
      <c r="P115" s="31" cm="1">
        <f t="array" ref="P115">P$110+IF($C115&lt;&gt;0,SUMPRODUCT((P$111:P$112)*TRANSPOSE(($D115:$E115))),0)</f>
        <v>44026909.226531483</v>
      </c>
      <c r="Q115" s="31" cm="1">
        <f t="array" ref="Q115">Q$110+IF($C115&lt;&gt;0,SUMPRODUCT((Q$111:Q$112)*TRANSPOSE(($D115:$E115))),0)</f>
        <v>56281507.592166878</v>
      </c>
      <c r="R115" s="31" cm="1">
        <f t="array" ref="R115">R$110+IF($C115&lt;&gt;0,SUMPRODUCT((R$111:R$112)*TRANSPOSE(($D115:$E115))),0)</f>
        <v>56281507.592166878</v>
      </c>
      <c r="S115" s="31" cm="1">
        <f t="array" ref="S115">S$110+IF($C115&lt;&gt;0,SUMPRODUCT((S$111:S$112)*TRANSPOSE(($D115:$E115))),0)</f>
        <v>55881459.196436793</v>
      </c>
      <c r="T115" s="31" cm="1">
        <f t="array" ref="T115">T$110+IF($C115&lt;&gt;0,SUMPRODUCT((T$111:T$112)*TRANSPOSE(($D115:$E115))),0)</f>
        <v>55881459.196436793</v>
      </c>
      <c r="U115" s="31" cm="1">
        <f t="array" ref="U115">U$110+IF($C115&lt;&gt;0,SUMPRODUCT((U$111:U$112)*TRANSPOSE(($D115:$E115))),0)</f>
        <v>55881459.196436793</v>
      </c>
      <c r="V115" s="31" cm="1">
        <f t="array" ref="V115">V$110+IF($C115&lt;&gt;0,SUMPRODUCT((V$111:V$112)*TRANSPOSE(($D115:$E115))),0)</f>
        <v>55881459.196436793</v>
      </c>
      <c r="W115" s="31" cm="1">
        <f t="array" ref="W115">W$110+IF($C115&lt;&gt;0,SUMPRODUCT((W$111:W$112)*TRANSPOSE(($D115:$E115))),0)</f>
        <v>55881459.196436793</v>
      </c>
      <c r="X115" s="31" cm="1">
        <f t="array" ref="X115">X$110+IF($C115&lt;&gt;0,SUMPRODUCT((X$111:X$112)*TRANSPOSE(($D115:$E115))),0)</f>
        <v>55881459.196436793</v>
      </c>
      <c r="Y115" s="31" cm="1">
        <f t="array" ref="Y115">Y$110+IF($C115&lt;&gt;0,SUMPRODUCT((Y$111:Y$112)*TRANSPOSE(($D115:$E115))),0)</f>
        <v>55881459.196436793</v>
      </c>
      <c r="Z115" s="31" cm="1">
        <f t="array" ref="Z115">Z$110+IF($C115&lt;&gt;0,SUMPRODUCT((Z$111:Z$112)*TRANSPOSE(($D115:$E115))),0)</f>
        <v>55881459.196436793</v>
      </c>
      <c r="AA115" s="31" cm="1">
        <f t="array" ref="AA115">AA$110+IF($C115&lt;&gt;0,SUMPRODUCT((AA$111:AA$112)*TRANSPOSE(($D115:$E115))),0)</f>
        <v>55881459.196436793</v>
      </c>
      <c r="AB115" s="31" cm="1">
        <f t="array" ref="AB115">AB$110+IF($C115&lt;&gt;0,SUMPRODUCT((AB$111:AB$112)*TRANSPOSE(($D115:$E115))),0)</f>
        <v>55881459.196436793</v>
      </c>
      <c r="AC115" s="31" cm="1">
        <f t="array" ref="AC115">AC$110+IF($C115&lt;&gt;0,SUMPRODUCT((AC$111:AC$112)*TRANSPOSE(($D115:$E115))),0)</f>
        <v>55881459.196436793</v>
      </c>
      <c r="AD115" s="31" cm="1">
        <f t="array" ref="AD115">AD$110+IF($C115&lt;&gt;0,SUMPRODUCT((AD$111:AD$112)*TRANSPOSE(($D115:$E115))),0)</f>
        <v>55881459.196436793</v>
      </c>
      <c r="AE115" s="31" cm="1">
        <f t="array" ref="AE115">AE$110+IF($C115&lt;&gt;0,SUMPRODUCT((AE$111:AE$112)*TRANSPOSE(($D115:$E115))),0)</f>
        <v>55881459.196436793</v>
      </c>
      <c r="AF115" s="31" cm="1">
        <f t="array" ref="AF115">AF$110+IF($C115&lt;&gt;0,SUMPRODUCT((AF$111:AF$112)*TRANSPOSE(($D115:$E115))),0)</f>
        <v>55881459.196436793</v>
      </c>
      <c r="AG115" s="31" cm="1">
        <f t="array" ref="AG115">AG$110+IF($C115&lt;&gt;0,SUMPRODUCT((AG$111:AG$112)*TRANSPOSE(($D115:$E115))),0)</f>
        <v>55881459.196436793</v>
      </c>
    </row>
    <row r="116" spans="1:33" x14ac:dyDescent="0.2">
      <c r="A116" s="1" t="str">
        <f>"sens"&amp;Assumptions!B113</f>
        <v>sens3</v>
      </c>
      <c r="C116" s="305" t="str">
        <f>Assumptions!C113</f>
        <v>Total benefits 10% higher</v>
      </c>
      <c r="D116" s="306">
        <f>Assumptions!G113</f>
        <v>0</v>
      </c>
      <c r="E116" s="306">
        <f>Assumptions!H113</f>
        <v>0.1</v>
      </c>
      <c r="G116" s="38" t="str">
        <f t="shared" si="42"/>
        <v>Option 2sens3</v>
      </c>
      <c r="I116" s="31" cm="1">
        <f t="array" ref="I116">I$110+IF($C116&lt;&gt;0,SUMPRODUCT((I$111:I$112)*TRANSPOSE(($D116:$E116))),0)</f>
        <v>0</v>
      </c>
      <c r="J116" s="31" cm="1">
        <f t="array" ref="J116">J$110+IF($C116&lt;&gt;0,SUMPRODUCT((J$111:J$112)*TRANSPOSE(($D116:$E116))),0)</f>
        <v>7688476.6071311897</v>
      </c>
      <c r="K116" s="31" cm="1">
        <f t="array" ref="K116">K$110+IF($C116&lt;&gt;0,SUMPRODUCT((K$111:K$112)*TRANSPOSE(($D116:$E116))),0)</f>
        <v>10341571.025426215</v>
      </c>
      <c r="L116" s="31" cm="1">
        <f t="array" ref="L116">L$110+IF($C116&lt;&gt;0,SUMPRODUCT((L$111:L$112)*TRANSPOSE(($D116:$E116))),0)</f>
        <v>11867245.234908849</v>
      </c>
      <c r="M116" s="31" cm="1">
        <f t="array" ref="M116">M$110+IF($C116&lt;&gt;0,SUMPRODUCT((M$111:M$112)*TRANSPOSE(($D116:$E116))),0)</f>
        <v>14820176.342267888</v>
      </c>
      <c r="N116" s="31" cm="1">
        <f t="array" ref="N116">N$110+IF($C116&lt;&gt;0,SUMPRODUCT((N$111:N$112)*TRANSPOSE(($D116:$E116))),0)</f>
        <v>22623683.50984579</v>
      </c>
      <c r="O116" s="31" cm="1">
        <f t="array" ref="O116">O$110+IF($C116&lt;&gt;0,SUMPRODUCT((O$111:O$112)*TRANSPOSE(($D116:$E116))),0)</f>
        <v>35045553.805242658</v>
      </c>
      <c r="P116" s="31" cm="1">
        <f t="array" ref="P116">P$110+IF($C116&lt;&gt;0,SUMPRODUCT((P$111:P$112)*TRANSPOSE(($D116:$E116))),0)</f>
        <v>48373303.396373272</v>
      </c>
      <c r="Q116" s="31" cm="1">
        <f t="array" ref="Q116">Q$110+IF($C116&lt;&gt;0,SUMPRODUCT((Q$111:Q$112)*TRANSPOSE(($D116:$E116))),0)</f>
        <v>61853361.598572209</v>
      </c>
      <c r="R116" s="31" cm="1">
        <f t="array" ref="R116">R$110+IF($C116&lt;&gt;0,SUMPRODUCT((R$111:R$112)*TRANSPOSE(($D116:$E116))),0)</f>
        <v>61853361.598572209</v>
      </c>
      <c r="S116" s="31" cm="1">
        <f t="array" ref="S116">S$110+IF($C116&lt;&gt;0,SUMPRODUCT((S$111:S$112)*TRANSPOSE(($D116:$E116))),0)</f>
        <v>61408863.381094337</v>
      </c>
      <c r="T116" s="31" cm="1">
        <f t="array" ref="T116">T$110+IF($C116&lt;&gt;0,SUMPRODUCT((T$111:T$112)*TRANSPOSE(($D116:$E116))),0)</f>
        <v>61408863.381094337</v>
      </c>
      <c r="U116" s="31" cm="1">
        <f t="array" ref="U116">U$110+IF($C116&lt;&gt;0,SUMPRODUCT((U$111:U$112)*TRANSPOSE(($D116:$E116))),0)</f>
        <v>61408863.381094337</v>
      </c>
      <c r="V116" s="31" cm="1">
        <f t="array" ref="V116">V$110+IF($C116&lt;&gt;0,SUMPRODUCT((V$111:V$112)*TRANSPOSE(($D116:$E116))),0)</f>
        <v>61408863.381094337</v>
      </c>
      <c r="W116" s="31" cm="1">
        <f t="array" ref="W116">W$110+IF($C116&lt;&gt;0,SUMPRODUCT((W$111:W$112)*TRANSPOSE(($D116:$E116))),0)</f>
        <v>61408863.381094337</v>
      </c>
      <c r="X116" s="31" cm="1">
        <f t="array" ref="X116">X$110+IF($C116&lt;&gt;0,SUMPRODUCT((X$111:X$112)*TRANSPOSE(($D116:$E116))),0)</f>
        <v>61408863.381094337</v>
      </c>
      <c r="Y116" s="31" cm="1">
        <f t="array" ref="Y116">Y$110+IF($C116&lt;&gt;0,SUMPRODUCT((Y$111:Y$112)*TRANSPOSE(($D116:$E116))),0)</f>
        <v>61408863.381094337</v>
      </c>
      <c r="Z116" s="31" cm="1">
        <f t="array" ref="Z116">Z$110+IF($C116&lt;&gt;0,SUMPRODUCT((Z$111:Z$112)*TRANSPOSE(($D116:$E116))),0)</f>
        <v>61408863.381094337</v>
      </c>
      <c r="AA116" s="31" cm="1">
        <f t="array" ref="AA116">AA$110+IF($C116&lt;&gt;0,SUMPRODUCT((AA$111:AA$112)*TRANSPOSE(($D116:$E116))),0)</f>
        <v>61408863.381094337</v>
      </c>
      <c r="AB116" s="31" cm="1">
        <f t="array" ref="AB116">AB$110+IF($C116&lt;&gt;0,SUMPRODUCT((AB$111:AB$112)*TRANSPOSE(($D116:$E116))),0)</f>
        <v>61408863.381094337</v>
      </c>
      <c r="AC116" s="31" cm="1">
        <f t="array" ref="AC116">AC$110+IF($C116&lt;&gt;0,SUMPRODUCT((AC$111:AC$112)*TRANSPOSE(($D116:$E116))),0)</f>
        <v>61408863.381094337</v>
      </c>
      <c r="AD116" s="31" cm="1">
        <f t="array" ref="AD116">AD$110+IF($C116&lt;&gt;0,SUMPRODUCT((AD$111:AD$112)*TRANSPOSE(($D116:$E116))),0)</f>
        <v>61408863.381094337</v>
      </c>
      <c r="AE116" s="31" cm="1">
        <f t="array" ref="AE116">AE$110+IF($C116&lt;&gt;0,SUMPRODUCT((AE$111:AE$112)*TRANSPOSE(($D116:$E116))),0)</f>
        <v>61408863.381094337</v>
      </c>
      <c r="AF116" s="31" cm="1">
        <f t="array" ref="AF116">AF$110+IF($C116&lt;&gt;0,SUMPRODUCT((AF$111:AF$112)*TRANSPOSE(($D116:$E116))),0)</f>
        <v>61408863.381094337</v>
      </c>
      <c r="AG116" s="31" cm="1">
        <f t="array" ref="AG116">AG$110+IF($C116&lt;&gt;0,SUMPRODUCT((AG$111:AG$112)*TRANSPOSE(($D116:$E116))),0)</f>
        <v>61408863.381094337</v>
      </c>
    </row>
    <row r="117" spans="1:33" x14ac:dyDescent="0.2">
      <c r="A117" s="1" t="str">
        <f>"sens"&amp;Assumptions!B114</f>
        <v>sens4</v>
      </c>
      <c r="C117" s="305" t="str">
        <f>Assumptions!C114</f>
        <v>Total benefits 10% lower</v>
      </c>
      <c r="D117" s="306">
        <f>Assumptions!G114</f>
        <v>0</v>
      </c>
      <c r="E117" s="306">
        <f>Assumptions!H114</f>
        <v>-0.1</v>
      </c>
      <c r="G117" s="38" t="str">
        <f t="shared" si="42"/>
        <v>Option 2sens4</v>
      </c>
      <c r="I117" s="31" cm="1">
        <f t="array" ref="I117">I$110+IF($C117&lt;&gt;0,SUMPRODUCT((I$111:I$112)*TRANSPOSE(($D117:$E117))),0)</f>
        <v>0</v>
      </c>
      <c r="J117" s="31" cm="1">
        <f t="array" ref="J117">J$110+IF($C117&lt;&gt;0,SUMPRODUCT((J$111:J$112)*TRANSPOSE(($D117:$E117))),0)</f>
        <v>6074741.3924410986</v>
      </c>
      <c r="K117" s="31" cm="1">
        <f t="array" ref="K117">K$110+IF($C117&lt;&gt;0,SUMPRODUCT((K$111:K$112)*TRANSPOSE(($D117:$E117))),0)</f>
        <v>8098483.9136983845</v>
      </c>
      <c r="L117" s="31" cm="1">
        <f t="array" ref="L117">L$110+IF($C117&lt;&gt;0,SUMPRODUCT((L$111:L$112)*TRANSPOSE(($D117:$E117))),0)</f>
        <v>9099918.7117796838</v>
      </c>
      <c r="M117" s="31" cm="1">
        <f t="array" ref="M117">M$110+IF($C117&lt;&gt;0,SUMPRODUCT((M$111:M$112)*TRANSPOSE(($D117:$E117))),0)</f>
        <v>11208334.601065164</v>
      </c>
      <c r="N117" s="31" cm="1">
        <f t="array" ref="N117">N$110+IF($C117&lt;&gt;0,SUMPRODUCT((N$111:N$112)*TRANSPOSE(($D117:$E117))),0)</f>
        <v>17486709.1842128</v>
      </c>
      <c r="O117" s="31" cm="1">
        <f t="array" ref="O117">O$110+IF($C117&lt;&gt;0,SUMPRODUCT((O$111:O$112)*TRANSPOSE(($D117:$E117))),0)</f>
        <v>27650057.607719332</v>
      </c>
      <c r="P117" s="31" cm="1">
        <f t="array" ref="P117">P$110+IF($C117&lt;&gt;0,SUMPRODUCT((P$111:P$112)*TRANSPOSE(($D117:$E117))),0)</f>
        <v>38554580.000462562</v>
      </c>
      <c r="Q117" s="31" cm="1">
        <f t="array" ref="Q117">Q$110+IF($C117&lt;&gt;0,SUMPRODUCT((Q$111:Q$112)*TRANSPOSE(($D117:$E117))),0)</f>
        <v>49583718.529534414</v>
      </c>
      <c r="R117" s="31" cm="1">
        <f t="array" ref="R117">R$110+IF($C117&lt;&gt;0,SUMPRODUCT((R$111:R$112)*TRANSPOSE(($D117:$E117))),0)</f>
        <v>49583718.529534414</v>
      </c>
      <c r="S117" s="31" cm="1">
        <f t="array" ref="S117">S$110+IF($C117&lt;&gt;0,SUMPRODUCT((S$111:S$112)*TRANSPOSE(($D117:$E117))),0)</f>
        <v>49139220.312056541</v>
      </c>
      <c r="T117" s="31" cm="1">
        <f t="array" ref="T117">T$110+IF($C117&lt;&gt;0,SUMPRODUCT((T$111:T$112)*TRANSPOSE(($D117:$E117))),0)</f>
        <v>49139220.312056541</v>
      </c>
      <c r="U117" s="31" cm="1">
        <f t="array" ref="U117">U$110+IF($C117&lt;&gt;0,SUMPRODUCT((U$111:U$112)*TRANSPOSE(($D117:$E117))),0)</f>
        <v>49139220.312056541</v>
      </c>
      <c r="V117" s="31" cm="1">
        <f t="array" ref="V117">V$110+IF($C117&lt;&gt;0,SUMPRODUCT((V$111:V$112)*TRANSPOSE(($D117:$E117))),0)</f>
        <v>49139220.312056541</v>
      </c>
      <c r="W117" s="31" cm="1">
        <f t="array" ref="W117">W$110+IF($C117&lt;&gt;0,SUMPRODUCT((W$111:W$112)*TRANSPOSE(($D117:$E117))),0)</f>
        <v>49139220.312056541</v>
      </c>
      <c r="X117" s="31" cm="1">
        <f t="array" ref="X117">X$110+IF($C117&lt;&gt;0,SUMPRODUCT((X$111:X$112)*TRANSPOSE(($D117:$E117))),0)</f>
        <v>49139220.312056541</v>
      </c>
      <c r="Y117" s="31" cm="1">
        <f t="array" ref="Y117">Y$110+IF($C117&lt;&gt;0,SUMPRODUCT((Y$111:Y$112)*TRANSPOSE(($D117:$E117))),0)</f>
        <v>49139220.312056541</v>
      </c>
      <c r="Z117" s="31" cm="1">
        <f t="array" ref="Z117">Z$110+IF($C117&lt;&gt;0,SUMPRODUCT((Z$111:Z$112)*TRANSPOSE(($D117:$E117))),0)</f>
        <v>49139220.312056541</v>
      </c>
      <c r="AA117" s="31" cm="1">
        <f t="array" ref="AA117">AA$110+IF($C117&lt;&gt;0,SUMPRODUCT((AA$111:AA$112)*TRANSPOSE(($D117:$E117))),0)</f>
        <v>49139220.312056541</v>
      </c>
      <c r="AB117" s="31" cm="1">
        <f t="array" ref="AB117">AB$110+IF($C117&lt;&gt;0,SUMPRODUCT((AB$111:AB$112)*TRANSPOSE(($D117:$E117))),0)</f>
        <v>49139220.312056541</v>
      </c>
      <c r="AC117" s="31" cm="1">
        <f t="array" ref="AC117">AC$110+IF($C117&lt;&gt;0,SUMPRODUCT((AC$111:AC$112)*TRANSPOSE(($D117:$E117))),0)</f>
        <v>49139220.312056541</v>
      </c>
      <c r="AD117" s="31" cm="1">
        <f t="array" ref="AD117">AD$110+IF($C117&lt;&gt;0,SUMPRODUCT((AD$111:AD$112)*TRANSPOSE(($D117:$E117))),0)</f>
        <v>49139220.312056541</v>
      </c>
      <c r="AE117" s="31" cm="1">
        <f t="array" ref="AE117">AE$110+IF($C117&lt;&gt;0,SUMPRODUCT((AE$111:AE$112)*TRANSPOSE(($D117:$E117))),0)</f>
        <v>49139220.312056541</v>
      </c>
      <c r="AF117" s="31" cm="1">
        <f t="array" ref="AF117">AF$110+IF($C117&lt;&gt;0,SUMPRODUCT((AF$111:AF$112)*TRANSPOSE(($D117:$E117))),0)</f>
        <v>49139220.312056541</v>
      </c>
      <c r="AG117" s="31" cm="1">
        <f t="array" ref="AG117">AG$110+IF($C117&lt;&gt;0,SUMPRODUCT((AG$111:AG$112)*TRANSPOSE(($D117:$E117))),0)</f>
        <v>49139220.312056541</v>
      </c>
    </row>
    <row r="118" spans="1:33" x14ac:dyDescent="0.2">
      <c r="A118" s="1" t="str">
        <f>"sens"&amp;Assumptions!B115</f>
        <v>sens5</v>
      </c>
      <c r="C118" s="305" t="str">
        <f>Assumptions!C115</f>
        <v>Capex 10% higher &amp; Total benefits 10% lower</v>
      </c>
      <c r="D118" s="306">
        <f>Assumptions!G115</f>
        <v>0.1</v>
      </c>
      <c r="E118" s="306">
        <f>Assumptions!H115</f>
        <v>-0.1</v>
      </c>
      <c r="G118" s="38" t="str">
        <f t="shared" si="42"/>
        <v>Option 2sens5</v>
      </c>
      <c r="I118" s="31" cm="1">
        <f t="array" ref="I118">I$110+IF($C118&lt;&gt;0,SUMPRODUCT((I$111:I$112)*TRANSPOSE(($D118:$E118))),0)</f>
        <v>0</v>
      </c>
      <c r="J118" s="31" cm="1">
        <f t="array" ref="J118">J$110+IF($C118&lt;&gt;0,SUMPRODUCT((J$111:J$112)*TRANSPOSE(($D118:$E118))),0)</f>
        <v>5956034.6850746684</v>
      </c>
      <c r="K118" s="31" cm="1">
        <f t="array" ref="K118">K$110+IF($C118&lt;&gt;0,SUMPRODUCT((K$111:K$112)*TRANSPOSE(($D118:$E118))),0)</f>
        <v>7898943.1047906987</v>
      </c>
      <c r="L118" s="31" cm="1">
        <f t="array" ref="L118">L$110+IF($C118&lt;&gt;0,SUMPRODUCT((L$111:L$112)*TRANSPOSE(($D118:$E118))),0)</f>
        <v>8764613.6475495268</v>
      </c>
      <c r="M118" s="31" cm="1">
        <f t="array" ref="M118">M$110+IF($C118&lt;&gt;0,SUMPRODUCT((M$111:M$112)*TRANSPOSE(($D118:$E118))),0)</f>
        <v>10703839.277630456</v>
      </c>
      <c r="N118" s="31" cm="1">
        <f t="array" ref="N118">N$110+IF($C118&lt;&gt;0,SUMPRODUCT((N$111:N$112)*TRANSPOSE(($D118:$E118))),0)</f>
        <v>16923741.656099238</v>
      </c>
      <c r="O118" s="31" cm="1">
        <f t="array" ref="O118">O$110+IF($C118&lt;&gt;0,SUMPRODUCT((O$111:O$112)*TRANSPOSE(($D118:$E118))),0)</f>
        <v>27087090.079605766</v>
      </c>
      <c r="P118" s="31" cm="1">
        <f t="array" ref="P118">P$110+IF($C118&lt;&gt;0,SUMPRODUCT((P$111:P$112)*TRANSPOSE(($D118:$E118))),0)</f>
        <v>37991612.472348996</v>
      </c>
      <c r="Q118" s="31" cm="1">
        <f t="array" ref="Q118">Q$110+IF($C118&lt;&gt;0,SUMPRODUCT((Q$111:Q$112)*TRANSPOSE(($D118:$E118))),0)</f>
        <v>49020751.001420856</v>
      </c>
      <c r="R118" s="31" cm="1">
        <f t="array" ref="R118">R$110+IF($C118&lt;&gt;0,SUMPRODUCT((R$111:R$112)*TRANSPOSE(($D118:$E118))),0)</f>
        <v>49020751.001420856</v>
      </c>
      <c r="S118" s="31" cm="1">
        <f t="array" ref="S118">S$110+IF($C118&lt;&gt;0,SUMPRODUCT((S$111:S$112)*TRANSPOSE(($D118:$E118))),0)</f>
        <v>48531802.962195188</v>
      </c>
      <c r="T118" s="31" cm="1">
        <f t="array" ref="T118">T$110+IF($C118&lt;&gt;0,SUMPRODUCT((T$111:T$112)*TRANSPOSE(($D118:$E118))),0)</f>
        <v>48531802.962195188</v>
      </c>
      <c r="U118" s="31" cm="1">
        <f t="array" ref="U118">U$110+IF($C118&lt;&gt;0,SUMPRODUCT((U$111:U$112)*TRANSPOSE(($D118:$E118))),0)</f>
        <v>48531802.962195188</v>
      </c>
      <c r="V118" s="31" cm="1">
        <f t="array" ref="V118">V$110+IF($C118&lt;&gt;0,SUMPRODUCT((V$111:V$112)*TRANSPOSE(($D118:$E118))),0)</f>
        <v>48531802.962195188</v>
      </c>
      <c r="W118" s="31" cm="1">
        <f t="array" ref="W118">W$110+IF($C118&lt;&gt;0,SUMPRODUCT((W$111:W$112)*TRANSPOSE(($D118:$E118))),0)</f>
        <v>48531802.962195188</v>
      </c>
      <c r="X118" s="31" cm="1">
        <f t="array" ref="X118">X$110+IF($C118&lt;&gt;0,SUMPRODUCT((X$111:X$112)*TRANSPOSE(($D118:$E118))),0)</f>
        <v>48531802.962195188</v>
      </c>
      <c r="Y118" s="31" cm="1">
        <f t="array" ref="Y118">Y$110+IF($C118&lt;&gt;0,SUMPRODUCT((Y$111:Y$112)*TRANSPOSE(($D118:$E118))),0)</f>
        <v>48531802.962195188</v>
      </c>
      <c r="Z118" s="31" cm="1">
        <f t="array" ref="Z118">Z$110+IF($C118&lt;&gt;0,SUMPRODUCT((Z$111:Z$112)*TRANSPOSE(($D118:$E118))),0)</f>
        <v>48531802.962195188</v>
      </c>
      <c r="AA118" s="31" cm="1">
        <f t="array" ref="AA118">AA$110+IF($C118&lt;&gt;0,SUMPRODUCT((AA$111:AA$112)*TRANSPOSE(($D118:$E118))),0)</f>
        <v>48531802.962195188</v>
      </c>
      <c r="AB118" s="31" cm="1">
        <f t="array" ref="AB118">AB$110+IF($C118&lt;&gt;0,SUMPRODUCT((AB$111:AB$112)*TRANSPOSE(($D118:$E118))),0)</f>
        <v>48531802.962195188</v>
      </c>
      <c r="AC118" s="31" cm="1">
        <f t="array" ref="AC118">AC$110+IF($C118&lt;&gt;0,SUMPRODUCT((AC$111:AC$112)*TRANSPOSE(($D118:$E118))),0)</f>
        <v>48531802.962195188</v>
      </c>
      <c r="AD118" s="31" cm="1">
        <f t="array" ref="AD118">AD$110+IF($C118&lt;&gt;0,SUMPRODUCT((AD$111:AD$112)*TRANSPOSE(($D118:$E118))),0)</f>
        <v>48531802.962195188</v>
      </c>
      <c r="AE118" s="31" cm="1">
        <f t="array" ref="AE118">AE$110+IF($C118&lt;&gt;0,SUMPRODUCT((AE$111:AE$112)*TRANSPOSE(($D118:$E118))),0)</f>
        <v>48531802.962195188</v>
      </c>
      <c r="AF118" s="31" cm="1">
        <f t="array" ref="AF118">AF$110+IF($C118&lt;&gt;0,SUMPRODUCT((AF$111:AF$112)*TRANSPOSE(($D118:$E118))),0)</f>
        <v>48531802.962195188</v>
      </c>
      <c r="AG118" s="31" cm="1">
        <f t="array" ref="AG118">AG$110+IF($C118&lt;&gt;0,SUMPRODUCT((AG$111:AG$112)*TRANSPOSE(($D118:$E118))),0)</f>
        <v>48531802.962195188</v>
      </c>
    </row>
    <row r="119" spans="1:33" x14ac:dyDescent="0.2">
      <c r="A119" s="1" t="str">
        <f>"sens"&amp;Assumptions!B116</f>
        <v>sens</v>
      </c>
      <c r="C119" s="305">
        <f>Assumptions!C116</f>
        <v>0</v>
      </c>
      <c r="D119" s="306">
        <f>Assumptions!G116</f>
        <v>0</v>
      </c>
      <c r="E119" s="306">
        <f>Assumptions!H116</f>
        <v>0</v>
      </c>
      <c r="G119" s="38" t="str">
        <f t="shared" si="42"/>
        <v>Option 2sens</v>
      </c>
      <c r="I119" s="31" cm="1">
        <f t="array" ref="I119">I$110+IF($C119&lt;&gt;0,SUMPRODUCT((I$111:I$112)*TRANSPOSE(($D119:$E119))),0)</f>
        <v>0</v>
      </c>
      <c r="J119" s="31" cm="1">
        <f t="array" ref="J119">J$110+IF($C119&lt;&gt;0,SUMPRODUCT((J$111:J$112)*TRANSPOSE(($D119:$E119))),0)</f>
        <v>6881608.9997861441</v>
      </c>
      <c r="K119" s="31" cm="1">
        <f t="array" ref="K119">K$110+IF($C119&lt;&gt;0,SUMPRODUCT((K$111:K$112)*TRANSPOSE(($D119:$E119))),0)</f>
        <v>9220027.4695622995</v>
      </c>
      <c r="L119" s="31" cm="1">
        <f t="array" ref="L119">L$110+IF($C119&lt;&gt;0,SUMPRODUCT((L$111:L$112)*TRANSPOSE(($D119:$E119))),0)</f>
        <v>10483581.973344266</v>
      </c>
      <c r="M119" s="31" cm="1">
        <f t="array" ref="M119">M$110+IF($C119&lt;&gt;0,SUMPRODUCT((M$111:M$112)*TRANSPOSE(($D119:$E119))),0)</f>
        <v>13014255.471666526</v>
      </c>
      <c r="N119" s="31" cm="1">
        <f t="array" ref="N119">N$110+IF($C119&lt;&gt;0,SUMPRODUCT((N$111:N$112)*TRANSPOSE(($D119:$E119))),0)</f>
        <v>20055196.347029295</v>
      </c>
      <c r="O119" s="31" cm="1">
        <f t="array" ref="O119">O$110+IF($C119&lt;&gt;0,SUMPRODUCT((O$111:O$112)*TRANSPOSE(($D119:$E119))),0)</f>
        <v>31347805.706480995</v>
      </c>
      <c r="P119" s="31" cm="1">
        <f t="array" ref="P119">P$110+IF($C119&lt;&gt;0,SUMPRODUCT((P$111:P$112)*TRANSPOSE(($D119:$E119))),0)</f>
        <v>43463941.698417917</v>
      </c>
      <c r="Q119" s="31" cm="1">
        <f t="array" ref="Q119">Q$110+IF($C119&lt;&gt;0,SUMPRODUCT((Q$111:Q$112)*TRANSPOSE(($D119:$E119))),0)</f>
        <v>55718540.064053312</v>
      </c>
      <c r="R119" s="31" cm="1">
        <f t="array" ref="R119">R$110+IF($C119&lt;&gt;0,SUMPRODUCT((R$111:R$112)*TRANSPOSE(($D119:$E119))),0)</f>
        <v>55718540.064053312</v>
      </c>
      <c r="S119" s="31" cm="1">
        <f t="array" ref="S119">S$110+IF($C119&lt;&gt;0,SUMPRODUCT((S$111:S$112)*TRANSPOSE(($D119:$E119))),0)</f>
        <v>55274041.846575439</v>
      </c>
      <c r="T119" s="31" cm="1">
        <f t="array" ref="T119">T$110+IF($C119&lt;&gt;0,SUMPRODUCT((T$111:T$112)*TRANSPOSE(($D119:$E119))),0)</f>
        <v>55274041.846575439</v>
      </c>
      <c r="U119" s="31" cm="1">
        <f t="array" ref="U119">U$110+IF($C119&lt;&gt;0,SUMPRODUCT((U$111:U$112)*TRANSPOSE(($D119:$E119))),0)</f>
        <v>55274041.846575439</v>
      </c>
      <c r="V119" s="31" cm="1">
        <f t="array" ref="V119">V$110+IF($C119&lt;&gt;0,SUMPRODUCT((V$111:V$112)*TRANSPOSE(($D119:$E119))),0)</f>
        <v>55274041.846575439</v>
      </c>
      <c r="W119" s="31" cm="1">
        <f t="array" ref="W119">W$110+IF($C119&lt;&gt;0,SUMPRODUCT((W$111:W$112)*TRANSPOSE(($D119:$E119))),0)</f>
        <v>55274041.846575439</v>
      </c>
      <c r="X119" s="31" cm="1">
        <f t="array" ref="X119">X$110+IF($C119&lt;&gt;0,SUMPRODUCT((X$111:X$112)*TRANSPOSE(($D119:$E119))),0)</f>
        <v>55274041.846575439</v>
      </c>
      <c r="Y119" s="31" cm="1">
        <f t="array" ref="Y119">Y$110+IF($C119&lt;&gt;0,SUMPRODUCT((Y$111:Y$112)*TRANSPOSE(($D119:$E119))),0)</f>
        <v>55274041.846575439</v>
      </c>
      <c r="Z119" s="31" cm="1">
        <f t="array" ref="Z119">Z$110+IF($C119&lt;&gt;0,SUMPRODUCT((Z$111:Z$112)*TRANSPOSE(($D119:$E119))),0)</f>
        <v>55274041.846575439</v>
      </c>
      <c r="AA119" s="31" cm="1">
        <f t="array" ref="AA119">AA$110+IF($C119&lt;&gt;0,SUMPRODUCT((AA$111:AA$112)*TRANSPOSE(($D119:$E119))),0)</f>
        <v>55274041.846575439</v>
      </c>
      <c r="AB119" s="31" cm="1">
        <f t="array" ref="AB119">AB$110+IF($C119&lt;&gt;0,SUMPRODUCT((AB$111:AB$112)*TRANSPOSE(($D119:$E119))),0)</f>
        <v>55274041.846575439</v>
      </c>
      <c r="AC119" s="31" cm="1">
        <f t="array" ref="AC119">AC$110+IF($C119&lt;&gt;0,SUMPRODUCT((AC$111:AC$112)*TRANSPOSE(($D119:$E119))),0)</f>
        <v>55274041.846575439</v>
      </c>
      <c r="AD119" s="31" cm="1">
        <f t="array" ref="AD119">AD$110+IF($C119&lt;&gt;0,SUMPRODUCT((AD$111:AD$112)*TRANSPOSE(($D119:$E119))),0)</f>
        <v>55274041.846575439</v>
      </c>
      <c r="AE119" s="31" cm="1">
        <f t="array" ref="AE119">AE$110+IF($C119&lt;&gt;0,SUMPRODUCT((AE$111:AE$112)*TRANSPOSE(($D119:$E119))),0)</f>
        <v>55274041.846575439</v>
      </c>
      <c r="AF119" s="31" cm="1">
        <f t="array" ref="AF119">AF$110+IF($C119&lt;&gt;0,SUMPRODUCT((AF$111:AF$112)*TRANSPOSE(($D119:$E119))),0)</f>
        <v>55274041.846575439</v>
      </c>
      <c r="AG119" s="31" cm="1">
        <f t="array" ref="AG119">AG$110+IF($C119&lt;&gt;0,SUMPRODUCT((AG$111:AG$112)*TRANSPOSE(($D119:$E119))),0)</f>
        <v>55274041.846575439</v>
      </c>
    </row>
    <row r="120" spans="1:33" x14ac:dyDescent="0.2">
      <c r="A120" s="1" t="str">
        <f>"sens"&amp;Assumptions!B117</f>
        <v>sens</v>
      </c>
      <c r="C120" s="305">
        <f>Assumptions!C117</f>
        <v>0</v>
      </c>
      <c r="D120" s="306">
        <f>Assumptions!G117</f>
        <v>0</v>
      </c>
      <c r="E120" s="306">
        <f>Assumptions!H117</f>
        <v>0</v>
      </c>
      <c r="G120" s="38" t="str">
        <f t="shared" si="42"/>
        <v>Option 2sens</v>
      </c>
      <c r="I120" s="31" cm="1">
        <f t="array" ref="I120">I$110+IF($C120&lt;&gt;0,SUMPRODUCT((I$111:I$112)*TRANSPOSE(($D120:$E120))),0)</f>
        <v>0</v>
      </c>
      <c r="J120" s="31" cm="1">
        <f t="array" ref="J120">J$110+IF($C120&lt;&gt;0,SUMPRODUCT((J$111:J$112)*TRANSPOSE(($D120:$E120))),0)</f>
        <v>6881608.9997861441</v>
      </c>
      <c r="K120" s="31" cm="1">
        <f t="array" ref="K120">K$110+IF($C120&lt;&gt;0,SUMPRODUCT((K$111:K$112)*TRANSPOSE(($D120:$E120))),0)</f>
        <v>9220027.4695622995</v>
      </c>
      <c r="L120" s="31" cm="1">
        <f t="array" ref="L120">L$110+IF($C120&lt;&gt;0,SUMPRODUCT((L$111:L$112)*TRANSPOSE(($D120:$E120))),0)</f>
        <v>10483581.973344266</v>
      </c>
      <c r="M120" s="31" cm="1">
        <f t="array" ref="M120">M$110+IF($C120&lt;&gt;0,SUMPRODUCT((M$111:M$112)*TRANSPOSE(($D120:$E120))),0)</f>
        <v>13014255.471666526</v>
      </c>
      <c r="N120" s="31" cm="1">
        <f t="array" ref="N120">N$110+IF($C120&lt;&gt;0,SUMPRODUCT((N$111:N$112)*TRANSPOSE(($D120:$E120))),0)</f>
        <v>20055196.347029295</v>
      </c>
      <c r="O120" s="31" cm="1">
        <f t="array" ref="O120">O$110+IF($C120&lt;&gt;0,SUMPRODUCT((O$111:O$112)*TRANSPOSE(($D120:$E120))),0)</f>
        <v>31347805.706480995</v>
      </c>
      <c r="P120" s="31" cm="1">
        <f t="array" ref="P120">P$110+IF($C120&lt;&gt;0,SUMPRODUCT((P$111:P$112)*TRANSPOSE(($D120:$E120))),0)</f>
        <v>43463941.698417917</v>
      </c>
      <c r="Q120" s="31" cm="1">
        <f t="array" ref="Q120">Q$110+IF($C120&lt;&gt;0,SUMPRODUCT((Q$111:Q$112)*TRANSPOSE(($D120:$E120))),0)</f>
        <v>55718540.064053312</v>
      </c>
      <c r="R120" s="31" cm="1">
        <f t="array" ref="R120">R$110+IF($C120&lt;&gt;0,SUMPRODUCT((R$111:R$112)*TRANSPOSE(($D120:$E120))),0)</f>
        <v>55718540.064053312</v>
      </c>
      <c r="S120" s="31" cm="1">
        <f t="array" ref="S120">S$110+IF($C120&lt;&gt;0,SUMPRODUCT((S$111:S$112)*TRANSPOSE(($D120:$E120))),0)</f>
        <v>55274041.846575439</v>
      </c>
      <c r="T120" s="31" cm="1">
        <f t="array" ref="T120">T$110+IF($C120&lt;&gt;0,SUMPRODUCT((T$111:T$112)*TRANSPOSE(($D120:$E120))),0)</f>
        <v>55274041.846575439</v>
      </c>
      <c r="U120" s="31" cm="1">
        <f t="array" ref="U120">U$110+IF($C120&lt;&gt;0,SUMPRODUCT((U$111:U$112)*TRANSPOSE(($D120:$E120))),0)</f>
        <v>55274041.846575439</v>
      </c>
      <c r="V120" s="31" cm="1">
        <f t="array" ref="V120">V$110+IF($C120&lt;&gt;0,SUMPRODUCT((V$111:V$112)*TRANSPOSE(($D120:$E120))),0)</f>
        <v>55274041.846575439</v>
      </c>
      <c r="W120" s="31" cm="1">
        <f t="array" ref="W120">W$110+IF($C120&lt;&gt;0,SUMPRODUCT((W$111:W$112)*TRANSPOSE(($D120:$E120))),0)</f>
        <v>55274041.846575439</v>
      </c>
      <c r="X120" s="31" cm="1">
        <f t="array" ref="X120">X$110+IF($C120&lt;&gt;0,SUMPRODUCT((X$111:X$112)*TRANSPOSE(($D120:$E120))),0)</f>
        <v>55274041.846575439</v>
      </c>
      <c r="Y120" s="31" cm="1">
        <f t="array" ref="Y120">Y$110+IF($C120&lt;&gt;0,SUMPRODUCT((Y$111:Y$112)*TRANSPOSE(($D120:$E120))),0)</f>
        <v>55274041.846575439</v>
      </c>
      <c r="Z120" s="31" cm="1">
        <f t="array" ref="Z120">Z$110+IF($C120&lt;&gt;0,SUMPRODUCT((Z$111:Z$112)*TRANSPOSE(($D120:$E120))),0)</f>
        <v>55274041.846575439</v>
      </c>
      <c r="AA120" s="31" cm="1">
        <f t="array" ref="AA120">AA$110+IF($C120&lt;&gt;0,SUMPRODUCT((AA$111:AA$112)*TRANSPOSE(($D120:$E120))),0)</f>
        <v>55274041.846575439</v>
      </c>
      <c r="AB120" s="31" cm="1">
        <f t="array" ref="AB120">AB$110+IF($C120&lt;&gt;0,SUMPRODUCT((AB$111:AB$112)*TRANSPOSE(($D120:$E120))),0)</f>
        <v>55274041.846575439</v>
      </c>
      <c r="AC120" s="31" cm="1">
        <f t="array" ref="AC120">AC$110+IF($C120&lt;&gt;0,SUMPRODUCT((AC$111:AC$112)*TRANSPOSE(($D120:$E120))),0)</f>
        <v>55274041.846575439</v>
      </c>
      <c r="AD120" s="31" cm="1">
        <f t="array" ref="AD120">AD$110+IF($C120&lt;&gt;0,SUMPRODUCT((AD$111:AD$112)*TRANSPOSE(($D120:$E120))),0)</f>
        <v>55274041.846575439</v>
      </c>
      <c r="AE120" s="31" cm="1">
        <f t="array" ref="AE120">AE$110+IF($C120&lt;&gt;0,SUMPRODUCT((AE$111:AE$112)*TRANSPOSE(($D120:$E120))),0)</f>
        <v>55274041.846575439</v>
      </c>
      <c r="AF120" s="31" cm="1">
        <f t="array" ref="AF120">AF$110+IF($C120&lt;&gt;0,SUMPRODUCT((AF$111:AF$112)*TRANSPOSE(($D120:$E120))),0)</f>
        <v>55274041.846575439</v>
      </c>
      <c r="AG120" s="31" cm="1">
        <f t="array" ref="AG120">AG$110+IF($C120&lt;&gt;0,SUMPRODUCT((AG$111:AG$112)*TRANSPOSE(($D120:$E120))),0)</f>
        <v>55274041.846575439</v>
      </c>
    </row>
    <row r="121" spans="1:33" x14ac:dyDescent="0.2">
      <c r="A121" s="1" t="str">
        <f>"sens"&amp;Assumptions!B118</f>
        <v>sens</v>
      </c>
      <c r="C121" s="305">
        <f>Assumptions!C118</f>
        <v>0</v>
      </c>
      <c r="D121" s="306">
        <f>Assumptions!G118</f>
        <v>0</v>
      </c>
      <c r="E121" s="306">
        <f>Assumptions!H118</f>
        <v>0</v>
      </c>
      <c r="G121" s="38" t="str">
        <f t="shared" si="42"/>
        <v>Option 2sens</v>
      </c>
      <c r="I121" s="31" cm="1">
        <f t="array" ref="I121">I$110+IF($C121&lt;&gt;0,SUMPRODUCT((I$111:I$112)*TRANSPOSE(($D121:$E121))),0)</f>
        <v>0</v>
      </c>
      <c r="J121" s="31" cm="1">
        <f t="array" ref="J121">J$110+IF($C121&lt;&gt;0,SUMPRODUCT((J$111:J$112)*TRANSPOSE(($D121:$E121))),0)</f>
        <v>6881608.9997861441</v>
      </c>
      <c r="K121" s="31" cm="1">
        <f t="array" ref="K121">K$110+IF($C121&lt;&gt;0,SUMPRODUCT((K$111:K$112)*TRANSPOSE(($D121:$E121))),0)</f>
        <v>9220027.4695622995</v>
      </c>
      <c r="L121" s="31" cm="1">
        <f t="array" ref="L121">L$110+IF($C121&lt;&gt;0,SUMPRODUCT((L$111:L$112)*TRANSPOSE(($D121:$E121))),0)</f>
        <v>10483581.973344266</v>
      </c>
      <c r="M121" s="31" cm="1">
        <f t="array" ref="M121">M$110+IF($C121&lt;&gt;0,SUMPRODUCT((M$111:M$112)*TRANSPOSE(($D121:$E121))),0)</f>
        <v>13014255.471666526</v>
      </c>
      <c r="N121" s="31" cm="1">
        <f t="array" ref="N121">N$110+IF($C121&lt;&gt;0,SUMPRODUCT((N$111:N$112)*TRANSPOSE(($D121:$E121))),0)</f>
        <v>20055196.347029295</v>
      </c>
      <c r="O121" s="31" cm="1">
        <f t="array" ref="O121">O$110+IF($C121&lt;&gt;0,SUMPRODUCT((O$111:O$112)*TRANSPOSE(($D121:$E121))),0)</f>
        <v>31347805.706480995</v>
      </c>
      <c r="P121" s="31" cm="1">
        <f t="array" ref="P121">P$110+IF($C121&lt;&gt;0,SUMPRODUCT((P$111:P$112)*TRANSPOSE(($D121:$E121))),0)</f>
        <v>43463941.698417917</v>
      </c>
      <c r="Q121" s="31" cm="1">
        <f t="array" ref="Q121">Q$110+IF($C121&lt;&gt;0,SUMPRODUCT((Q$111:Q$112)*TRANSPOSE(($D121:$E121))),0)</f>
        <v>55718540.064053312</v>
      </c>
      <c r="R121" s="31" cm="1">
        <f t="array" ref="R121">R$110+IF($C121&lt;&gt;0,SUMPRODUCT((R$111:R$112)*TRANSPOSE(($D121:$E121))),0)</f>
        <v>55718540.064053312</v>
      </c>
      <c r="S121" s="31" cm="1">
        <f t="array" ref="S121">S$110+IF($C121&lt;&gt;0,SUMPRODUCT((S$111:S$112)*TRANSPOSE(($D121:$E121))),0)</f>
        <v>55274041.846575439</v>
      </c>
      <c r="T121" s="31" cm="1">
        <f t="array" ref="T121">T$110+IF($C121&lt;&gt;0,SUMPRODUCT((T$111:T$112)*TRANSPOSE(($D121:$E121))),0)</f>
        <v>55274041.846575439</v>
      </c>
      <c r="U121" s="31" cm="1">
        <f t="array" ref="U121">U$110+IF($C121&lt;&gt;0,SUMPRODUCT((U$111:U$112)*TRANSPOSE(($D121:$E121))),0)</f>
        <v>55274041.846575439</v>
      </c>
      <c r="V121" s="31" cm="1">
        <f t="array" ref="V121">V$110+IF($C121&lt;&gt;0,SUMPRODUCT((V$111:V$112)*TRANSPOSE(($D121:$E121))),0)</f>
        <v>55274041.846575439</v>
      </c>
      <c r="W121" s="31" cm="1">
        <f t="array" ref="W121">W$110+IF($C121&lt;&gt;0,SUMPRODUCT((W$111:W$112)*TRANSPOSE(($D121:$E121))),0)</f>
        <v>55274041.846575439</v>
      </c>
      <c r="X121" s="31" cm="1">
        <f t="array" ref="X121">X$110+IF($C121&lt;&gt;0,SUMPRODUCT((X$111:X$112)*TRANSPOSE(($D121:$E121))),0)</f>
        <v>55274041.846575439</v>
      </c>
      <c r="Y121" s="31" cm="1">
        <f t="array" ref="Y121">Y$110+IF($C121&lt;&gt;0,SUMPRODUCT((Y$111:Y$112)*TRANSPOSE(($D121:$E121))),0)</f>
        <v>55274041.846575439</v>
      </c>
      <c r="Z121" s="31" cm="1">
        <f t="array" ref="Z121">Z$110+IF($C121&lt;&gt;0,SUMPRODUCT((Z$111:Z$112)*TRANSPOSE(($D121:$E121))),0)</f>
        <v>55274041.846575439</v>
      </c>
      <c r="AA121" s="31" cm="1">
        <f t="array" ref="AA121">AA$110+IF($C121&lt;&gt;0,SUMPRODUCT((AA$111:AA$112)*TRANSPOSE(($D121:$E121))),0)</f>
        <v>55274041.846575439</v>
      </c>
      <c r="AB121" s="31" cm="1">
        <f t="array" ref="AB121">AB$110+IF($C121&lt;&gt;0,SUMPRODUCT((AB$111:AB$112)*TRANSPOSE(($D121:$E121))),0)</f>
        <v>55274041.846575439</v>
      </c>
      <c r="AC121" s="31" cm="1">
        <f t="array" ref="AC121">AC$110+IF($C121&lt;&gt;0,SUMPRODUCT((AC$111:AC$112)*TRANSPOSE(($D121:$E121))),0)</f>
        <v>55274041.846575439</v>
      </c>
      <c r="AD121" s="31" cm="1">
        <f t="array" ref="AD121">AD$110+IF($C121&lt;&gt;0,SUMPRODUCT((AD$111:AD$112)*TRANSPOSE(($D121:$E121))),0)</f>
        <v>55274041.846575439</v>
      </c>
      <c r="AE121" s="31" cm="1">
        <f t="array" ref="AE121">AE$110+IF($C121&lt;&gt;0,SUMPRODUCT((AE$111:AE$112)*TRANSPOSE(($D121:$E121))),0)</f>
        <v>55274041.846575439</v>
      </c>
      <c r="AF121" s="31" cm="1">
        <f t="array" ref="AF121">AF$110+IF($C121&lt;&gt;0,SUMPRODUCT((AF$111:AF$112)*TRANSPOSE(($D121:$E121))),0)</f>
        <v>55274041.846575439</v>
      </c>
      <c r="AG121" s="31" cm="1">
        <f t="array" ref="AG121">AG$110+IF($C121&lt;&gt;0,SUMPRODUCT((AG$111:AG$112)*TRANSPOSE(($D121:$E121))),0)</f>
        <v>55274041.846575439</v>
      </c>
    </row>
    <row r="122" spans="1:33" x14ac:dyDescent="0.2">
      <c r="E122" s="248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33" spans="9:12" x14ac:dyDescent="0.2">
      <c r="I133" s="253"/>
      <c r="J133" s="253"/>
      <c r="K133" s="253"/>
      <c r="L133" s="253"/>
    </row>
    <row r="134" spans="9:12" x14ac:dyDescent="0.2">
      <c r="I134" s="253"/>
      <c r="J134" s="253"/>
      <c r="K134" s="253"/>
      <c r="L134" s="253"/>
    </row>
    <row r="135" spans="9:12" x14ac:dyDescent="0.2">
      <c r="I135" s="253"/>
      <c r="J135" s="253"/>
      <c r="K135" s="253"/>
      <c r="L135" s="253"/>
    </row>
    <row r="136" spans="9:12" x14ac:dyDescent="0.2">
      <c r="I136" s="253"/>
      <c r="J136" s="253"/>
      <c r="K136" s="253"/>
      <c r="L136" s="253"/>
    </row>
    <row r="137" spans="9:12" x14ac:dyDescent="0.2">
      <c r="I137" s="253"/>
      <c r="J137" s="253"/>
      <c r="K137" s="253"/>
      <c r="L137" s="253"/>
    </row>
    <row r="138" spans="9:12" x14ac:dyDescent="0.2">
      <c r="I138" s="253"/>
      <c r="J138" s="253"/>
      <c r="K138" s="253"/>
      <c r="L138" s="253"/>
    </row>
    <row r="139" spans="9:12" x14ac:dyDescent="0.2">
      <c r="I139" s="253"/>
      <c r="J139" s="253"/>
      <c r="K139" s="253"/>
      <c r="L139" s="253"/>
    </row>
    <row r="140" spans="9:12" x14ac:dyDescent="0.2">
      <c r="I140" s="253"/>
      <c r="J140" s="253"/>
      <c r="K140" s="253"/>
      <c r="L140" s="253"/>
    </row>
  </sheetData>
  <conditionalFormatting sqref="E29">
    <cfRule type="expression" dxfId="11" priority="237">
      <formula>AND(SUM($I$28:$AG$28)&gt;0, $E$29=0)</formula>
    </cfRule>
  </conditionalFormatting>
  <conditionalFormatting sqref="E14:E17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21"/>
  <sheetViews>
    <sheetView showGridLines="0" zoomScale="90" zoomScaleNormal="90" workbookViewId="0">
      <pane xSplit="7" ySplit="10" topLeftCell="H11" activePane="bottomRight" state="frozen"/>
      <selection activeCell="E14" sqref="E14:K14"/>
      <selection pane="topRight" activeCell="E14" sqref="E14:K14"/>
      <selection pane="bottomLeft" activeCell="E14" sqref="E14:K14"/>
      <selection pane="bottomRight" activeCell="D11" sqref="D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Melton &amp; Wyndham Transformation Capacity Project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135</v>
      </c>
      <c r="B3" s="5"/>
      <c r="C3" s="204" t="str">
        <f>INDEX(Assumptions!$E$14:$E$18, MATCH(A3,_xlfn.ANCHORARRAY( Assumptions!$C$14),0))</f>
        <v>Northern capacity priority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252</v>
      </c>
      <c r="D14"/>
      <c r="E14" s="151">
        <v>50</v>
      </c>
      <c r="G14" s="211">
        <f>input_dollars</f>
        <v>45291</v>
      </c>
      <c r="H14" s="152"/>
      <c r="I14" s="32">
        <v>14291649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253</v>
      </c>
      <c r="D15"/>
      <c r="E15" s="151">
        <v>50</v>
      </c>
      <c r="G15" s="211">
        <f>input_dollars</f>
        <v>45291</v>
      </c>
      <c r="H15" s="2"/>
      <c r="I15" s="32">
        <v>13551742.666666666</v>
      </c>
      <c r="J15" s="32">
        <v>13551742.666666666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/>
      <c r="AG15" s="32"/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255</v>
      </c>
      <c r="D16"/>
      <c r="E16" s="151">
        <v>50</v>
      </c>
      <c r="G16" s="211">
        <f>input_dollars</f>
        <v>45291</v>
      </c>
      <c r="H16" s="2"/>
      <c r="I16" s="32">
        <v>0</v>
      </c>
      <c r="J16" s="32">
        <v>5291808.87</v>
      </c>
      <c r="K16" s="32">
        <v>17564061.240000002</v>
      </c>
      <c r="L16" s="32">
        <v>16105016.889999999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57" t="s">
        <v>254</v>
      </c>
      <c r="D17"/>
      <c r="E17" s="151">
        <v>50</v>
      </c>
      <c r="G17" s="211">
        <f>input_dollars</f>
        <v>45291</v>
      </c>
      <c r="H17" s="2"/>
      <c r="I17" s="32">
        <v>0</v>
      </c>
      <c r="J17" s="32">
        <v>0</v>
      </c>
      <c r="K17" s="32">
        <v>5408395.2999999998</v>
      </c>
      <c r="L17" s="32">
        <v>24162535.933333334</v>
      </c>
      <c r="M17" s="32">
        <v>22120559.43333333</v>
      </c>
      <c r="N17" s="32">
        <v>0</v>
      </c>
      <c r="O17" s="32">
        <v>0</v>
      </c>
      <c r="P17" s="32">
        <v>0</v>
      </c>
      <c r="Q17" s="32">
        <v>0</v>
      </c>
      <c r="R17" s="32">
        <v>10425980.333333332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/>
      <c r="AI17"/>
      <c r="AJ17"/>
      <c r="AK17"/>
      <c r="AL17"/>
      <c r="AM17"/>
      <c r="AN17"/>
      <c r="AO17"/>
      <c r="AP17"/>
      <c r="AQ17"/>
    </row>
    <row r="18" spans="1:43" x14ac:dyDescent="0.2">
      <c r="C18" s="1" t="s">
        <v>30</v>
      </c>
      <c r="G18" s="211">
        <f>input_dollars</f>
        <v>45291</v>
      </c>
      <c r="H18" s="107"/>
      <c r="I18" s="106">
        <f t="shared" ref="I18:Q18" si="0">SUM(I14:I17)</f>
        <v>27843391.666666664</v>
      </c>
      <c r="J18" s="106">
        <f t="shared" si="0"/>
        <v>18843551.536666665</v>
      </c>
      <c r="K18" s="106">
        <f t="shared" si="0"/>
        <v>22972456.540000003</v>
      </c>
      <c r="L18" s="106">
        <f t="shared" si="0"/>
        <v>40267552.82333333</v>
      </c>
      <c r="M18" s="106">
        <f t="shared" si="0"/>
        <v>22120559.43333333</v>
      </c>
      <c r="N18" s="106">
        <f t="shared" si="0"/>
        <v>0</v>
      </c>
      <c r="O18" s="106">
        <f t="shared" si="0"/>
        <v>0</v>
      </c>
      <c r="P18" s="106">
        <f t="shared" si="0"/>
        <v>0</v>
      </c>
      <c r="Q18" s="106">
        <f t="shared" si="0"/>
        <v>0</v>
      </c>
      <c r="R18" s="106">
        <f t="shared" ref="R18:AB18" si="1">SUM(R14:R17)</f>
        <v>10425980.333333332</v>
      </c>
      <c r="S18" s="106">
        <f t="shared" si="1"/>
        <v>0</v>
      </c>
      <c r="T18" s="106">
        <f t="shared" si="1"/>
        <v>0</v>
      </c>
      <c r="U18" s="106">
        <f t="shared" si="1"/>
        <v>0</v>
      </c>
      <c r="V18" s="106">
        <f t="shared" si="1"/>
        <v>0</v>
      </c>
      <c r="W18" s="106">
        <f t="shared" si="1"/>
        <v>0</v>
      </c>
      <c r="X18" s="106">
        <f t="shared" si="1"/>
        <v>0</v>
      </c>
      <c r="Y18" s="106">
        <f t="shared" si="1"/>
        <v>0</v>
      </c>
      <c r="Z18" s="106">
        <f t="shared" si="1"/>
        <v>0</v>
      </c>
      <c r="AA18" s="106">
        <f t="shared" si="1"/>
        <v>0</v>
      </c>
      <c r="AB18" s="106">
        <f t="shared" si="1"/>
        <v>0</v>
      </c>
      <c r="AC18" s="106">
        <f>SUM(AC14:AC17)</f>
        <v>0</v>
      </c>
      <c r="AD18" s="106">
        <f>SUM(AD14:AD17)</f>
        <v>0</v>
      </c>
      <c r="AE18" s="106">
        <f>SUM(AE14:AE17)</f>
        <v>0</v>
      </c>
      <c r="AF18" s="106">
        <f>SUM(AF14:AF17)</f>
        <v>0</v>
      </c>
      <c r="AG18" s="106">
        <f>SUM(AG14:AG17)</f>
        <v>0</v>
      </c>
      <c r="AH18"/>
    </row>
    <row r="19" spans="1:43" x14ac:dyDescent="0.2">
      <c r="C19"/>
      <c r="D19"/>
      <c r="E19"/>
      <c r="G19" s="2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2">
      <c r="C20" s="1" t="s">
        <v>31</v>
      </c>
      <c r="D20"/>
      <c r="E20"/>
      <c r="F20" s="107"/>
      <c r="G20" s="211">
        <f>input_dollars</f>
        <v>45291</v>
      </c>
      <c r="H20" s="107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/>
    </row>
    <row r="21" spans="1:43" x14ac:dyDescent="0.2">
      <c r="G21" s="209"/>
      <c r="AH21"/>
    </row>
    <row r="22" spans="1:43" x14ac:dyDescent="0.2">
      <c r="C22"/>
      <c r="D22"/>
      <c r="E22"/>
      <c r="G22" s="2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15" x14ac:dyDescent="0.2">
      <c r="A23" s="89" t="s">
        <v>150</v>
      </c>
      <c r="B23" s="89"/>
      <c r="C23" s="89"/>
      <c r="D23" s="89"/>
      <c r="E23" s="89"/>
      <c r="F23" s="89"/>
      <c r="G23" s="208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11"/>
      <c r="D24" s="111"/>
      <c r="E24" s="111"/>
      <c r="F24" s="111"/>
      <c r="G24" s="212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111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" t="s">
        <v>152</v>
      </c>
      <c r="D26" s="212"/>
      <c r="E26" s="111"/>
      <c r="F26" s="111"/>
      <c r="G26" s="212"/>
      <c r="H26" s="111"/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  <c r="O26" s="173">
        <v>0</v>
      </c>
      <c r="P26" s="173">
        <v>0</v>
      </c>
      <c r="Q26" s="173">
        <v>0</v>
      </c>
      <c r="R26" s="173">
        <v>0</v>
      </c>
      <c r="S26" s="173">
        <v>0</v>
      </c>
      <c r="T26" s="173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73">
        <v>0</v>
      </c>
      <c r="AA26" s="173">
        <v>0</v>
      </c>
      <c r="AB26" s="173">
        <v>0</v>
      </c>
      <c r="AC26" s="173">
        <v>0</v>
      </c>
      <c r="AD26" s="173">
        <v>0</v>
      </c>
      <c r="AE26" s="173">
        <v>0</v>
      </c>
      <c r="AF26" s="173">
        <v>0</v>
      </c>
      <c r="AG26" s="173">
        <v>0</v>
      </c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2"/>
      <c r="E27" s="111"/>
      <c r="F27" s="111"/>
      <c r="G27" s="212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123</v>
      </c>
      <c r="D28" s="209"/>
      <c r="E28"/>
      <c r="G28" s="211" t="s">
        <v>40</v>
      </c>
      <c r="H28"/>
      <c r="I28" s="172">
        <v>126.05320803874913</v>
      </c>
      <c r="J28" s="172">
        <v>22.535387606279876</v>
      </c>
      <c r="K28" s="172">
        <v>14.230099165183752</v>
      </c>
      <c r="L28" s="172">
        <v>21.27242968569043</v>
      </c>
      <c r="M28" s="172">
        <v>10.258058162366217</v>
      </c>
      <c r="N28" s="172">
        <v>6.6998225240176783</v>
      </c>
      <c r="O28" s="172">
        <v>12.531877647432331</v>
      </c>
      <c r="P28" s="172">
        <v>21.191275163287262</v>
      </c>
      <c r="Q28" s="172">
        <v>21.191275163287262</v>
      </c>
      <c r="R28" s="172">
        <v>21.191275163287262</v>
      </c>
      <c r="S28" s="172">
        <v>21.191275163287262</v>
      </c>
      <c r="T28" s="172">
        <v>21.191275163287262</v>
      </c>
      <c r="U28" s="172">
        <v>21.191275163287262</v>
      </c>
      <c r="V28" s="172">
        <v>21.191275163287262</v>
      </c>
      <c r="W28" s="172">
        <v>21.191275163287262</v>
      </c>
      <c r="X28" s="172">
        <v>21.191275163287262</v>
      </c>
      <c r="Y28" s="172">
        <v>21.191275163287262</v>
      </c>
      <c r="Z28" s="172">
        <v>21.191275163287262</v>
      </c>
      <c r="AA28" s="172">
        <v>21.191275163287262</v>
      </c>
      <c r="AB28" s="172">
        <v>21.191275163287262</v>
      </c>
      <c r="AC28" s="172">
        <v>21.191275163287262</v>
      </c>
      <c r="AD28" s="172">
        <v>21.191275163287262</v>
      </c>
      <c r="AE28" s="172">
        <v>21.191275163287262</v>
      </c>
      <c r="AF28" s="172">
        <v>21.191275163287262</v>
      </c>
      <c r="AG28" s="172">
        <v>21.191275163287262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124</v>
      </c>
      <c r="D29" s="209" t="s">
        <v>63</v>
      </c>
      <c r="E29" s="113">
        <f>Assumptions!H41*vcr_esc</f>
        <v>42566</v>
      </c>
      <c r="F29" s="242" t="str">
        <f>IF(AND(SUM(I28:AG28)&lt;&gt;0, E29=0), "!", "")</f>
        <v/>
      </c>
      <c r="G29" s="211">
        <f>input_dollars</f>
        <v>45291</v>
      </c>
      <c r="H29"/>
      <c r="I29" s="119">
        <f>I28*$E$29</f>
        <v>5365580.8533773953</v>
      </c>
      <c r="J29" s="119">
        <f t="shared" ref="J29:AG29" si="2">J28*$E$29</f>
        <v>959241.30884890922</v>
      </c>
      <c r="K29" s="119">
        <f t="shared" si="2"/>
        <v>605718.40106521163</v>
      </c>
      <c r="L29" s="119">
        <f t="shared" si="2"/>
        <v>905482.24200109881</v>
      </c>
      <c r="M29" s="119">
        <f t="shared" si="2"/>
        <v>436644.50373928039</v>
      </c>
      <c r="N29" s="119">
        <f t="shared" si="2"/>
        <v>285184.64555733651</v>
      </c>
      <c r="O29" s="119">
        <f t="shared" si="2"/>
        <v>533431.90394060465</v>
      </c>
      <c r="P29" s="119">
        <f t="shared" si="2"/>
        <v>902027.81860048557</v>
      </c>
      <c r="Q29" s="119">
        <f t="shared" si="2"/>
        <v>902027.81860048557</v>
      </c>
      <c r="R29" s="119">
        <f t="shared" si="2"/>
        <v>902027.81860048557</v>
      </c>
      <c r="S29" s="119">
        <f t="shared" si="2"/>
        <v>902027.81860048557</v>
      </c>
      <c r="T29" s="119">
        <f t="shared" si="2"/>
        <v>902027.81860048557</v>
      </c>
      <c r="U29" s="119">
        <f t="shared" si="2"/>
        <v>902027.81860048557</v>
      </c>
      <c r="V29" s="119">
        <f t="shared" si="2"/>
        <v>902027.81860048557</v>
      </c>
      <c r="W29" s="119">
        <f t="shared" si="2"/>
        <v>902027.81860048557</v>
      </c>
      <c r="X29" s="119">
        <f t="shared" si="2"/>
        <v>902027.81860048557</v>
      </c>
      <c r="Y29" s="119">
        <f t="shared" si="2"/>
        <v>902027.81860048557</v>
      </c>
      <c r="Z29" s="119">
        <f t="shared" si="2"/>
        <v>902027.81860048557</v>
      </c>
      <c r="AA29" s="119">
        <f t="shared" si="2"/>
        <v>902027.81860048557</v>
      </c>
      <c r="AB29" s="119">
        <f t="shared" si="2"/>
        <v>902027.81860048557</v>
      </c>
      <c r="AC29" s="119">
        <f t="shared" si="2"/>
        <v>902027.81860048557</v>
      </c>
      <c r="AD29" s="119">
        <f t="shared" si="2"/>
        <v>902027.81860048557</v>
      </c>
      <c r="AE29" s="119">
        <f t="shared" si="2"/>
        <v>902027.81860048557</v>
      </c>
      <c r="AF29" s="119">
        <f t="shared" si="2"/>
        <v>902027.81860048557</v>
      </c>
      <c r="AG29" s="119">
        <f t="shared" si="2"/>
        <v>902027.81860048557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10"/>
      <c r="E30"/>
      <c r="G30" s="21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114</v>
      </c>
      <c r="D31" s="209" t="s">
        <v>208</v>
      </c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116</v>
      </c>
      <c r="D32" s="210"/>
      <c r="E32"/>
      <c r="G32" s="211">
        <f>input_dollars</f>
        <v>45291</v>
      </c>
      <c r="H32" s="15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115</v>
      </c>
      <c r="D33" s="209" t="s">
        <v>208</v>
      </c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23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289" t="s">
        <v>173</v>
      </c>
      <c r="D35" s="210"/>
      <c r="E35"/>
      <c r="G35" s="211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10"/>
      <c r="E36"/>
      <c r="G36" s="21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172</v>
      </c>
      <c r="D37" s="222"/>
      <c r="E37" s="107"/>
      <c r="F37" s="3"/>
      <c r="G37" s="213"/>
      <c r="H37" s="107"/>
      <c r="I37" s="174">
        <f>SUM(I29:I35)</f>
        <v>5365580.8533773953</v>
      </c>
      <c r="J37" s="174">
        <f t="shared" ref="J37:AB37" si="3">SUM(J29:J35)</f>
        <v>959241.30884890922</v>
      </c>
      <c r="K37" s="174">
        <f t="shared" si="3"/>
        <v>605718.40106521163</v>
      </c>
      <c r="L37" s="174">
        <f t="shared" si="3"/>
        <v>905482.24200109881</v>
      </c>
      <c r="M37" s="174">
        <f t="shared" si="3"/>
        <v>436644.50373928039</v>
      </c>
      <c r="N37" s="174">
        <f t="shared" si="3"/>
        <v>285184.64555733651</v>
      </c>
      <c r="O37" s="174">
        <f t="shared" si="3"/>
        <v>533431.90394060465</v>
      </c>
      <c r="P37" s="174">
        <f t="shared" si="3"/>
        <v>902027.81860048557</v>
      </c>
      <c r="Q37" s="174">
        <f t="shared" si="3"/>
        <v>902027.81860048557</v>
      </c>
      <c r="R37" s="174">
        <f t="shared" si="3"/>
        <v>902027.81860048557</v>
      </c>
      <c r="S37" s="174">
        <f t="shared" si="3"/>
        <v>902027.81860048557</v>
      </c>
      <c r="T37" s="174">
        <f t="shared" si="3"/>
        <v>902027.81860048557</v>
      </c>
      <c r="U37" s="174">
        <f t="shared" si="3"/>
        <v>902027.81860048557</v>
      </c>
      <c r="V37" s="174">
        <f t="shared" si="3"/>
        <v>902027.81860048557</v>
      </c>
      <c r="W37" s="174">
        <f t="shared" si="3"/>
        <v>902027.81860048557</v>
      </c>
      <c r="X37" s="174">
        <f t="shared" si="3"/>
        <v>902027.81860048557</v>
      </c>
      <c r="Y37" s="174">
        <f t="shared" si="3"/>
        <v>902027.81860048557</v>
      </c>
      <c r="Z37" s="174">
        <f t="shared" si="3"/>
        <v>902027.81860048557</v>
      </c>
      <c r="AA37" s="174">
        <f t="shared" si="3"/>
        <v>902027.81860048557</v>
      </c>
      <c r="AB37" s="174">
        <f t="shared" si="3"/>
        <v>902027.81860048557</v>
      </c>
      <c r="AC37" s="174">
        <f>SUM(AC29:AC35)</f>
        <v>902027.81860048557</v>
      </c>
      <c r="AD37" s="174">
        <f>SUM(AD29:AD35)</f>
        <v>902027.81860048557</v>
      </c>
      <c r="AE37" s="174">
        <f>SUM(AE29:AE35)</f>
        <v>902027.81860048557</v>
      </c>
      <c r="AF37" s="174">
        <f>SUM(AF29:AF35)</f>
        <v>902027.81860048557</v>
      </c>
      <c r="AG37" s="174">
        <f>SUM(AG29:AG35)</f>
        <v>902027.81860048557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1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56</v>
      </c>
      <c r="B39" s="89"/>
      <c r="C39" s="89"/>
      <c r="D39" s="89"/>
      <c r="E39" s="89"/>
      <c r="F39" s="89"/>
      <c r="G39" s="20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59</v>
      </c>
      <c r="G42" s="209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/>
    </row>
    <row r="43" spans="1:16372" ht="13.5" x14ac:dyDescent="0.25">
      <c r="C43" s="1" t="s">
        <v>129</v>
      </c>
      <c r="G43" s="209" t="s">
        <v>104</v>
      </c>
      <c r="I43" s="85">
        <f t="shared" ref="I43:AG43" si="4">I42*I7</f>
        <v>0</v>
      </c>
      <c r="J43" s="85">
        <f t="shared" si="4"/>
        <v>0</v>
      </c>
      <c r="K43" s="85">
        <f t="shared" si="4"/>
        <v>0</v>
      </c>
      <c r="L43" s="85">
        <f t="shared" si="4"/>
        <v>0</v>
      </c>
      <c r="M43" s="85">
        <f t="shared" si="4"/>
        <v>0</v>
      </c>
      <c r="N43" s="85">
        <f t="shared" si="4"/>
        <v>0</v>
      </c>
      <c r="O43" s="85">
        <f t="shared" si="4"/>
        <v>0</v>
      </c>
      <c r="P43" s="85">
        <f t="shared" si="4"/>
        <v>0</v>
      </c>
      <c r="Q43" s="85">
        <f t="shared" si="4"/>
        <v>0</v>
      </c>
      <c r="R43" s="85">
        <f t="shared" si="4"/>
        <v>0</v>
      </c>
      <c r="S43" s="85">
        <f t="shared" si="4"/>
        <v>0</v>
      </c>
      <c r="T43" s="85">
        <f t="shared" si="4"/>
        <v>0</v>
      </c>
      <c r="U43" s="85">
        <f t="shared" si="4"/>
        <v>0</v>
      </c>
      <c r="V43" s="85">
        <f t="shared" si="4"/>
        <v>0</v>
      </c>
      <c r="W43" s="85">
        <f t="shared" si="4"/>
        <v>0</v>
      </c>
      <c r="X43" s="85">
        <f t="shared" si="4"/>
        <v>0</v>
      </c>
      <c r="Y43" s="85">
        <f t="shared" si="4"/>
        <v>0</v>
      </c>
      <c r="Z43" s="85">
        <f t="shared" si="4"/>
        <v>0</v>
      </c>
      <c r="AA43" s="85">
        <f t="shared" si="4"/>
        <v>0</v>
      </c>
      <c r="AB43" s="85">
        <f t="shared" si="4"/>
        <v>0</v>
      </c>
      <c r="AC43" s="85">
        <f t="shared" si="4"/>
        <v>0</v>
      </c>
      <c r="AD43" s="85">
        <f t="shared" si="4"/>
        <v>0</v>
      </c>
      <c r="AE43" s="85">
        <f t="shared" si="4"/>
        <v>0</v>
      </c>
      <c r="AF43" s="85">
        <f t="shared" si="4"/>
        <v>0</v>
      </c>
      <c r="AG43" s="85">
        <f t="shared" si="4"/>
        <v>0</v>
      </c>
      <c r="AH43"/>
    </row>
    <row r="44" spans="1:16372" x14ac:dyDescent="0.2">
      <c r="D44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10"/>
      <c r="E45"/>
      <c r="G45" s="21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9" t="s">
        <v>63</v>
      </c>
      <c r="E46" s="113">
        <f>Assumptions!G94</f>
        <v>151432.81740793545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4</v>
      </c>
      <c r="D47" s="209" t="s">
        <v>63</v>
      </c>
      <c r="E47" s="113">
        <f>Assumptions!G95</f>
        <v>24590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5</v>
      </c>
      <c r="D48" s="209" t="s">
        <v>63</v>
      </c>
      <c r="E48" s="112">
        <f>Assumptions!G96</f>
        <v>88.357719508603083</v>
      </c>
      <c r="G48" s="211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15</v>
      </c>
      <c r="D49" s="209" t="s">
        <v>126</v>
      </c>
      <c r="E49" s="112">
        <f>Assumptions!G97</f>
        <v>0</v>
      </c>
      <c r="G49" s="211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203</v>
      </c>
      <c r="D50" s="209" t="s">
        <v>206</v>
      </c>
      <c r="E50" s="112">
        <f>Assumptions!G98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204</v>
      </c>
      <c r="D51" s="209" t="s">
        <v>206</v>
      </c>
      <c r="E51" s="112">
        <f>Assumptions!G99</f>
        <v>0.35181336539087127</v>
      </c>
      <c r="G51" s="211" t="s">
        <v>207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6</v>
      </c>
      <c r="D52" s="209" t="s">
        <v>126</v>
      </c>
      <c r="E52" s="112">
        <f>Assumptions!G100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C53" s="1" t="s">
        <v>7</v>
      </c>
      <c r="D53" s="209" t="s">
        <v>126</v>
      </c>
      <c r="E53" s="112">
        <f>Assumptions!G101</f>
        <v>0</v>
      </c>
      <c r="G53" s="211" t="s">
        <v>205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/>
    </row>
    <row r="54" spans="1:43" x14ac:dyDescent="0.2">
      <c r="D54" s="209"/>
      <c r="G54" s="211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/>
    </row>
    <row r="55" spans="1:43" x14ac:dyDescent="0.2">
      <c r="C55" s="1" t="s">
        <v>117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C56" s="1" t="s">
        <v>118</v>
      </c>
      <c r="D56" s="209"/>
      <c r="G56" s="211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/>
    </row>
    <row r="57" spans="1:43" x14ac:dyDescent="0.2">
      <c r="D57" s="209"/>
      <c r="G57" s="209"/>
      <c r="AH57"/>
    </row>
    <row r="58" spans="1:43" x14ac:dyDescent="0.2">
      <c r="C58" s="3" t="s">
        <v>125</v>
      </c>
      <c r="D58" s="222"/>
      <c r="E58" s="107"/>
      <c r="F58" s="3"/>
      <c r="G58" s="214">
        <f>input_dollars</f>
        <v>45291</v>
      </c>
      <c r="H58" s="107"/>
      <c r="I58" s="174" cm="1">
        <f t="array" ref="I58">SUMPRODUCT((I$46:I$53)*($E$46:$E$53))+SUM(I55:I56)+I43</f>
        <v>0</v>
      </c>
      <c r="J58" s="174" cm="1">
        <f t="array" ref="J58">SUMPRODUCT((J$46:J$53)*($E$46:$E$53))+SUM(J55:J56)+J43</f>
        <v>0</v>
      </c>
      <c r="K58" s="174" cm="1">
        <f t="array" ref="K58">SUMPRODUCT((K$46:K$53)*($E$46:$E$53))+SUM(K55:K56)+K43</f>
        <v>0</v>
      </c>
      <c r="L58" s="174" cm="1">
        <f t="array" ref="L58">SUMPRODUCT((L$46:L$53)*($E$46:$E$53))+SUM(L55:L56)+L43</f>
        <v>0</v>
      </c>
      <c r="M58" s="174" cm="1">
        <f t="array" ref="M58">SUMPRODUCT((M$46:M$53)*($E$46:$E$53))+SUM(M55:M56)+M43</f>
        <v>0</v>
      </c>
      <c r="N58" s="174" cm="1">
        <f t="array" ref="N58">SUMPRODUCT((N$46:N$53)*($E$46:$E$53))+SUM(N55:N56)+N43</f>
        <v>0</v>
      </c>
      <c r="O58" s="174" cm="1">
        <f t="array" ref="O58">SUMPRODUCT((O$46:O$53)*($E$46:$E$53))+SUM(O55:O56)+O43</f>
        <v>0</v>
      </c>
      <c r="P58" s="174" cm="1">
        <f t="array" ref="P58">SUMPRODUCT((P$46:P$53)*($E$46:$E$53))+SUM(P55:P56)+P43</f>
        <v>0</v>
      </c>
      <c r="Q58" s="174" cm="1">
        <f t="array" ref="Q58">SUMPRODUCT((Q$46:Q$53)*($E$46:$E$53))+SUM(Q55:Q56)+Q43</f>
        <v>0</v>
      </c>
      <c r="R58" s="174" cm="1">
        <f t="array" ref="R58">SUMPRODUCT((R$46:R$53)*($E$46:$E$53))+SUM(R55:R56)+R43</f>
        <v>0</v>
      </c>
      <c r="S58" s="174" cm="1">
        <f t="array" ref="S58">SUMPRODUCT((S$46:S$53)*($E$46:$E$53))+SUM(S55:S56)+S43</f>
        <v>0</v>
      </c>
      <c r="T58" s="174" cm="1">
        <f t="array" ref="T58">SUMPRODUCT((T$46:T$53)*($E$46:$E$53))+SUM(T55:T56)+T43</f>
        <v>0</v>
      </c>
      <c r="U58" s="174" cm="1">
        <f t="array" ref="U58">SUMPRODUCT((U$46:U$53)*($E$46:$E$53))+SUM(U55:U56)+U43</f>
        <v>0</v>
      </c>
      <c r="V58" s="174" cm="1">
        <f t="array" ref="V58">SUMPRODUCT((V$46:V$53)*($E$46:$E$53))+SUM(V55:V56)+V43</f>
        <v>0</v>
      </c>
      <c r="W58" s="174" cm="1">
        <f t="array" ref="W58">SUMPRODUCT((W$46:W$53)*($E$46:$E$53))+SUM(W55:W56)+W43</f>
        <v>0</v>
      </c>
      <c r="X58" s="174" cm="1">
        <f t="array" ref="X58">SUMPRODUCT((X$46:X$53)*($E$46:$E$53))+SUM(X55:X56)+X43</f>
        <v>0</v>
      </c>
      <c r="Y58" s="174" cm="1">
        <f t="array" ref="Y58">SUMPRODUCT((Y$46:Y$53)*($E$46:$E$53))+SUM(Y55:Y56)+Y43</f>
        <v>0</v>
      </c>
      <c r="Z58" s="174" cm="1">
        <f t="array" ref="Z58">SUMPRODUCT((Z$46:Z$53)*($E$46:$E$53))+SUM(Z55:Z56)+Z43</f>
        <v>0</v>
      </c>
      <c r="AA58" s="174" cm="1">
        <f t="array" ref="AA58">SUMPRODUCT((AA$46:AA$53)*($E$46:$E$53))+SUM(AA55:AA56)+AA43</f>
        <v>0</v>
      </c>
      <c r="AB58" s="174" cm="1">
        <f t="array" ref="AB58">SUMPRODUCT((AB$46:AB$53)*($E$46:$E$53))+SUM(AB55:AB56)+AB43</f>
        <v>0</v>
      </c>
      <c r="AC58" s="174" cm="1">
        <f t="array" ref="AC58">SUMPRODUCT((AC$46:AC$53)*($E$46:$E$53))+SUM(AC55:AC56)+AC43</f>
        <v>0</v>
      </c>
      <c r="AD58" s="174" cm="1">
        <f t="array" ref="AD58">SUMPRODUCT((AD$46:AD$53)*($E$46:$E$53))+SUM(AD55:AD56)+AD43</f>
        <v>0</v>
      </c>
      <c r="AE58" s="174" cm="1">
        <f t="array" ref="AE58">SUMPRODUCT((AE$46:AE$53)*($E$46:$E$53))+SUM(AE55:AE56)+AE43</f>
        <v>0</v>
      </c>
      <c r="AF58" s="174" cm="1">
        <f t="array" ref="AF58">SUMPRODUCT((AF$46:AF$53)*($E$46:$E$53))+SUM(AF55:AF56)+AF43</f>
        <v>0</v>
      </c>
      <c r="AG58" s="174" cm="1">
        <f t="array" ref="AG58">SUMPRODUCT((AG$46:AG$53)*($E$46:$E$53))+SUM(AG55:AG56)+AG43</f>
        <v>0</v>
      </c>
      <c r="AH58"/>
    </row>
    <row r="59" spans="1:43" x14ac:dyDescent="0.2">
      <c r="D59" s="209"/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x14ac:dyDescent="0.2">
      <c r="G60" s="209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8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5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C64" s="4"/>
      <c r="F64" s="2"/>
      <c r="G64" s="216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/>
    </row>
    <row r="65" spans="1:34" x14ac:dyDescent="0.2">
      <c r="C65" s="4" t="str">
        <f>'Option1 (base case)'!C65</f>
        <v>Risks mitigated vs base case</v>
      </c>
      <c r="G65" s="214">
        <f>input_dollars</f>
        <v>45291</v>
      </c>
      <c r="I65" s="135">
        <f>(1-INDEX(Data!$C$9:$C$13, MATCH($A$3, options,0)))*('Option1 (base case)'!I37-I37)</f>
        <v>0</v>
      </c>
      <c r="J65" s="135">
        <f>(1-INDEX(Data!$C$9:$C$13, MATCH($A$3, options,0)))*('Option1 (base case)'!J37-J37)</f>
        <v>8068753.4449888254</v>
      </c>
      <c r="K65" s="135">
        <f>(1-INDEX(Data!$C$9:$C$13, MATCH($A$3, options,0)))*('Option1 (base case)'!K37-K37)</f>
        <v>11215677.23834095</v>
      </c>
      <c r="L65" s="135">
        <f>(1-INDEX(Data!$C$9:$C$13, MATCH($A$3, options,0)))*('Option1 (base case)'!L37-L37)</f>
        <v>13837146.203154052</v>
      </c>
      <c r="M65" s="135">
        <f>(1-INDEX(Data!$C$9:$C$13, MATCH($A$3, options,0)))*('Option1 (base case)'!M37-M37)</f>
        <v>18464118.870036911</v>
      </c>
      <c r="N65" s="135">
        <f>(1-INDEX(Data!$C$9:$C$13, MATCH($A$3, options,0)))*('Option1 (base case)'!N37-N37)</f>
        <v>25697271.362018894</v>
      </c>
      <c r="O65" s="135">
        <f>(1-INDEX(Data!$C$9:$C$13, MATCH($A$3, options,0)))*('Option1 (base case)'!O37-O37)</f>
        <v>36933038.346851803</v>
      </c>
      <c r="P65" s="135">
        <f>(1-INDEX(Data!$C$9:$C$13, MATCH($A$3, options,0)))*('Option1 (base case)'!P37-P37)</f>
        <v>48926380.760297574</v>
      </c>
      <c r="Q65" s="135">
        <f>(1-INDEX(Data!$C$9:$C$13, MATCH($A$3, options,0)))*('Option1 (base case)'!Q37-Q37)</f>
        <v>61180979.125932969</v>
      </c>
      <c r="R65" s="135">
        <f>(1-INDEX(Data!$C$9:$C$13, MATCH($A$3, options,0)))*('Option1 (base case)'!R37-R37)</f>
        <v>61180979.125932969</v>
      </c>
      <c r="S65" s="135">
        <f>(1-INDEX(Data!$C$9:$C$13, MATCH($A$3, options,0)))*('Option1 (base case)'!S37-S37)</f>
        <v>61180979.125932969</v>
      </c>
      <c r="T65" s="135">
        <f>(1-INDEX(Data!$C$9:$C$13, MATCH($A$3, options,0)))*('Option1 (base case)'!T37-T37)</f>
        <v>61180979.125932969</v>
      </c>
      <c r="U65" s="135">
        <f>(1-INDEX(Data!$C$9:$C$13, MATCH($A$3, options,0)))*('Option1 (base case)'!U37-U37)</f>
        <v>61180979.125932969</v>
      </c>
      <c r="V65" s="135">
        <f>(1-INDEX(Data!$C$9:$C$13, MATCH($A$3, options,0)))*('Option1 (base case)'!V37-V37)</f>
        <v>61180979.125932969</v>
      </c>
      <c r="W65" s="135">
        <f>(1-INDEX(Data!$C$9:$C$13, MATCH($A$3, options,0)))*('Option1 (base case)'!W37-W37)</f>
        <v>61180979.125932969</v>
      </c>
      <c r="X65" s="135">
        <f>(1-INDEX(Data!$C$9:$C$13, MATCH($A$3, options,0)))*('Option1 (base case)'!X37-X37)</f>
        <v>61180979.125932969</v>
      </c>
      <c r="Y65" s="135">
        <f>(1-INDEX(Data!$C$9:$C$13, MATCH($A$3, options,0)))*('Option1 (base case)'!Y37-Y37)</f>
        <v>61180979.125932969</v>
      </c>
      <c r="Z65" s="135">
        <f>(1-INDEX(Data!$C$9:$C$13, MATCH($A$3, options,0)))*('Option1 (base case)'!Z37-Z37)</f>
        <v>61180979.125932969</v>
      </c>
      <c r="AA65" s="135">
        <f>(1-INDEX(Data!$C$9:$C$13, MATCH($A$3, options,0)))*('Option1 (base case)'!AA37-AA37)</f>
        <v>61180979.125932969</v>
      </c>
      <c r="AB65" s="135">
        <f>(1-INDEX(Data!$C$9:$C$13, MATCH($A$3, options,0)))*('Option1 (base case)'!AB37-AB37)</f>
        <v>61180979.125932969</v>
      </c>
      <c r="AC65" s="135">
        <f>(1-INDEX(Data!$C$9:$C$13, MATCH($A$3, options,0)))*('Option1 (base case)'!AC37-AC37)</f>
        <v>61180979.125932969</v>
      </c>
      <c r="AD65" s="135">
        <f>(1-INDEX(Data!$C$9:$C$13, MATCH($A$3, options,0)))*('Option1 (base case)'!AD37-AD37)</f>
        <v>61180979.125932969</v>
      </c>
      <c r="AE65" s="135">
        <f>(1-INDEX(Data!$C$9:$C$13, MATCH($A$3, options,0)))*('Option1 (base case)'!AE37-AE37)</f>
        <v>61180979.125932969</v>
      </c>
      <c r="AF65" s="135">
        <f>(1-INDEX(Data!$C$9:$C$13, MATCH($A$3, options,0)))*('Option1 (base case)'!AF37-AF37)</f>
        <v>61180979.125932969</v>
      </c>
      <c r="AG65" s="135">
        <f>(1-INDEX(Data!$C$9:$C$13, MATCH($A$3, options,0)))*('Option1 (base case)'!AG37-AG37)</f>
        <v>61180979.125932969</v>
      </c>
      <c r="AH65"/>
    </row>
    <row r="66" spans="1:34" x14ac:dyDescent="0.2">
      <c r="G66" s="216"/>
      <c r="AH66"/>
    </row>
    <row r="67" spans="1:34" x14ac:dyDescent="0.2">
      <c r="A67" s="8"/>
      <c r="B67" s="8"/>
      <c r="C67" s="150" t="s">
        <v>30</v>
      </c>
      <c r="D67" s="38"/>
      <c r="F67" s="97"/>
      <c r="G67" s="21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x14ac:dyDescent="0.2">
      <c r="A68" s="8"/>
      <c r="B68" s="8"/>
      <c r="C68" s="4" t="str">
        <f>C14</f>
        <v>MTC 3rd Tx</v>
      </c>
      <c r="D68" s="38"/>
      <c r="F68" s="97"/>
      <c r="G68" s="214">
        <f>input_dollars</f>
        <v>45291</v>
      </c>
      <c r="H68" s="31"/>
      <c r="I68" s="119">
        <f t="shared" ref="I68:AG71" si="5">-I14</f>
        <v>-14291649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 t="str">
        <f>C15</f>
        <v>BMH Rebuild</v>
      </c>
      <c r="D69" s="38"/>
      <c r="F69" s="97"/>
      <c r="G69" s="214">
        <f>input_dollars</f>
        <v>45291</v>
      </c>
      <c r="H69" s="31"/>
      <c r="I69" s="119">
        <f t="shared" si="5"/>
        <v>-13551742.666666666</v>
      </c>
      <c r="J69" s="119">
        <f t="shared" si="5"/>
        <v>-13551742.666666666</v>
      </c>
      <c r="K69" s="119">
        <f t="shared" si="5"/>
        <v>0</v>
      </c>
      <c r="L69" s="119">
        <f t="shared" si="5"/>
        <v>0</v>
      </c>
      <c r="M69" s="119">
        <f t="shared" si="5"/>
        <v>0</v>
      </c>
      <c r="N69" s="119">
        <f t="shared" si="5"/>
        <v>0</v>
      </c>
      <c r="O69" s="119">
        <f t="shared" si="5"/>
        <v>0</v>
      </c>
      <c r="P69" s="119">
        <f t="shared" si="5"/>
        <v>0</v>
      </c>
      <c r="Q69" s="119">
        <f t="shared" si="5"/>
        <v>0</v>
      </c>
      <c r="R69" s="119">
        <f t="shared" si="5"/>
        <v>0</v>
      </c>
      <c r="S69" s="119">
        <f t="shared" si="5"/>
        <v>0</v>
      </c>
      <c r="T69" s="119">
        <f t="shared" si="5"/>
        <v>0</v>
      </c>
      <c r="U69" s="119">
        <f t="shared" si="5"/>
        <v>0</v>
      </c>
      <c r="V69" s="119">
        <f t="shared" si="5"/>
        <v>0</v>
      </c>
      <c r="W69" s="119">
        <f t="shared" si="5"/>
        <v>0</v>
      </c>
      <c r="X69" s="119">
        <f t="shared" si="5"/>
        <v>0</v>
      </c>
      <c r="Y69" s="119">
        <f t="shared" si="5"/>
        <v>0</v>
      </c>
      <c r="Z69" s="119">
        <f t="shared" si="5"/>
        <v>0</v>
      </c>
      <c r="AA69" s="119">
        <f t="shared" si="5"/>
        <v>0</v>
      </c>
      <c r="AB69" s="119">
        <f t="shared" si="5"/>
        <v>0</v>
      </c>
      <c r="AC69" s="119">
        <f t="shared" si="5"/>
        <v>0</v>
      </c>
      <c r="AD69" s="119">
        <f t="shared" si="5"/>
        <v>0</v>
      </c>
      <c r="AE69" s="119">
        <f t="shared" si="5"/>
        <v>0</v>
      </c>
      <c r="AF69" s="119">
        <f t="shared" si="5"/>
        <v>0</v>
      </c>
      <c r="AG69" s="119">
        <f t="shared" si="5"/>
        <v>0</v>
      </c>
      <c r="AH69"/>
    </row>
    <row r="70" spans="1:34" x14ac:dyDescent="0.2">
      <c r="A70" s="8"/>
      <c r="B70" s="8"/>
      <c r="C70" s="4" t="str">
        <f>C16</f>
        <v>New RBE ZSS</v>
      </c>
      <c r="D70" s="38"/>
      <c r="F70" s="97"/>
      <c r="G70" s="214">
        <f>input_dollars</f>
        <v>45291</v>
      </c>
      <c r="H70" s="31"/>
      <c r="I70" s="119">
        <f t="shared" si="5"/>
        <v>0</v>
      </c>
      <c r="J70" s="119">
        <f t="shared" si="5"/>
        <v>-5291808.87</v>
      </c>
      <c r="K70" s="119">
        <f t="shared" si="5"/>
        <v>-17564061.240000002</v>
      </c>
      <c r="L70" s="119">
        <f t="shared" si="5"/>
        <v>-16105016.889999999</v>
      </c>
      <c r="M70" s="119">
        <f t="shared" si="5"/>
        <v>0</v>
      </c>
      <c r="N70" s="119">
        <f t="shared" si="5"/>
        <v>0</v>
      </c>
      <c r="O70" s="119">
        <f t="shared" si="5"/>
        <v>0</v>
      </c>
      <c r="P70" s="119">
        <f t="shared" si="5"/>
        <v>0</v>
      </c>
      <c r="Q70" s="119">
        <f t="shared" si="5"/>
        <v>0</v>
      </c>
      <c r="R70" s="119">
        <f t="shared" si="5"/>
        <v>0</v>
      </c>
      <c r="S70" s="119">
        <f t="shared" si="5"/>
        <v>0</v>
      </c>
      <c r="T70" s="119">
        <f t="shared" si="5"/>
        <v>0</v>
      </c>
      <c r="U70" s="119">
        <f t="shared" si="5"/>
        <v>0</v>
      </c>
      <c r="V70" s="119">
        <f t="shared" si="5"/>
        <v>0</v>
      </c>
      <c r="W70" s="119">
        <f t="shared" si="5"/>
        <v>0</v>
      </c>
      <c r="X70" s="119">
        <f t="shared" si="5"/>
        <v>0</v>
      </c>
      <c r="Y70" s="119">
        <f t="shared" si="5"/>
        <v>0</v>
      </c>
      <c r="Z70" s="119">
        <f t="shared" si="5"/>
        <v>0</v>
      </c>
      <c r="AA70" s="119">
        <f t="shared" si="5"/>
        <v>0</v>
      </c>
      <c r="AB70" s="119">
        <f t="shared" si="5"/>
        <v>0</v>
      </c>
      <c r="AC70" s="119">
        <f t="shared" si="5"/>
        <v>0</v>
      </c>
      <c r="AD70" s="119">
        <f t="shared" si="5"/>
        <v>0</v>
      </c>
      <c r="AE70" s="119">
        <f t="shared" si="5"/>
        <v>0</v>
      </c>
      <c r="AF70" s="119">
        <f t="shared" si="5"/>
        <v>0</v>
      </c>
      <c r="AG70" s="119">
        <f t="shared" si="5"/>
        <v>0</v>
      </c>
      <c r="AH70"/>
    </row>
    <row r="71" spans="1:34" x14ac:dyDescent="0.2">
      <c r="A71" s="8"/>
      <c r="B71" s="8"/>
      <c r="C71" s="4" t="str">
        <f>C17</f>
        <v>PCK Stage 1</v>
      </c>
      <c r="D71" s="38"/>
      <c r="F71" s="97"/>
      <c r="G71" s="214">
        <f>input_dollars</f>
        <v>45291</v>
      </c>
      <c r="H71" s="31"/>
      <c r="I71" s="119">
        <f t="shared" si="5"/>
        <v>0</v>
      </c>
      <c r="J71" s="119">
        <f t="shared" si="5"/>
        <v>0</v>
      </c>
      <c r="K71" s="119">
        <f t="shared" si="5"/>
        <v>-5408395.2999999998</v>
      </c>
      <c r="L71" s="119">
        <f t="shared" si="5"/>
        <v>-24162535.933333334</v>
      </c>
      <c r="M71" s="119">
        <f t="shared" si="5"/>
        <v>-22120559.43333333</v>
      </c>
      <c r="N71" s="119">
        <f t="shared" si="5"/>
        <v>0</v>
      </c>
      <c r="O71" s="119">
        <f t="shared" si="5"/>
        <v>0</v>
      </c>
      <c r="P71" s="119">
        <f t="shared" si="5"/>
        <v>0</v>
      </c>
      <c r="Q71" s="119">
        <f t="shared" si="5"/>
        <v>0</v>
      </c>
      <c r="R71" s="119">
        <f t="shared" si="5"/>
        <v>-10425980.333333332</v>
      </c>
      <c r="S71" s="119">
        <f t="shared" si="5"/>
        <v>0</v>
      </c>
      <c r="T71" s="119">
        <f t="shared" si="5"/>
        <v>0</v>
      </c>
      <c r="U71" s="119">
        <f t="shared" si="5"/>
        <v>0</v>
      </c>
      <c r="V71" s="119">
        <f t="shared" si="5"/>
        <v>0</v>
      </c>
      <c r="W71" s="119">
        <f t="shared" si="5"/>
        <v>0</v>
      </c>
      <c r="X71" s="119">
        <f t="shared" si="5"/>
        <v>0</v>
      </c>
      <c r="Y71" s="119">
        <f t="shared" si="5"/>
        <v>0</v>
      </c>
      <c r="Z71" s="119">
        <f t="shared" si="5"/>
        <v>0</v>
      </c>
      <c r="AA71" s="119">
        <f t="shared" si="5"/>
        <v>0</v>
      </c>
      <c r="AB71" s="119">
        <f t="shared" si="5"/>
        <v>0</v>
      </c>
      <c r="AC71" s="119">
        <f t="shared" si="5"/>
        <v>0</v>
      </c>
      <c r="AD71" s="119">
        <f t="shared" si="5"/>
        <v>0</v>
      </c>
      <c r="AE71" s="119">
        <f t="shared" si="5"/>
        <v>0</v>
      </c>
      <c r="AF71" s="119">
        <f t="shared" si="5"/>
        <v>0</v>
      </c>
      <c r="AG71" s="119">
        <f t="shared" si="5"/>
        <v>0</v>
      </c>
      <c r="AH71"/>
    </row>
    <row r="72" spans="1:34" x14ac:dyDescent="0.2">
      <c r="A72" s="8"/>
      <c r="B72" s="8"/>
      <c r="C72" s="4"/>
      <c r="D72" s="38"/>
      <c r="F72" s="97"/>
      <c r="G72" s="218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/>
    </row>
    <row r="73" spans="1:34" x14ac:dyDescent="0.2">
      <c r="A73" s="8"/>
      <c r="B73" s="8"/>
      <c r="C73" s="150" t="s">
        <v>156</v>
      </c>
      <c r="D73" s="38"/>
      <c r="F73" s="97"/>
      <c r="G73" s="217"/>
      <c r="H73" s="31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/>
    </row>
    <row r="74" spans="1:34" x14ac:dyDescent="0.2">
      <c r="A74" s="8"/>
      <c r="B74" s="8"/>
      <c r="C74" s="4" t="str">
        <f>C14</f>
        <v>MTC 3rd Tx</v>
      </c>
      <c r="D74" s="38"/>
      <c r="F74" s="97"/>
      <c r="G74" s="214">
        <f>input_dollars</f>
        <v>45291</v>
      </c>
      <c r="H74" s="31"/>
      <c r="I74" s="119" cm="1">
        <f t="array" ref="I74">SUMPRODUCT(($I68:I68))-SUMPRODUCT(($I68:I68)*($I$6:I$6&lt;=(I$6-$E14)))</f>
        <v>-14291649</v>
      </c>
      <c r="J74" s="119" cm="1">
        <f t="array" ref="J74">SUMPRODUCT(($I68:J68))-SUMPRODUCT(($I68:J68)*($I$6:J$6&lt;=(J$6-$E14)))</f>
        <v>-14291649</v>
      </c>
      <c r="K74" s="119" cm="1">
        <f t="array" ref="K74">SUMPRODUCT(($I68:K68))-SUMPRODUCT(($I68:K68)*($I$6:K$6&lt;=(K$6-$E14)))</f>
        <v>-14291649</v>
      </c>
      <c r="L74" s="119" cm="1">
        <f t="array" ref="L74">SUMPRODUCT(($I68:L68))-SUMPRODUCT(($I68:L68)*($I$6:L$6&lt;=(L$6-$E14)))</f>
        <v>-14291649</v>
      </c>
      <c r="M74" s="119" cm="1">
        <f t="array" ref="M74">SUMPRODUCT(($I68:M68))-SUMPRODUCT(($I68:M68)*($I$6:M$6&lt;=(M$6-$E14)))</f>
        <v>-14291649</v>
      </c>
      <c r="N74" s="119" cm="1">
        <f t="array" ref="N74">SUMPRODUCT(($I68:N68))-SUMPRODUCT(($I68:N68)*($I$6:N$6&lt;=(N$6-$E14)))</f>
        <v>-14291649</v>
      </c>
      <c r="O74" s="119" cm="1">
        <f t="array" ref="O74">SUMPRODUCT(($I68:O68))-SUMPRODUCT(($I68:O68)*($I$6:O$6&lt;=(O$6-$E14)))</f>
        <v>-14291649</v>
      </c>
      <c r="P74" s="119" cm="1">
        <f t="array" ref="P74">SUMPRODUCT(($I68:P68))-SUMPRODUCT(($I68:P68)*($I$6:P$6&lt;=(P$6-$E14)))</f>
        <v>-14291649</v>
      </c>
      <c r="Q74" s="119" cm="1">
        <f t="array" ref="Q74">SUMPRODUCT(($I68:Q68))-SUMPRODUCT(($I68:Q68)*($I$6:Q$6&lt;=(Q$6-$E14)))</f>
        <v>-14291649</v>
      </c>
      <c r="R74" s="119" cm="1">
        <f t="array" ref="R74">SUMPRODUCT(($I68:R68))-SUMPRODUCT(($I68:R68)*($I$6:R$6&lt;=(R$6-$E14)))</f>
        <v>-14291649</v>
      </c>
      <c r="S74" s="119" cm="1">
        <f t="array" ref="S74">SUMPRODUCT(($I68:S68))-SUMPRODUCT(($I68:S68)*($I$6:S$6&lt;=(S$6-$E14)))</f>
        <v>-14291649</v>
      </c>
      <c r="T74" s="119" cm="1">
        <f t="array" ref="T74">SUMPRODUCT(($I68:T68))-SUMPRODUCT(($I68:T68)*($I$6:T$6&lt;=(T$6-$E14)))</f>
        <v>-14291649</v>
      </c>
      <c r="U74" s="119" cm="1">
        <f t="array" ref="U74">SUMPRODUCT(($I68:U68))-SUMPRODUCT(($I68:U68)*($I$6:U$6&lt;=(U$6-$E14)))</f>
        <v>-14291649</v>
      </c>
      <c r="V74" s="119" cm="1">
        <f t="array" ref="V74">SUMPRODUCT(($I68:V68))-SUMPRODUCT(($I68:V68)*($I$6:V$6&lt;=(V$6-$E14)))</f>
        <v>-14291649</v>
      </c>
      <c r="W74" s="119" cm="1">
        <f t="array" ref="W74">SUMPRODUCT(($I68:W68))-SUMPRODUCT(($I68:W68)*($I$6:W$6&lt;=(W$6-$E14)))</f>
        <v>-14291649</v>
      </c>
      <c r="X74" s="119" cm="1">
        <f t="array" ref="X74">SUMPRODUCT(($I68:X68))-SUMPRODUCT(($I68:X68)*($I$6:X$6&lt;=(X$6-$E14)))</f>
        <v>-14291649</v>
      </c>
      <c r="Y74" s="119" cm="1">
        <f t="array" ref="Y74">SUMPRODUCT(($I68:Y68))-SUMPRODUCT(($I68:Y68)*($I$6:Y$6&lt;=(Y$6-$E14)))</f>
        <v>-14291649</v>
      </c>
      <c r="Z74" s="119" cm="1">
        <f t="array" ref="Z74">SUMPRODUCT(($I68:Z68))-SUMPRODUCT(($I68:Z68)*($I$6:Z$6&lt;=(Z$6-$E14)))</f>
        <v>-14291649</v>
      </c>
      <c r="AA74" s="119" cm="1">
        <f t="array" ref="AA74">SUMPRODUCT(($I68:AA68))-SUMPRODUCT(($I68:AA68)*($I$6:AA$6&lt;=(AA$6-$E14)))</f>
        <v>-14291649</v>
      </c>
      <c r="AB74" s="119" cm="1">
        <f t="array" ref="AB74">SUMPRODUCT(($I68:AB68))-SUMPRODUCT(($I68:AB68)*($I$6:AB$6&lt;=(AB$6-$E14)))</f>
        <v>-14291649</v>
      </c>
      <c r="AC74" s="119" cm="1">
        <f t="array" ref="AC74">SUMPRODUCT(($I68:AC68))-SUMPRODUCT(($I68:AC68)*($I$6:AC$6&lt;=(AC$6-$E14)))</f>
        <v>-14291649</v>
      </c>
      <c r="AD74" s="119" cm="1">
        <f t="array" ref="AD74">SUMPRODUCT(($I68:AD68))-SUMPRODUCT(($I68:AD68)*($I$6:AD$6&lt;=(AD$6-$E14)))</f>
        <v>-14291649</v>
      </c>
      <c r="AE74" s="119" cm="1">
        <f t="array" ref="AE74">SUMPRODUCT(($I68:AE68))-SUMPRODUCT(($I68:AE68)*($I$6:AE$6&lt;=(AE$6-$E14)))</f>
        <v>-14291649</v>
      </c>
      <c r="AF74" s="119" cm="1">
        <f t="array" ref="AF74">SUMPRODUCT(($I68:AF68))-SUMPRODUCT(($I68:AF68)*($I$6:AF$6&lt;=(AF$6-$E14)))</f>
        <v>-14291649</v>
      </c>
      <c r="AG74" s="119" cm="1">
        <f t="array" ref="AG74">SUMPRODUCT(($I68:AG68))-SUMPRODUCT(($I68:AG68)*($I$6:AG$6&lt;=(AG$6-$E14)))</f>
        <v>-14291649</v>
      </c>
      <c r="AH74"/>
    </row>
    <row r="75" spans="1:34" x14ac:dyDescent="0.2">
      <c r="A75" s="8"/>
      <c r="B75" s="8"/>
      <c r="C75" s="4" t="str">
        <f>C15</f>
        <v>BMH Rebuild</v>
      </c>
      <c r="D75" s="38"/>
      <c r="F75" s="97"/>
      <c r="G75" s="214">
        <f>input_dollars</f>
        <v>45291</v>
      </c>
      <c r="H75" s="31"/>
      <c r="I75" s="119" cm="1">
        <f t="array" ref="I75">SUMPRODUCT(($I69:I69))-SUMPRODUCT(($I69:I69)*($I$6:I$6&lt;=(I$6-$E15)))</f>
        <v>-13551742.666666666</v>
      </c>
      <c r="J75" s="119" cm="1">
        <f t="array" ref="J75">SUMPRODUCT(($I69:J69))-SUMPRODUCT(($I69:J69)*($I$6:J$6&lt;=(J$6-$E15)))</f>
        <v>-27103485.333333332</v>
      </c>
      <c r="K75" s="119" cm="1">
        <f t="array" ref="K75">SUMPRODUCT(($I69:K69))-SUMPRODUCT(($I69:K69)*($I$6:K$6&lt;=(K$6-$E15)))</f>
        <v>-27103485.333333332</v>
      </c>
      <c r="L75" s="119" cm="1">
        <f t="array" ref="L75">SUMPRODUCT(($I69:L69))-SUMPRODUCT(($I69:L69)*($I$6:L$6&lt;=(L$6-$E15)))</f>
        <v>-27103485.333333332</v>
      </c>
      <c r="M75" s="119" cm="1">
        <f t="array" ref="M75">SUMPRODUCT(($I69:M69))-SUMPRODUCT(($I69:M69)*($I$6:M$6&lt;=(M$6-$E15)))</f>
        <v>-27103485.333333332</v>
      </c>
      <c r="N75" s="119" cm="1">
        <f t="array" ref="N75">SUMPRODUCT(($I69:N69))-SUMPRODUCT(($I69:N69)*($I$6:N$6&lt;=(N$6-$E15)))</f>
        <v>-27103485.333333332</v>
      </c>
      <c r="O75" s="119" cm="1">
        <f t="array" ref="O75">SUMPRODUCT(($I69:O69))-SUMPRODUCT(($I69:O69)*($I$6:O$6&lt;=(O$6-$E15)))</f>
        <v>-27103485.333333332</v>
      </c>
      <c r="P75" s="119" cm="1">
        <f t="array" ref="P75">SUMPRODUCT(($I69:P69))-SUMPRODUCT(($I69:P69)*($I$6:P$6&lt;=(P$6-$E15)))</f>
        <v>-27103485.333333332</v>
      </c>
      <c r="Q75" s="119" cm="1">
        <f t="array" ref="Q75">SUMPRODUCT(($I69:Q69))-SUMPRODUCT(($I69:Q69)*($I$6:Q$6&lt;=(Q$6-$E15)))</f>
        <v>-27103485.333333332</v>
      </c>
      <c r="R75" s="119" cm="1">
        <f t="array" ref="R75">SUMPRODUCT(($I69:R69))-SUMPRODUCT(($I69:R69)*($I$6:R$6&lt;=(R$6-$E15)))</f>
        <v>-27103485.333333332</v>
      </c>
      <c r="S75" s="119" cm="1">
        <f t="array" ref="S75">SUMPRODUCT(($I69:S69))-SUMPRODUCT(($I69:S69)*($I$6:S$6&lt;=(S$6-$E15)))</f>
        <v>-27103485.333333332</v>
      </c>
      <c r="T75" s="119" cm="1">
        <f t="array" ref="T75">SUMPRODUCT(($I69:T69))-SUMPRODUCT(($I69:T69)*($I$6:T$6&lt;=(T$6-$E15)))</f>
        <v>-27103485.333333332</v>
      </c>
      <c r="U75" s="119" cm="1">
        <f t="array" ref="U75">SUMPRODUCT(($I69:U69))-SUMPRODUCT(($I69:U69)*($I$6:U$6&lt;=(U$6-$E15)))</f>
        <v>-27103485.333333332</v>
      </c>
      <c r="V75" s="119" cm="1">
        <f t="array" ref="V75">SUMPRODUCT(($I69:V69))-SUMPRODUCT(($I69:V69)*($I$6:V$6&lt;=(V$6-$E15)))</f>
        <v>-27103485.333333332</v>
      </c>
      <c r="W75" s="119" cm="1">
        <f t="array" ref="W75">SUMPRODUCT(($I69:W69))-SUMPRODUCT(($I69:W69)*($I$6:W$6&lt;=(W$6-$E15)))</f>
        <v>-27103485.333333332</v>
      </c>
      <c r="X75" s="119" cm="1">
        <f t="array" ref="X75">SUMPRODUCT(($I69:X69))-SUMPRODUCT(($I69:X69)*($I$6:X$6&lt;=(X$6-$E15)))</f>
        <v>-27103485.333333332</v>
      </c>
      <c r="Y75" s="119" cm="1">
        <f t="array" ref="Y75">SUMPRODUCT(($I69:Y69))-SUMPRODUCT(($I69:Y69)*($I$6:Y$6&lt;=(Y$6-$E15)))</f>
        <v>-27103485.333333332</v>
      </c>
      <c r="Z75" s="119" cm="1">
        <f t="array" ref="Z75">SUMPRODUCT(($I69:Z69))-SUMPRODUCT(($I69:Z69)*($I$6:Z$6&lt;=(Z$6-$E15)))</f>
        <v>-27103485.333333332</v>
      </c>
      <c r="AA75" s="119" cm="1">
        <f t="array" ref="AA75">SUMPRODUCT(($I69:AA69))-SUMPRODUCT(($I69:AA69)*($I$6:AA$6&lt;=(AA$6-$E15)))</f>
        <v>-27103485.333333332</v>
      </c>
      <c r="AB75" s="119" cm="1">
        <f t="array" ref="AB75">SUMPRODUCT(($I69:AB69))-SUMPRODUCT(($I69:AB69)*($I$6:AB$6&lt;=(AB$6-$E15)))</f>
        <v>-27103485.333333332</v>
      </c>
      <c r="AC75" s="119" cm="1">
        <f t="array" ref="AC75">SUMPRODUCT(($I69:AC69))-SUMPRODUCT(($I69:AC69)*($I$6:AC$6&lt;=(AC$6-$E15)))</f>
        <v>-27103485.333333332</v>
      </c>
      <c r="AD75" s="119" cm="1">
        <f t="array" ref="AD75">SUMPRODUCT(($I69:AD69))-SUMPRODUCT(($I69:AD69)*($I$6:AD$6&lt;=(AD$6-$E15)))</f>
        <v>-27103485.333333332</v>
      </c>
      <c r="AE75" s="119" cm="1">
        <f t="array" ref="AE75">SUMPRODUCT(($I69:AE69))-SUMPRODUCT(($I69:AE69)*($I$6:AE$6&lt;=(AE$6-$E15)))</f>
        <v>-27103485.333333332</v>
      </c>
      <c r="AF75" s="119" cm="1">
        <f t="array" ref="AF75">SUMPRODUCT(($I69:AF69))-SUMPRODUCT(($I69:AF69)*($I$6:AF$6&lt;=(AF$6-$E15)))</f>
        <v>-27103485.333333332</v>
      </c>
      <c r="AG75" s="119" cm="1">
        <f t="array" ref="AG75">SUMPRODUCT(($I69:AG69))-SUMPRODUCT(($I69:AG69)*($I$6:AG$6&lt;=(AG$6-$E15)))</f>
        <v>-27103485.333333332</v>
      </c>
      <c r="AH75"/>
    </row>
    <row r="76" spans="1:34" x14ac:dyDescent="0.2">
      <c r="A76" s="8"/>
      <c r="B76" s="8"/>
      <c r="C76" s="4" t="str">
        <f>C16</f>
        <v>New RBE ZSS</v>
      </c>
      <c r="D76" s="38"/>
      <c r="F76" s="97"/>
      <c r="G76" s="214">
        <f>input_dollars</f>
        <v>45291</v>
      </c>
      <c r="H76" s="31"/>
      <c r="I76" s="119" cm="1">
        <f t="array" ref="I76">SUMPRODUCT(($I70:I70))-SUMPRODUCT(($I70:I70)*($I$6:I$6&lt;=(I$6-$E16)))</f>
        <v>0</v>
      </c>
      <c r="J76" s="119" cm="1">
        <f t="array" ref="J76">SUMPRODUCT(($I70:J70))-SUMPRODUCT(($I70:J70)*($I$6:J$6&lt;=(J$6-$E16)))</f>
        <v>-5291808.87</v>
      </c>
      <c r="K76" s="119" cm="1">
        <f t="array" ref="K76">SUMPRODUCT(($I70:K70))-SUMPRODUCT(($I70:K70)*($I$6:K$6&lt;=(K$6-$E16)))</f>
        <v>-22855870.110000003</v>
      </c>
      <c r="L76" s="119" cm="1">
        <f t="array" ref="L76">SUMPRODUCT(($I70:L70))-SUMPRODUCT(($I70:L70)*($I$6:L$6&lt;=(L$6-$E16)))</f>
        <v>-38960887</v>
      </c>
      <c r="M76" s="119" cm="1">
        <f t="array" ref="M76">SUMPRODUCT(($I70:M70))-SUMPRODUCT(($I70:M70)*($I$6:M$6&lt;=(M$6-$E16)))</f>
        <v>-38960887</v>
      </c>
      <c r="N76" s="119" cm="1">
        <f t="array" ref="N76">SUMPRODUCT(($I70:N70))-SUMPRODUCT(($I70:N70)*($I$6:N$6&lt;=(N$6-$E16)))</f>
        <v>-38960887</v>
      </c>
      <c r="O76" s="119" cm="1">
        <f t="array" ref="O76">SUMPRODUCT(($I70:O70))-SUMPRODUCT(($I70:O70)*($I$6:O$6&lt;=(O$6-$E16)))</f>
        <v>-38960887</v>
      </c>
      <c r="P76" s="119" cm="1">
        <f t="array" ref="P76">SUMPRODUCT(($I70:P70))-SUMPRODUCT(($I70:P70)*($I$6:P$6&lt;=(P$6-$E16)))</f>
        <v>-38960887</v>
      </c>
      <c r="Q76" s="119" cm="1">
        <f t="array" ref="Q76">SUMPRODUCT(($I70:Q70))-SUMPRODUCT(($I70:Q70)*($I$6:Q$6&lt;=(Q$6-$E16)))</f>
        <v>-38960887</v>
      </c>
      <c r="R76" s="119" cm="1">
        <f t="array" ref="R76">SUMPRODUCT(($I70:R70))-SUMPRODUCT(($I70:R70)*($I$6:R$6&lt;=(R$6-$E16)))</f>
        <v>-38960887</v>
      </c>
      <c r="S76" s="119" cm="1">
        <f t="array" ref="S76">SUMPRODUCT(($I70:S70))-SUMPRODUCT(($I70:S70)*($I$6:S$6&lt;=(S$6-$E16)))</f>
        <v>-38960887</v>
      </c>
      <c r="T76" s="119" cm="1">
        <f t="array" ref="T76">SUMPRODUCT(($I70:T70))-SUMPRODUCT(($I70:T70)*($I$6:T$6&lt;=(T$6-$E16)))</f>
        <v>-38960887</v>
      </c>
      <c r="U76" s="119" cm="1">
        <f t="array" ref="U76">SUMPRODUCT(($I70:U70))-SUMPRODUCT(($I70:U70)*($I$6:U$6&lt;=(U$6-$E16)))</f>
        <v>-38960887</v>
      </c>
      <c r="V76" s="119" cm="1">
        <f t="array" ref="V76">SUMPRODUCT(($I70:V70))-SUMPRODUCT(($I70:V70)*($I$6:V$6&lt;=(V$6-$E16)))</f>
        <v>-38960887</v>
      </c>
      <c r="W76" s="119" cm="1">
        <f t="array" ref="W76">SUMPRODUCT(($I70:W70))-SUMPRODUCT(($I70:W70)*($I$6:W$6&lt;=(W$6-$E16)))</f>
        <v>-38960887</v>
      </c>
      <c r="X76" s="119" cm="1">
        <f t="array" ref="X76">SUMPRODUCT(($I70:X70))-SUMPRODUCT(($I70:X70)*($I$6:X$6&lt;=(X$6-$E16)))</f>
        <v>-38960887</v>
      </c>
      <c r="Y76" s="119" cm="1">
        <f t="array" ref="Y76">SUMPRODUCT(($I70:Y70))-SUMPRODUCT(($I70:Y70)*($I$6:Y$6&lt;=(Y$6-$E16)))</f>
        <v>-38960887</v>
      </c>
      <c r="Z76" s="119" cm="1">
        <f t="array" ref="Z76">SUMPRODUCT(($I70:Z70))-SUMPRODUCT(($I70:Z70)*($I$6:Z$6&lt;=(Z$6-$E16)))</f>
        <v>-38960887</v>
      </c>
      <c r="AA76" s="119" cm="1">
        <f t="array" ref="AA76">SUMPRODUCT(($I70:AA70))-SUMPRODUCT(($I70:AA70)*($I$6:AA$6&lt;=(AA$6-$E16)))</f>
        <v>-38960887</v>
      </c>
      <c r="AB76" s="119" cm="1">
        <f t="array" ref="AB76">SUMPRODUCT(($I70:AB70))-SUMPRODUCT(($I70:AB70)*($I$6:AB$6&lt;=(AB$6-$E16)))</f>
        <v>-38960887</v>
      </c>
      <c r="AC76" s="119" cm="1">
        <f t="array" ref="AC76">SUMPRODUCT(($I70:AC70))-SUMPRODUCT(($I70:AC70)*($I$6:AC$6&lt;=(AC$6-$E16)))</f>
        <v>-38960887</v>
      </c>
      <c r="AD76" s="119" cm="1">
        <f t="array" ref="AD76">SUMPRODUCT(($I70:AD70))-SUMPRODUCT(($I70:AD70)*($I$6:AD$6&lt;=(AD$6-$E16)))</f>
        <v>-38960887</v>
      </c>
      <c r="AE76" s="119" cm="1">
        <f t="array" ref="AE76">SUMPRODUCT(($I70:AE70))-SUMPRODUCT(($I70:AE70)*($I$6:AE$6&lt;=(AE$6-$E16)))</f>
        <v>-38960887</v>
      </c>
      <c r="AF76" s="119" cm="1">
        <f t="array" ref="AF76">SUMPRODUCT(($I70:AF70))-SUMPRODUCT(($I70:AF70)*($I$6:AF$6&lt;=(AF$6-$E16)))</f>
        <v>-38960887</v>
      </c>
      <c r="AG76" s="119" cm="1">
        <f t="array" ref="AG76">SUMPRODUCT(($I70:AG70))-SUMPRODUCT(($I70:AG70)*($I$6:AG$6&lt;=(AG$6-$E16)))</f>
        <v>-38960887</v>
      </c>
      <c r="AH76"/>
    </row>
    <row r="77" spans="1:34" x14ac:dyDescent="0.2">
      <c r="A77" s="8"/>
      <c r="B77" s="8"/>
      <c r="C77" s="4" t="str">
        <f>C17</f>
        <v>PCK Stage 1</v>
      </c>
      <c r="D77" s="38"/>
      <c r="F77" s="97"/>
      <c r="G77" s="214">
        <f>input_dollars</f>
        <v>45291</v>
      </c>
      <c r="H77" s="31"/>
      <c r="I77" s="119" cm="1">
        <f t="array" ref="I77">SUMPRODUCT(($I71:I71))-SUMPRODUCT(($I71:I71)*($I$6:I$6&lt;=(I$6-$E17)))</f>
        <v>0</v>
      </c>
      <c r="J77" s="119" cm="1">
        <f t="array" ref="J77">SUMPRODUCT(($I71:J71))-SUMPRODUCT(($I71:J71)*($I$6:J$6&lt;=(J$6-$E17)))</f>
        <v>0</v>
      </c>
      <c r="K77" s="119" cm="1">
        <f t="array" ref="K77">SUMPRODUCT(($I71:K71))-SUMPRODUCT(($I71:K71)*($I$6:K$6&lt;=(K$6-$E17)))</f>
        <v>-5408395.2999999998</v>
      </c>
      <c r="L77" s="119" cm="1">
        <f t="array" ref="L77">SUMPRODUCT(($I71:L71))-SUMPRODUCT(($I71:L71)*($I$6:L$6&lt;=(L$6-$E17)))</f>
        <v>-29570931.233333334</v>
      </c>
      <c r="M77" s="119" cm="1">
        <f t="array" ref="M77">SUMPRODUCT(($I71:M71))-SUMPRODUCT(($I71:M71)*($I$6:M$6&lt;=(M$6-$E17)))</f>
        <v>-51691490.666666664</v>
      </c>
      <c r="N77" s="119" cm="1">
        <f t="array" ref="N77">SUMPRODUCT(($I71:N71))-SUMPRODUCT(($I71:N71)*($I$6:N$6&lt;=(N$6-$E17)))</f>
        <v>-51691490.666666664</v>
      </c>
      <c r="O77" s="119" cm="1">
        <f t="array" ref="O77">SUMPRODUCT(($I71:O71))-SUMPRODUCT(($I71:O71)*($I$6:O$6&lt;=(O$6-$E17)))</f>
        <v>-51691490.666666664</v>
      </c>
      <c r="P77" s="119" cm="1">
        <f t="array" ref="P77">SUMPRODUCT(($I71:P71))-SUMPRODUCT(($I71:P71)*($I$6:P$6&lt;=(P$6-$E17)))</f>
        <v>-51691490.666666664</v>
      </c>
      <c r="Q77" s="119" cm="1">
        <f t="array" ref="Q77">SUMPRODUCT(($I71:Q71))-SUMPRODUCT(($I71:Q71)*($I$6:Q$6&lt;=(Q$6-$E17)))</f>
        <v>-51691490.666666664</v>
      </c>
      <c r="R77" s="119" cm="1">
        <f t="array" ref="R77">SUMPRODUCT(($I71:R71))-SUMPRODUCT(($I71:R71)*($I$6:R$6&lt;=(R$6-$E17)))</f>
        <v>-62117471</v>
      </c>
      <c r="S77" s="119" cm="1">
        <f t="array" ref="S77">SUMPRODUCT(($I71:S71))-SUMPRODUCT(($I71:S71)*($I$6:S$6&lt;=(S$6-$E17)))</f>
        <v>-62117471</v>
      </c>
      <c r="T77" s="119" cm="1">
        <f t="array" ref="T77">SUMPRODUCT(($I71:T71))-SUMPRODUCT(($I71:T71)*($I$6:T$6&lt;=(T$6-$E17)))</f>
        <v>-62117471</v>
      </c>
      <c r="U77" s="119" cm="1">
        <f t="array" ref="U77">SUMPRODUCT(($I71:U71))-SUMPRODUCT(($I71:U71)*($I$6:U$6&lt;=(U$6-$E17)))</f>
        <v>-62117471</v>
      </c>
      <c r="V77" s="119" cm="1">
        <f t="array" ref="V77">SUMPRODUCT(($I71:V71))-SUMPRODUCT(($I71:V71)*($I$6:V$6&lt;=(V$6-$E17)))</f>
        <v>-62117471</v>
      </c>
      <c r="W77" s="119" cm="1">
        <f t="array" ref="W77">SUMPRODUCT(($I71:W71))-SUMPRODUCT(($I71:W71)*($I$6:W$6&lt;=(W$6-$E17)))</f>
        <v>-62117471</v>
      </c>
      <c r="X77" s="119" cm="1">
        <f t="array" ref="X77">SUMPRODUCT(($I71:X71))-SUMPRODUCT(($I71:X71)*($I$6:X$6&lt;=(X$6-$E17)))</f>
        <v>-62117471</v>
      </c>
      <c r="Y77" s="119" cm="1">
        <f t="array" ref="Y77">SUMPRODUCT(($I71:Y71))-SUMPRODUCT(($I71:Y71)*($I$6:Y$6&lt;=(Y$6-$E17)))</f>
        <v>-62117471</v>
      </c>
      <c r="Z77" s="119" cm="1">
        <f t="array" ref="Z77">SUMPRODUCT(($I71:Z71))-SUMPRODUCT(($I71:Z71)*($I$6:Z$6&lt;=(Z$6-$E17)))</f>
        <v>-62117471</v>
      </c>
      <c r="AA77" s="119" cm="1">
        <f t="array" ref="AA77">SUMPRODUCT(($I71:AA71))-SUMPRODUCT(($I71:AA71)*($I$6:AA$6&lt;=(AA$6-$E17)))</f>
        <v>-62117471</v>
      </c>
      <c r="AB77" s="119" cm="1">
        <f t="array" ref="AB77">SUMPRODUCT(($I71:AB71))-SUMPRODUCT(($I71:AB71)*($I$6:AB$6&lt;=(AB$6-$E17)))</f>
        <v>-62117471</v>
      </c>
      <c r="AC77" s="119" cm="1">
        <f t="array" ref="AC77">SUMPRODUCT(($I71:AC71))-SUMPRODUCT(($I71:AC71)*($I$6:AC$6&lt;=(AC$6-$E17)))</f>
        <v>-62117471</v>
      </c>
      <c r="AD77" s="119" cm="1">
        <f t="array" ref="AD77">SUMPRODUCT(($I71:AD71))-SUMPRODUCT(($I71:AD71)*($I$6:AD$6&lt;=(AD$6-$E17)))</f>
        <v>-62117471</v>
      </c>
      <c r="AE77" s="119" cm="1">
        <f t="array" ref="AE77">SUMPRODUCT(($I71:AE71))-SUMPRODUCT(($I71:AE71)*($I$6:AE$6&lt;=(AE$6-$E17)))</f>
        <v>-62117471</v>
      </c>
      <c r="AF77" s="119" cm="1">
        <f t="array" ref="AF77">SUMPRODUCT(($I71:AF71))-SUMPRODUCT(($I71:AF71)*($I$6:AF$6&lt;=(AF$6-$E17)))</f>
        <v>-62117471</v>
      </c>
      <c r="AG77" s="119" cm="1">
        <f t="array" ref="AG77">SUMPRODUCT(($I71:AG71))-SUMPRODUCT(($I71:AG71)*($I$6:AG$6&lt;=(AG$6-$E17)))</f>
        <v>-62117471</v>
      </c>
      <c r="AH77"/>
    </row>
    <row r="78" spans="1:34" x14ac:dyDescent="0.2">
      <c r="A78" s="8"/>
      <c r="B78" s="8"/>
      <c r="C78" s="4"/>
      <c r="D78" s="38"/>
      <c r="F78" s="97"/>
      <c r="G78" s="218"/>
      <c r="H78" s="31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/>
    </row>
    <row r="79" spans="1:34" x14ac:dyDescent="0.2">
      <c r="A79" s="8"/>
      <c r="B79" s="8"/>
      <c r="C79" s="150" t="s">
        <v>91</v>
      </c>
      <c r="D79" s="38"/>
      <c r="G79" s="217"/>
      <c r="H79" s="31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/>
    </row>
    <row r="80" spans="1:34" x14ac:dyDescent="0.2">
      <c r="A80" s="8"/>
      <c r="B80" s="8"/>
      <c r="C80" s="4" t="str">
        <f>$C$79&amp;" - "&amp;C14</f>
        <v>Annualised capex - MTC 3rd Tx</v>
      </c>
      <c r="D80" s="38"/>
      <c r="G80" s="214">
        <f>input_dollars</f>
        <v>45291</v>
      </c>
      <c r="H80" s="31"/>
      <c r="I80" s="119">
        <f t="shared" ref="I80:AG80" si="6">IF($E14=0,0,-PMT(real_disc, $E14,H74,))</f>
        <v>0</v>
      </c>
      <c r="J80" s="119">
        <f t="shared" si="6"/>
        <v>-609306.01269304589</v>
      </c>
      <c r="K80" s="119">
        <f t="shared" si="6"/>
        <v>-609306.01269304589</v>
      </c>
      <c r="L80" s="119">
        <f t="shared" si="6"/>
        <v>-609306.01269304589</v>
      </c>
      <c r="M80" s="119">
        <f t="shared" si="6"/>
        <v>-609306.01269304589</v>
      </c>
      <c r="N80" s="119">
        <f t="shared" si="6"/>
        <v>-609306.01269304589</v>
      </c>
      <c r="O80" s="119">
        <f t="shared" si="6"/>
        <v>-609306.01269304589</v>
      </c>
      <c r="P80" s="119">
        <f t="shared" si="6"/>
        <v>-609306.01269304589</v>
      </c>
      <c r="Q80" s="119">
        <f t="shared" si="6"/>
        <v>-609306.01269304589</v>
      </c>
      <c r="R80" s="119">
        <f t="shared" si="6"/>
        <v>-609306.01269304589</v>
      </c>
      <c r="S80" s="119">
        <f t="shared" si="6"/>
        <v>-609306.01269304589</v>
      </c>
      <c r="T80" s="119">
        <f t="shared" si="6"/>
        <v>-609306.01269304589</v>
      </c>
      <c r="U80" s="119">
        <f t="shared" si="6"/>
        <v>-609306.01269304589</v>
      </c>
      <c r="V80" s="119">
        <f t="shared" si="6"/>
        <v>-609306.01269304589</v>
      </c>
      <c r="W80" s="119">
        <f t="shared" si="6"/>
        <v>-609306.01269304589</v>
      </c>
      <c r="X80" s="119">
        <f t="shared" si="6"/>
        <v>-609306.01269304589</v>
      </c>
      <c r="Y80" s="119">
        <f t="shared" si="6"/>
        <v>-609306.01269304589</v>
      </c>
      <c r="Z80" s="119">
        <f t="shared" si="6"/>
        <v>-609306.01269304589</v>
      </c>
      <c r="AA80" s="119">
        <f t="shared" si="6"/>
        <v>-609306.01269304589</v>
      </c>
      <c r="AB80" s="119">
        <f t="shared" si="6"/>
        <v>-609306.01269304589</v>
      </c>
      <c r="AC80" s="119">
        <f t="shared" si="6"/>
        <v>-609306.01269304589</v>
      </c>
      <c r="AD80" s="119">
        <f t="shared" si="6"/>
        <v>-609306.01269304589</v>
      </c>
      <c r="AE80" s="119">
        <f t="shared" si="6"/>
        <v>-609306.01269304589</v>
      </c>
      <c r="AF80" s="119">
        <f t="shared" si="6"/>
        <v>-609306.01269304589</v>
      </c>
      <c r="AG80" s="119">
        <f t="shared" si="6"/>
        <v>-609306.01269304589</v>
      </c>
      <c r="AH80"/>
    </row>
    <row r="81" spans="1:34" x14ac:dyDescent="0.2">
      <c r="A81" s="8"/>
      <c r="B81" s="8"/>
      <c r="C81" s="4" t="str">
        <f>$C$79&amp;" - "&amp;C15</f>
        <v>Annualised capex - BMH Rebuild</v>
      </c>
      <c r="D81" s="38"/>
      <c r="G81" s="214">
        <f>input_dollars</f>
        <v>45291</v>
      </c>
      <c r="H81" s="31"/>
      <c r="I81" s="119">
        <f t="shared" ref="I81:I83" si="7">IF($E15=0,0,-PMT(real_disc, $E15,H75,))</f>
        <v>0</v>
      </c>
      <c r="J81" s="119">
        <f t="shared" ref="J81:J83" si="8">IF($E15=0,0,-PMT(real_disc, $E15,I75,))</f>
        <v>-577761.0609712631</v>
      </c>
      <c r="K81" s="119">
        <f t="shared" ref="K81:K83" si="9">IF($E15=0,0,-PMT(real_disc, $E15,J75,))</f>
        <v>-1155522.1219425262</v>
      </c>
      <c r="L81" s="119">
        <f t="shared" ref="L81:L83" si="10">IF($E15=0,0,-PMT(real_disc, $E15,K75,))</f>
        <v>-1155522.1219425262</v>
      </c>
      <c r="M81" s="119">
        <f t="shared" ref="M81:M83" si="11">IF($E15=0,0,-PMT(real_disc, $E15,L75,))</f>
        <v>-1155522.1219425262</v>
      </c>
      <c r="N81" s="119">
        <f t="shared" ref="N81:N83" si="12">IF($E15=0,0,-PMT(real_disc, $E15,M75,))</f>
        <v>-1155522.1219425262</v>
      </c>
      <c r="O81" s="119">
        <f t="shared" ref="O81:O83" si="13">IF($E15=0,0,-PMT(real_disc, $E15,N75,))</f>
        <v>-1155522.1219425262</v>
      </c>
      <c r="P81" s="119">
        <f t="shared" ref="P81:P83" si="14">IF($E15=0,0,-PMT(real_disc, $E15,O75,))</f>
        <v>-1155522.1219425262</v>
      </c>
      <c r="Q81" s="119">
        <f t="shared" ref="Q81:Q83" si="15">IF($E15=0,0,-PMT(real_disc, $E15,P75,))</f>
        <v>-1155522.1219425262</v>
      </c>
      <c r="R81" s="119">
        <f t="shared" ref="R81:R83" si="16">IF($E15=0,0,-PMT(real_disc, $E15,Q75,))</f>
        <v>-1155522.1219425262</v>
      </c>
      <c r="S81" s="119">
        <f t="shared" ref="S81:S83" si="17">IF($E15=0,0,-PMT(real_disc, $E15,R75,))</f>
        <v>-1155522.1219425262</v>
      </c>
      <c r="T81" s="119">
        <f t="shared" ref="T81:T83" si="18">IF($E15=0,0,-PMT(real_disc, $E15,S75,))</f>
        <v>-1155522.1219425262</v>
      </c>
      <c r="U81" s="119">
        <f t="shared" ref="U81:U83" si="19">IF($E15=0,0,-PMT(real_disc, $E15,T75,))</f>
        <v>-1155522.1219425262</v>
      </c>
      <c r="V81" s="119">
        <f t="shared" ref="V81:V83" si="20">IF($E15=0,0,-PMT(real_disc, $E15,U75,))</f>
        <v>-1155522.1219425262</v>
      </c>
      <c r="W81" s="119">
        <f t="shared" ref="W81:W83" si="21">IF($E15=0,0,-PMT(real_disc, $E15,V75,))</f>
        <v>-1155522.1219425262</v>
      </c>
      <c r="X81" s="119">
        <f t="shared" ref="X81:X83" si="22">IF($E15=0,0,-PMT(real_disc, $E15,W75,))</f>
        <v>-1155522.1219425262</v>
      </c>
      <c r="Y81" s="119">
        <f t="shared" ref="Y81:Y83" si="23">IF($E15=0,0,-PMT(real_disc, $E15,X75,))</f>
        <v>-1155522.1219425262</v>
      </c>
      <c r="Z81" s="119">
        <f t="shared" ref="Z81:Z83" si="24">IF($E15=0,0,-PMT(real_disc, $E15,Y75,))</f>
        <v>-1155522.1219425262</v>
      </c>
      <c r="AA81" s="119">
        <f t="shared" ref="AA81:AA83" si="25">IF($E15=0,0,-PMT(real_disc, $E15,Z75,))</f>
        <v>-1155522.1219425262</v>
      </c>
      <c r="AB81" s="119">
        <f t="shared" ref="AB81:AB83" si="26">IF($E15=0,0,-PMT(real_disc, $E15,AA75,))</f>
        <v>-1155522.1219425262</v>
      </c>
      <c r="AC81" s="119">
        <f t="shared" ref="AC81:AC83" si="27">IF($E15=0,0,-PMT(real_disc, $E15,AB75,))</f>
        <v>-1155522.1219425262</v>
      </c>
      <c r="AD81" s="119">
        <f t="shared" ref="AD81:AD83" si="28">IF($E15=0,0,-PMT(real_disc, $E15,AC75,))</f>
        <v>-1155522.1219425262</v>
      </c>
      <c r="AE81" s="119">
        <f t="shared" ref="AE81:AE83" si="29">IF($E15=0,0,-PMT(real_disc, $E15,AD75,))</f>
        <v>-1155522.1219425262</v>
      </c>
      <c r="AF81" s="119">
        <f t="shared" ref="AF81:AF83" si="30">IF($E15=0,0,-PMT(real_disc, $E15,AE75,))</f>
        <v>-1155522.1219425262</v>
      </c>
      <c r="AG81" s="119">
        <f t="shared" ref="AG81:AG83" si="31">IF($E15=0,0,-PMT(real_disc, $E15,AF75,))</f>
        <v>-1155522.1219425262</v>
      </c>
      <c r="AH81"/>
    </row>
    <row r="82" spans="1:34" x14ac:dyDescent="0.2">
      <c r="A82" s="8"/>
      <c r="B82" s="8"/>
      <c r="C82" s="4" t="str">
        <f>$C$79&amp;" - "&amp;C16</f>
        <v>Annualised capex - New RBE ZSS</v>
      </c>
      <c r="D82" s="38"/>
      <c r="G82" s="214">
        <f>input_dollars</f>
        <v>45291</v>
      </c>
      <c r="H82" s="31"/>
      <c r="I82" s="119">
        <f t="shared" si="7"/>
        <v>0</v>
      </c>
      <c r="J82" s="119">
        <f t="shared" si="8"/>
        <v>0</v>
      </c>
      <c r="K82" s="119">
        <f t="shared" si="9"/>
        <v>-225609.44244526245</v>
      </c>
      <c r="L82" s="119">
        <f t="shared" si="10"/>
        <v>-974430.52816048521</v>
      </c>
      <c r="M82" s="119">
        <f t="shared" si="11"/>
        <v>-1661047.1408130948</v>
      </c>
      <c r="N82" s="119">
        <f t="shared" si="12"/>
        <v>-1661047.1408130948</v>
      </c>
      <c r="O82" s="119">
        <f t="shared" si="13"/>
        <v>-1661047.1408130948</v>
      </c>
      <c r="P82" s="119">
        <f t="shared" si="14"/>
        <v>-1661047.1408130948</v>
      </c>
      <c r="Q82" s="119">
        <f t="shared" si="15"/>
        <v>-1661047.1408130948</v>
      </c>
      <c r="R82" s="119">
        <f t="shared" si="16"/>
        <v>-1661047.1408130948</v>
      </c>
      <c r="S82" s="119">
        <f t="shared" si="17"/>
        <v>-1661047.1408130948</v>
      </c>
      <c r="T82" s="119">
        <f t="shared" si="18"/>
        <v>-1661047.1408130948</v>
      </c>
      <c r="U82" s="119">
        <f t="shared" si="19"/>
        <v>-1661047.1408130948</v>
      </c>
      <c r="V82" s="119">
        <f t="shared" si="20"/>
        <v>-1661047.1408130948</v>
      </c>
      <c r="W82" s="119">
        <f t="shared" si="21"/>
        <v>-1661047.1408130948</v>
      </c>
      <c r="X82" s="119">
        <f t="shared" si="22"/>
        <v>-1661047.1408130948</v>
      </c>
      <c r="Y82" s="119">
        <f t="shared" si="23"/>
        <v>-1661047.1408130948</v>
      </c>
      <c r="Z82" s="119">
        <f t="shared" si="24"/>
        <v>-1661047.1408130948</v>
      </c>
      <c r="AA82" s="119">
        <f t="shared" si="25"/>
        <v>-1661047.1408130948</v>
      </c>
      <c r="AB82" s="119">
        <f t="shared" si="26"/>
        <v>-1661047.1408130948</v>
      </c>
      <c r="AC82" s="119">
        <f t="shared" si="27"/>
        <v>-1661047.1408130948</v>
      </c>
      <c r="AD82" s="119">
        <f t="shared" si="28"/>
        <v>-1661047.1408130948</v>
      </c>
      <c r="AE82" s="119">
        <f t="shared" si="29"/>
        <v>-1661047.1408130948</v>
      </c>
      <c r="AF82" s="119">
        <f t="shared" si="30"/>
        <v>-1661047.1408130948</v>
      </c>
      <c r="AG82" s="119">
        <f t="shared" si="31"/>
        <v>-1661047.1408130948</v>
      </c>
      <c r="AH82"/>
    </row>
    <row r="83" spans="1:34" x14ac:dyDescent="0.2">
      <c r="A83" s="8"/>
      <c r="B83" s="8"/>
      <c r="C83" s="4" t="str">
        <f>$C$79&amp;" - "&amp;C17</f>
        <v>Annualised capex - PCK Stage 1</v>
      </c>
      <c r="D83" s="38"/>
      <c r="G83" s="214">
        <f>input_dollars</f>
        <v>45291</v>
      </c>
      <c r="H83" s="31"/>
      <c r="I83" s="119">
        <f t="shared" si="7"/>
        <v>0</v>
      </c>
      <c r="J83" s="119">
        <f t="shared" si="8"/>
        <v>0</v>
      </c>
      <c r="K83" s="119">
        <f t="shared" si="9"/>
        <v>0</v>
      </c>
      <c r="L83" s="119">
        <f t="shared" si="10"/>
        <v>-230579.95444128313</v>
      </c>
      <c r="M83" s="119">
        <f t="shared" si="11"/>
        <v>-1260718.4938142959</v>
      </c>
      <c r="N83" s="119">
        <f t="shared" si="12"/>
        <v>-2203800.0001445925</v>
      </c>
      <c r="O83" s="119">
        <f t="shared" si="13"/>
        <v>-2203800.0001445925</v>
      </c>
      <c r="P83" s="119">
        <f t="shared" si="14"/>
        <v>-2203800.0001445925</v>
      </c>
      <c r="Q83" s="119">
        <f t="shared" si="15"/>
        <v>-2203800.0001445925</v>
      </c>
      <c r="R83" s="119">
        <f t="shared" si="16"/>
        <v>-2203800.0001445925</v>
      </c>
      <c r="S83" s="119">
        <f t="shared" si="17"/>
        <v>-2648298.2176224669</v>
      </c>
      <c r="T83" s="119">
        <f t="shared" si="18"/>
        <v>-2648298.2176224669</v>
      </c>
      <c r="U83" s="119">
        <f t="shared" si="19"/>
        <v>-2648298.2176224669</v>
      </c>
      <c r="V83" s="119">
        <f t="shared" si="20"/>
        <v>-2648298.2176224669</v>
      </c>
      <c r="W83" s="119">
        <f t="shared" si="21"/>
        <v>-2648298.2176224669</v>
      </c>
      <c r="X83" s="119">
        <f t="shared" si="22"/>
        <v>-2648298.2176224669</v>
      </c>
      <c r="Y83" s="119">
        <f t="shared" si="23"/>
        <v>-2648298.2176224669</v>
      </c>
      <c r="Z83" s="119">
        <f t="shared" si="24"/>
        <v>-2648298.2176224669</v>
      </c>
      <c r="AA83" s="119">
        <f t="shared" si="25"/>
        <v>-2648298.2176224669</v>
      </c>
      <c r="AB83" s="119">
        <f t="shared" si="26"/>
        <v>-2648298.2176224669</v>
      </c>
      <c r="AC83" s="119">
        <f t="shared" si="27"/>
        <v>-2648298.2176224669</v>
      </c>
      <c r="AD83" s="119">
        <f t="shared" si="28"/>
        <v>-2648298.2176224669</v>
      </c>
      <c r="AE83" s="119">
        <f t="shared" si="29"/>
        <v>-2648298.2176224669</v>
      </c>
      <c r="AF83" s="119">
        <f t="shared" si="30"/>
        <v>-2648298.2176224669</v>
      </c>
      <c r="AG83" s="119">
        <f t="shared" si="31"/>
        <v>-2648298.2176224669</v>
      </c>
      <c r="AH83"/>
    </row>
    <row r="84" spans="1:34" x14ac:dyDescent="0.2">
      <c r="A84" s="8"/>
      <c r="B84" s="8"/>
      <c r="C84" s="176" t="s">
        <v>157</v>
      </c>
      <c r="D84" s="176"/>
      <c r="E84" s="177"/>
      <c r="F84" s="178"/>
      <c r="G84" s="219">
        <f>input_dollars</f>
        <v>45291</v>
      </c>
      <c r="H84" s="179"/>
      <c r="I84" s="180">
        <f>SUM(I80:I83)</f>
        <v>0</v>
      </c>
      <c r="J84" s="180">
        <f t="shared" ref="J84:AB84" si="32">SUM(J80:J83)</f>
        <v>-1187067.073664309</v>
      </c>
      <c r="K84" s="180">
        <f t="shared" si="32"/>
        <v>-1990437.5770808347</v>
      </c>
      <c r="L84" s="180">
        <f t="shared" si="32"/>
        <v>-2969838.6172373407</v>
      </c>
      <c r="M84" s="180">
        <f t="shared" si="32"/>
        <v>-4686593.769262963</v>
      </c>
      <c r="N84" s="180">
        <f t="shared" si="32"/>
        <v>-5629675.2755932594</v>
      </c>
      <c r="O84" s="180">
        <f t="shared" si="32"/>
        <v>-5629675.2755932594</v>
      </c>
      <c r="P84" s="180">
        <f t="shared" si="32"/>
        <v>-5629675.2755932594</v>
      </c>
      <c r="Q84" s="180">
        <f t="shared" si="32"/>
        <v>-5629675.2755932594</v>
      </c>
      <c r="R84" s="180">
        <f t="shared" si="32"/>
        <v>-5629675.2755932594</v>
      </c>
      <c r="S84" s="180">
        <f t="shared" si="32"/>
        <v>-6074173.4930711333</v>
      </c>
      <c r="T84" s="180">
        <f t="shared" si="32"/>
        <v>-6074173.4930711333</v>
      </c>
      <c r="U84" s="180">
        <f t="shared" si="32"/>
        <v>-6074173.4930711333</v>
      </c>
      <c r="V84" s="180">
        <f t="shared" si="32"/>
        <v>-6074173.4930711333</v>
      </c>
      <c r="W84" s="180">
        <f t="shared" si="32"/>
        <v>-6074173.4930711333</v>
      </c>
      <c r="X84" s="180">
        <f t="shared" si="32"/>
        <v>-6074173.4930711333</v>
      </c>
      <c r="Y84" s="180">
        <f t="shared" si="32"/>
        <v>-6074173.4930711333</v>
      </c>
      <c r="Z84" s="180">
        <f t="shared" si="32"/>
        <v>-6074173.4930711333</v>
      </c>
      <c r="AA84" s="180">
        <f t="shared" si="32"/>
        <v>-6074173.4930711333</v>
      </c>
      <c r="AB84" s="180">
        <f t="shared" si="32"/>
        <v>-6074173.4930711333</v>
      </c>
      <c r="AC84" s="180">
        <f>SUM(AC80:AC83)</f>
        <v>-6074173.4930711333</v>
      </c>
      <c r="AD84" s="180">
        <f>SUM(AD80:AD83)</f>
        <v>-6074173.4930711333</v>
      </c>
      <c r="AE84" s="180">
        <f>SUM(AE80:AE83)</f>
        <v>-6074173.4930711333</v>
      </c>
      <c r="AF84" s="180">
        <f>SUM(AF80:AF83)</f>
        <v>-6074173.4930711333</v>
      </c>
      <c r="AG84" s="180">
        <f>SUM(AG80:AG83)</f>
        <v>-6074173.4930711333</v>
      </c>
      <c r="AH84"/>
    </row>
    <row r="85" spans="1:34" x14ac:dyDescent="0.2">
      <c r="A85" s="8"/>
      <c r="B85" s="8"/>
      <c r="C85" s="75"/>
      <c r="D85" s="38"/>
      <c r="F85"/>
      <c r="G85" s="220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x14ac:dyDescent="0.2">
      <c r="A86" s="8"/>
      <c r="B86" s="8"/>
      <c r="C86" s="4" t="s">
        <v>91</v>
      </c>
      <c r="D86" s="38"/>
      <c r="F86" s="97"/>
      <c r="G86" s="214">
        <f t="shared" ref="G86:G91" si="33">input_dollars</f>
        <v>45291</v>
      </c>
      <c r="H86" s="31"/>
      <c r="I86" s="119">
        <f>I84</f>
        <v>0</v>
      </c>
      <c r="J86" s="119">
        <f t="shared" ref="J86:AB86" si="34">J84</f>
        <v>-1187067.073664309</v>
      </c>
      <c r="K86" s="119">
        <f t="shared" si="34"/>
        <v>-1990437.5770808347</v>
      </c>
      <c r="L86" s="119">
        <f t="shared" si="34"/>
        <v>-2969838.6172373407</v>
      </c>
      <c r="M86" s="119">
        <f t="shared" si="34"/>
        <v>-4686593.769262963</v>
      </c>
      <c r="N86" s="119">
        <f t="shared" si="34"/>
        <v>-5629675.2755932594</v>
      </c>
      <c r="O86" s="119">
        <f t="shared" si="34"/>
        <v>-5629675.2755932594</v>
      </c>
      <c r="P86" s="119">
        <f t="shared" si="34"/>
        <v>-5629675.2755932594</v>
      </c>
      <c r="Q86" s="119">
        <f t="shared" si="34"/>
        <v>-5629675.2755932594</v>
      </c>
      <c r="R86" s="119">
        <f t="shared" si="34"/>
        <v>-5629675.2755932594</v>
      </c>
      <c r="S86" s="119">
        <f t="shared" si="34"/>
        <v>-6074173.4930711333</v>
      </c>
      <c r="T86" s="119">
        <f t="shared" si="34"/>
        <v>-6074173.4930711333</v>
      </c>
      <c r="U86" s="119">
        <f t="shared" si="34"/>
        <v>-6074173.4930711333</v>
      </c>
      <c r="V86" s="119">
        <f t="shared" si="34"/>
        <v>-6074173.4930711333</v>
      </c>
      <c r="W86" s="119">
        <f t="shared" si="34"/>
        <v>-6074173.4930711333</v>
      </c>
      <c r="X86" s="119">
        <f t="shared" si="34"/>
        <v>-6074173.4930711333</v>
      </c>
      <c r="Y86" s="119">
        <f t="shared" si="34"/>
        <v>-6074173.4930711333</v>
      </c>
      <c r="Z86" s="119">
        <f t="shared" si="34"/>
        <v>-6074173.4930711333</v>
      </c>
      <c r="AA86" s="119">
        <f t="shared" si="34"/>
        <v>-6074173.4930711333</v>
      </c>
      <c r="AB86" s="119">
        <f t="shared" si="34"/>
        <v>-6074173.4930711333</v>
      </c>
      <c r="AC86" s="119">
        <f>AC84</f>
        <v>-6074173.4930711333</v>
      </c>
      <c r="AD86" s="119">
        <f>AD84</f>
        <v>-6074173.4930711333</v>
      </c>
      <c r="AE86" s="119">
        <f>AE84</f>
        <v>-6074173.4930711333</v>
      </c>
      <c r="AF86" s="119">
        <f>AF84</f>
        <v>-6074173.4930711333</v>
      </c>
      <c r="AG86" s="119">
        <f>AG84</f>
        <v>-6074173.4930711333</v>
      </c>
      <c r="AH86"/>
    </row>
    <row r="87" spans="1:34" x14ac:dyDescent="0.2">
      <c r="A87" s="8"/>
      <c r="B87" s="8"/>
      <c r="C87" s="4" t="s">
        <v>31</v>
      </c>
      <c r="D87" s="38"/>
      <c r="F87" s="97"/>
      <c r="G87" s="214">
        <f t="shared" si="33"/>
        <v>45291</v>
      </c>
      <c r="H87" s="31"/>
      <c r="I87" s="31">
        <f t="shared" ref="I87:AG87" si="35">-I20</f>
        <v>0</v>
      </c>
      <c r="J87" s="31">
        <f t="shared" si="35"/>
        <v>0</v>
      </c>
      <c r="K87" s="31">
        <f t="shared" si="35"/>
        <v>0</v>
      </c>
      <c r="L87" s="31">
        <f t="shared" si="35"/>
        <v>0</v>
      </c>
      <c r="M87" s="31">
        <f t="shared" si="35"/>
        <v>0</v>
      </c>
      <c r="N87" s="31">
        <f t="shared" si="35"/>
        <v>0</v>
      </c>
      <c r="O87" s="31">
        <f t="shared" si="35"/>
        <v>0</v>
      </c>
      <c r="P87" s="31">
        <f t="shared" si="35"/>
        <v>0</v>
      </c>
      <c r="Q87" s="31">
        <f t="shared" si="35"/>
        <v>0</v>
      </c>
      <c r="R87" s="31">
        <f t="shared" si="35"/>
        <v>0</v>
      </c>
      <c r="S87" s="31">
        <f t="shared" si="35"/>
        <v>0</v>
      </c>
      <c r="T87" s="31">
        <f t="shared" si="35"/>
        <v>0</v>
      </c>
      <c r="U87" s="31">
        <f t="shared" si="35"/>
        <v>0</v>
      </c>
      <c r="V87" s="31">
        <f t="shared" si="35"/>
        <v>0</v>
      </c>
      <c r="W87" s="31">
        <f t="shared" si="35"/>
        <v>0</v>
      </c>
      <c r="X87" s="31">
        <f t="shared" si="35"/>
        <v>0</v>
      </c>
      <c r="Y87" s="31">
        <f t="shared" si="35"/>
        <v>0</v>
      </c>
      <c r="Z87" s="31">
        <f t="shared" si="35"/>
        <v>0</v>
      </c>
      <c r="AA87" s="31">
        <f t="shared" si="35"/>
        <v>0</v>
      </c>
      <c r="AB87" s="31">
        <f t="shared" si="35"/>
        <v>0</v>
      </c>
      <c r="AC87" s="31">
        <f t="shared" si="35"/>
        <v>0</v>
      </c>
      <c r="AD87" s="31">
        <f t="shared" si="35"/>
        <v>0</v>
      </c>
      <c r="AE87" s="31">
        <f t="shared" si="35"/>
        <v>0</v>
      </c>
      <c r="AF87" s="31">
        <f t="shared" si="35"/>
        <v>0</v>
      </c>
      <c r="AG87" s="31">
        <f t="shared" si="35"/>
        <v>0</v>
      </c>
      <c r="AH87"/>
    </row>
    <row r="88" spans="1:34" x14ac:dyDescent="0.2">
      <c r="A88" s="8"/>
      <c r="B88" s="8"/>
      <c r="C88" s="4" t="s">
        <v>140</v>
      </c>
      <c r="D88" s="38"/>
      <c r="F88" s="97"/>
      <c r="G88" s="214">
        <f t="shared" si="33"/>
        <v>45291</v>
      </c>
      <c r="H88" s="31"/>
      <c r="I88" s="31">
        <f t="shared" ref="I88:AG88" si="36">I65</f>
        <v>0</v>
      </c>
      <c r="J88" s="31">
        <f t="shared" si="36"/>
        <v>8068753.4449888254</v>
      </c>
      <c r="K88" s="31">
        <f t="shared" si="36"/>
        <v>11215677.23834095</v>
      </c>
      <c r="L88" s="31">
        <f t="shared" si="36"/>
        <v>13837146.203154052</v>
      </c>
      <c r="M88" s="31">
        <f t="shared" si="36"/>
        <v>18464118.870036911</v>
      </c>
      <c r="N88" s="31">
        <f t="shared" si="36"/>
        <v>25697271.362018894</v>
      </c>
      <c r="O88" s="31">
        <f t="shared" si="36"/>
        <v>36933038.346851803</v>
      </c>
      <c r="P88" s="31">
        <f t="shared" si="36"/>
        <v>48926380.760297574</v>
      </c>
      <c r="Q88" s="31">
        <f t="shared" si="36"/>
        <v>61180979.125932969</v>
      </c>
      <c r="R88" s="31">
        <f t="shared" si="36"/>
        <v>61180979.125932969</v>
      </c>
      <c r="S88" s="31">
        <f t="shared" si="36"/>
        <v>61180979.125932969</v>
      </c>
      <c r="T88" s="31">
        <f t="shared" si="36"/>
        <v>61180979.125932969</v>
      </c>
      <c r="U88" s="31">
        <f t="shared" si="36"/>
        <v>61180979.125932969</v>
      </c>
      <c r="V88" s="31">
        <f t="shared" si="36"/>
        <v>61180979.125932969</v>
      </c>
      <c r="W88" s="31">
        <f t="shared" si="36"/>
        <v>61180979.125932969</v>
      </c>
      <c r="X88" s="31">
        <f t="shared" si="36"/>
        <v>61180979.125932969</v>
      </c>
      <c r="Y88" s="31">
        <f t="shared" si="36"/>
        <v>61180979.125932969</v>
      </c>
      <c r="Z88" s="31">
        <f t="shared" si="36"/>
        <v>61180979.125932969</v>
      </c>
      <c r="AA88" s="31">
        <f t="shared" si="36"/>
        <v>61180979.125932969</v>
      </c>
      <c r="AB88" s="31">
        <f t="shared" si="36"/>
        <v>61180979.125932969</v>
      </c>
      <c r="AC88" s="31">
        <f t="shared" si="36"/>
        <v>61180979.125932969</v>
      </c>
      <c r="AD88" s="31">
        <f t="shared" si="36"/>
        <v>61180979.125932969</v>
      </c>
      <c r="AE88" s="31">
        <f t="shared" si="36"/>
        <v>61180979.125932969</v>
      </c>
      <c r="AF88" s="31">
        <f t="shared" si="36"/>
        <v>61180979.125932969</v>
      </c>
      <c r="AG88" s="31">
        <f t="shared" si="36"/>
        <v>61180979.125932969</v>
      </c>
      <c r="AH88"/>
    </row>
    <row r="89" spans="1:34" x14ac:dyDescent="0.2">
      <c r="A89" s="8"/>
      <c r="B89" s="8"/>
      <c r="C89" s="4" t="s">
        <v>122</v>
      </c>
      <c r="D89" s="38"/>
      <c r="F89" s="97"/>
      <c r="G89" s="214">
        <f t="shared" si="33"/>
        <v>45291</v>
      </c>
      <c r="H89" s="31"/>
      <c r="I89" s="31">
        <f t="shared" ref="I89:AG89" si="37">I58</f>
        <v>0</v>
      </c>
      <c r="J89" s="31">
        <f t="shared" si="37"/>
        <v>0</v>
      </c>
      <c r="K89" s="31">
        <f t="shared" si="37"/>
        <v>0</v>
      </c>
      <c r="L89" s="31">
        <f t="shared" si="37"/>
        <v>0</v>
      </c>
      <c r="M89" s="31">
        <f t="shared" si="37"/>
        <v>0</v>
      </c>
      <c r="N89" s="31">
        <f t="shared" si="37"/>
        <v>0</v>
      </c>
      <c r="O89" s="31">
        <f t="shared" si="37"/>
        <v>0</v>
      </c>
      <c r="P89" s="31">
        <f t="shared" si="37"/>
        <v>0</v>
      </c>
      <c r="Q89" s="31">
        <f t="shared" si="37"/>
        <v>0</v>
      </c>
      <c r="R89" s="31">
        <f t="shared" si="37"/>
        <v>0</v>
      </c>
      <c r="S89" s="31">
        <f t="shared" si="37"/>
        <v>0</v>
      </c>
      <c r="T89" s="31">
        <f t="shared" si="37"/>
        <v>0</v>
      </c>
      <c r="U89" s="31">
        <f t="shared" si="37"/>
        <v>0</v>
      </c>
      <c r="V89" s="31">
        <f t="shared" si="37"/>
        <v>0</v>
      </c>
      <c r="W89" s="31">
        <f t="shared" si="37"/>
        <v>0</v>
      </c>
      <c r="X89" s="31">
        <f t="shared" si="37"/>
        <v>0</v>
      </c>
      <c r="Y89" s="31">
        <f t="shared" si="37"/>
        <v>0</v>
      </c>
      <c r="Z89" s="31">
        <f t="shared" si="37"/>
        <v>0</v>
      </c>
      <c r="AA89" s="31">
        <f t="shared" si="37"/>
        <v>0</v>
      </c>
      <c r="AB89" s="31">
        <f t="shared" si="37"/>
        <v>0</v>
      </c>
      <c r="AC89" s="31">
        <f t="shared" si="37"/>
        <v>0</v>
      </c>
      <c r="AD89" s="31">
        <f t="shared" si="37"/>
        <v>0</v>
      </c>
      <c r="AE89" s="31">
        <f t="shared" si="37"/>
        <v>0</v>
      </c>
      <c r="AF89" s="31">
        <f t="shared" si="37"/>
        <v>0</v>
      </c>
      <c r="AG89" s="31">
        <f t="shared" si="37"/>
        <v>0</v>
      </c>
      <c r="AH89"/>
    </row>
    <row r="90" spans="1:34" x14ac:dyDescent="0.2">
      <c r="A90" s="8"/>
      <c r="B90" s="8"/>
      <c r="C90" s="4"/>
      <c r="D90" s="38"/>
      <c r="F90" s="31"/>
      <c r="G90" s="21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/>
    </row>
    <row r="91" spans="1:34" x14ac:dyDescent="0.2">
      <c r="A91" s="8"/>
      <c r="B91" s="8"/>
      <c r="C91" s="181" t="s">
        <v>188</v>
      </c>
      <c r="D91" s="182"/>
      <c r="E91" s="177"/>
      <c r="F91" s="183"/>
      <c r="G91" s="219">
        <f t="shared" si="33"/>
        <v>45291</v>
      </c>
      <c r="H91" s="183"/>
      <c r="I91" s="183">
        <f t="shared" ref="I91:AB91" si="38">SUM(I86:I90)</f>
        <v>0</v>
      </c>
      <c r="J91" s="183">
        <f t="shared" si="38"/>
        <v>6881686.3713245168</v>
      </c>
      <c r="K91" s="183">
        <f t="shared" si="38"/>
        <v>9225239.661260115</v>
      </c>
      <c r="L91" s="183">
        <f t="shared" si="38"/>
        <v>10867307.585916711</v>
      </c>
      <c r="M91" s="183">
        <f t="shared" si="38"/>
        <v>13777525.100773949</v>
      </c>
      <c r="N91" s="183">
        <f t="shared" si="38"/>
        <v>20067596.086425636</v>
      </c>
      <c r="O91" s="183">
        <f t="shared" si="38"/>
        <v>31303363.071258545</v>
      </c>
      <c r="P91" s="183">
        <f t="shared" si="38"/>
        <v>43296705.484704316</v>
      </c>
      <c r="Q91" s="183">
        <f t="shared" si="38"/>
        <v>55551303.850339711</v>
      </c>
      <c r="R91" s="183">
        <f t="shared" si="38"/>
        <v>55551303.850339711</v>
      </c>
      <c r="S91" s="183">
        <f t="shared" si="38"/>
        <v>55106805.632861838</v>
      </c>
      <c r="T91" s="183">
        <f t="shared" si="38"/>
        <v>55106805.632861838</v>
      </c>
      <c r="U91" s="183">
        <f t="shared" si="38"/>
        <v>55106805.632861838</v>
      </c>
      <c r="V91" s="183">
        <f t="shared" si="38"/>
        <v>55106805.632861838</v>
      </c>
      <c r="W91" s="183">
        <f t="shared" si="38"/>
        <v>55106805.632861838</v>
      </c>
      <c r="X91" s="183">
        <f t="shared" si="38"/>
        <v>55106805.632861838</v>
      </c>
      <c r="Y91" s="183">
        <f t="shared" si="38"/>
        <v>55106805.632861838</v>
      </c>
      <c r="Z91" s="183">
        <f t="shared" si="38"/>
        <v>55106805.632861838</v>
      </c>
      <c r="AA91" s="183">
        <f t="shared" si="38"/>
        <v>55106805.632861838</v>
      </c>
      <c r="AB91" s="183">
        <f t="shared" si="38"/>
        <v>55106805.632861838</v>
      </c>
      <c r="AC91" s="183">
        <f>SUM(AC86:AC90)</f>
        <v>55106805.632861838</v>
      </c>
      <c r="AD91" s="183">
        <f>SUM(AD86:AD90)</f>
        <v>55106805.632861838</v>
      </c>
      <c r="AE91" s="183">
        <f>SUM(AE86:AE90)</f>
        <v>55106805.632861838</v>
      </c>
      <c r="AF91" s="183">
        <f>SUM(AF86:AF90)</f>
        <v>55106805.632861838</v>
      </c>
      <c r="AG91" s="183">
        <f>SUM(AG86:AG90)</f>
        <v>55106805.632861838</v>
      </c>
      <c r="AH91"/>
    </row>
    <row r="92" spans="1:34" x14ac:dyDescent="0.2">
      <c r="A92" s="8"/>
      <c r="B92" s="8"/>
      <c r="C92" s="75"/>
      <c r="D92" s="141"/>
      <c r="E92" s="64"/>
      <c r="F92" s="144"/>
      <c r="G92" s="221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/>
    </row>
    <row r="93" spans="1:34" x14ac:dyDescent="0.2">
      <c r="A93" s="8"/>
      <c r="B93" s="8"/>
      <c r="C93" s="75"/>
      <c r="D93" s="141"/>
      <c r="E93" s="64"/>
      <c r="F93" s="144"/>
      <c r="G93" s="221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/>
    </row>
    <row r="94" spans="1:34" x14ac:dyDescent="0.2">
      <c r="A94" s="8"/>
      <c r="B94" s="8"/>
      <c r="C94" s="234" t="s">
        <v>198</v>
      </c>
      <c r="D94" s="82"/>
      <c r="E94" s="235"/>
      <c r="F94" s="236"/>
      <c r="G94" s="237" cm="1">
        <f t="array" ref="G94">IF(SUM($I18:$AG18)=0,0,(INDEX(I$6:AG$6,MATCH(TRUE,INDEX($I18:$AG18&lt;&gt;0,),0))))</f>
        <v>1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/>
    </row>
    <row r="95" spans="1:34" x14ac:dyDescent="0.2">
      <c r="C95" s="82"/>
      <c r="D95" s="238"/>
      <c r="E95" s="235"/>
      <c r="F95" s="235"/>
      <c r="G95" s="237"/>
    </row>
    <row r="96" spans="1:34" x14ac:dyDescent="0.2">
      <c r="C96" s="239" t="s">
        <v>193</v>
      </c>
      <c r="D96" s="240"/>
      <c r="E96" s="240"/>
      <c r="F96" s="240"/>
      <c r="G96" s="241">
        <f>IF(_xlfn.MINIFS($G$94:$G$95, $G$94:$G$95, "&gt;"&amp;0)=0, $A$4, _xlfn.MINIFS($G$94:$G$95, $G$94:$G$95, "&gt;"&amp;0))</f>
        <v>1</v>
      </c>
    </row>
    <row r="98" spans="1:43" x14ac:dyDescent="0.2">
      <c r="G98" s="12"/>
    </row>
    <row r="106" spans="1:43" ht="15" x14ac:dyDescent="0.2">
      <c r="A106" s="89" t="s">
        <v>216</v>
      </c>
      <c r="B106" s="89"/>
      <c r="C106" s="89"/>
      <c r="D106" s="89"/>
      <c r="E106" s="89"/>
      <c r="F106" s="89"/>
      <c r="G106" s="208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/>
      <c r="AI106"/>
      <c r="AJ106"/>
      <c r="AK106"/>
      <c r="AL106"/>
      <c r="AM106"/>
      <c r="AN106"/>
      <c r="AO106"/>
      <c r="AP106"/>
      <c r="AQ106"/>
    </row>
    <row r="108" spans="1:43" x14ac:dyDescent="0.2"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</row>
    <row r="109" spans="1:43" x14ac:dyDescent="0.2"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">
        <v>119</v>
      </c>
      <c r="C110" s="1" t="s">
        <v>188</v>
      </c>
      <c r="D110"/>
      <c r="E110"/>
      <c r="F110"/>
      <c r="G110" s="38" t="str">
        <f>PROPER($A$3)&amp;A110</f>
        <v>Option 3NPV</v>
      </c>
      <c r="I110" s="31">
        <f>I91</f>
        <v>0</v>
      </c>
      <c r="J110" s="31">
        <f t="shared" ref="J110:AG110" si="39">J91</f>
        <v>6881686.3713245168</v>
      </c>
      <c r="K110" s="31">
        <f t="shared" si="39"/>
        <v>9225239.661260115</v>
      </c>
      <c r="L110" s="31">
        <f t="shared" si="39"/>
        <v>10867307.585916711</v>
      </c>
      <c r="M110" s="31">
        <f t="shared" si="39"/>
        <v>13777525.100773949</v>
      </c>
      <c r="N110" s="31">
        <f t="shared" si="39"/>
        <v>20067596.086425636</v>
      </c>
      <c r="O110" s="31">
        <f t="shared" si="39"/>
        <v>31303363.071258545</v>
      </c>
      <c r="P110" s="31">
        <f t="shared" si="39"/>
        <v>43296705.484704316</v>
      </c>
      <c r="Q110" s="31">
        <f t="shared" si="39"/>
        <v>55551303.850339711</v>
      </c>
      <c r="R110" s="31">
        <f t="shared" si="39"/>
        <v>55551303.850339711</v>
      </c>
      <c r="S110" s="31">
        <f t="shared" si="39"/>
        <v>55106805.632861838</v>
      </c>
      <c r="T110" s="31">
        <f t="shared" si="39"/>
        <v>55106805.632861838</v>
      </c>
      <c r="U110" s="31">
        <f t="shared" si="39"/>
        <v>55106805.632861838</v>
      </c>
      <c r="V110" s="31">
        <f t="shared" si="39"/>
        <v>55106805.632861838</v>
      </c>
      <c r="W110" s="31">
        <f t="shared" si="39"/>
        <v>55106805.632861838</v>
      </c>
      <c r="X110" s="31">
        <f t="shared" si="39"/>
        <v>55106805.632861838</v>
      </c>
      <c r="Y110" s="31">
        <f t="shared" si="39"/>
        <v>55106805.632861838</v>
      </c>
      <c r="Z110" s="31">
        <f t="shared" si="39"/>
        <v>55106805.632861838</v>
      </c>
      <c r="AA110" s="31">
        <f t="shared" si="39"/>
        <v>55106805.632861838</v>
      </c>
      <c r="AB110" s="31">
        <f t="shared" si="39"/>
        <v>55106805.632861838</v>
      </c>
      <c r="AC110" s="31">
        <f t="shared" si="39"/>
        <v>55106805.632861838</v>
      </c>
      <c r="AD110" s="31">
        <f t="shared" si="39"/>
        <v>55106805.632861838</v>
      </c>
      <c r="AE110" s="31">
        <f t="shared" si="39"/>
        <v>55106805.632861838</v>
      </c>
      <c r="AF110" s="31">
        <f t="shared" si="39"/>
        <v>55106805.632861838</v>
      </c>
      <c r="AG110" s="31">
        <f t="shared" si="39"/>
        <v>55106805.632861838</v>
      </c>
    </row>
    <row r="111" spans="1:43" x14ac:dyDescent="0.2">
      <c r="C111" s="1" t="s">
        <v>157</v>
      </c>
      <c r="D111"/>
      <c r="E111"/>
      <c r="F111"/>
      <c r="G111"/>
      <c r="I111" s="31">
        <f>I86</f>
        <v>0</v>
      </c>
      <c r="J111" s="31">
        <f t="shared" ref="J111:AG111" si="40">J86</f>
        <v>-1187067.073664309</v>
      </c>
      <c r="K111" s="31">
        <f t="shared" si="40"/>
        <v>-1990437.5770808347</v>
      </c>
      <c r="L111" s="31">
        <f t="shared" si="40"/>
        <v>-2969838.6172373407</v>
      </c>
      <c r="M111" s="31">
        <f t="shared" si="40"/>
        <v>-4686593.769262963</v>
      </c>
      <c r="N111" s="31">
        <f t="shared" si="40"/>
        <v>-5629675.2755932594</v>
      </c>
      <c r="O111" s="31">
        <f t="shared" si="40"/>
        <v>-5629675.2755932594</v>
      </c>
      <c r="P111" s="31">
        <f t="shared" si="40"/>
        <v>-5629675.2755932594</v>
      </c>
      <c r="Q111" s="31">
        <f t="shared" si="40"/>
        <v>-5629675.2755932594</v>
      </c>
      <c r="R111" s="31">
        <f t="shared" si="40"/>
        <v>-5629675.2755932594</v>
      </c>
      <c r="S111" s="31">
        <f t="shared" si="40"/>
        <v>-6074173.4930711333</v>
      </c>
      <c r="T111" s="31">
        <f t="shared" si="40"/>
        <v>-6074173.4930711333</v>
      </c>
      <c r="U111" s="31">
        <f t="shared" si="40"/>
        <v>-6074173.4930711333</v>
      </c>
      <c r="V111" s="31">
        <f t="shared" si="40"/>
        <v>-6074173.4930711333</v>
      </c>
      <c r="W111" s="31">
        <f t="shared" si="40"/>
        <v>-6074173.4930711333</v>
      </c>
      <c r="X111" s="31">
        <f t="shared" si="40"/>
        <v>-6074173.4930711333</v>
      </c>
      <c r="Y111" s="31">
        <f t="shared" si="40"/>
        <v>-6074173.4930711333</v>
      </c>
      <c r="Z111" s="31">
        <f t="shared" si="40"/>
        <v>-6074173.4930711333</v>
      </c>
      <c r="AA111" s="31">
        <f t="shared" si="40"/>
        <v>-6074173.4930711333</v>
      </c>
      <c r="AB111" s="31">
        <f t="shared" si="40"/>
        <v>-6074173.4930711333</v>
      </c>
      <c r="AC111" s="31">
        <f t="shared" si="40"/>
        <v>-6074173.4930711333</v>
      </c>
      <c r="AD111" s="31">
        <f t="shared" si="40"/>
        <v>-6074173.4930711333</v>
      </c>
      <c r="AE111" s="31">
        <f t="shared" si="40"/>
        <v>-6074173.4930711333</v>
      </c>
      <c r="AF111" s="31">
        <f t="shared" si="40"/>
        <v>-6074173.4930711333</v>
      </c>
      <c r="AG111" s="31">
        <f t="shared" si="40"/>
        <v>-6074173.4930711333</v>
      </c>
    </row>
    <row r="112" spans="1:43" x14ac:dyDescent="0.2">
      <c r="C112" s="1" t="s">
        <v>241</v>
      </c>
      <c r="D112"/>
      <c r="E112"/>
      <c r="F112"/>
      <c r="G112"/>
      <c r="I112" s="31">
        <f>SUM(I88:I89)</f>
        <v>0</v>
      </c>
      <c r="J112" s="31">
        <f t="shared" ref="J112:AG112" si="41">SUM(J88:J89)</f>
        <v>8068753.4449888254</v>
      </c>
      <c r="K112" s="31">
        <f t="shared" si="41"/>
        <v>11215677.23834095</v>
      </c>
      <c r="L112" s="31">
        <f t="shared" si="41"/>
        <v>13837146.203154052</v>
      </c>
      <c r="M112" s="31">
        <f t="shared" si="41"/>
        <v>18464118.870036911</v>
      </c>
      <c r="N112" s="31">
        <f t="shared" si="41"/>
        <v>25697271.362018894</v>
      </c>
      <c r="O112" s="31">
        <f t="shared" si="41"/>
        <v>36933038.346851803</v>
      </c>
      <c r="P112" s="31">
        <f t="shared" si="41"/>
        <v>48926380.760297574</v>
      </c>
      <c r="Q112" s="31">
        <f t="shared" si="41"/>
        <v>61180979.125932969</v>
      </c>
      <c r="R112" s="31">
        <f t="shared" si="41"/>
        <v>61180979.125932969</v>
      </c>
      <c r="S112" s="31">
        <f t="shared" si="41"/>
        <v>61180979.125932969</v>
      </c>
      <c r="T112" s="31">
        <f t="shared" si="41"/>
        <v>61180979.125932969</v>
      </c>
      <c r="U112" s="31">
        <f t="shared" si="41"/>
        <v>61180979.125932969</v>
      </c>
      <c r="V112" s="31">
        <f t="shared" si="41"/>
        <v>61180979.125932969</v>
      </c>
      <c r="W112" s="31">
        <f t="shared" si="41"/>
        <v>61180979.125932969</v>
      </c>
      <c r="X112" s="31">
        <f t="shared" si="41"/>
        <v>61180979.125932969</v>
      </c>
      <c r="Y112" s="31">
        <f t="shared" si="41"/>
        <v>61180979.125932969</v>
      </c>
      <c r="Z112" s="31">
        <f t="shared" si="41"/>
        <v>61180979.125932969</v>
      </c>
      <c r="AA112" s="31">
        <f t="shared" si="41"/>
        <v>61180979.125932969</v>
      </c>
      <c r="AB112" s="31">
        <f t="shared" si="41"/>
        <v>61180979.125932969</v>
      </c>
      <c r="AC112" s="31">
        <f t="shared" si="41"/>
        <v>61180979.125932969</v>
      </c>
      <c r="AD112" s="31">
        <f t="shared" si="41"/>
        <v>61180979.125932969</v>
      </c>
      <c r="AE112" s="31">
        <f t="shared" si="41"/>
        <v>61180979.125932969</v>
      </c>
      <c r="AF112" s="31">
        <f t="shared" si="41"/>
        <v>61180979.125932969</v>
      </c>
      <c r="AG112" s="31">
        <f t="shared" si="41"/>
        <v>61180979.125932969</v>
      </c>
    </row>
    <row r="113" spans="1:33" x14ac:dyDescent="0.2">
      <c r="D113" s="306" t="str">
        <f>Assumptions!G110</f>
        <v>Capex</v>
      </c>
      <c r="E113" s="306" t="str">
        <f>Assumptions!H110</f>
        <v>Total benefits</v>
      </c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</row>
    <row r="114" spans="1:33" x14ac:dyDescent="0.2">
      <c r="A114" s="1" t="str">
        <f>"sens"&amp;Assumptions!B111</f>
        <v>sens1</v>
      </c>
      <c r="C114" s="305" t="str">
        <f>Assumptions!C111</f>
        <v>Capex 10% higher</v>
      </c>
      <c r="D114" s="306">
        <f>Assumptions!G111</f>
        <v>0.1</v>
      </c>
      <c r="E114" s="306">
        <f>Assumptions!H111</f>
        <v>0</v>
      </c>
      <c r="G114" s="38" t="str">
        <f>PROPER($A$3)&amp;A114</f>
        <v>Option 3sens1</v>
      </c>
      <c r="I114" s="31" cm="1">
        <f t="array" ref="I114">I$110+IF($C114&lt;&gt;0,SUMPRODUCT((I$111:I$112)*TRANSPOSE(($D114:$E114))),0)</f>
        <v>0</v>
      </c>
      <c r="J114" s="31" cm="1">
        <f t="array" ref="J114">J$110+IF($C114&lt;&gt;0,SUMPRODUCT((J$111:J$112)*TRANSPOSE(($D114:$E114))),0)</f>
        <v>6762979.6639580857</v>
      </c>
      <c r="K114" s="31" cm="1">
        <f t="array" ref="K114">K$110+IF($C114&lt;&gt;0,SUMPRODUCT((K$111:K$112)*TRANSPOSE(($D114:$E114))),0)</f>
        <v>9026195.9035520311</v>
      </c>
      <c r="L114" s="31" cm="1">
        <f t="array" ref="L114">L$110+IF($C114&lt;&gt;0,SUMPRODUCT((L$111:L$112)*TRANSPOSE(($D114:$E114))),0)</f>
        <v>10570323.724192977</v>
      </c>
      <c r="M114" s="31" cm="1">
        <f t="array" ref="M114">M$110+IF($C114&lt;&gt;0,SUMPRODUCT((M$111:M$112)*TRANSPOSE(($D114:$E114))),0)</f>
        <v>13308865.723847654</v>
      </c>
      <c r="N114" s="31" cm="1">
        <f t="array" ref="N114">N$110+IF($C114&lt;&gt;0,SUMPRODUCT((N$111:N$112)*TRANSPOSE(($D114:$E114))),0)</f>
        <v>19504628.558866311</v>
      </c>
      <c r="O114" s="31" cm="1">
        <f t="array" ref="O114">O$110+IF($C114&lt;&gt;0,SUMPRODUCT((O$111:O$112)*TRANSPOSE(($D114:$E114))),0)</f>
        <v>30740395.54369922</v>
      </c>
      <c r="P114" s="31" cm="1">
        <f t="array" ref="P114">P$110+IF($C114&lt;&gt;0,SUMPRODUCT((P$111:P$112)*TRANSPOSE(($D114:$E114))),0)</f>
        <v>42733737.957144991</v>
      </c>
      <c r="Q114" s="31" cm="1">
        <f t="array" ref="Q114">Q$110+IF($C114&lt;&gt;0,SUMPRODUCT((Q$111:Q$112)*TRANSPOSE(($D114:$E114))),0)</f>
        <v>54988336.322780386</v>
      </c>
      <c r="R114" s="31" cm="1">
        <f t="array" ref="R114">R$110+IF($C114&lt;&gt;0,SUMPRODUCT((R$111:R$112)*TRANSPOSE(($D114:$E114))),0)</f>
        <v>54988336.322780386</v>
      </c>
      <c r="S114" s="31" cm="1">
        <f t="array" ref="S114">S$110+IF($C114&lt;&gt;0,SUMPRODUCT((S$111:S$112)*TRANSPOSE(($D114:$E114))),0)</f>
        <v>54499388.283554725</v>
      </c>
      <c r="T114" s="31" cm="1">
        <f t="array" ref="T114">T$110+IF($C114&lt;&gt;0,SUMPRODUCT((T$111:T$112)*TRANSPOSE(($D114:$E114))),0)</f>
        <v>54499388.283554725</v>
      </c>
      <c r="U114" s="31" cm="1">
        <f t="array" ref="U114">U$110+IF($C114&lt;&gt;0,SUMPRODUCT((U$111:U$112)*TRANSPOSE(($D114:$E114))),0)</f>
        <v>54499388.283554725</v>
      </c>
      <c r="V114" s="31" cm="1">
        <f t="array" ref="V114">V$110+IF($C114&lt;&gt;0,SUMPRODUCT((V$111:V$112)*TRANSPOSE(($D114:$E114))),0)</f>
        <v>54499388.283554725</v>
      </c>
      <c r="W114" s="31" cm="1">
        <f t="array" ref="W114">W$110+IF($C114&lt;&gt;0,SUMPRODUCT((W$111:W$112)*TRANSPOSE(($D114:$E114))),0)</f>
        <v>54499388.283554725</v>
      </c>
      <c r="X114" s="31" cm="1">
        <f t="array" ref="X114">X$110+IF($C114&lt;&gt;0,SUMPRODUCT((X$111:X$112)*TRANSPOSE(($D114:$E114))),0)</f>
        <v>54499388.283554725</v>
      </c>
      <c r="Y114" s="31" cm="1">
        <f t="array" ref="Y114">Y$110+IF($C114&lt;&gt;0,SUMPRODUCT((Y$111:Y$112)*TRANSPOSE(($D114:$E114))),0)</f>
        <v>54499388.283554725</v>
      </c>
      <c r="Z114" s="31" cm="1">
        <f t="array" ref="Z114">Z$110+IF($C114&lt;&gt;0,SUMPRODUCT((Z$111:Z$112)*TRANSPOSE(($D114:$E114))),0)</f>
        <v>54499388.283554725</v>
      </c>
      <c r="AA114" s="31" cm="1">
        <f t="array" ref="AA114">AA$110+IF($C114&lt;&gt;0,SUMPRODUCT((AA$111:AA$112)*TRANSPOSE(($D114:$E114))),0)</f>
        <v>54499388.283554725</v>
      </c>
      <c r="AB114" s="31" cm="1">
        <f t="array" ref="AB114">AB$110+IF($C114&lt;&gt;0,SUMPRODUCT((AB$111:AB$112)*TRANSPOSE(($D114:$E114))),0)</f>
        <v>54499388.283554725</v>
      </c>
      <c r="AC114" s="31" cm="1">
        <f t="array" ref="AC114">AC$110+IF($C114&lt;&gt;0,SUMPRODUCT((AC$111:AC$112)*TRANSPOSE(($D114:$E114))),0)</f>
        <v>54499388.283554725</v>
      </c>
      <c r="AD114" s="31" cm="1">
        <f t="array" ref="AD114">AD$110+IF($C114&lt;&gt;0,SUMPRODUCT((AD$111:AD$112)*TRANSPOSE(($D114:$E114))),0)</f>
        <v>54499388.283554725</v>
      </c>
      <c r="AE114" s="31" cm="1">
        <f t="array" ref="AE114">AE$110+IF($C114&lt;&gt;0,SUMPRODUCT((AE$111:AE$112)*TRANSPOSE(($D114:$E114))),0)</f>
        <v>54499388.283554725</v>
      </c>
      <c r="AF114" s="31" cm="1">
        <f t="array" ref="AF114">AF$110+IF($C114&lt;&gt;0,SUMPRODUCT((AF$111:AF$112)*TRANSPOSE(($D114:$E114))),0)</f>
        <v>54499388.283554725</v>
      </c>
      <c r="AG114" s="31" cm="1">
        <f t="array" ref="AG114">AG$110+IF($C114&lt;&gt;0,SUMPRODUCT((AG$111:AG$112)*TRANSPOSE(($D114:$E114))),0)</f>
        <v>54499388.283554725</v>
      </c>
    </row>
    <row r="115" spans="1:33" x14ac:dyDescent="0.2">
      <c r="A115" s="1" t="str">
        <f>"sens"&amp;Assumptions!B112</f>
        <v>sens2</v>
      </c>
      <c r="C115" s="305" t="str">
        <f>Assumptions!C112</f>
        <v>Capex 10% lower</v>
      </c>
      <c r="D115" s="306">
        <f>Assumptions!G112</f>
        <v>-0.1</v>
      </c>
      <c r="E115" s="306">
        <f>Assumptions!H112</f>
        <v>0</v>
      </c>
      <c r="G115" s="38" t="str">
        <f t="shared" ref="G115:G121" si="42">PROPER($A$3)&amp;A115</f>
        <v>Option 3sens2</v>
      </c>
      <c r="I115" s="31" cm="1">
        <f t="array" ref="I115">I$110+IF($C115&lt;&gt;0,SUMPRODUCT((I$111:I$112)*TRANSPOSE(($D115:$E115))),0)</f>
        <v>0</v>
      </c>
      <c r="J115" s="31" cm="1">
        <f t="array" ref="J115">J$110+IF($C115&lt;&gt;0,SUMPRODUCT((J$111:J$112)*TRANSPOSE(($D115:$E115))),0)</f>
        <v>7000393.078690948</v>
      </c>
      <c r="K115" s="31" cm="1">
        <f t="array" ref="K115">K$110+IF($C115&lt;&gt;0,SUMPRODUCT((K$111:K$112)*TRANSPOSE(($D115:$E115))),0)</f>
        <v>9424283.4189681988</v>
      </c>
      <c r="L115" s="31" cm="1">
        <f t="array" ref="L115">L$110+IF($C115&lt;&gt;0,SUMPRODUCT((L$111:L$112)*TRANSPOSE(($D115:$E115))),0)</f>
        <v>11164291.447640445</v>
      </c>
      <c r="M115" s="31" cm="1">
        <f t="array" ref="M115">M$110+IF($C115&lt;&gt;0,SUMPRODUCT((M$111:M$112)*TRANSPOSE(($D115:$E115))),0)</f>
        <v>14246184.477700245</v>
      </c>
      <c r="N115" s="31" cm="1">
        <f t="array" ref="N115">N$110+IF($C115&lt;&gt;0,SUMPRODUCT((N$111:N$112)*TRANSPOSE(($D115:$E115))),0)</f>
        <v>20630563.613984961</v>
      </c>
      <c r="O115" s="31" cm="1">
        <f t="array" ref="O115">O$110+IF($C115&lt;&gt;0,SUMPRODUCT((O$111:O$112)*TRANSPOSE(($D115:$E115))),0)</f>
        <v>31866330.59881787</v>
      </c>
      <c r="P115" s="31" cm="1">
        <f t="array" ref="P115">P$110+IF($C115&lt;&gt;0,SUMPRODUCT((P$111:P$112)*TRANSPOSE(($D115:$E115))),0)</f>
        <v>43859673.012263641</v>
      </c>
      <c r="Q115" s="31" cm="1">
        <f t="array" ref="Q115">Q$110+IF($C115&lt;&gt;0,SUMPRODUCT((Q$111:Q$112)*TRANSPOSE(($D115:$E115))),0)</f>
        <v>56114271.377899036</v>
      </c>
      <c r="R115" s="31" cm="1">
        <f t="array" ref="R115">R$110+IF($C115&lt;&gt;0,SUMPRODUCT((R$111:R$112)*TRANSPOSE(($D115:$E115))),0)</f>
        <v>56114271.377899036</v>
      </c>
      <c r="S115" s="31" cm="1">
        <f t="array" ref="S115">S$110+IF($C115&lt;&gt;0,SUMPRODUCT((S$111:S$112)*TRANSPOSE(($D115:$E115))),0)</f>
        <v>55714222.98216895</v>
      </c>
      <c r="T115" s="31" cm="1">
        <f t="array" ref="T115">T$110+IF($C115&lt;&gt;0,SUMPRODUCT((T$111:T$112)*TRANSPOSE(($D115:$E115))),0)</f>
        <v>55714222.98216895</v>
      </c>
      <c r="U115" s="31" cm="1">
        <f t="array" ref="U115">U$110+IF($C115&lt;&gt;0,SUMPRODUCT((U$111:U$112)*TRANSPOSE(($D115:$E115))),0)</f>
        <v>55714222.98216895</v>
      </c>
      <c r="V115" s="31" cm="1">
        <f t="array" ref="V115">V$110+IF($C115&lt;&gt;0,SUMPRODUCT((V$111:V$112)*TRANSPOSE(($D115:$E115))),0)</f>
        <v>55714222.98216895</v>
      </c>
      <c r="W115" s="31" cm="1">
        <f t="array" ref="W115">W$110+IF($C115&lt;&gt;0,SUMPRODUCT((W$111:W$112)*TRANSPOSE(($D115:$E115))),0)</f>
        <v>55714222.98216895</v>
      </c>
      <c r="X115" s="31" cm="1">
        <f t="array" ref="X115">X$110+IF($C115&lt;&gt;0,SUMPRODUCT((X$111:X$112)*TRANSPOSE(($D115:$E115))),0)</f>
        <v>55714222.98216895</v>
      </c>
      <c r="Y115" s="31" cm="1">
        <f t="array" ref="Y115">Y$110+IF($C115&lt;&gt;0,SUMPRODUCT((Y$111:Y$112)*TRANSPOSE(($D115:$E115))),0)</f>
        <v>55714222.98216895</v>
      </c>
      <c r="Z115" s="31" cm="1">
        <f t="array" ref="Z115">Z$110+IF($C115&lt;&gt;0,SUMPRODUCT((Z$111:Z$112)*TRANSPOSE(($D115:$E115))),0)</f>
        <v>55714222.98216895</v>
      </c>
      <c r="AA115" s="31" cm="1">
        <f t="array" ref="AA115">AA$110+IF($C115&lt;&gt;0,SUMPRODUCT((AA$111:AA$112)*TRANSPOSE(($D115:$E115))),0)</f>
        <v>55714222.98216895</v>
      </c>
      <c r="AB115" s="31" cm="1">
        <f t="array" ref="AB115">AB$110+IF($C115&lt;&gt;0,SUMPRODUCT((AB$111:AB$112)*TRANSPOSE(($D115:$E115))),0)</f>
        <v>55714222.98216895</v>
      </c>
      <c r="AC115" s="31" cm="1">
        <f t="array" ref="AC115">AC$110+IF($C115&lt;&gt;0,SUMPRODUCT((AC$111:AC$112)*TRANSPOSE(($D115:$E115))),0)</f>
        <v>55714222.98216895</v>
      </c>
      <c r="AD115" s="31" cm="1">
        <f t="array" ref="AD115">AD$110+IF($C115&lt;&gt;0,SUMPRODUCT((AD$111:AD$112)*TRANSPOSE(($D115:$E115))),0)</f>
        <v>55714222.98216895</v>
      </c>
      <c r="AE115" s="31" cm="1">
        <f t="array" ref="AE115">AE$110+IF($C115&lt;&gt;0,SUMPRODUCT((AE$111:AE$112)*TRANSPOSE(($D115:$E115))),0)</f>
        <v>55714222.98216895</v>
      </c>
      <c r="AF115" s="31" cm="1">
        <f t="array" ref="AF115">AF$110+IF($C115&lt;&gt;0,SUMPRODUCT((AF$111:AF$112)*TRANSPOSE(($D115:$E115))),0)</f>
        <v>55714222.98216895</v>
      </c>
      <c r="AG115" s="31" cm="1">
        <f t="array" ref="AG115">AG$110+IF($C115&lt;&gt;0,SUMPRODUCT((AG$111:AG$112)*TRANSPOSE(($D115:$E115))),0)</f>
        <v>55714222.98216895</v>
      </c>
    </row>
    <row r="116" spans="1:33" x14ac:dyDescent="0.2">
      <c r="A116" s="1" t="str">
        <f>"sens"&amp;Assumptions!B113</f>
        <v>sens3</v>
      </c>
      <c r="C116" s="305" t="str">
        <f>Assumptions!C113</f>
        <v>Total benefits 10% higher</v>
      </c>
      <c r="D116" s="306">
        <f>Assumptions!G113</f>
        <v>0</v>
      </c>
      <c r="E116" s="306">
        <f>Assumptions!H113</f>
        <v>0.1</v>
      </c>
      <c r="G116" s="38" t="str">
        <f t="shared" si="42"/>
        <v>Option 3sens3</v>
      </c>
      <c r="I116" s="31" cm="1">
        <f t="array" ref="I116">I$110+IF($C116&lt;&gt;0,SUMPRODUCT((I$111:I$112)*TRANSPOSE(($D116:$E116))),0)</f>
        <v>0</v>
      </c>
      <c r="J116" s="31" cm="1">
        <f t="array" ref="J116">J$110+IF($C116&lt;&gt;0,SUMPRODUCT((J$111:J$112)*TRANSPOSE(($D116:$E116))),0)</f>
        <v>7688561.7158233989</v>
      </c>
      <c r="K116" s="31" cm="1">
        <f t="array" ref="K116">K$110+IF($C116&lt;&gt;0,SUMPRODUCT((K$111:K$112)*TRANSPOSE(($D116:$E116))),0)</f>
        <v>10346807.385094211</v>
      </c>
      <c r="L116" s="31" cm="1">
        <f t="array" ref="L116">L$110+IF($C116&lt;&gt;0,SUMPRODUCT((L$111:L$112)*TRANSPOSE(($D116:$E116))),0)</f>
        <v>12251022.206232116</v>
      </c>
      <c r="M116" s="31" cm="1">
        <f t="array" ref="M116">M$110+IF($C116&lt;&gt;0,SUMPRODUCT((M$111:M$112)*TRANSPOSE(($D116:$E116))),0)</f>
        <v>15623936.987777641</v>
      </c>
      <c r="N116" s="31" cm="1">
        <f t="array" ref="N116">N$110+IF($C116&lt;&gt;0,SUMPRODUCT((N$111:N$112)*TRANSPOSE(($D116:$E116))),0)</f>
        <v>22637323.222627524</v>
      </c>
      <c r="O116" s="31" cm="1">
        <f t="array" ref="O116">O$110+IF($C116&lt;&gt;0,SUMPRODUCT((O$111:O$112)*TRANSPOSE(($D116:$E116))),0)</f>
        <v>34996666.905943722</v>
      </c>
      <c r="P116" s="31" cm="1">
        <f t="array" ref="P116">P$110+IF($C116&lt;&gt;0,SUMPRODUCT((P$111:P$112)*TRANSPOSE(($D116:$E116))),0)</f>
        <v>48189343.560734071</v>
      </c>
      <c r="Q116" s="31" cm="1">
        <f t="array" ref="Q116">Q$110+IF($C116&lt;&gt;0,SUMPRODUCT((Q$111:Q$112)*TRANSPOSE(($D116:$E116))),0)</f>
        <v>61669401.762933008</v>
      </c>
      <c r="R116" s="31" cm="1">
        <f t="array" ref="R116">R$110+IF($C116&lt;&gt;0,SUMPRODUCT((R$111:R$112)*TRANSPOSE(($D116:$E116))),0)</f>
        <v>61669401.762933008</v>
      </c>
      <c r="S116" s="31" cm="1">
        <f t="array" ref="S116">S$110+IF($C116&lt;&gt;0,SUMPRODUCT((S$111:S$112)*TRANSPOSE(($D116:$E116))),0)</f>
        <v>61224903.545455135</v>
      </c>
      <c r="T116" s="31" cm="1">
        <f t="array" ref="T116">T$110+IF($C116&lt;&gt;0,SUMPRODUCT((T$111:T$112)*TRANSPOSE(($D116:$E116))),0)</f>
        <v>61224903.545455135</v>
      </c>
      <c r="U116" s="31" cm="1">
        <f t="array" ref="U116">U$110+IF($C116&lt;&gt;0,SUMPRODUCT((U$111:U$112)*TRANSPOSE(($D116:$E116))),0)</f>
        <v>61224903.545455135</v>
      </c>
      <c r="V116" s="31" cm="1">
        <f t="array" ref="V116">V$110+IF($C116&lt;&gt;0,SUMPRODUCT((V$111:V$112)*TRANSPOSE(($D116:$E116))),0)</f>
        <v>61224903.545455135</v>
      </c>
      <c r="W116" s="31" cm="1">
        <f t="array" ref="W116">W$110+IF($C116&lt;&gt;0,SUMPRODUCT((W$111:W$112)*TRANSPOSE(($D116:$E116))),0)</f>
        <v>61224903.545455135</v>
      </c>
      <c r="X116" s="31" cm="1">
        <f t="array" ref="X116">X$110+IF($C116&lt;&gt;0,SUMPRODUCT((X$111:X$112)*TRANSPOSE(($D116:$E116))),0)</f>
        <v>61224903.545455135</v>
      </c>
      <c r="Y116" s="31" cm="1">
        <f t="array" ref="Y116">Y$110+IF($C116&lt;&gt;0,SUMPRODUCT((Y$111:Y$112)*TRANSPOSE(($D116:$E116))),0)</f>
        <v>61224903.545455135</v>
      </c>
      <c r="Z116" s="31" cm="1">
        <f t="array" ref="Z116">Z$110+IF($C116&lt;&gt;0,SUMPRODUCT((Z$111:Z$112)*TRANSPOSE(($D116:$E116))),0)</f>
        <v>61224903.545455135</v>
      </c>
      <c r="AA116" s="31" cm="1">
        <f t="array" ref="AA116">AA$110+IF($C116&lt;&gt;0,SUMPRODUCT((AA$111:AA$112)*TRANSPOSE(($D116:$E116))),0)</f>
        <v>61224903.545455135</v>
      </c>
      <c r="AB116" s="31" cm="1">
        <f t="array" ref="AB116">AB$110+IF($C116&lt;&gt;0,SUMPRODUCT((AB$111:AB$112)*TRANSPOSE(($D116:$E116))),0)</f>
        <v>61224903.545455135</v>
      </c>
      <c r="AC116" s="31" cm="1">
        <f t="array" ref="AC116">AC$110+IF($C116&lt;&gt;0,SUMPRODUCT((AC$111:AC$112)*TRANSPOSE(($D116:$E116))),0)</f>
        <v>61224903.545455135</v>
      </c>
      <c r="AD116" s="31" cm="1">
        <f t="array" ref="AD116">AD$110+IF($C116&lt;&gt;0,SUMPRODUCT((AD$111:AD$112)*TRANSPOSE(($D116:$E116))),0)</f>
        <v>61224903.545455135</v>
      </c>
      <c r="AE116" s="31" cm="1">
        <f t="array" ref="AE116">AE$110+IF($C116&lt;&gt;0,SUMPRODUCT((AE$111:AE$112)*TRANSPOSE(($D116:$E116))),0)</f>
        <v>61224903.545455135</v>
      </c>
      <c r="AF116" s="31" cm="1">
        <f t="array" ref="AF116">AF$110+IF($C116&lt;&gt;0,SUMPRODUCT((AF$111:AF$112)*TRANSPOSE(($D116:$E116))),0)</f>
        <v>61224903.545455135</v>
      </c>
      <c r="AG116" s="31" cm="1">
        <f t="array" ref="AG116">AG$110+IF($C116&lt;&gt;0,SUMPRODUCT((AG$111:AG$112)*TRANSPOSE(($D116:$E116))),0)</f>
        <v>61224903.545455135</v>
      </c>
    </row>
    <row r="117" spans="1:33" x14ac:dyDescent="0.2">
      <c r="A117" s="1" t="str">
        <f>"sens"&amp;Assumptions!B114</f>
        <v>sens4</v>
      </c>
      <c r="C117" s="305" t="str">
        <f>Assumptions!C114</f>
        <v>Total benefits 10% lower</v>
      </c>
      <c r="D117" s="306">
        <f>Assumptions!G114</f>
        <v>0</v>
      </c>
      <c r="E117" s="306">
        <f>Assumptions!H114</f>
        <v>-0.1</v>
      </c>
      <c r="G117" s="38" t="str">
        <f t="shared" si="42"/>
        <v>Option 3sens4</v>
      </c>
      <c r="I117" s="31" cm="1">
        <f t="array" ref="I117">I$110+IF($C117&lt;&gt;0,SUMPRODUCT((I$111:I$112)*TRANSPOSE(($D117:$E117))),0)</f>
        <v>0</v>
      </c>
      <c r="J117" s="31" cm="1">
        <f t="array" ref="J117">J$110+IF($C117&lt;&gt;0,SUMPRODUCT((J$111:J$112)*TRANSPOSE(($D117:$E117))),0)</f>
        <v>6074811.0268256348</v>
      </c>
      <c r="K117" s="31" cm="1">
        <f t="array" ref="K117">K$110+IF($C117&lt;&gt;0,SUMPRODUCT((K$111:K$112)*TRANSPOSE(($D117:$E117))),0)</f>
        <v>8103671.9374260195</v>
      </c>
      <c r="L117" s="31" cm="1">
        <f t="array" ref="L117">L$110+IF($C117&lt;&gt;0,SUMPRODUCT((L$111:L$112)*TRANSPOSE(($D117:$E117))),0)</f>
        <v>9483592.9656013064</v>
      </c>
      <c r="M117" s="31" cm="1">
        <f t="array" ref="M117">M$110+IF($C117&lt;&gt;0,SUMPRODUCT((M$111:M$112)*TRANSPOSE(($D117:$E117))),0)</f>
        <v>11931113.213770257</v>
      </c>
      <c r="N117" s="31" cm="1">
        <f t="array" ref="N117">N$110+IF($C117&lt;&gt;0,SUMPRODUCT((N$111:N$112)*TRANSPOSE(($D117:$E117))),0)</f>
        <v>17497868.950223748</v>
      </c>
      <c r="O117" s="31" cm="1">
        <f t="array" ref="O117">O$110+IF($C117&lt;&gt;0,SUMPRODUCT((O$111:O$112)*TRANSPOSE(($D117:$E117))),0)</f>
        <v>27610059.236573365</v>
      </c>
      <c r="P117" s="31" cm="1">
        <f t="array" ref="P117">P$110+IF($C117&lt;&gt;0,SUMPRODUCT((P$111:P$112)*TRANSPOSE(($D117:$E117))),0)</f>
        <v>38404067.40867456</v>
      </c>
      <c r="Q117" s="31" cm="1">
        <f t="array" ref="Q117">Q$110+IF($C117&lt;&gt;0,SUMPRODUCT((Q$111:Q$112)*TRANSPOSE(($D117:$E117))),0)</f>
        <v>49433205.937746413</v>
      </c>
      <c r="R117" s="31" cm="1">
        <f t="array" ref="R117">R$110+IF($C117&lt;&gt;0,SUMPRODUCT((R$111:R$112)*TRANSPOSE(($D117:$E117))),0)</f>
        <v>49433205.937746413</v>
      </c>
      <c r="S117" s="31" cm="1">
        <f t="array" ref="S117">S$110+IF($C117&lt;&gt;0,SUMPRODUCT((S$111:S$112)*TRANSPOSE(($D117:$E117))),0)</f>
        <v>48988707.72026854</v>
      </c>
      <c r="T117" s="31" cm="1">
        <f t="array" ref="T117">T$110+IF($C117&lt;&gt;0,SUMPRODUCT((T$111:T$112)*TRANSPOSE(($D117:$E117))),0)</f>
        <v>48988707.72026854</v>
      </c>
      <c r="U117" s="31" cm="1">
        <f t="array" ref="U117">U$110+IF($C117&lt;&gt;0,SUMPRODUCT((U$111:U$112)*TRANSPOSE(($D117:$E117))),0)</f>
        <v>48988707.72026854</v>
      </c>
      <c r="V117" s="31" cm="1">
        <f t="array" ref="V117">V$110+IF($C117&lt;&gt;0,SUMPRODUCT((V$111:V$112)*TRANSPOSE(($D117:$E117))),0)</f>
        <v>48988707.72026854</v>
      </c>
      <c r="W117" s="31" cm="1">
        <f t="array" ref="W117">W$110+IF($C117&lt;&gt;0,SUMPRODUCT((W$111:W$112)*TRANSPOSE(($D117:$E117))),0)</f>
        <v>48988707.72026854</v>
      </c>
      <c r="X117" s="31" cm="1">
        <f t="array" ref="X117">X$110+IF($C117&lt;&gt;0,SUMPRODUCT((X$111:X$112)*TRANSPOSE(($D117:$E117))),0)</f>
        <v>48988707.72026854</v>
      </c>
      <c r="Y117" s="31" cm="1">
        <f t="array" ref="Y117">Y$110+IF($C117&lt;&gt;0,SUMPRODUCT((Y$111:Y$112)*TRANSPOSE(($D117:$E117))),0)</f>
        <v>48988707.72026854</v>
      </c>
      <c r="Z117" s="31" cm="1">
        <f t="array" ref="Z117">Z$110+IF($C117&lt;&gt;0,SUMPRODUCT((Z$111:Z$112)*TRANSPOSE(($D117:$E117))),0)</f>
        <v>48988707.72026854</v>
      </c>
      <c r="AA117" s="31" cm="1">
        <f t="array" ref="AA117">AA$110+IF($C117&lt;&gt;0,SUMPRODUCT((AA$111:AA$112)*TRANSPOSE(($D117:$E117))),0)</f>
        <v>48988707.72026854</v>
      </c>
      <c r="AB117" s="31" cm="1">
        <f t="array" ref="AB117">AB$110+IF($C117&lt;&gt;0,SUMPRODUCT((AB$111:AB$112)*TRANSPOSE(($D117:$E117))),0)</f>
        <v>48988707.72026854</v>
      </c>
      <c r="AC117" s="31" cm="1">
        <f t="array" ref="AC117">AC$110+IF($C117&lt;&gt;0,SUMPRODUCT((AC$111:AC$112)*TRANSPOSE(($D117:$E117))),0)</f>
        <v>48988707.72026854</v>
      </c>
      <c r="AD117" s="31" cm="1">
        <f t="array" ref="AD117">AD$110+IF($C117&lt;&gt;0,SUMPRODUCT((AD$111:AD$112)*TRANSPOSE(($D117:$E117))),0)</f>
        <v>48988707.72026854</v>
      </c>
      <c r="AE117" s="31" cm="1">
        <f t="array" ref="AE117">AE$110+IF($C117&lt;&gt;0,SUMPRODUCT((AE$111:AE$112)*TRANSPOSE(($D117:$E117))),0)</f>
        <v>48988707.72026854</v>
      </c>
      <c r="AF117" s="31" cm="1">
        <f t="array" ref="AF117">AF$110+IF($C117&lt;&gt;0,SUMPRODUCT((AF$111:AF$112)*TRANSPOSE(($D117:$E117))),0)</f>
        <v>48988707.72026854</v>
      </c>
      <c r="AG117" s="31" cm="1">
        <f t="array" ref="AG117">AG$110+IF($C117&lt;&gt;0,SUMPRODUCT((AG$111:AG$112)*TRANSPOSE(($D117:$E117))),0)</f>
        <v>48988707.72026854</v>
      </c>
    </row>
    <row r="118" spans="1:33" x14ac:dyDescent="0.2">
      <c r="A118" s="1" t="str">
        <f>"sens"&amp;Assumptions!B115</f>
        <v>sens5</v>
      </c>
      <c r="C118" s="305" t="str">
        <f>Assumptions!C115</f>
        <v>Capex 10% higher &amp; Total benefits 10% lower</v>
      </c>
      <c r="D118" s="306">
        <f>Assumptions!G115</f>
        <v>0.1</v>
      </c>
      <c r="E118" s="306">
        <f>Assumptions!H115</f>
        <v>-0.1</v>
      </c>
      <c r="G118" s="38" t="str">
        <f t="shared" si="42"/>
        <v>Option 3sens5</v>
      </c>
      <c r="I118" s="31" cm="1">
        <f t="array" ref="I118">I$110+IF($C118&lt;&gt;0,SUMPRODUCT((I$111:I$112)*TRANSPOSE(($D118:$E118))),0)</f>
        <v>0</v>
      </c>
      <c r="J118" s="31" cm="1">
        <f t="array" ref="J118">J$110+IF($C118&lt;&gt;0,SUMPRODUCT((J$111:J$112)*TRANSPOSE(($D118:$E118))),0)</f>
        <v>5956104.3194592036</v>
      </c>
      <c r="K118" s="31" cm="1">
        <f t="array" ref="K118">K$110+IF($C118&lt;&gt;0,SUMPRODUCT((K$111:K$112)*TRANSPOSE(($D118:$E118))),0)</f>
        <v>7904628.1797179366</v>
      </c>
      <c r="L118" s="31" cm="1">
        <f t="array" ref="L118">L$110+IF($C118&lt;&gt;0,SUMPRODUCT((L$111:L$112)*TRANSPOSE(($D118:$E118))),0)</f>
        <v>9186609.1038775723</v>
      </c>
      <c r="M118" s="31" cm="1">
        <f t="array" ref="M118">M$110+IF($C118&lt;&gt;0,SUMPRODUCT((M$111:M$112)*TRANSPOSE(($D118:$E118))),0)</f>
        <v>11462453.836843962</v>
      </c>
      <c r="N118" s="31" cm="1">
        <f t="array" ref="N118">N$110+IF($C118&lt;&gt;0,SUMPRODUCT((N$111:N$112)*TRANSPOSE(($D118:$E118))),0)</f>
        <v>16934901.422664419</v>
      </c>
      <c r="O118" s="31" cm="1">
        <f t="array" ref="O118">O$110+IF($C118&lt;&gt;0,SUMPRODUCT((O$111:O$112)*TRANSPOSE(($D118:$E118))),0)</f>
        <v>27047091.709014039</v>
      </c>
      <c r="P118" s="31" cm="1">
        <f t="array" ref="P118">P$110+IF($C118&lt;&gt;0,SUMPRODUCT((P$111:P$112)*TRANSPOSE(($D118:$E118))),0)</f>
        <v>37841099.881115228</v>
      </c>
      <c r="Q118" s="31" cm="1">
        <f t="array" ref="Q118">Q$110+IF($C118&lt;&gt;0,SUMPRODUCT((Q$111:Q$112)*TRANSPOSE(($D118:$E118))),0)</f>
        <v>48870238.410187088</v>
      </c>
      <c r="R118" s="31" cm="1">
        <f t="array" ref="R118">R$110+IF($C118&lt;&gt;0,SUMPRODUCT((R$111:R$112)*TRANSPOSE(($D118:$E118))),0)</f>
        <v>48870238.410187088</v>
      </c>
      <c r="S118" s="31" cm="1">
        <f t="array" ref="S118">S$110+IF($C118&lt;&gt;0,SUMPRODUCT((S$111:S$112)*TRANSPOSE(($D118:$E118))),0)</f>
        <v>48381290.370961428</v>
      </c>
      <c r="T118" s="31" cm="1">
        <f t="array" ref="T118">T$110+IF($C118&lt;&gt;0,SUMPRODUCT((T$111:T$112)*TRANSPOSE(($D118:$E118))),0)</f>
        <v>48381290.370961428</v>
      </c>
      <c r="U118" s="31" cm="1">
        <f t="array" ref="U118">U$110+IF($C118&lt;&gt;0,SUMPRODUCT((U$111:U$112)*TRANSPOSE(($D118:$E118))),0)</f>
        <v>48381290.370961428</v>
      </c>
      <c r="V118" s="31" cm="1">
        <f t="array" ref="V118">V$110+IF($C118&lt;&gt;0,SUMPRODUCT((V$111:V$112)*TRANSPOSE(($D118:$E118))),0)</f>
        <v>48381290.370961428</v>
      </c>
      <c r="W118" s="31" cm="1">
        <f t="array" ref="W118">W$110+IF($C118&lt;&gt;0,SUMPRODUCT((W$111:W$112)*TRANSPOSE(($D118:$E118))),0)</f>
        <v>48381290.370961428</v>
      </c>
      <c r="X118" s="31" cm="1">
        <f t="array" ref="X118">X$110+IF($C118&lt;&gt;0,SUMPRODUCT((X$111:X$112)*TRANSPOSE(($D118:$E118))),0)</f>
        <v>48381290.370961428</v>
      </c>
      <c r="Y118" s="31" cm="1">
        <f t="array" ref="Y118">Y$110+IF($C118&lt;&gt;0,SUMPRODUCT((Y$111:Y$112)*TRANSPOSE(($D118:$E118))),0)</f>
        <v>48381290.370961428</v>
      </c>
      <c r="Z118" s="31" cm="1">
        <f t="array" ref="Z118">Z$110+IF($C118&lt;&gt;0,SUMPRODUCT((Z$111:Z$112)*TRANSPOSE(($D118:$E118))),0)</f>
        <v>48381290.370961428</v>
      </c>
      <c r="AA118" s="31" cm="1">
        <f t="array" ref="AA118">AA$110+IF($C118&lt;&gt;0,SUMPRODUCT((AA$111:AA$112)*TRANSPOSE(($D118:$E118))),0)</f>
        <v>48381290.370961428</v>
      </c>
      <c r="AB118" s="31" cm="1">
        <f t="array" ref="AB118">AB$110+IF($C118&lt;&gt;0,SUMPRODUCT((AB$111:AB$112)*TRANSPOSE(($D118:$E118))),0)</f>
        <v>48381290.370961428</v>
      </c>
      <c r="AC118" s="31" cm="1">
        <f t="array" ref="AC118">AC$110+IF($C118&lt;&gt;0,SUMPRODUCT((AC$111:AC$112)*TRANSPOSE(($D118:$E118))),0)</f>
        <v>48381290.370961428</v>
      </c>
      <c r="AD118" s="31" cm="1">
        <f t="array" ref="AD118">AD$110+IF($C118&lt;&gt;0,SUMPRODUCT((AD$111:AD$112)*TRANSPOSE(($D118:$E118))),0)</f>
        <v>48381290.370961428</v>
      </c>
      <c r="AE118" s="31" cm="1">
        <f t="array" ref="AE118">AE$110+IF($C118&lt;&gt;0,SUMPRODUCT((AE$111:AE$112)*TRANSPOSE(($D118:$E118))),0)</f>
        <v>48381290.370961428</v>
      </c>
      <c r="AF118" s="31" cm="1">
        <f t="array" ref="AF118">AF$110+IF($C118&lt;&gt;0,SUMPRODUCT((AF$111:AF$112)*TRANSPOSE(($D118:$E118))),0)</f>
        <v>48381290.370961428</v>
      </c>
      <c r="AG118" s="31" cm="1">
        <f t="array" ref="AG118">AG$110+IF($C118&lt;&gt;0,SUMPRODUCT((AG$111:AG$112)*TRANSPOSE(($D118:$E118))),0)</f>
        <v>48381290.370961428</v>
      </c>
    </row>
    <row r="119" spans="1:33" x14ac:dyDescent="0.2">
      <c r="A119" s="1" t="str">
        <f>"sens"&amp;Assumptions!B116</f>
        <v>sens</v>
      </c>
      <c r="C119" s="305">
        <f>Assumptions!C116</f>
        <v>0</v>
      </c>
      <c r="D119" s="306">
        <f>Assumptions!G116</f>
        <v>0</v>
      </c>
      <c r="E119" s="306">
        <f>Assumptions!H116</f>
        <v>0</v>
      </c>
      <c r="G119" s="38" t="str">
        <f t="shared" si="42"/>
        <v>Option 3sens</v>
      </c>
      <c r="I119" s="31" cm="1">
        <f t="array" ref="I119">I$110+IF($C119&lt;&gt;0,SUMPRODUCT((I$111:I$112)*TRANSPOSE(($D119:$E119))),0)</f>
        <v>0</v>
      </c>
      <c r="J119" s="31" cm="1">
        <f t="array" ref="J119">J$110+IF($C119&lt;&gt;0,SUMPRODUCT((J$111:J$112)*TRANSPOSE(($D119:$E119))),0)</f>
        <v>6881686.3713245168</v>
      </c>
      <c r="K119" s="31" cm="1">
        <f t="array" ref="K119">K$110+IF($C119&lt;&gt;0,SUMPRODUCT((K$111:K$112)*TRANSPOSE(($D119:$E119))),0)</f>
        <v>9225239.661260115</v>
      </c>
      <c r="L119" s="31" cm="1">
        <f t="array" ref="L119">L$110+IF($C119&lt;&gt;0,SUMPRODUCT((L$111:L$112)*TRANSPOSE(($D119:$E119))),0)</f>
        <v>10867307.585916711</v>
      </c>
      <c r="M119" s="31" cm="1">
        <f t="array" ref="M119">M$110+IF($C119&lt;&gt;0,SUMPRODUCT((M$111:M$112)*TRANSPOSE(($D119:$E119))),0)</f>
        <v>13777525.100773949</v>
      </c>
      <c r="N119" s="31" cm="1">
        <f t="array" ref="N119">N$110+IF($C119&lt;&gt;0,SUMPRODUCT((N$111:N$112)*TRANSPOSE(($D119:$E119))),0)</f>
        <v>20067596.086425636</v>
      </c>
      <c r="O119" s="31" cm="1">
        <f t="array" ref="O119">O$110+IF($C119&lt;&gt;0,SUMPRODUCT((O$111:O$112)*TRANSPOSE(($D119:$E119))),0)</f>
        <v>31303363.071258545</v>
      </c>
      <c r="P119" s="31" cm="1">
        <f t="array" ref="P119">P$110+IF($C119&lt;&gt;0,SUMPRODUCT((P$111:P$112)*TRANSPOSE(($D119:$E119))),0)</f>
        <v>43296705.484704316</v>
      </c>
      <c r="Q119" s="31" cm="1">
        <f t="array" ref="Q119">Q$110+IF($C119&lt;&gt;0,SUMPRODUCT((Q$111:Q$112)*TRANSPOSE(($D119:$E119))),0)</f>
        <v>55551303.850339711</v>
      </c>
      <c r="R119" s="31" cm="1">
        <f t="array" ref="R119">R$110+IF($C119&lt;&gt;0,SUMPRODUCT((R$111:R$112)*TRANSPOSE(($D119:$E119))),0)</f>
        <v>55551303.850339711</v>
      </c>
      <c r="S119" s="31" cm="1">
        <f t="array" ref="S119">S$110+IF($C119&lt;&gt;0,SUMPRODUCT((S$111:S$112)*TRANSPOSE(($D119:$E119))),0)</f>
        <v>55106805.632861838</v>
      </c>
      <c r="T119" s="31" cm="1">
        <f t="array" ref="T119">T$110+IF($C119&lt;&gt;0,SUMPRODUCT((T$111:T$112)*TRANSPOSE(($D119:$E119))),0)</f>
        <v>55106805.632861838</v>
      </c>
      <c r="U119" s="31" cm="1">
        <f t="array" ref="U119">U$110+IF($C119&lt;&gt;0,SUMPRODUCT((U$111:U$112)*TRANSPOSE(($D119:$E119))),0)</f>
        <v>55106805.632861838</v>
      </c>
      <c r="V119" s="31" cm="1">
        <f t="array" ref="V119">V$110+IF($C119&lt;&gt;0,SUMPRODUCT((V$111:V$112)*TRANSPOSE(($D119:$E119))),0)</f>
        <v>55106805.632861838</v>
      </c>
      <c r="W119" s="31" cm="1">
        <f t="array" ref="W119">W$110+IF($C119&lt;&gt;0,SUMPRODUCT((W$111:W$112)*TRANSPOSE(($D119:$E119))),0)</f>
        <v>55106805.632861838</v>
      </c>
      <c r="X119" s="31" cm="1">
        <f t="array" ref="X119">X$110+IF($C119&lt;&gt;0,SUMPRODUCT((X$111:X$112)*TRANSPOSE(($D119:$E119))),0)</f>
        <v>55106805.632861838</v>
      </c>
      <c r="Y119" s="31" cm="1">
        <f t="array" ref="Y119">Y$110+IF($C119&lt;&gt;0,SUMPRODUCT((Y$111:Y$112)*TRANSPOSE(($D119:$E119))),0)</f>
        <v>55106805.632861838</v>
      </c>
      <c r="Z119" s="31" cm="1">
        <f t="array" ref="Z119">Z$110+IF($C119&lt;&gt;0,SUMPRODUCT((Z$111:Z$112)*TRANSPOSE(($D119:$E119))),0)</f>
        <v>55106805.632861838</v>
      </c>
      <c r="AA119" s="31" cm="1">
        <f t="array" ref="AA119">AA$110+IF($C119&lt;&gt;0,SUMPRODUCT((AA$111:AA$112)*TRANSPOSE(($D119:$E119))),0)</f>
        <v>55106805.632861838</v>
      </c>
      <c r="AB119" s="31" cm="1">
        <f t="array" ref="AB119">AB$110+IF($C119&lt;&gt;0,SUMPRODUCT((AB$111:AB$112)*TRANSPOSE(($D119:$E119))),0)</f>
        <v>55106805.632861838</v>
      </c>
      <c r="AC119" s="31" cm="1">
        <f t="array" ref="AC119">AC$110+IF($C119&lt;&gt;0,SUMPRODUCT((AC$111:AC$112)*TRANSPOSE(($D119:$E119))),0)</f>
        <v>55106805.632861838</v>
      </c>
      <c r="AD119" s="31" cm="1">
        <f t="array" ref="AD119">AD$110+IF($C119&lt;&gt;0,SUMPRODUCT((AD$111:AD$112)*TRANSPOSE(($D119:$E119))),0)</f>
        <v>55106805.632861838</v>
      </c>
      <c r="AE119" s="31" cm="1">
        <f t="array" ref="AE119">AE$110+IF($C119&lt;&gt;0,SUMPRODUCT((AE$111:AE$112)*TRANSPOSE(($D119:$E119))),0)</f>
        <v>55106805.632861838</v>
      </c>
      <c r="AF119" s="31" cm="1">
        <f t="array" ref="AF119">AF$110+IF($C119&lt;&gt;0,SUMPRODUCT((AF$111:AF$112)*TRANSPOSE(($D119:$E119))),0)</f>
        <v>55106805.632861838</v>
      </c>
      <c r="AG119" s="31" cm="1">
        <f t="array" ref="AG119">AG$110+IF($C119&lt;&gt;0,SUMPRODUCT((AG$111:AG$112)*TRANSPOSE(($D119:$E119))),0)</f>
        <v>55106805.632861838</v>
      </c>
    </row>
    <row r="120" spans="1:33" x14ac:dyDescent="0.2">
      <c r="A120" s="1" t="str">
        <f>"sens"&amp;Assumptions!B117</f>
        <v>sens</v>
      </c>
      <c r="C120" s="305">
        <f>Assumptions!C117</f>
        <v>0</v>
      </c>
      <c r="D120" s="306">
        <f>Assumptions!G117</f>
        <v>0</v>
      </c>
      <c r="E120" s="306">
        <f>Assumptions!H117</f>
        <v>0</v>
      </c>
      <c r="G120" s="38" t="str">
        <f t="shared" si="42"/>
        <v>Option 3sens</v>
      </c>
      <c r="I120" s="31" cm="1">
        <f t="array" ref="I120">I$110+IF($C120&lt;&gt;0,SUMPRODUCT((I$111:I$112)*TRANSPOSE(($D120:$E120))),0)</f>
        <v>0</v>
      </c>
      <c r="J120" s="31" cm="1">
        <f t="array" ref="J120">J$110+IF($C120&lt;&gt;0,SUMPRODUCT((J$111:J$112)*TRANSPOSE(($D120:$E120))),0)</f>
        <v>6881686.3713245168</v>
      </c>
      <c r="K120" s="31" cm="1">
        <f t="array" ref="K120">K$110+IF($C120&lt;&gt;0,SUMPRODUCT((K$111:K$112)*TRANSPOSE(($D120:$E120))),0)</f>
        <v>9225239.661260115</v>
      </c>
      <c r="L120" s="31" cm="1">
        <f t="array" ref="L120">L$110+IF($C120&lt;&gt;0,SUMPRODUCT((L$111:L$112)*TRANSPOSE(($D120:$E120))),0)</f>
        <v>10867307.585916711</v>
      </c>
      <c r="M120" s="31" cm="1">
        <f t="array" ref="M120">M$110+IF($C120&lt;&gt;0,SUMPRODUCT((M$111:M$112)*TRANSPOSE(($D120:$E120))),0)</f>
        <v>13777525.100773949</v>
      </c>
      <c r="N120" s="31" cm="1">
        <f t="array" ref="N120">N$110+IF($C120&lt;&gt;0,SUMPRODUCT((N$111:N$112)*TRANSPOSE(($D120:$E120))),0)</f>
        <v>20067596.086425636</v>
      </c>
      <c r="O120" s="31" cm="1">
        <f t="array" ref="O120">O$110+IF($C120&lt;&gt;0,SUMPRODUCT((O$111:O$112)*TRANSPOSE(($D120:$E120))),0)</f>
        <v>31303363.071258545</v>
      </c>
      <c r="P120" s="31" cm="1">
        <f t="array" ref="P120">P$110+IF($C120&lt;&gt;0,SUMPRODUCT((P$111:P$112)*TRANSPOSE(($D120:$E120))),0)</f>
        <v>43296705.484704316</v>
      </c>
      <c r="Q120" s="31" cm="1">
        <f t="array" ref="Q120">Q$110+IF($C120&lt;&gt;0,SUMPRODUCT((Q$111:Q$112)*TRANSPOSE(($D120:$E120))),0)</f>
        <v>55551303.850339711</v>
      </c>
      <c r="R120" s="31" cm="1">
        <f t="array" ref="R120">R$110+IF($C120&lt;&gt;0,SUMPRODUCT((R$111:R$112)*TRANSPOSE(($D120:$E120))),0)</f>
        <v>55551303.850339711</v>
      </c>
      <c r="S120" s="31" cm="1">
        <f t="array" ref="S120">S$110+IF($C120&lt;&gt;0,SUMPRODUCT((S$111:S$112)*TRANSPOSE(($D120:$E120))),0)</f>
        <v>55106805.632861838</v>
      </c>
      <c r="T120" s="31" cm="1">
        <f t="array" ref="T120">T$110+IF($C120&lt;&gt;0,SUMPRODUCT((T$111:T$112)*TRANSPOSE(($D120:$E120))),0)</f>
        <v>55106805.632861838</v>
      </c>
      <c r="U120" s="31" cm="1">
        <f t="array" ref="U120">U$110+IF($C120&lt;&gt;0,SUMPRODUCT((U$111:U$112)*TRANSPOSE(($D120:$E120))),0)</f>
        <v>55106805.632861838</v>
      </c>
      <c r="V120" s="31" cm="1">
        <f t="array" ref="V120">V$110+IF($C120&lt;&gt;0,SUMPRODUCT((V$111:V$112)*TRANSPOSE(($D120:$E120))),0)</f>
        <v>55106805.632861838</v>
      </c>
      <c r="W120" s="31" cm="1">
        <f t="array" ref="W120">W$110+IF($C120&lt;&gt;0,SUMPRODUCT((W$111:W$112)*TRANSPOSE(($D120:$E120))),0)</f>
        <v>55106805.632861838</v>
      </c>
      <c r="X120" s="31" cm="1">
        <f t="array" ref="X120">X$110+IF($C120&lt;&gt;0,SUMPRODUCT((X$111:X$112)*TRANSPOSE(($D120:$E120))),0)</f>
        <v>55106805.632861838</v>
      </c>
      <c r="Y120" s="31" cm="1">
        <f t="array" ref="Y120">Y$110+IF($C120&lt;&gt;0,SUMPRODUCT((Y$111:Y$112)*TRANSPOSE(($D120:$E120))),0)</f>
        <v>55106805.632861838</v>
      </c>
      <c r="Z120" s="31" cm="1">
        <f t="array" ref="Z120">Z$110+IF($C120&lt;&gt;0,SUMPRODUCT((Z$111:Z$112)*TRANSPOSE(($D120:$E120))),0)</f>
        <v>55106805.632861838</v>
      </c>
      <c r="AA120" s="31" cm="1">
        <f t="array" ref="AA120">AA$110+IF($C120&lt;&gt;0,SUMPRODUCT((AA$111:AA$112)*TRANSPOSE(($D120:$E120))),0)</f>
        <v>55106805.632861838</v>
      </c>
      <c r="AB120" s="31" cm="1">
        <f t="array" ref="AB120">AB$110+IF($C120&lt;&gt;0,SUMPRODUCT((AB$111:AB$112)*TRANSPOSE(($D120:$E120))),0)</f>
        <v>55106805.632861838</v>
      </c>
      <c r="AC120" s="31" cm="1">
        <f t="array" ref="AC120">AC$110+IF($C120&lt;&gt;0,SUMPRODUCT((AC$111:AC$112)*TRANSPOSE(($D120:$E120))),0)</f>
        <v>55106805.632861838</v>
      </c>
      <c r="AD120" s="31" cm="1">
        <f t="array" ref="AD120">AD$110+IF($C120&lt;&gt;0,SUMPRODUCT((AD$111:AD$112)*TRANSPOSE(($D120:$E120))),0)</f>
        <v>55106805.632861838</v>
      </c>
      <c r="AE120" s="31" cm="1">
        <f t="array" ref="AE120">AE$110+IF($C120&lt;&gt;0,SUMPRODUCT((AE$111:AE$112)*TRANSPOSE(($D120:$E120))),0)</f>
        <v>55106805.632861838</v>
      </c>
      <c r="AF120" s="31" cm="1">
        <f t="array" ref="AF120">AF$110+IF($C120&lt;&gt;0,SUMPRODUCT((AF$111:AF$112)*TRANSPOSE(($D120:$E120))),0)</f>
        <v>55106805.632861838</v>
      </c>
      <c r="AG120" s="31" cm="1">
        <f t="array" ref="AG120">AG$110+IF($C120&lt;&gt;0,SUMPRODUCT((AG$111:AG$112)*TRANSPOSE(($D120:$E120))),0)</f>
        <v>55106805.632861838</v>
      </c>
    </row>
    <row r="121" spans="1:33" x14ac:dyDescent="0.2">
      <c r="A121" s="1" t="str">
        <f>"sens"&amp;Assumptions!B118</f>
        <v>sens</v>
      </c>
      <c r="C121" s="305">
        <f>Assumptions!C118</f>
        <v>0</v>
      </c>
      <c r="D121" s="306">
        <f>Assumptions!G118</f>
        <v>0</v>
      </c>
      <c r="E121" s="306">
        <f>Assumptions!H118</f>
        <v>0</v>
      </c>
      <c r="G121" s="38" t="str">
        <f t="shared" si="42"/>
        <v>Option 3sens</v>
      </c>
      <c r="I121" s="31" cm="1">
        <f t="array" ref="I121">I$110+IF($C121&lt;&gt;0,SUMPRODUCT((I$111:I$112)*TRANSPOSE(($D121:$E121))),0)</f>
        <v>0</v>
      </c>
      <c r="J121" s="31" cm="1">
        <f t="array" ref="J121">J$110+IF($C121&lt;&gt;0,SUMPRODUCT((J$111:J$112)*TRANSPOSE(($D121:$E121))),0)</f>
        <v>6881686.3713245168</v>
      </c>
      <c r="K121" s="31" cm="1">
        <f t="array" ref="K121">K$110+IF($C121&lt;&gt;0,SUMPRODUCT((K$111:K$112)*TRANSPOSE(($D121:$E121))),0)</f>
        <v>9225239.661260115</v>
      </c>
      <c r="L121" s="31" cm="1">
        <f t="array" ref="L121">L$110+IF($C121&lt;&gt;0,SUMPRODUCT((L$111:L$112)*TRANSPOSE(($D121:$E121))),0)</f>
        <v>10867307.585916711</v>
      </c>
      <c r="M121" s="31" cm="1">
        <f t="array" ref="M121">M$110+IF($C121&lt;&gt;0,SUMPRODUCT((M$111:M$112)*TRANSPOSE(($D121:$E121))),0)</f>
        <v>13777525.100773949</v>
      </c>
      <c r="N121" s="31" cm="1">
        <f t="array" ref="N121">N$110+IF($C121&lt;&gt;0,SUMPRODUCT((N$111:N$112)*TRANSPOSE(($D121:$E121))),0)</f>
        <v>20067596.086425636</v>
      </c>
      <c r="O121" s="31" cm="1">
        <f t="array" ref="O121">O$110+IF($C121&lt;&gt;0,SUMPRODUCT((O$111:O$112)*TRANSPOSE(($D121:$E121))),0)</f>
        <v>31303363.071258545</v>
      </c>
      <c r="P121" s="31" cm="1">
        <f t="array" ref="P121">P$110+IF($C121&lt;&gt;0,SUMPRODUCT((P$111:P$112)*TRANSPOSE(($D121:$E121))),0)</f>
        <v>43296705.484704316</v>
      </c>
      <c r="Q121" s="31" cm="1">
        <f t="array" ref="Q121">Q$110+IF($C121&lt;&gt;0,SUMPRODUCT((Q$111:Q$112)*TRANSPOSE(($D121:$E121))),0)</f>
        <v>55551303.850339711</v>
      </c>
      <c r="R121" s="31" cm="1">
        <f t="array" ref="R121">R$110+IF($C121&lt;&gt;0,SUMPRODUCT((R$111:R$112)*TRANSPOSE(($D121:$E121))),0)</f>
        <v>55551303.850339711</v>
      </c>
      <c r="S121" s="31" cm="1">
        <f t="array" ref="S121">S$110+IF($C121&lt;&gt;0,SUMPRODUCT((S$111:S$112)*TRANSPOSE(($D121:$E121))),0)</f>
        <v>55106805.632861838</v>
      </c>
      <c r="T121" s="31" cm="1">
        <f t="array" ref="T121">T$110+IF($C121&lt;&gt;0,SUMPRODUCT((T$111:T$112)*TRANSPOSE(($D121:$E121))),0)</f>
        <v>55106805.632861838</v>
      </c>
      <c r="U121" s="31" cm="1">
        <f t="array" ref="U121">U$110+IF($C121&lt;&gt;0,SUMPRODUCT((U$111:U$112)*TRANSPOSE(($D121:$E121))),0)</f>
        <v>55106805.632861838</v>
      </c>
      <c r="V121" s="31" cm="1">
        <f t="array" ref="V121">V$110+IF($C121&lt;&gt;0,SUMPRODUCT((V$111:V$112)*TRANSPOSE(($D121:$E121))),0)</f>
        <v>55106805.632861838</v>
      </c>
      <c r="W121" s="31" cm="1">
        <f t="array" ref="W121">W$110+IF($C121&lt;&gt;0,SUMPRODUCT((W$111:W$112)*TRANSPOSE(($D121:$E121))),0)</f>
        <v>55106805.632861838</v>
      </c>
      <c r="X121" s="31" cm="1">
        <f t="array" ref="X121">X$110+IF($C121&lt;&gt;0,SUMPRODUCT((X$111:X$112)*TRANSPOSE(($D121:$E121))),0)</f>
        <v>55106805.632861838</v>
      </c>
      <c r="Y121" s="31" cm="1">
        <f t="array" ref="Y121">Y$110+IF($C121&lt;&gt;0,SUMPRODUCT((Y$111:Y$112)*TRANSPOSE(($D121:$E121))),0)</f>
        <v>55106805.632861838</v>
      </c>
      <c r="Z121" s="31" cm="1">
        <f t="array" ref="Z121">Z$110+IF($C121&lt;&gt;0,SUMPRODUCT((Z$111:Z$112)*TRANSPOSE(($D121:$E121))),0)</f>
        <v>55106805.632861838</v>
      </c>
      <c r="AA121" s="31" cm="1">
        <f t="array" ref="AA121">AA$110+IF($C121&lt;&gt;0,SUMPRODUCT((AA$111:AA$112)*TRANSPOSE(($D121:$E121))),0)</f>
        <v>55106805.632861838</v>
      </c>
      <c r="AB121" s="31" cm="1">
        <f t="array" ref="AB121">AB$110+IF($C121&lt;&gt;0,SUMPRODUCT((AB$111:AB$112)*TRANSPOSE(($D121:$E121))),0)</f>
        <v>55106805.632861838</v>
      </c>
      <c r="AC121" s="31" cm="1">
        <f t="array" ref="AC121">AC$110+IF($C121&lt;&gt;0,SUMPRODUCT((AC$111:AC$112)*TRANSPOSE(($D121:$E121))),0)</f>
        <v>55106805.632861838</v>
      </c>
      <c r="AD121" s="31" cm="1">
        <f t="array" ref="AD121">AD$110+IF($C121&lt;&gt;0,SUMPRODUCT((AD$111:AD$112)*TRANSPOSE(($D121:$E121))),0)</f>
        <v>55106805.632861838</v>
      </c>
      <c r="AE121" s="31" cm="1">
        <f t="array" ref="AE121">AE$110+IF($C121&lt;&gt;0,SUMPRODUCT((AE$111:AE$112)*TRANSPOSE(($D121:$E121))),0)</f>
        <v>55106805.632861838</v>
      </c>
      <c r="AF121" s="31" cm="1">
        <f t="array" ref="AF121">AF$110+IF($C121&lt;&gt;0,SUMPRODUCT((AF$111:AF$112)*TRANSPOSE(($D121:$E121))),0)</f>
        <v>55106805.632861838</v>
      </c>
      <c r="AG121" s="31" cm="1">
        <f t="array" ref="AG121">AG$110+IF($C121&lt;&gt;0,SUMPRODUCT((AG$111:AG$112)*TRANSPOSE(($D121:$E121))),0)</f>
        <v>55106805.632861838</v>
      </c>
    </row>
  </sheetData>
  <conditionalFormatting sqref="E29">
    <cfRule type="expression" dxfId="8" priority="5">
      <formula>AND(SUM($I$28:$AG$28)&gt;0, $E$29=0)</formula>
    </cfRule>
  </conditionalFormatting>
  <conditionalFormatting sqref="E14:E17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21"/>
  <sheetViews>
    <sheetView showGridLines="0" zoomScale="90" zoomScaleNormal="90" workbookViewId="0">
      <pane xSplit="7" ySplit="10" topLeftCell="H11" activePane="bottomRight" state="frozen"/>
      <selection activeCell="E14" sqref="E14:K14"/>
      <selection pane="topRight" activeCell="E14" sqref="E14:K14"/>
      <selection pane="bottomLeft" activeCell="E14" sqref="E14:K14"/>
      <selection pane="bottomRight" activeCell="C14" sqref="C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Melton &amp; Wyndham Transformation Capacity Project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134</v>
      </c>
      <c r="B3" s="5"/>
      <c r="C3" s="204" t="str">
        <f>INDEX(Assumptions!$E$14:$E$18, MATCH(A3,_xlfn.ANCHORARRAY( Assumptions!$C$14),0))</f>
        <v>Lean investment, Northern capacity priority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9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252</v>
      </c>
      <c r="D14"/>
      <c r="E14" s="151">
        <v>50</v>
      </c>
      <c r="G14" s="211">
        <f>input_dollars</f>
        <v>45291</v>
      </c>
      <c r="H14" s="152"/>
      <c r="I14" s="32">
        <v>14291649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255</v>
      </c>
      <c r="D15"/>
      <c r="E15" s="151">
        <v>50</v>
      </c>
      <c r="G15" s="211">
        <f>input_dollars</f>
        <v>45291</v>
      </c>
      <c r="H15" s="2"/>
      <c r="I15" s="32">
        <v>5291808.87</v>
      </c>
      <c r="J15" s="32">
        <v>17564061.240000002</v>
      </c>
      <c r="K15" s="32">
        <v>16105016.889999999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254</v>
      </c>
      <c r="D16"/>
      <c r="E16" s="151">
        <v>50</v>
      </c>
      <c r="G16" s="211">
        <f>input_dollars</f>
        <v>45291</v>
      </c>
      <c r="H16" s="2"/>
      <c r="I16" s="32">
        <v>0</v>
      </c>
      <c r="J16" s="32">
        <v>5408395.2999999998</v>
      </c>
      <c r="K16" s="32">
        <v>24162535.933333334</v>
      </c>
      <c r="L16" s="32">
        <v>22120559.43333333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10425980.333333332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57"/>
      <c r="D17"/>
      <c r="E17" s="151">
        <v>0</v>
      </c>
      <c r="G17" s="211">
        <f>input_dollars</f>
        <v>45291</v>
      </c>
      <c r="H17" s="2"/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/>
      <c r="AI17"/>
      <c r="AJ17"/>
      <c r="AK17"/>
      <c r="AL17"/>
      <c r="AM17"/>
      <c r="AN17"/>
      <c r="AO17"/>
      <c r="AP17"/>
      <c r="AQ17"/>
    </row>
    <row r="18" spans="1:43" x14ac:dyDescent="0.2">
      <c r="C18" s="1" t="s">
        <v>30</v>
      </c>
      <c r="G18" s="211">
        <f>input_dollars</f>
        <v>45291</v>
      </c>
      <c r="H18" s="107"/>
      <c r="I18" s="106">
        <f t="shared" ref="I18:Q18" si="0">SUM(I14:I17)</f>
        <v>19583457.870000001</v>
      </c>
      <c r="J18" s="106">
        <f t="shared" si="0"/>
        <v>22972456.540000003</v>
      </c>
      <c r="K18" s="106">
        <f t="shared" si="0"/>
        <v>40267552.82333333</v>
      </c>
      <c r="L18" s="106">
        <f t="shared" si="0"/>
        <v>22120559.43333333</v>
      </c>
      <c r="M18" s="106">
        <f t="shared" si="0"/>
        <v>0</v>
      </c>
      <c r="N18" s="106">
        <f t="shared" si="0"/>
        <v>0</v>
      </c>
      <c r="O18" s="106">
        <f t="shared" si="0"/>
        <v>0</v>
      </c>
      <c r="P18" s="106">
        <f t="shared" si="0"/>
        <v>0</v>
      </c>
      <c r="Q18" s="106">
        <f t="shared" si="0"/>
        <v>0</v>
      </c>
      <c r="R18" s="106">
        <f t="shared" ref="R18:AG18" si="1">SUM(R14:R17)</f>
        <v>10425980.333333332</v>
      </c>
      <c r="S18" s="106">
        <f t="shared" si="1"/>
        <v>0</v>
      </c>
      <c r="T18" s="106">
        <f t="shared" si="1"/>
        <v>0</v>
      </c>
      <c r="U18" s="106">
        <f t="shared" si="1"/>
        <v>0</v>
      </c>
      <c r="V18" s="106">
        <f t="shared" si="1"/>
        <v>0</v>
      </c>
      <c r="W18" s="106">
        <f t="shared" si="1"/>
        <v>0</v>
      </c>
      <c r="X18" s="106">
        <f t="shared" si="1"/>
        <v>0</v>
      </c>
      <c r="Y18" s="106">
        <f t="shared" si="1"/>
        <v>0</v>
      </c>
      <c r="Z18" s="106">
        <f t="shared" si="1"/>
        <v>0</v>
      </c>
      <c r="AA18" s="106">
        <f t="shared" si="1"/>
        <v>0</v>
      </c>
      <c r="AB18" s="106">
        <f t="shared" si="1"/>
        <v>0</v>
      </c>
      <c r="AC18" s="106">
        <f t="shared" si="1"/>
        <v>0</v>
      </c>
      <c r="AD18" s="106">
        <f t="shared" si="1"/>
        <v>0</v>
      </c>
      <c r="AE18" s="106">
        <f t="shared" si="1"/>
        <v>0</v>
      </c>
      <c r="AF18" s="106">
        <f t="shared" si="1"/>
        <v>0</v>
      </c>
      <c r="AG18" s="106">
        <f t="shared" si="1"/>
        <v>0</v>
      </c>
      <c r="AH18"/>
      <c r="AI18"/>
      <c r="AJ18"/>
      <c r="AK18"/>
      <c r="AL18"/>
      <c r="AM18"/>
    </row>
    <row r="19" spans="1:43" x14ac:dyDescent="0.2">
      <c r="C19"/>
      <c r="D19"/>
      <c r="E19"/>
      <c r="G19" s="2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2">
      <c r="C20" s="1" t="s">
        <v>31</v>
      </c>
      <c r="D20"/>
      <c r="E20"/>
      <c r="F20" s="107"/>
      <c r="G20" s="211">
        <f>input_dollars</f>
        <v>45291</v>
      </c>
      <c r="H20" s="107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/>
      <c r="AI20"/>
      <c r="AJ20"/>
      <c r="AK20"/>
      <c r="AL20"/>
      <c r="AM20"/>
    </row>
    <row r="21" spans="1:43" x14ac:dyDescent="0.2">
      <c r="G21" s="209"/>
      <c r="AH21"/>
      <c r="AI21"/>
      <c r="AJ21"/>
      <c r="AK21"/>
      <c r="AL21"/>
      <c r="AM21"/>
    </row>
    <row r="22" spans="1:43" x14ac:dyDescent="0.2">
      <c r="C22"/>
      <c r="D22"/>
      <c r="E22"/>
      <c r="G22" s="2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15" x14ac:dyDescent="0.2">
      <c r="A23" s="89" t="s">
        <v>150</v>
      </c>
      <c r="B23" s="89"/>
      <c r="C23" s="89"/>
      <c r="D23" s="89"/>
      <c r="E23" s="89"/>
      <c r="F23" s="89"/>
      <c r="G23" s="208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11"/>
      <c r="D24" s="111"/>
      <c r="E24" s="111"/>
      <c r="F24" s="111"/>
      <c r="G24" s="212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111"/>
      <c r="E25" s="111"/>
      <c r="F25" s="111"/>
      <c r="G25" s="212"/>
      <c r="H25" s="111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" t="s">
        <v>152</v>
      </c>
      <c r="D26" s="212"/>
      <c r="E26" s="111"/>
      <c r="F26" s="111"/>
      <c r="G26" s="212"/>
      <c r="H26" s="111"/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73">
        <v>0</v>
      </c>
      <c r="AA26" s="173">
        <v>0</v>
      </c>
      <c r="AB26" s="173">
        <v>0</v>
      </c>
      <c r="AC26" s="173">
        <v>0</v>
      </c>
      <c r="AD26" s="173">
        <v>0</v>
      </c>
      <c r="AE26" s="173">
        <v>0</v>
      </c>
      <c r="AF26" s="173">
        <v>0</v>
      </c>
      <c r="AG26" s="173">
        <v>0</v>
      </c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2"/>
      <c r="E27" s="111"/>
      <c r="F27" s="111"/>
      <c r="G27" s="212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123</v>
      </c>
      <c r="D28" s="209"/>
      <c r="E28"/>
      <c r="G28" s="211" t="s">
        <v>40</v>
      </c>
      <c r="H28"/>
      <c r="I28" s="172">
        <v>126.05320803874913</v>
      </c>
      <c r="J28" s="172">
        <v>22.535387606279876</v>
      </c>
      <c r="K28" s="172">
        <v>53.313277924602104</v>
      </c>
      <c r="L28" s="172">
        <v>22.728075382493643</v>
      </c>
      <c r="M28" s="172">
        <v>22.874069086575858</v>
      </c>
      <c r="N28" s="172">
        <v>34.566193706178872</v>
      </c>
      <c r="O28" s="172">
        <v>58.861512326535589</v>
      </c>
      <c r="P28" s="172">
        <v>91.443887441391638</v>
      </c>
      <c r="Q28" s="172">
        <v>91.443887441391638</v>
      </c>
      <c r="R28" s="172">
        <v>91.443887441391638</v>
      </c>
      <c r="S28" s="172">
        <v>91.443887441391638</v>
      </c>
      <c r="T28" s="172">
        <v>91.443887441391638</v>
      </c>
      <c r="U28" s="172">
        <v>91.443887441391638</v>
      </c>
      <c r="V28" s="172">
        <v>91.443887441391638</v>
      </c>
      <c r="W28" s="172">
        <v>91.443887441391638</v>
      </c>
      <c r="X28" s="172">
        <v>91.443887441391638</v>
      </c>
      <c r="Y28" s="172">
        <v>91.443887441391638</v>
      </c>
      <c r="Z28" s="172">
        <v>91.443887441391638</v>
      </c>
      <c r="AA28" s="172">
        <v>91.443887441391638</v>
      </c>
      <c r="AB28" s="172">
        <v>91.443887441391638</v>
      </c>
      <c r="AC28" s="172">
        <v>91.443887441391638</v>
      </c>
      <c r="AD28" s="172">
        <v>91.443887441391638</v>
      </c>
      <c r="AE28" s="172">
        <v>91.443887441391638</v>
      </c>
      <c r="AF28" s="172">
        <v>91.443887441391638</v>
      </c>
      <c r="AG28" s="172">
        <v>91.443887441391638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124</v>
      </c>
      <c r="D29" s="209" t="s">
        <v>63</v>
      </c>
      <c r="E29" s="113">
        <f>Assumptions!H41*vcr_esc</f>
        <v>42566</v>
      </c>
      <c r="F29" s="242" t="str">
        <f>IF(AND(SUM(I28:AG28)&lt;&gt;0, E29=0), "!", "")</f>
        <v/>
      </c>
      <c r="G29" s="211">
        <f>input_dollars</f>
        <v>45291</v>
      </c>
      <c r="H29"/>
      <c r="I29" s="119">
        <f>I28*$E$29</f>
        <v>5365580.8533773953</v>
      </c>
      <c r="J29" s="119">
        <f t="shared" ref="J29:AG29" si="2">J28*$E$29</f>
        <v>959241.30884890922</v>
      </c>
      <c r="K29" s="119">
        <f t="shared" si="2"/>
        <v>2269332.9881386133</v>
      </c>
      <c r="L29" s="119">
        <f t="shared" si="2"/>
        <v>967443.25673122436</v>
      </c>
      <c r="M29" s="119">
        <f t="shared" si="2"/>
        <v>973657.624739188</v>
      </c>
      <c r="N29" s="119">
        <f t="shared" si="2"/>
        <v>1471344.60129721</v>
      </c>
      <c r="O29" s="119">
        <f t="shared" si="2"/>
        <v>2505499.1336913137</v>
      </c>
      <c r="P29" s="119">
        <f t="shared" si="2"/>
        <v>3892400.5128302765</v>
      </c>
      <c r="Q29" s="119">
        <f t="shared" si="2"/>
        <v>3892400.5128302765</v>
      </c>
      <c r="R29" s="119">
        <f t="shared" si="2"/>
        <v>3892400.5128302765</v>
      </c>
      <c r="S29" s="119">
        <f t="shared" si="2"/>
        <v>3892400.5128302765</v>
      </c>
      <c r="T29" s="119">
        <f t="shared" si="2"/>
        <v>3892400.5128302765</v>
      </c>
      <c r="U29" s="119">
        <f t="shared" si="2"/>
        <v>3892400.5128302765</v>
      </c>
      <c r="V29" s="119">
        <f t="shared" si="2"/>
        <v>3892400.5128302765</v>
      </c>
      <c r="W29" s="119">
        <f t="shared" si="2"/>
        <v>3892400.5128302765</v>
      </c>
      <c r="X29" s="119">
        <f t="shared" si="2"/>
        <v>3892400.5128302765</v>
      </c>
      <c r="Y29" s="119">
        <f t="shared" si="2"/>
        <v>3892400.5128302765</v>
      </c>
      <c r="Z29" s="119">
        <f t="shared" si="2"/>
        <v>3892400.5128302765</v>
      </c>
      <c r="AA29" s="119">
        <f t="shared" si="2"/>
        <v>3892400.5128302765</v>
      </c>
      <c r="AB29" s="119">
        <f t="shared" si="2"/>
        <v>3892400.5128302765</v>
      </c>
      <c r="AC29" s="119">
        <f t="shared" si="2"/>
        <v>3892400.5128302765</v>
      </c>
      <c r="AD29" s="119">
        <f t="shared" si="2"/>
        <v>3892400.5128302765</v>
      </c>
      <c r="AE29" s="119">
        <f t="shared" si="2"/>
        <v>3892400.5128302765</v>
      </c>
      <c r="AF29" s="119">
        <f t="shared" si="2"/>
        <v>3892400.5128302765</v>
      </c>
      <c r="AG29" s="119">
        <f t="shared" si="2"/>
        <v>3892400.5128302765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10"/>
      <c r="E30"/>
      <c r="G30" s="21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114</v>
      </c>
      <c r="D31" s="209" t="s">
        <v>208</v>
      </c>
      <c r="G31" s="211">
        <f>input_dollars</f>
        <v>45291</v>
      </c>
      <c r="H31" s="152"/>
      <c r="I31" s="174" cm="1">
        <f t="array" ref="I31">SUMPRODUCT((Assumptions!$H$70:$H$71)*(Assumptions!$G$70:$G$71)*(Assumptions!$I$70:$I$71)*(I$25:I$26))</f>
        <v>0</v>
      </c>
      <c r="J31" s="174" cm="1">
        <f t="array" ref="J31">SUMPRODUCT((Assumptions!$H$70:$H$71)*(Assumptions!$G$70:$G$71)*(Assumptions!$I$70:$I$71)*(J$25:J$26))</f>
        <v>0</v>
      </c>
      <c r="K31" s="174" cm="1">
        <f t="array" ref="K31">SUMPRODUCT((Assumptions!$H$70:$H$71)*(Assumptions!$G$70:$G$71)*(Assumptions!$I$70:$I$71)*(K$25:K$26))</f>
        <v>0</v>
      </c>
      <c r="L31" s="174" cm="1">
        <f t="array" ref="L31">SUMPRODUCT((Assumptions!$H$70:$H$71)*(Assumptions!$G$70:$G$71)*(Assumptions!$I$70:$I$71)*(L$25:L$26))</f>
        <v>0</v>
      </c>
      <c r="M31" s="174" cm="1">
        <f t="array" ref="M31">SUMPRODUCT((Assumptions!$H$70:$H$71)*(Assumptions!$G$70:$G$71)*(Assumptions!$I$70:$I$71)*(M$25:M$26))</f>
        <v>0</v>
      </c>
      <c r="N31" s="174" cm="1">
        <f t="array" ref="N31">SUMPRODUCT((Assumptions!$H$70:$H$71)*(Assumptions!$G$70:$G$71)*(Assumptions!$I$70:$I$71)*(N$25:N$26))</f>
        <v>0</v>
      </c>
      <c r="O31" s="174" cm="1">
        <f t="array" ref="O31">SUMPRODUCT((Assumptions!$H$70:$H$71)*(Assumptions!$G$70:$G$71)*(Assumptions!$I$70:$I$71)*(O$25:O$26))</f>
        <v>0</v>
      </c>
      <c r="P31" s="174" cm="1">
        <f t="array" ref="P31">SUMPRODUCT((Assumptions!$H$70:$H$71)*(Assumptions!$G$70:$G$71)*(Assumptions!$I$70:$I$71)*(P$25:P$26))</f>
        <v>0</v>
      </c>
      <c r="Q31" s="174" cm="1">
        <f t="array" ref="Q31">SUMPRODUCT((Assumptions!$H$70:$H$71)*(Assumptions!$G$70:$G$71)*(Assumptions!$I$70:$I$71)*(Q$25:Q$26))</f>
        <v>0</v>
      </c>
      <c r="R31" s="174" cm="1">
        <f t="array" ref="R31">SUMPRODUCT((Assumptions!$H$70:$H$71)*(Assumptions!$G$70:$G$71)*(Assumptions!$I$70:$I$71)*(R$25:R$26))</f>
        <v>0</v>
      </c>
      <c r="S31" s="174" cm="1">
        <f t="array" ref="S31">SUMPRODUCT((Assumptions!$H$70:$H$71)*(Assumptions!$G$70:$G$71)*(Assumptions!$I$70:$I$71)*(S$25:S$26))</f>
        <v>0</v>
      </c>
      <c r="T31" s="174" cm="1">
        <f t="array" ref="T31">SUMPRODUCT((Assumptions!$H$70:$H$71)*(Assumptions!$G$70:$G$71)*(Assumptions!$I$70:$I$71)*(T$25:T$26))</f>
        <v>0</v>
      </c>
      <c r="U31" s="174" cm="1">
        <f t="array" ref="U31">SUMPRODUCT((Assumptions!$H$70:$H$71)*(Assumptions!$G$70:$G$71)*(Assumptions!$I$70:$I$71)*(U$25:U$26))</f>
        <v>0</v>
      </c>
      <c r="V31" s="174" cm="1">
        <f t="array" ref="V31">SUMPRODUCT((Assumptions!$H$70:$H$71)*(Assumptions!$G$70:$G$71)*(Assumptions!$I$70:$I$71)*(V$25:V$26))</f>
        <v>0</v>
      </c>
      <c r="W31" s="174" cm="1">
        <f t="array" ref="W31">SUMPRODUCT((Assumptions!$H$70:$H$71)*(Assumptions!$G$70:$G$71)*(Assumptions!$I$70:$I$71)*(W$25:W$26))</f>
        <v>0</v>
      </c>
      <c r="X31" s="174" cm="1">
        <f t="array" ref="X31">SUMPRODUCT((Assumptions!$H$70:$H$71)*(Assumptions!$G$70:$G$71)*(Assumptions!$I$70:$I$71)*(X$25:X$26))</f>
        <v>0</v>
      </c>
      <c r="Y31" s="174" cm="1">
        <f t="array" ref="Y31">SUMPRODUCT((Assumptions!$H$70:$H$71)*(Assumptions!$G$70:$G$71)*(Assumptions!$I$70:$I$71)*(Y$25:Y$26))</f>
        <v>0</v>
      </c>
      <c r="Z31" s="174" cm="1">
        <f t="array" ref="Z31">SUMPRODUCT((Assumptions!$H$70:$H$71)*(Assumptions!$G$70:$G$71)*(Assumptions!$I$70:$I$71)*(Z$25:Z$26))</f>
        <v>0</v>
      </c>
      <c r="AA31" s="174" cm="1">
        <f t="array" ref="AA31">SUMPRODUCT((Assumptions!$H$70:$H$71)*(Assumptions!$G$70:$G$71)*(Assumptions!$I$70:$I$71)*(AA$25:AA$26))</f>
        <v>0</v>
      </c>
      <c r="AB31" s="174" cm="1">
        <f t="array" ref="AB31">SUMPRODUCT((Assumptions!$H$70:$H$71)*(Assumptions!$G$70:$G$71)*(Assumptions!$I$70:$I$71)*(AB$25:AB$26))</f>
        <v>0</v>
      </c>
      <c r="AC31" s="174" cm="1">
        <f t="array" ref="AC31">SUMPRODUCT((Assumptions!$H$70:$H$71)*(Assumptions!$G$70:$G$71)*(Assumptions!$I$70:$I$71)*(AC$25:AC$26))</f>
        <v>0</v>
      </c>
      <c r="AD31" s="174" cm="1">
        <f t="array" ref="AD31">SUMPRODUCT((Assumptions!$H$70:$H$71)*(Assumptions!$G$70:$G$71)*(Assumptions!$I$70:$I$71)*(AD$25:AD$26))</f>
        <v>0</v>
      </c>
      <c r="AE31" s="174" cm="1">
        <f t="array" ref="AE31">SUMPRODUCT((Assumptions!$H$70:$H$71)*(Assumptions!$G$70:$G$71)*(Assumptions!$I$70:$I$71)*(AE$25:AE$26))</f>
        <v>0</v>
      </c>
      <c r="AF31" s="174" cm="1">
        <f t="array" ref="AF31">SUMPRODUCT((Assumptions!$H$70:$H$71)*(Assumptions!$G$70:$G$71)*(Assumptions!$I$70:$I$71)*(AF$25:AF$26))</f>
        <v>0</v>
      </c>
      <c r="AG31" s="174" cm="1">
        <f t="array" ref="AG31">SUMPRODUCT((Assumptions!$H$70:$H$71)*(Assumptions!$G$70:$G$71)*(Assumptions!$I$70:$I$71)*(AG$25:AG$26))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116</v>
      </c>
      <c r="D32" s="210"/>
      <c r="E32"/>
      <c r="G32" s="211">
        <f>input_dollars</f>
        <v>45291</v>
      </c>
      <c r="H32" s="152"/>
      <c r="I32" s="174" cm="1">
        <f t="array" ref="I32">(1+Assumptions!$G$81)*SUMPRODUCT((Assumptions!$G$78:$G$79)*(I$25:I$26))</f>
        <v>0</v>
      </c>
      <c r="J32" s="174" cm="1">
        <f t="array" ref="J32">(1+Assumptions!$G$81)*SUMPRODUCT((Assumptions!$G$78:$G$79)*(J$25:J$26))</f>
        <v>0</v>
      </c>
      <c r="K32" s="174" cm="1">
        <f t="array" ref="K32">(1+Assumptions!$G$81)*SUMPRODUCT((Assumptions!$G$78:$G$79)*(K$25:K$26))</f>
        <v>0</v>
      </c>
      <c r="L32" s="174" cm="1">
        <f t="array" ref="L32">(1+Assumptions!$G$81)*SUMPRODUCT((Assumptions!$G$78:$G$79)*(L$25:L$26))</f>
        <v>0</v>
      </c>
      <c r="M32" s="174" cm="1">
        <f t="array" ref="M32">(1+Assumptions!$G$81)*SUMPRODUCT((Assumptions!$G$78:$G$79)*(M$25:M$26))</f>
        <v>0</v>
      </c>
      <c r="N32" s="174" cm="1">
        <f t="array" ref="N32">(1+Assumptions!$G$81)*SUMPRODUCT((Assumptions!$G$78:$G$79)*(N$25:N$26))</f>
        <v>0</v>
      </c>
      <c r="O32" s="174" cm="1">
        <f t="array" ref="O32">(1+Assumptions!$G$81)*SUMPRODUCT((Assumptions!$G$78:$G$79)*(O$25:O$26))</f>
        <v>0</v>
      </c>
      <c r="P32" s="174" cm="1">
        <f t="array" ref="P32">(1+Assumptions!$G$81)*SUMPRODUCT((Assumptions!$G$78:$G$79)*(P$25:P$26))</f>
        <v>0</v>
      </c>
      <c r="Q32" s="174" cm="1">
        <f t="array" ref="Q32">(1+Assumptions!$G$81)*SUMPRODUCT((Assumptions!$G$78:$G$79)*(Q$25:Q$26))</f>
        <v>0</v>
      </c>
      <c r="R32" s="174" cm="1">
        <f t="array" ref="R32">(1+Assumptions!$G$81)*SUMPRODUCT((Assumptions!$G$78:$G$79)*(R$25:R$26))</f>
        <v>0</v>
      </c>
      <c r="S32" s="174" cm="1">
        <f t="array" ref="S32">(1+Assumptions!$G$81)*SUMPRODUCT((Assumptions!$G$78:$G$79)*(S$25:S$26))</f>
        <v>0</v>
      </c>
      <c r="T32" s="174" cm="1">
        <f t="array" ref="T32">(1+Assumptions!$G$81)*SUMPRODUCT((Assumptions!$G$78:$G$79)*(T$25:T$26))</f>
        <v>0</v>
      </c>
      <c r="U32" s="174" cm="1">
        <f t="array" ref="U32">(1+Assumptions!$G$81)*SUMPRODUCT((Assumptions!$G$78:$G$79)*(U$25:U$26))</f>
        <v>0</v>
      </c>
      <c r="V32" s="174" cm="1">
        <f t="array" ref="V32">(1+Assumptions!$G$81)*SUMPRODUCT((Assumptions!$G$78:$G$79)*(V$25:V$26))</f>
        <v>0</v>
      </c>
      <c r="W32" s="174" cm="1">
        <f t="array" ref="W32">(1+Assumptions!$G$81)*SUMPRODUCT((Assumptions!$G$78:$G$79)*(W$25:W$26))</f>
        <v>0</v>
      </c>
      <c r="X32" s="174" cm="1">
        <f t="array" ref="X32">(1+Assumptions!$G$81)*SUMPRODUCT((Assumptions!$G$78:$G$79)*(X$25:X$26))</f>
        <v>0</v>
      </c>
      <c r="Y32" s="174" cm="1">
        <f t="array" ref="Y32">(1+Assumptions!$G$81)*SUMPRODUCT((Assumptions!$G$78:$G$79)*(Y$25:Y$26))</f>
        <v>0</v>
      </c>
      <c r="Z32" s="174" cm="1">
        <f t="array" ref="Z32">(1+Assumptions!$G$81)*SUMPRODUCT((Assumptions!$G$78:$G$79)*(Z$25:Z$26))</f>
        <v>0</v>
      </c>
      <c r="AA32" s="174" cm="1">
        <f t="array" ref="AA32">(1+Assumptions!$G$81)*SUMPRODUCT((Assumptions!$G$78:$G$79)*(AA$25:AA$26))</f>
        <v>0</v>
      </c>
      <c r="AB32" s="174" cm="1">
        <f t="array" ref="AB32">(1+Assumptions!$G$81)*SUMPRODUCT((Assumptions!$G$78:$G$79)*(AB$25:AB$26))</f>
        <v>0</v>
      </c>
      <c r="AC32" s="174" cm="1">
        <f t="array" ref="AC32">(1+Assumptions!$G$81)*SUMPRODUCT((Assumptions!$G$78:$G$79)*(AC$25:AC$26))</f>
        <v>0</v>
      </c>
      <c r="AD32" s="174" cm="1">
        <f t="array" ref="AD32">(1+Assumptions!$G$81)*SUMPRODUCT((Assumptions!$G$78:$G$79)*(AD$25:AD$26))</f>
        <v>0</v>
      </c>
      <c r="AE32" s="174" cm="1">
        <f t="array" ref="AE32">(1+Assumptions!$G$81)*SUMPRODUCT((Assumptions!$G$78:$G$79)*(AE$25:AE$26))</f>
        <v>0</v>
      </c>
      <c r="AF32" s="174" cm="1">
        <f t="array" ref="AF32">(1+Assumptions!$G$81)*SUMPRODUCT((Assumptions!$G$78:$G$79)*(AF$25:AF$26))</f>
        <v>0</v>
      </c>
      <c r="AG32" s="174" cm="1">
        <f t="array" ref="AG32">(1+Assumptions!$G$81)*SUMPRODUCT((Assumptions!$G$78:$G$79)*(AG$25:AG$26))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115</v>
      </c>
      <c r="D33" s="209" t="s">
        <v>208</v>
      </c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23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  <c r="AC34" s="139">
        <v>0</v>
      </c>
      <c r="AD34" s="139">
        <v>0</v>
      </c>
      <c r="AE34" s="139">
        <v>0</v>
      </c>
      <c r="AF34" s="139">
        <v>0</v>
      </c>
      <c r="AG34" s="13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289" t="s">
        <v>173</v>
      </c>
      <c r="D35" s="210"/>
      <c r="E35"/>
      <c r="G35" s="211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10"/>
      <c r="E36"/>
      <c r="G36" s="21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172</v>
      </c>
      <c r="D37" s="222"/>
      <c r="E37" s="107"/>
      <c r="F37" s="3"/>
      <c r="G37" s="213"/>
      <c r="H37" s="107"/>
      <c r="I37" s="174">
        <f>SUM(I29:I35)</f>
        <v>5365580.8533773953</v>
      </c>
      <c r="J37" s="174">
        <f t="shared" ref="J37:AG37" si="3">SUM(J29:J35)</f>
        <v>959241.30884890922</v>
      </c>
      <c r="K37" s="174">
        <f t="shared" si="3"/>
        <v>2269332.9881386133</v>
      </c>
      <c r="L37" s="174">
        <f t="shared" si="3"/>
        <v>967443.25673122436</v>
      </c>
      <c r="M37" s="174">
        <f t="shared" si="3"/>
        <v>973657.624739188</v>
      </c>
      <c r="N37" s="174">
        <f t="shared" si="3"/>
        <v>1471344.60129721</v>
      </c>
      <c r="O37" s="174">
        <f t="shared" si="3"/>
        <v>2505499.1336913137</v>
      </c>
      <c r="P37" s="174">
        <f t="shared" si="3"/>
        <v>3892400.5128302765</v>
      </c>
      <c r="Q37" s="174">
        <f t="shared" si="3"/>
        <v>3892400.5128302765</v>
      </c>
      <c r="R37" s="174">
        <f t="shared" si="3"/>
        <v>3892400.5128302765</v>
      </c>
      <c r="S37" s="174">
        <f t="shared" si="3"/>
        <v>3892400.5128302765</v>
      </c>
      <c r="T37" s="174">
        <f t="shared" si="3"/>
        <v>3892400.5128302765</v>
      </c>
      <c r="U37" s="174">
        <f t="shared" si="3"/>
        <v>3892400.5128302765</v>
      </c>
      <c r="V37" s="174">
        <f t="shared" si="3"/>
        <v>3892400.5128302765</v>
      </c>
      <c r="W37" s="174">
        <f t="shared" si="3"/>
        <v>3892400.5128302765</v>
      </c>
      <c r="X37" s="174">
        <f t="shared" si="3"/>
        <v>3892400.5128302765</v>
      </c>
      <c r="Y37" s="174">
        <f t="shared" si="3"/>
        <v>3892400.5128302765</v>
      </c>
      <c r="Z37" s="174">
        <f t="shared" si="3"/>
        <v>3892400.5128302765</v>
      </c>
      <c r="AA37" s="174">
        <f t="shared" si="3"/>
        <v>3892400.5128302765</v>
      </c>
      <c r="AB37" s="174">
        <f t="shared" si="3"/>
        <v>3892400.5128302765</v>
      </c>
      <c r="AC37" s="174">
        <f t="shared" si="3"/>
        <v>3892400.5128302765</v>
      </c>
      <c r="AD37" s="174">
        <f t="shared" si="3"/>
        <v>3892400.5128302765</v>
      </c>
      <c r="AE37" s="174">
        <f t="shared" si="3"/>
        <v>3892400.5128302765</v>
      </c>
      <c r="AF37" s="174">
        <f t="shared" si="3"/>
        <v>3892400.5128302765</v>
      </c>
      <c r="AG37" s="174">
        <f t="shared" si="3"/>
        <v>3892400.5128302765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1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56</v>
      </c>
      <c r="B39" s="89"/>
      <c r="C39" s="89"/>
      <c r="D39" s="89"/>
      <c r="E39" s="89"/>
      <c r="F39" s="89"/>
      <c r="G39" s="20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59</v>
      </c>
      <c r="G42" s="209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</row>
    <row r="43" spans="1:16372" ht="13.5" x14ac:dyDescent="0.25">
      <c r="C43" s="1" t="s">
        <v>129</v>
      </c>
      <c r="G43" s="209" t="s">
        <v>104</v>
      </c>
      <c r="I43" s="85">
        <f t="shared" ref="I43:AG43" si="4">I42*I7</f>
        <v>0</v>
      </c>
      <c r="J43" s="85">
        <f t="shared" si="4"/>
        <v>0</v>
      </c>
      <c r="K43" s="85">
        <f t="shared" si="4"/>
        <v>0</v>
      </c>
      <c r="L43" s="85">
        <f t="shared" si="4"/>
        <v>0</v>
      </c>
      <c r="M43" s="85">
        <f t="shared" si="4"/>
        <v>0</v>
      </c>
      <c r="N43" s="85">
        <f t="shared" si="4"/>
        <v>0</v>
      </c>
      <c r="O43" s="85">
        <f t="shared" si="4"/>
        <v>0</v>
      </c>
      <c r="P43" s="85">
        <f t="shared" si="4"/>
        <v>0</v>
      </c>
      <c r="Q43" s="85">
        <f t="shared" si="4"/>
        <v>0</v>
      </c>
      <c r="R43" s="85">
        <f t="shared" si="4"/>
        <v>0</v>
      </c>
      <c r="S43" s="85">
        <f t="shared" si="4"/>
        <v>0</v>
      </c>
      <c r="T43" s="85">
        <f t="shared" si="4"/>
        <v>0</v>
      </c>
      <c r="U43" s="85">
        <f t="shared" si="4"/>
        <v>0</v>
      </c>
      <c r="V43" s="85">
        <f t="shared" si="4"/>
        <v>0</v>
      </c>
      <c r="W43" s="85">
        <f t="shared" si="4"/>
        <v>0</v>
      </c>
      <c r="X43" s="85">
        <f t="shared" si="4"/>
        <v>0</v>
      </c>
      <c r="Y43" s="85">
        <f t="shared" si="4"/>
        <v>0</v>
      </c>
      <c r="Z43" s="85">
        <f t="shared" si="4"/>
        <v>0</v>
      </c>
      <c r="AA43" s="85">
        <f t="shared" si="4"/>
        <v>0</v>
      </c>
      <c r="AB43" s="85">
        <f t="shared" si="4"/>
        <v>0</v>
      </c>
      <c r="AC43" s="85">
        <f t="shared" si="4"/>
        <v>0</v>
      </c>
      <c r="AD43" s="85">
        <f t="shared" si="4"/>
        <v>0</v>
      </c>
      <c r="AE43" s="85">
        <f t="shared" si="4"/>
        <v>0</v>
      </c>
      <c r="AF43" s="85">
        <f t="shared" si="4"/>
        <v>0</v>
      </c>
      <c r="AG43" s="85">
        <f t="shared" si="4"/>
        <v>0</v>
      </c>
    </row>
    <row r="44" spans="1:16372" x14ac:dyDescent="0.2">
      <c r="D44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10"/>
      <c r="E45"/>
      <c r="G45" s="21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9" t="s">
        <v>63</v>
      </c>
      <c r="E46" s="113">
        <f>Assumptions!G94</f>
        <v>151432.81740793545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4</v>
      </c>
      <c r="D47" s="209" t="s">
        <v>63</v>
      </c>
      <c r="E47" s="113">
        <f>Assumptions!G95</f>
        <v>24590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5</v>
      </c>
      <c r="D48" s="209" t="s">
        <v>63</v>
      </c>
      <c r="E48" s="112">
        <f>Assumptions!G96</f>
        <v>88.357719508603083</v>
      </c>
      <c r="G48" s="211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15</v>
      </c>
      <c r="D49" s="209" t="s">
        <v>126</v>
      </c>
      <c r="E49" s="112">
        <f>Assumptions!G97</f>
        <v>0</v>
      </c>
      <c r="G49" s="211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9" t="s">
        <v>206</v>
      </c>
      <c r="E50" s="112">
        <f>Assumptions!G98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204</v>
      </c>
      <c r="D51" s="209" t="s">
        <v>206</v>
      </c>
      <c r="E51" s="112">
        <f>Assumptions!G99</f>
        <v>0.35181336539087127</v>
      </c>
      <c r="G51" s="211" t="s">
        <v>207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6</v>
      </c>
      <c r="D52" s="209" t="s">
        <v>126</v>
      </c>
      <c r="E52" s="112">
        <f>Assumptions!G100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C53" s="1" t="s">
        <v>7</v>
      </c>
      <c r="D53" s="209" t="s">
        <v>126</v>
      </c>
      <c r="E53" s="112">
        <f>Assumptions!G101</f>
        <v>0</v>
      </c>
      <c r="G53" s="211" t="s">
        <v>205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D54" s="209"/>
      <c r="G54" s="211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43" x14ac:dyDescent="0.2">
      <c r="C55" s="1" t="s">
        <v>117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C56" s="1" t="s">
        <v>118</v>
      </c>
      <c r="D56" s="209"/>
      <c r="G56" s="211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</row>
    <row r="57" spans="1:43" x14ac:dyDescent="0.2">
      <c r="D57" s="209"/>
      <c r="G57" s="209"/>
    </row>
    <row r="58" spans="1:43" x14ac:dyDescent="0.2">
      <c r="C58" s="3" t="s">
        <v>125</v>
      </c>
      <c r="D58" s="222"/>
      <c r="E58" s="107"/>
      <c r="F58" s="3"/>
      <c r="G58" s="211">
        <f>input_dollars</f>
        <v>45291</v>
      </c>
      <c r="H58" s="107"/>
      <c r="I58" s="174" cm="1">
        <f t="array" ref="I58">SUMPRODUCT((I$46:I$53)*($E$46:$E$53))+SUM(I55:I56)+I43</f>
        <v>0</v>
      </c>
      <c r="J58" s="174" cm="1">
        <f t="array" ref="J58">SUMPRODUCT((J$46:J$53)*($E$46:$E$53))+SUM(J55:J56)+J43</f>
        <v>0</v>
      </c>
      <c r="K58" s="174" cm="1">
        <f t="array" ref="K58">SUMPRODUCT((K$46:K$53)*($E$46:$E$53))+SUM(K55:K56)+K43</f>
        <v>0</v>
      </c>
      <c r="L58" s="174" cm="1">
        <f t="array" ref="L58">SUMPRODUCT((L$46:L$53)*($E$46:$E$53))+SUM(L55:L56)+L43</f>
        <v>0</v>
      </c>
      <c r="M58" s="174" cm="1">
        <f t="array" ref="M58">SUMPRODUCT((M$46:M$53)*($E$46:$E$53))+SUM(M55:M56)+M43</f>
        <v>0</v>
      </c>
      <c r="N58" s="174" cm="1">
        <f t="array" ref="N58">SUMPRODUCT((N$46:N$53)*($E$46:$E$53))+SUM(N55:N56)+N43</f>
        <v>0</v>
      </c>
      <c r="O58" s="174" cm="1">
        <f t="array" ref="O58">SUMPRODUCT((O$46:O$53)*($E$46:$E$53))+SUM(O55:O56)+O43</f>
        <v>0</v>
      </c>
      <c r="P58" s="174" cm="1">
        <f t="array" ref="P58">SUMPRODUCT((P$46:P$53)*($E$46:$E$53))+SUM(P55:P56)+P43</f>
        <v>0</v>
      </c>
      <c r="Q58" s="174" cm="1">
        <f t="array" ref="Q58">SUMPRODUCT((Q$46:Q$53)*($E$46:$E$53))+SUM(Q55:Q56)+Q43</f>
        <v>0</v>
      </c>
      <c r="R58" s="174" cm="1">
        <f t="array" ref="R58">SUMPRODUCT((R$46:R$53)*($E$46:$E$53))+SUM(R55:R56)+R43</f>
        <v>0</v>
      </c>
      <c r="S58" s="174" cm="1">
        <f t="array" ref="S58">SUMPRODUCT((S$46:S$53)*($E$46:$E$53))+SUM(S55:S56)+S43</f>
        <v>0</v>
      </c>
      <c r="T58" s="174" cm="1">
        <f t="array" ref="T58">SUMPRODUCT((T$46:T$53)*($E$46:$E$53))+SUM(T55:T56)+T43</f>
        <v>0</v>
      </c>
      <c r="U58" s="174" cm="1">
        <f t="array" ref="U58">SUMPRODUCT((U$46:U$53)*($E$46:$E$53))+SUM(U55:U56)+U43</f>
        <v>0</v>
      </c>
      <c r="V58" s="174" cm="1">
        <f t="array" ref="V58">SUMPRODUCT((V$46:V$53)*($E$46:$E$53))+SUM(V55:V56)+V43</f>
        <v>0</v>
      </c>
      <c r="W58" s="174" cm="1">
        <f t="array" ref="W58">SUMPRODUCT((W$46:W$53)*($E$46:$E$53))+SUM(W55:W56)+W43</f>
        <v>0</v>
      </c>
      <c r="X58" s="174" cm="1">
        <f t="array" ref="X58">SUMPRODUCT((X$46:X$53)*($E$46:$E$53))+SUM(X55:X56)+X43</f>
        <v>0</v>
      </c>
      <c r="Y58" s="174" cm="1">
        <f t="array" ref="Y58">SUMPRODUCT((Y$46:Y$53)*($E$46:$E$53))+SUM(Y55:Y56)+Y43</f>
        <v>0</v>
      </c>
      <c r="Z58" s="174" cm="1">
        <f t="array" ref="Z58">SUMPRODUCT((Z$46:Z$53)*($E$46:$E$53))+SUM(Z55:Z56)+Z43</f>
        <v>0</v>
      </c>
      <c r="AA58" s="174" cm="1">
        <f t="array" ref="AA58">SUMPRODUCT((AA$46:AA$53)*($E$46:$E$53))+SUM(AA55:AA56)+AA43</f>
        <v>0</v>
      </c>
      <c r="AB58" s="174" cm="1">
        <f t="array" ref="AB58">SUMPRODUCT((AB$46:AB$53)*($E$46:$E$53))+SUM(AB55:AB56)+AB43</f>
        <v>0</v>
      </c>
      <c r="AC58" s="174" cm="1">
        <f t="array" ref="AC58">SUMPRODUCT((AC$46:AC$53)*($E$46:$E$53))+SUM(AC55:AC56)+AC43</f>
        <v>0</v>
      </c>
      <c r="AD58" s="174" cm="1">
        <f t="array" ref="AD58">SUMPRODUCT((AD$46:AD$53)*($E$46:$E$53))+SUM(AD55:AD56)+AD43</f>
        <v>0</v>
      </c>
      <c r="AE58" s="174" cm="1">
        <f t="array" ref="AE58">SUMPRODUCT((AE$46:AE$53)*($E$46:$E$53))+SUM(AE55:AE56)+AE43</f>
        <v>0</v>
      </c>
      <c r="AF58" s="174" cm="1">
        <f t="array" ref="AF58">SUMPRODUCT((AF$46:AF$53)*($E$46:$E$53))+SUM(AF55:AF56)+AF43</f>
        <v>0</v>
      </c>
      <c r="AG58" s="174" cm="1">
        <f t="array" ref="AG58">SUMPRODUCT((AG$46:AG$53)*($E$46:$E$53))+SUM(AG55:AG56)+AG43</f>
        <v>0</v>
      </c>
    </row>
    <row r="59" spans="1:43" x14ac:dyDescent="0.2">
      <c r="D59" s="209"/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x14ac:dyDescent="0.2">
      <c r="G60" s="209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8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5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F64" s="2"/>
      <c r="G64" s="216"/>
    </row>
    <row r="65" spans="1:33" x14ac:dyDescent="0.2">
      <c r="C65" s="4" t="str">
        <f>'Option1 (base case)'!C65</f>
        <v>Risks mitigated vs base case</v>
      </c>
      <c r="G65" s="214">
        <f>input_dollars</f>
        <v>45291</v>
      </c>
      <c r="I65" s="135">
        <f>(1-INDEX(Data!$C$9:$C$13, MATCH($A$3, options,0)))*('Option1 (base case)'!I37-I37)</f>
        <v>0</v>
      </c>
      <c r="J65" s="135">
        <f>(1-INDEX(Data!$C$9:$C$13, MATCH($A$3, options,0)))*('Option1 (base case)'!J37-J37)</f>
        <v>8068753.4449888254</v>
      </c>
      <c r="K65" s="135">
        <f>(1-INDEX(Data!$C$9:$C$13, MATCH($A$3, options,0)))*('Option1 (base case)'!K37-K37)</f>
        <v>9552062.6512675472</v>
      </c>
      <c r="L65" s="135">
        <f>(1-INDEX(Data!$C$9:$C$13, MATCH($A$3, options,0)))*('Option1 (base case)'!L37-L37)</f>
        <v>13775185.188423926</v>
      </c>
      <c r="M65" s="135">
        <f>(1-INDEX(Data!$C$9:$C$13, MATCH($A$3, options,0)))*('Option1 (base case)'!M37-M37)</f>
        <v>17927105.749037001</v>
      </c>
      <c r="N65" s="135">
        <f>(1-INDEX(Data!$C$9:$C$13, MATCH($A$3, options,0)))*('Option1 (base case)'!N37-N37)</f>
        <v>24511111.40627902</v>
      </c>
      <c r="O65" s="135">
        <f>(1-INDEX(Data!$C$9:$C$13, MATCH($A$3, options,0)))*('Option1 (base case)'!O37-O37)</f>
        <v>34960971.117101096</v>
      </c>
      <c r="P65" s="135">
        <f>(1-INDEX(Data!$C$9:$C$13, MATCH($A$3, options,0)))*('Option1 (base case)'!P37-P37)</f>
        <v>45936008.066067778</v>
      </c>
      <c r="Q65" s="135">
        <f>(1-INDEX(Data!$C$9:$C$13, MATCH($A$3, options,0)))*('Option1 (base case)'!Q37-Q37)</f>
        <v>58190606.431703173</v>
      </c>
      <c r="R65" s="135">
        <f>(1-INDEX(Data!$C$9:$C$13, MATCH($A$3, options,0)))*('Option1 (base case)'!R37-R37)</f>
        <v>58190606.431703173</v>
      </c>
      <c r="S65" s="135">
        <f>(1-INDEX(Data!$C$9:$C$13, MATCH($A$3, options,0)))*('Option1 (base case)'!S37-S37)</f>
        <v>58190606.431703173</v>
      </c>
      <c r="T65" s="135">
        <f>(1-INDEX(Data!$C$9:$C$13, MATCH($A$3, options,0)))*('Option1 (base case)'!T37-T37)</f>
        <v>58190606.431703173</v>
      </c>
      <c r="U65" s="135">
        <f>(1-INDEX(Data!$C$9:$C$13, MATCH($A$3, options,0)))*('Option1 (base case)'!U37-U37)</f>
        <v>58190606.431703173</v>
      </c>
      <c r="V65" s="135">
        <f>(1-INDEX(Data!$C$9:$C$13, MATCH($A$3, options,0)))*('Option1 (base case)'!V37-V37)</f>
        <v>58190606.431703173</v>
      </c>
      <c r="W65" s="135">
        <f>(1-INDEX(Data!$C$9:$C$13, MATCH($A$3, options,0)))*('Option1 (base case)'!W37-W37)</f>
        <v>58190606.431703173</v>
      </c>
      <c r="X65" s="135">
        <f>(1-INDEX(Data!$C$9:$C$13, MATCH($A$3, options,0)))*('Option1 (base case)'!X37-X37)</f>
        <v>58190606.431703173</v>
      </c>
      <c r="Y65" s="135">
        <f>(1-INDEX(Data!$C$9:$C$13, MATCH($A$3, options,0)))*('Option1 (base case)'!Y37-Y37)</f>
        <v>58190606.431703173</v>
      </c>
      <c r="Z65" s="135">
        <f>(1-INDEX(Data!$C$9:$C$13, MATCH($A$3, options,0)))*('Option1 (base case)'!Z37-Z37)</f>
        <v>58190606.431703173</v>
      </c>
      <c r="AA65" s="135">
        <f>(1-INDEX(Data!$C$9:$C$13, MATCH($A$3, options,0)))*('Option1 (base case)'!AA37-AA37)</f>
        <v>58190606.431703173</v>
      </c>
      <c r="AB65" s="135">
        <f>(1-INDEX(Data!$C$9:$C$13, MATCH($A$3, options,0)))*('Option1 (base case)'!AB37-AB37)</f>
        <v>58190606.431703173</v>
      </c>
      <c r="AC65" s="135">
        <f>(1-INDEX(Data!$C$9:$C$13, MATCH($A$3, options,0)))*('Option1 (base case)'!AC37-AC37)</f>
        <v>58190606.431703173</v>
      </c>
      <c r="AD65" s="135">
        <f>(1-INDEX(Data!$C$9:$C$13, MATCH($A$3, options,0)))*('Option1 (base case)'!AD37-AD37)</f>
        <v>58190606.431703173</v>
      </c>
      <c r="AE65" s="135">
        <f>(1-INDEX(Data!$C$9:$C$13, MATCH($A$3, options,0)))*('Option1 (base case)'!AE37-AE37)</f>
        <v>58190606.431703173</v>
      </c>
      <c r="AF65" s="135">
        <f>(1-INDEX(Data!$C$9:$C$13, MATCH($A$3, options,0)))*('Option1 (base case)'!AF37-AF37)</f>
        <v>58190606.431703173</v>
      </c>
      <c r="AG65" s="135">
        <f>(1-INDEX(Data!$C$9:$C$13, MATCH($A$3, options,0)))*('Option1 (base case)'!AG37-AG37)</f>
        <v>58190606.431703173</v>
      </c>
    </row>
    <row r="66" spans="1:33" x14ac:dyDescent="0.2">
      <c r="G66" s="216"/>
    </row>
    <row r="67" spans="1:33" x14ac:dyDescent="0.2">
      <c r="A67" s="8"/>
      <c r="B67" s="8"/>
      <c r="C67" s="150" t="s">
        <v>30</v>
      </c>
      <c r="D67" s="38"/>
      <c r="F67" s="97"/>
      <c r="G67" s="21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x14ac:dyDescent="0.2">
      <c r="A68" s="8"/>
      <c r="B68" s="8"/>
      <c r="C68" s="4" t="str">
        <f>C14</f>
        <v>MTC 3rd Tx</v>
      </c>
      <c r="D68" s="38"/>
      <c r="F68" s="97"/>
      <c r="G68" s="214">
        <f>input_dollars</f>
        <v>45291</v>
      </c>
      <c r="H68" s="31"/>
      <c r="I68" s="119">
        <f t="shared" ref="I68:AG71" si="5">-I14</f>
        <v>-14291649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 t="str">
        <f>C15</f>
        <v>New RBE ZSS</v>
      </c>
      <c r="D69" s="38"/>
      <c r="F69" s="97"/>
      <c r="G69" s="214">
        <f>input_dollars</f>
        <v>45291</v>
      </c>
      <c r="H69" s="31"/>
      <c r="I69" s="119">
        <f t="shared" si="5"/>
        <v>-5291808.87</v>
      </c>
      <c r="J69" s="119">
        <f t="shared" si="5"/>
        <v>-17564061.240000002</v>
      </c>
      <c r="K69" s="119">
        <f t="shared" si="5"/>
        <v>-16105016.889999999</v>
      </c>
      <c r="L69" s="119">
        <f t="shared" si="5"/>
        <v>0</v>
      </c>
      <c r="M69" s="119">
        <f t="shared" si="5"/>
        <v>0</v>
      </c>
      <c r="N69" s="119">
        <f t="shared" si="5"/>
        <v>0</v>
      </c>
      <c r="O69" s="119">
        <f t="shared" si="5"/>
        <v>0</v>
      </c>
      <c r="P69" s="119">
        <f t="shared" si="5"/>
        <v>0</v>
      </c>
      <c r="Q69" s="119">
        <f t="shared" si="5"/>
        <v>0</v>
      </c>
      <c r="R69" s="119">
        <f t="shared" si="5"/>
        <v>0</v>
      </c>
      <c r="S69" s="119">
        <f t="shared" si="5"/>
        <v>0</v>
      </c>
      <c r="T69" s="119">
        <f t="shared" si="5"/>
        <v>0</v>
      </c>
      <c r="U69" s="119">
        <f t="shared" si="5"/>
        <v>0</v>
      </c>
      <c r="V69" s="119">
        <f t="shared" si="5"/>
        <v>0</v>
      </c>
      <c r="W69" s="119">
        <f t="shared" si="5"/>
        <v>0</v>
      </c>
      <c r="X69" s="119">
        <f t="shared" si="5"/>
        <v>0</v>
      </c>
      <c r="Y69" s="119">
        <f t="shared" si="5"/>
        <v>0</v>
      </c>
      <c r="Z69" s="119">
        <f t="shared" si="5"/>
        <v>0</v>
      </c>
      <c r="AA69" s="119">
        <f t="shared" si="5"/>
        <v>0</v>
      </c>
      <c r="AB69" s="119">
        <f t="shared" si="5"/>
        <v>0</v>
      </c>
      <c r="AC69" s="119">
        <f t="shared" si="5"/>
        <v>0</v>
      </c>
      <c r="AD69" s="119">
        <f t="shared" si="5"/>
        <v>0</v>
      </c>
      <c r="AE69" s="119">
        <f t="shared" si="5"/>
        <v>0</v>
      </c>
      <c r="AF69" s="119">
        <f t="shared" si="5"/>
        <v>0</v>
      </c>
      <c r="AG69" s="119">
        <f t="shared" si="5"/>
        <v>0</v>
      </c>
    </row>
    <row r="70" spans="1:33" x14ac:dyDescent="0.2">
      <c r="A70" s="8"/>
      <c r="B70" s="8"/>
      <c r="C70" s="4" t="str">
        <f>C16</f>
        <v>PCK Stage 1</v>
      </c>
      <c r="D70" s="38"/>
      <c r="F70" s="97"/>
      <c r="G70" s="214">
        <f>input_dollars</f>
        <v>45291</v>
      </c>
      <c r="H70" s="31"/>
      <c r="I70" s="119">
        <f t="shared" si="5"/>
        <v>0</v>
      </c>
      <c r="J70" s="119">
        <f t="shared" si="5"/>
        <v>-5408395.2999999998</v>
      </c>
      <c r="K70" s="119">
        <f t="shared" si="5"/>
        <v>-24162535.933333334</v>
      </c>
      <c r="L70" s="119">
        <f t="shared" si="5"/>
        <v>-22120559.43333333</v>
      </c>
      <c r="M70" s="119">
        <f t="shared" si="5"/>
        <v>0</v>
      </c>
      <c r="N70" s="119">
        <f t="shared" si="5"/>
        <v>0</v>
      </c>
      <c r="O70" s="119">
        <f t="shared" si="5"/>
        <v>0</v>
      </c>
      <c r="P70" s="119">
        <f t="shared" si="5"/>
        <v>0</v>
      </c>
      <c r="Q70" s="119">
        <f t="shared" si="5"/>
        <v>0</v>
      </c>
      <c r="R70" s="119">
        <f t="shared" si="5"/>
        <v>-10425980.333333332</v>
      </c>
      <c r="S70" s="119">
        <f t="shared" si="5"/>
        <v>0</v>
      </c>
      <c r="T70" s="119">
        <f t="shared" si="5"/>
        <v>0</v>
      </c>
      <c r="U70" s="119">
        <f t="shared" si="5"/>
        <v>0</v>
      </c>
      <c r="V70" s="119">
        <f t="shared" si="5"/>
        <v>0</v>
      </c>
      <c r="W70" s="119">
        <f t="shared" si="5"/>
        <v>0</v>
      </c>
      <c r="X70" s="119">
        <f t="shared" si="5"/>
        <v>0</v>
      </c>
      <c r="Y70" s="119">
        <f t="shared" si="5"/>
        <v>0</v>
      </c>
      <c r="Z70" s="119">
        <f t="shared" si="5"/>
        <v>0</v>
      </c>
      <c r="AA70" s="119">
        <f t="shared" si="5"/>
        <v>0</v>
      </c>
      <c r="AB70" s="119">
        <f t="shared" si="5"/>
        <v>0</v>
      </c>
      <c r="AC70" s="119">
        <f t="shared" si="5"/>
        <v>0</v>
      </c>
      <c r="AD70" s="119">
        <f t="shared" si="5"/>
        <v>0</v>
      </c>
      <c r="AE70" s="119">
        <f t="shared" si="5"/>
        <v>0</v>
      </c>
      <c r="AF70" s="119">
        <f t="shared" si="5"/>
        <v>0</v>
      </c>
      <c r="AG70" s="119">
        <f t="shared" si="5"/>
        <v>0</v>
      </c>
    </row>
    <row r="71" spans="1:33" x14ac:dyDescent="0.2">
      <c r="A71" s="8"/>
      <c r="B71" s="8"/>
      <c r="C71" s="4">
        <f>C17</f>
        <v>0</v>
      </c>
      <c r="D71" s="38"/>
      <c r="F71" s="97"/>
      <c r="G71" s="214">
        <f>input_dollars</f>
        <v>45291</v>
      </c>
      <c r="H71" s="31"/>
      <c r="I71" s="119">
        <f t="shared" si="5"/>
        <v>0</v>
      </c>
      <c r="J71" s="119">
        <f t="shared" si="5"/>
        <v>0</v>
      </c>
      <c r="K71" s="119">
        <f t="shared" si="5"/>
        <v>0</v>
      </c>
      <c r="L71" s="119">
        <f t="shared" si="5"/>
        <v>0</v>
      </c>
      <c r="M71" s="119">
        <f t="shared" si="5"/>
        <v>0</v>
      </c>
      <c r="N71" s="119">
        <f t="shared" si="5"/>
        <v>0</v>
      </c>
      <c r="O71" s="119">
        <f t="shared" si="5"/>
        <v>0</v>
      </c>
      <c r="P71" s="119">
        <f t="shared" si="5"/>
        <v>0</v>
      </c>
      <c r="Q71" s="119">
        <f t="shared" si="5"/>
        <v>0</v>
      </c>
      <c r="R71" s="119">
        <f t="shared" si="5"/>
        <v>0</v>
      </c>
      <c r="S71" s="119">
        <f t="shared" si="5"/>
        <v>0</v>
      </c>
      <c r="T71" s="119">
        <f t="shared" si="5"/>
        <v>0</v>
      </c>
      <c r="U71" s="119">
        <f t="shared" si="5"/>
        <v>0</v>
      </c>
      <c r="V71" s="119">
        <f t="shared" si="5"/>
        <v>0</v>
      </c>
      <c r="W71" s="119">
        <f t="shared" si="5"/>
        <v>0</v>
      </c>
      <c r="X71" s="119">
        <f t="shared" si="5"/>
        <v>0</v>
      </c>
      <c r="Y71" s="119">
        <f t="shared" si="5"/>
        <v>0</v>
      </c>
      <c r="Z71" s="119">
        <f t="shared" si="5"/>
        <v>0</v>
      </c>
      <c r="AA71" s="119">
        <f t="shared" si="5"/>
        <v>0</v>
      </c>
      <c r="AB71" s="119">
        <f t="shared" si="5"/>
        <v>0</v>
      </c>
      <c r="AC71" s="119">
        <f t="shared" si="5"/>
        <v>0</v>
      </c>
      <c r="AD71" s="119">
        <f t="shared" si="5"/>
        <v>0</v>
      </c>
      <c r="AE71" s="119">
        <f t="shared" si="5"/>
        <v>0</v>
      </c>
      <c r="AF71" s="119">
        <f t="shared" si="5"/>
        <v>0</v>
      </c>
      <c r="AG71" s="119">
        <f t="shared" si="5"/>
        <v>0</v>
      </c>
    </row>
    <row r="72" spans="1:33" x14ac:dyDescent="0.2">
      <c r="A72" s="8"/>
      <c r="B72" s="8"/>
      <c r="C72" s="4"/>
      <c r="D72" s="38"/>
      <c r="F72" s="97"/>
      <c r="G72" s="218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x14ac:dyDescent="0.2">
      <c r="A73" s="8"/>
      <c r="B73" s="8"/>
      <c r="C73" s="150" t="s">
        <v>156</v>
      </c>
      <c r="D73" s="38"/>
      <c r="F73" s="97"/>
      <c r="G73" s="217"/>
      <c r="H73" s="31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</row>
    <row r="74" spans="1:33" x14ac:dyDescent="0.2">
      <c r="A74" s="8"/>
      <c r="B74" s="8"/>
      <c r="C74" s="4" t="str">
        <f>C14</f>
        <v>MTC 3rd Tx</v>
      </c>
      <c r="D74" s="38"/>
      <c r="F74" s="97"/>
      <c r="G74" s="214">
        <f>input_dollars</f>
        <v>45291</v>
      </c>
      <c r="H74" s="31"/>
      <c r="I74" s="119" cm="1">
        <f t="array" ref="I74">SUMPRODUCT(($I68:I68))-SUMPRODUCT(($I68:I68)*($I$6:I$6&lt;=(I$6-$E14)))</f>
        <v>-14291649</v>
      </c>
      <c r="J74" s="119" cm="1">
        <f t="array" ref="J74">SUMPRODUCT(($I68:J68))-SUMPRODUCT(($I68:J68)*($I$6:J$6&lt;=(J$6-$E14)))</f>
        <v>-14291649</v>
      </c>
      <c r="K74" s="119" cm="1">
        <f t="array" ref="K74">SUMPRODUCT(($I68:K68))-SUMPRODUCT(($I68:K68)*($I$6:K$6&lt;=(K$6-$E14)))</f>
        <v>-14291649</v>
      </c>
      <c r="L74" s="119" cm="1">
        <f t="array" ref="L74">SUMPRODUCT(($I68:L68))-SUMPRODUCT(($I68:L68)*($I$6:L$6&lt;=(L$6-$E14)))</f>
        <v>-14291649</v>
      </c>
      <c r="M74" s="119" cm="1">
        <f t="array" ref="M74">SUMPRODUCT(($I68:M68))-SUMPRODUCT(($I68:M68)*($I$6:M$6&lt;=(M$6-$E14)))</f>
        <v>-14291649</v>
      </c>
      <c r="N74" s="119" cm="1">
        <f t="array" ref="N74">SUMPRODUCT(($I68:N68))-SUMPRODUCT(($I68:N68)*($I$6:N$6&lt;=(N$6-$E14)))</f>
        <v>-14291649</v>
      </c>
      <c r="O74" s="119" cm="1">
        <f t="array" ref="O74">SUMPRODUCT(($I68:O68))-SUMPRODUCT(($I68:O68)*($I$6:O$6&lt;=(O$6-$E14)))</f>
        <v>-14291649</v>
      </c>
      <c r="P74" s="119" cm="1">
        <f t="array" ref="P74">SUMPRODUCT(($I68:P68))-SUMPRODUCT(($I68:P68)*($I$6:P$6&lt;=(P$6-$E14)))</f>
        <v>-14291649</v>
      </c>
      <c r="Q74" s="119" cm="1">
        <f t="array" ref="Q74">SUMPRODUCT(($I68:Q68))-SUMPRODUCT(($I68:Q68)*($I$6:Q$6&lt;=(Q$6-$E14)))</f>
        <v>-14291649</v>
      </c>
      <c r="R74" s="119" cm="1">
        <f t="array" ref="R74">SUMPRODUCT(($I68:R68))-SUMPRODUCT(($I68:R68)*($I$6:R$6&lt;=(R$6-$E14)))</f>
        <v>-14291649</v>
      </c>
      <c r="S74" s="119" cm="1">
        <f t="array" ref="S74">SUMPRODUCT(($I68:S68))-SUMPRODUCT(($I68:S68)*($I$6:S$6&lt;=(S$6-$E14)))</f>
        <v>-14291649</v>
      </c>
      <c r="T74" s="119" cm="1">
        <f t="array" ref="T74">SUMPRODUCT(($I68:T68))-SUMPRODUCT(($I68:T68)*($I$6:T$6&lt;=(T$6-$E14)))</f>
        <v>-14291649</v>
      </c>
      <c r="U74" s="119" cm="1">
        <f t="array" ref="U74">SUMPRODUCT(($I68:U68))-SUMPRODUCT(($I68:U68)*($I$6:U$6&lt;=(U$6-$E14)))</f>
        <v>-14291649</v>
      </c>
      <c r="V74" s="119" cm="1">
        <f t="array" ref="V74">SUMPRODUCT(($I68:V68))-SUMPRODUCT(($I68:V68)*($I$6:V$6&lt;=(V$6-$E14)))</f>
        <v>-14291649</v>
      </c>
      <c r="W74" s="119" cm="1">
        <f t="array" ref="W74">SUMPRODUCT(($I68:W68))-SUMPRODUCT(($I68:W68)*($I$6:W$6&lt;=(W$6-$E14)))</f>
        <v>-14291649</v>
      </c>
      <c r="X74" s="119" cm="1">
        <f t="array" ref="X74">SUMPRODUCT(($I68:X68))-SUMPRODUCT(($I68:X68)*($I$6:X$6&lt;=(X$6-$E14)))</f>
        <v>-14291649</v>
      </c>
      <c r="Y74" s="119" cm="1">
        <f t="array" ref="Y74">SUMPRODUCT(($I68:Y68))-SUMPRODUCT(($I68:Y68)*($I$6:Y$6&lt;=(Y$6-$E14)))</f>
        <v>-14291649</v>
      </c>
      <c r="Z74" s="119" cm="1">
        <f t="array" ref="Z74">SUMPRODUCT(($I68:Z68))-SUMPRODUCT(($I68:Z68)*($I$6:Z$6&lt;=(Z$6-$E14)))</f>
        <v>-14291649</v>
      </c>
      <c r="AA74" s="119" cm="1">
        <f t="array" ref="AA74">SUMPRODUCT(($I68:AA68))-SUMPRODUCT(($I68:AA68)*($I$6:AA$6&lt;=(AA$6-$E14)))</f>
        <v>-14291649</v>
      </c>
      <c r="AB74" s="119" cm="1">
        <f t="array" ref="AB74">SUMPRODUCT(($I68:AB68))-SUMPRODUCT(($I68:AB68)*($I$6:AB$6&lt;=(AB$6-$E14)))</f>
        <v>-14291649</v>
      </c>
      <c r="AC74" s="119" cm="1">
        <f t="array" ref="AC74">SUMPRODUCT(($I68:AC68))-SUMPRODUCT(($I68:AC68)*($I$6:AC$6&lt;=(AC$6-$E14)))</f>
        <v>-14291649</v>
      </c>
      <c r="AD74" s="119" cm="1">
        <f t="array" ref="AD74">SUMPRODUCT(($I68:AD68))-SUMPRODUCT(($I68:AD68)*($I$6:AD$6&lt;=(AD$6-$E14)))</f>
        <v>-14291649</v>
      </c>
      <c r="AE74" s="119" cm="1">
        <f t="array" ref="AE74">SUMPRODUCT(($I68:AE68))-SUMPRODUCT(($I68:AE68)*($I$6:AE$6&lt;=(AE$6-$E14)))</f>
        <v>-14291649</v>
      </c>
      <c r="AF74" s="119" cm="1">
        <f t="array" ref="AF74">SUMPRODUCT(($I68:AF68))-SUMPRODUCT(($I68:AF68)*($I$6:AF$6&lt;=(AF$6-$E14)))</f>
        <v>-14291649</v>
      </c>
      <c r="AG74" s="119" cm="1">
        <f t="array" ref="AG74">SUMPRODUCT(($I68:AG68))-SUMPRODUCT(($I68:AG68)*($I$6:AG$6&lt;=(AG$6-$E14)))</f>
        <v>-14291649</v>
      </c>
    </row>
    <row r="75" spans="1:33" x14ac:dyDescent="0.2">
      <c r="A75" s="8"/>
      <c r="B75" s="8"/>
      <c r="C75" s="4" t="str">
        <f>C15</f>
        <v>New RBE ZSS</v>
      </c>
      <c r="D75" s="38"/>
      <c r="F75" s="97"/>
      <c r="G75" s="214">
        <f>input_dollars</f>
        <v>45291</v>
      </c>
      <c r="H75" s="31"/>
      <c r="I75" s="119" cm="1">
        <f t="array" ref="I75">SUMPRODUCT(($I69:I69))-SUMPRODUCT(($I69:I69)*($I$6:I$6&lt;=(I$6-$E15)))</f>
        <v>-5291808.87</v>
      </c>
      <c r="J75" s="119" cm="1">
        <f t="array" ref="J75">SUMPRODUCT(($I69:J69))-SUMPRODUCT(($I69:J69)*($I$6:J$6&lt;=(J$6-$E15)))</f>
        <v>-22855870.110000003</v>
      </c>
      <c r="K75" s="119" cm="1">
        <f t="array" ref="K75">SUMPRODUCT(($I69:K69))-SUMPRODUCT(($I69:K69)*($I$6:K$6&lt;=(K$6-$E15)))</f>
        <v>-38960887</v>
      </c>
      <c r="L75" s="119" cm="1">
        <f t="array" ref="L75">SUMPRODUCT(($I69:L69))-SUMPRODUCT(($I69:L69)*($I$6:L$6&lt;=(L$6-$E15)))</f>
        <v>-38960887</v>
      </c>
      <c r="M75" s="119" cm="1">
        <f t="array" ref="M75">SUMPRODUCT(($I69:M69))-SUMPRODUCT(($I69:M69)*($I$6:M$6&lt;=(M$6-$E15)))</f>
        <v>-38960887</v>
      </c>
      <c r="N75" s="119" cm="1">
        <f t="array" ref="N75">SUMPRODUCT(($I69:N69))-SUMPRODUCT(($I69:N69)*($I$6:N$6&lt;=(N$6-$E15)))</f>
        <v>-38960887</v>
      </c>
      <c r="O75" s="119" cm="1">
        <f t="array" ref="O75">SUMPRODUCT(($I69:O69))-SUMPRODUCT(($I69:O69)*($I$6:O$6&lt;=(O$6-$E15)))</f>
        <v>-38960887</v>
      </c>
      <c r="P75" s="119" cm="1">
        <f t="array" ref="P75">SUMPRODUCT(($I69:P69))-SUMPRODUCT(($I69:P69)*($I$6:P$6&lt;=(P$6-$E15)))</f>
        <v>-38960887</v>
      </c>
      <c r="Q75" s="119" cm="1">
        <f t="array" ref="Q75">SUMPRODUCT(($I69:Q69))-SUMPRODUCT(($I69:Q69)*($I$6:Q$6&lt;=(Q$6-$E15)))</f>
        <v>-38960887</v>
      </c>
      <c r="R75" s="119" cm="1">
        <f t="array" ref="R75">SUMPRODUCT(($I69:R69))-SUMPRODUCT(($I69:R69)*($I$6:R$6&lt;=(R$6-$E15)))</f>
        <v>-38960887</v>
      </c>
      <c r="S75" s="119" cm="1">
        <f t="array" ref="S75">SUMPRODUCT(($I69:S69))-SUMPRODUCT(($I69:S69)*($I$6:S$6&lt;=(S$6-$E15)))</f>
        <v>-38960887</v>
      </c>
      <c r="T75" s="119" cm="1">
        <f t="array" ref="T75">SUMPRODUCT(($I69:T69))-SUMPRODUCT(($I69:T69)*($I$6:T$6&lt;=(T$6-$E15)))</f>
        <v>-38960887</v>
      </c>
      <c r="U75" s="119" cm="1">
        <f t="array" ref="U75">SUMPRODUCT(($I69:U69))-SUMPRODUCT(($I69:U69)*($I$6:U$6&lt;=(U$6-$E15)))</f>
        <v>-38960887</v>
      </c>
      <c r="V75" s="119" cm="1">
        <f t="array" ref="V75">SUMPRODUCT(($I69:V69))-SUMPRODUCT(($I69:V69)*($I$6:V$6&lt;=(V$6-$E15)))</f>
        <v>-38960887</v>
      </c>
      <c r="W75" s="119" cm="1">
        <f t="array" ref="W75">SUMPRODUCT(($I69:W69))-SUMPRODUCT(($I69:W69)*($I$6:W$6&lt;=(W$6-$E15)))</f>
        <v>-38960887</v>
      </c>
      <c r="X75" s="119" cm="1">
        <f t="array" ref="X75">SUMPRODUCT(($I69:X69))-SUMPRODUCT(($I69:X69)*($I$6:X$6&lt;=(X$6-$E15)))</f>
        <v>-38960887</v>
      </c>
      <c r="Y75" s="119" cm="1">
        <f t="array" ref="Y75">SUMPRODUCT(($I69:Y69))-SUMPRODUCT(($I69:Y69)*($I$6:Y$6&lt;=(Y$6-$E15)))</f>
        <v>-38960887</v>
      </c>
      <c r="Z75" s="119" cm="1">
        <f t="array" ref="Z75">SUMPRODUCT(($I69:Z69))-SUMPRODUCT(($I69:Z69)*($I$6:Z$6&lt;=(Z$6-$E15)))</f>
        <v>-38960887</v>
      </c>
      <c r="AA75" s="119" cm="1">
        <f t="array" ref="AA75">SUMPRODUCT(($I69:AA69))-SUMPRODUCT(($I69:AA69)*($I$6:AA$6&lt;=(AA$6-$E15)))</f>
        <v>-38960887</v>
      </c>
      <c r="AB75" s="119" cm="1">
        <f t="array" ref="AB75">SUMPRODUCT(($I69:AB69))-SUMPRODUCT(($I69:AB69)*($I$6:AB$6&lt;=(AB$6-$E15)))</f>
        <v>-38960887</v>
      </c>
      <c r="AC75" s="119" cm="1">
        <f t="array" ref="AC75">SUMPRODUCT(($I69:AC69))-SUMPRODUCT(($I69:AC69)*($I$6:AC$6&lt;=(AC$6-$E15)))</f>
        <v>-38960887</v>
      </c>
      <c r="AD75" s="119" cm="1">
        <f t="array" ref="AD75">SUMPRODUCT(($I69:AD69))-SUMPRODUCT(($I69:AD69)*($I$6:AD$6&lt;=(AD$6-$E15)))</f>
        <v>-38960887</v>
      </c>
      <c r="AE75" s="119" cm="1">
        <f t="array" ref="AE75">SUMPRODUCT(($I69:AE69))-SUMPRODUCT(($I69:AE69)*($I$6:AE$6&lt;=(AE$6-$E15)))</f>
        <v>-38960887</v>
      </c>
      <c r="AF75" s="119" cm="1">
        <f t="array" ref="AF75">SUMPRODUCT(($I69:AF69))-SUMPRODUCT(($I69:AF69)*($I$6:AF$6&lt;=(AF$6-$E15)))</f>
        <v>-38960887</v>
      </c>
      <c r="AG75" s="119" cm="1">
        <f t="array" ref="AG75">SUMPRODUCT(($I69:AG69))-SUMPRODUCT(($I69:AG69)*($I$6:AG$6&lt;=(AG$6-$E15)))</f>
        <v>-38960887</v>
      </c>
    </row>
    <row r="76" spans="1:33" x14ac:dyDescent="0.2">
      <c r="A76" s="8"/>
      <c r="B76" s="8"/>
      <c r="C76" s="4" t="str">
        <f>C16</f>
        <v>PCK Stage 1</v>
      </c>
      <c r="D76" s="38"/>
      <c r="F76" s="97"/>
      <c r="G76" s="214">
        <f>input_dollars</f>
        <v>45291</v>
      </c>
      <c r="H76" s="31"/>
      <c r="I76" s="119" cm="1">
        <f t="array" ref="I76">SUMPRODUCT(($I70:I70))-SUMPRODUCT(($I70:I70)*($I$6:I$6&lt;=(I$6-$E16)))</f>
        <v>0</v>
      </c>
      <c r="J76" s="119" cm="1">
        <f t="array" ref="J76">SUMPRODUCT(($I70:J70))-SUMPRODUCT(($I70:J70)*($I$6:J$6&lt;=(J$6-$E16)))</f>
        <v>-5408395.2999999998</v>
      </c>
      <c r="K76" s="119" cm="1">
        <f t="array" ref="K76">SUMPRODUCT(($I70:K70))-SUMPRODUCT(($I70:K70)*($I$6:K$6&lt;=(K$6-$E16)))</f>
        <v>-29570931.233333334</v>
      </c>
      <c r="L76" s="119" cm="1">
        <f t="array" ref="L76">SUMPRODUCT(($I70:L70))-SUMPRODUCT(($I70:L70)*($I$6:L$6&lt;=(L$6-$E16)))</f>
        <v>-51691490.666666664</v>
      </c>
      <c r="M76" s="119" cm="1">
        <f t="array" ref="M76">SUMPRODUCT(($I70:M70))-SUMPRODUCT(($I70:M70)*($I$6:M$6&lt;=(M$6-$E16)))</f>
        <v>-51691490.666666664</v>
      </c>
      <c r="N76" s="119" cm="1">
        <f t="array" ref="N76">SUMPRODUCT(($I70:N70))-SUMPRODUCT(($I70:N70)*($I$6:N$6&lt;=(N$6-$E16)))</f>
        <v>-51691490.666666664</v>
      </c>
      <c r="O76" s="119" cm="1">
        <f t="array" ref="O76">SUMPRODUCT(($I70:O70))-SUMPRODUCT(($I70:O70)*($I$6:O$6&lt;=(O$6-$E16)))</f>
        <v>-51691490.666666664</v>
      </c>
      <c r="P76" s="119" cm="1">
        <f t="array" ref="P76">SUMPRODUCT(($I70:P70))-SUMPRODUCT(($I70:P70)*($I$6:P$6&lt;=(P$6-$E16)))</f>
        <v>-51691490.666666664</v>
      </c>
      <c r="Q76" s="119" cm="1">
        <f t="array" ref="Q76">SUMPRODUCT(($I70:Q70))-SUMPRODUCT(($I70:Q70)*($I$6:Q$6&lt;=(Q$6-$E16)))</f>
        <v>-51691490.666666664</v>
      </c>
      <c r="R76" s="119" cm="1">
        <f t="array" ref="R76">SUMPRODUCT(($I70:R70))-SUMPRODUCT(($I70:R70)*($I$6:R$6&lt;=(R$6-$E16)))</f>
        <v>-62117471</v>
      </c>
      <c r="S76" s="119" cm="1">
        <f t="array" ref="S76">SUMPRODUCT(($I70:S70))-SUMPRODUCT(($I70:S70)*($I$6:S$6&lt;=(S$6-$E16)))</f>
        <v>-62117471</v>
      </c>
      <c r="T76" s="119" cm="1">
        <f t="array" ref="T76">SUMPRODUCT(($I70:T70))-SUMPRODUCT(($I70:T70)*($I$6:T$6&lt;=(T$6-$E16)))</f>
        <v>-62117471</v>
      </c>
      <c r="U76" s="119" cm="1">
        <f t="array" ref="U76">SUMPRODUCT(($I70:U70))-SUMPRODUCT(($I70:U70)*($I$6:U$6&lt;=(U$6-$E16)))</f>
        <v>-62117471</v>
      </c>
      <c r="V76" s="119" cm="1">
        <f t="array" ref="V76">SUMPRODUCT(($I70:V70))-SUMPRODUCT(($I70:V70)*($I$6:V$6&lt;=(V$6-$E16)))</f>
        <v>-62117471</v>
      </c>
      <c r="W76" s="119" cm="1">
        <f t="array" ref="W76">SUMPRODUCT(($I70:W70))-SUMPRODUCT(($I70:W70)*($I$6:W$6&lt;=(W$6-$E16)))</f>
        <v>-62117471</v>
      </c>
      <c r="X76" s="119" cm="1">
        <f t="array" ref="X76">SUMPRODUCT(($I70:X70))-SUMPRODUCT(($I70:X70)*($I$6:X$6&lt;=(X$6-$E16)))</f>
        <v>-62117471</v>
      </c>
      <c r="Y76" s="119" cm="1">
        <f t="array" ref="Y76">SUMPRODUCT(($I70:Y70))-SUMPRODUCT(($I70:Y70)*($I$6:Y$6&lt;=(Y$6-$E16)))</f>
        <v>-62117471</v>
      </c>
      <c r="Z76" s="119" cm="1">
        <f t="array" ref="Z76">SUMPRODUCT(($I70:Z70))-SUMPRODUCT(($I70:Z70)*($I$6:Z$6&lt;=(Z$6-$E16)))</f>
        <v>-62117471</v>
      </c>
      <c r="AA76" s="119" cm="1">
        <f t="array" ref="AA76">SUMPRODUCT(($I70:AA70))-SUMPRODUCT(($I70:AA70)*($I$6:AA$6&lt;=(AA$6-$E16)))</f>
        <v>-62117471</v>
      </c>
      <c r="AB76" s="119" cm="1">
        <f t="array" ref="AB76">SUMPRODUCT(($I70:AB70))-SUMPRODUCT(($I70:AB70)*($I$6:AB$6&lt;=(AB$6-$E16)))</f>
        <v>-62117471</v>
      </c>
      <c r="AC76" s="119" cm="1">
        <f t="array" ref="AC76">SUMPRODUCT(($I70:AC70))-SUMPRODUCT(($I70:AC70)*($I$6:AC$6&lt;=(AC$6-$E16)))</f>
        <v>-62117471</v>
      </c>
      <c r="AD76" s="119" cm="1">
        <f t="array" ref="AD76">SUMPRODUCT(($I70:AD70))-SUMPRODUCT(($I70:AD70)*($I$6:AD$6&lt;=(AD$6-$E16)))</f>
        <v>-62117471</v>
      </c>
      <c r="AE76" s="119" cm="1">
        <f t="array" ref="AE76">SUMPRODUCT(($I70:AE70))-SUMPRODUCT(($I70:AE70)*($I$6:AE$6&lt;=(AE$6-$E16)))</f>
        <v>-62117471</v>
      </c>
      <c r="AF76" s="119" cm="1">
        <f t="array" ref="AF76">SUMPRODUCT(($I70:AF70))-SUMPRODUCT(($I70:AF70)*($I$6:AF$6&lt;=(AF$6-$E16)))</f>
        <v>-62117471</v>
      </c>
      <c r="AG76" s="119" cm="1">
        <f t="array" ref="AG76">SUMPRODUCT(($I70:AG70))-SUMPRODUCT(($I70:AG70)*($I$6:AG$6&lt;=(AG$6-$E16)))</f>
        <v>-62117471</v>
      </c>
    </row>
    <row r="77" spans="1:33" x14ac:dyDescent="0.2">
      <c r="A77" s="8"/>
      <c r="B77" s="8"/>
      <c r="C77" s="4">
        <f>C17</f>
        <v>0</v>
      </c>
      <c r="D77" s="38"/>
      <c r="F77" s="97"/>
      <c r="G77" s="214">
        <f>input_dollars</f>
        <v>45291</v>
      </c>
      <c r="H77" s="31"/>
      <c r="I77" s="119" cm="1">
        <f t="array" ref="I77">SUMPRODUCT(($I71:I71))-SUMPRODUCT(($I71:I71)*($I$6:I$6&lt;=(I$6-$E17)))</f>
        <v>0</v>
      </c>
      <c r="J77" s="119" cm="1">
        <f t="array" ref="J77">SUMPRODUCT(($I71:J71))-SUMPRODUCT(($I71:J71)*($I$6:J$6&lt;=(J$6-$E17)))</f>
        <v>0</v>
      </c>
      <c r="K77" s="119" cm="1">
        <f t="array" ref="K77">SUMPRODUCT(($I71:K71))-SUMPRODUCT(($I71:K71)*($I$6:K$6&lt;=(K$6-$E17)))</f>
        <v>0</v>
      </c>
      <c r="L77" s="119" cm="1">
        <f t="array" ref="L77">SUMPRODUCT(($I71:L71))-SUMPRODUCT(($I71:L71)*($I$6:L$6&lt;=(L$6-$E17)))</f>
        <v>0</v>
      </c>
      <c r="M77" s="119" cm="1">
        <f t="array" ref="M77">SUMPRODUCT(($I71:M71))-SUMPRODUCT(($I71:M71)*($I$6:M$6&lt;=(M$6-$E17)))</f>
        <v>0</v>
      </c>
      <c r="N77" s="119" cm="1">
        <f t="array" ref="N77">SUMPRODUCT(($I71:N71))-SUMPRODUCT(($I71:N71)*($I$6:N$6&lt;=(N$6-$E17)))</f>
        <v>0</v>
      </c>
      <c r="O77" s="119" cm="1">
        <f t="array" ref="O77">SUMPRODUCT(($I71:O71))-SUMPRODUCT(($I71:O71)*($I$6:O$6&lt;=(O$6-$E17)))</f>
        <v>0</v>
      </c>
      <c r="P77" s="119" cm="1">
        <f t="array" ref="P77">SUMPRODUCT(($I71:P71))-SUMPRODUCT(($I71:P71)*($I$6:P$6&lt;=(P$6-$E17)))</f>
        <v>0</v>
      </c>
      <c r="Q77" s="119" cm="1">
        <f t="array" ref="Q77">SUMPRODUCT(($I71:Q71))-SUMPRODUCT(($I71:Q71)*($I$6:Q$6&lt;=(Q$6-$E17)))</f>
        <v>0</v>
      </c>
      <c r="R77" s="119" cm="1">
        <f t="array" ref="R77">SUMPRODUCT(($I71:R71))-SUMPRODUCT(($I71:R71)*($I$6:R$6&lt;=(R$6-$E17)))</f>
        <v>0</v>
      </c>
      <c r="S77" s="119" cm="1">
        <f t="array" ref="S77">SUMPRODUCT(($I71:S71))-SUMPRODUCT(($I71:S71)*($I$6:S$6&lt;=(S$6-$E17)))</f>
        <v>0</v>
      </c>
      <c r="T77" s="119" cm="1">
        <f t="array" ref="T77">SUMPRODUCT(($I71:T71))-SUMPRODUCT(($I71:T71)*($I$6:T$6&lt;=(T$6-$E17)))</f>
        <v>0</v>
      </c>
      <c r="U77" s="119" cm="1">
        <f t="array" ref="U77">SUMPRODUCT(($I71:U71))-SUMPRODUCT(($I71:U71)*($I$6:U$6&lt;=(U$6-$E17)))</f>
        <v>0</v>
      </c>
      <c r="V77" s="119" cm="1">
        <f t="array" ref="V77">SUMPRODUCT(($I71:V71))-SUMPRODUCT(($I71:V71)*($I$6:V$6&lt;=(V$6-$E17)))</f>
        <v>0</v>
      </c>
      <c r="W77" s="119" cm="1">
        <f t="array" ref="W77">SUMPRODUCT(($I71:W71))-SUMPRODUCT(($I71:W71)*($I$6:W$6&lt;=(W$6-$E17)))</f>
        <v>0</v>
      </c>
      <c r="X77" s="119" cm="1">
        <f t="array" ref="X77">SUMPRODUCT(($I71:X71))-SUMPRODUCT(($I71:X71)*($I$6:X$6&lt;=(X$6-$E17)))</f>
        <v>0</v>
      </c>
      <c r="Y77" s="119" cm="1">
        <f t="array" ref="Y77">SUMPRODUCT(($I71:Y71))-SUMPRODUCT(($I71:Y71)*($I$6:Y$6&lt;=(Y$6-$E17)))</f>
        <v>0</v>
      </c>
      <c r="Z77" s="119" cm="1">
        <f t="array" ref="Z77">SUMPRODUCT(($I71:Z71))-SUMPRODUCT(($I71:Z71)*($I$6:Z$6&lt;=(Z$6-$E17)))</f>
        <v>0</v>
      </c>
      <c r="AA77" s="119" cm="1">
        <f t="array" ref="AA77">SUMPRODUCT(($I71:AA71))-SUMPRODUCT(($I71:AA71)*($I$6:AA$6&lt;=(AA$6-$E17)))</f>
        <v>0</v>
      </c>
      <c r="AB77" s="119" cm="1">
        <f t="array" ref="AB77">SUMPRODUCT(($I71:AB71))-SUMPRODUCT(($I71:AB71)*($I$6:AB$6&lt;=(AB$6-$E17)))</f>
        <v>0</v>
      </c>
      <c r="AC77" s="119" cm="1">
        <f t="array" ref="AC77">SUMPRODUCT(($I71:AC71))-SUMPRODUCT(($I71:AC71)*($I$6:AC$6&lt;=(AC$6-$E17)))</f>
        <v>0</v>
      </c>
      <c r="AD77" s="119" cm="1">
        <f t="array" ref="AD77">SUMPRODUCT(($I71:AD71))-SUMPRODUCT(($I71:AD71)*($I$6:AD$6&lt;=(AD$6-$E17)))</f>
        <v>0</v>
      </c>
      <c r="AE77" s="119" cm="1">
        <f t="array" ref="AE77">SUMPRODUCT(($I71:AE71))-SUMPRODUCT(($I71:AE71)*($I$6:AE$6&lt;=(AE$6-$E17)))</f>
        <v>0</v>
      </c>
      <c r="AF77" s="119" cm="1">
        <f t="array" ref="AF77">SUMPRODUCT(($I71:AF71))-SUMPRODUCT(($I71:AF71)*($I$6:AF$6&lt;=(AF$6-$E17)))</f>
        <v>0</v>
      </c>
      <c r="AG77" s="119" cm="1">
        <f t="array" ref="AG77">SUMPRODUCT(($I71:AG71))-SUMPRODUCT(($I71:AG71)*($I$6:AG$6&lt;=(AG$6-$E17)))</f>
        <v>0</v>
      </c>
    </row>
    <row r="78" spans="1:33" x14ac:dyDescent="0.2">
      <c r="A78" s="8"/>
      <c r="B78" s="8"/>
      <c r="C78" s="4"/>
      <c r="D78" s="38"/>
      <c r="F78" s="97"/>
      <c r="G78" s="218"/>
      <c r="H78" s="31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</row>
    <row r="79" spans="1:33" x14ac:dyDescent="0.2">
      <c r="A79" s="8"/>
      <c r="B79" s="8"/>
      <c r="C79" s="150" t="s">
        <v>91</v>
      </c>
      <c r="D79" s="38"/>
      <c r="F79" s="97"/>
      <c r="G79" s="217"/>
      <c r="H79" s="31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</row>
    <row r="80" spans="1:33" x14ac:dyDescent="0.2">
      <c r="A80" s="8"/>
      <c r="B80" s="8"/>
      <c r="C80" s="4" t="str">
        <f>$C$79&amp;" - "&amp;C14</f>
        <v>Annualised capex - MTC 3rd Tx</v>
      </c>
      <c r="D80" s="38"/>
      <c r="F80" s="97"/>
      <c r="G80" s="214">
        <f>input_dollars</f>
        <v>45291</v>
      </c>
      <c r="H80" s="31"/>
      <c r="I80" s="119">
        <f t="shared" ref="I80:AG80" si="6">IF($E14=0,0,-PMT(real_disc, $E14,H74,))</f>
        <v>0</v>
      </c>
      <c r="J80" s="119">
        <f t="shared" si="6"/>
        <v>-609306.01269304589</v>
      </c>
      <c r="K80" s="119">
        <f t="shared" si="6"/>
        <v>-609306.01269304589</v>
      </c>
      <c r="L80" s="119">
        <f t="shared" si="6"/>
        <v>-609306.01269304589</v>
      </c>
      <c r="M80" s="119">
        <f t="shared" si="6"/>
        <v>-609306.01269304589</v>
      </c>
      <c r="N80" s="119">
        <f t="shared" si="6"/>
        <v>-609306.01269304589</v>
      </c>
      <c r="O80" s="119">
        <f t="shared" si="6"/>
        <v>-609306.01269304589</v>
      </c>
      <c r="P80" s="119">
        <f t="shared" si="6"/>
        <v>-609306.01269304589</v>
      </c>
      <c r="Q80" s="119">
        <f t="shared" si="6"/>
        <v>-609306.01269304589</v>
      </c>
      <c r="R80" s="119">
        <f t="shared" si="6"/>
        <v>-609306.01269304589</v>
      </c>
      <c r="S80" s="119">
        <f t="shared" si="6"/>
        <v>-609306.01269304589</v>
      </c>
      <c r="T80" s="119">
        <f t="shared" si="6"/>
        <v>-609306.01269304589</v>
      </c>
      <c r="U80" s="119">
        <f t="shared" si="6"/>
        <v>-609306.01269304589</v>
      </c>
      <c r="V80" s="119">
        <f t="shared" si="6"/>
        <v>-609306.01269304589</v>
      </c>
      <c r="W80" s="119">
        <f t="shared" si="6"/>
        <v>-609306.01269304589</v>
      </c>
      <c r="X80" s="119">
        <f t="shared" si="6"/>
        <v>-609306.01269304589</v>
      </c>
      <c r="Y80" s="119">
        <f t="shared" si="6"/>
        <v>-609306.01269304589</v>
      </c>
      <c r="Z80" s="119">
        <f t="shared" si="6"/>
        <v>-609306.01269304589</v>
      </c>
      <c r="AA80" s="119">
        <f t="shared" si="6"/>
        <v>-609306.01269304589</v>
      </c>
      <c r="AB80" s="119">
        <f t="shared" si="6"/>
        <v>-609306.01269304589</v>
      </c>
      <c r="AC80" s="119">
        <f t="shared" si="6"/>
        <v>-609306.01269304589</v>
      </c>
      <c r="AD80" s="119">
        <f t="shared" si="6"/>
        <v>-609306.01269304589</v>
      </c>
      <c r="AE80" s="119">
        <f t="shared" si="6"/>
        <v>-609306.01269304589</v>
      </c>
      <c r="AF80" s="119">
        <f t="shared" si="6"/>
        <v>-609306.01269304589</v>
      </c>
      <c r="AG80" s="119">
        <f t="shared" si="6"/>
        <v>-609306.01269304589</v>
      </c>
    </row>
    <row r="81" spans="1:33" x14ac:dyDescent="0.2">
      <c r="A81" s="8"/>
      <c r="B81" s="8"/>
      <c r="C81" s="4" t="str">
        <f>$C$79&amp;" - "&amp;C15</f>
        <v>Annualised capex - New RBE ZSS</v>
      </c>
      <c r="D81" s="38"/>
      <c r="F81" s="97"/>
      <c r="G81" s="214">
        <f>input_dollars</f>
        <v>45291</v>
      </c>
      <c r="H81" s="31"/>
      <c r="I81" s="119">
        <f t="shared" ref="I81:I83" si="7">IF($E15=0,0,-PMT(real_disc, $E15,H75,))</f>
        <v>0</v>
      </c>
      <c r="J81" s="119">
        <f t="shared" ref="J81:J83" si="8">IF($E15=0,0,-PMT(real_disc, $E15,I75,))</f>
        <v>-225609.44244526245</v>
      </c>
      <c r="K81" s="119">
        <f t="shared" ref="K81:K83" si="9">IF($E15=0,0,-PMT(real_disc, $E15,J75,))</f>
        <v>-974430.52816048521</v>
      </c>
      <c r="L81" s="119">
        <f t="shared" ref="L81:L83" si="10">IF($E15=0,0,-PMT(real_disc, $E15,K75,))</f>
        <v>-1661047.1408130948</v>
      </c>
      <c r="M81" s="119">
        <f t="shared" ref="M81:M83" si="11">IF($E15=0,0,-PMT(real_disc, $E15,L75,))</f>
        <v>-1661047.1408130948</v>
      </c>
      <c r="N81" s="119">
        <f t="shared" ref="N81:N83" si="12">IF($E15=0,0,-PMT(real_disc, $E15,M75,))</f>
        <v>-1661047.1408130948</v>
      </c>
      <c r="O81" s="119">
        <f t="shared" ref="O81:O83" si="13">IF($E15=0,0,-PMT(real_disc, $E15,N75,))</f>
        <v>-1661047.1408130948</v>
      </c>
      <c r="P81" s="119">
        <f t="shared" ref="P81:P83" si="14">IF($E15=0,0,-PMT(real_disc, $E15,O75,))</f>
        <v>-1661047.1408130948</v>
      </c>
      <c r="Q81" s="119">
        <f t="shared" ref="Q81:Q83" si="15">IF($E15=0,0,-PMT(real_disc, $E15,P75,))</f>
        <v>-1661047.1408130948</v>
      </c>
      <c r="R81" s="119">
        <f t="shared" ref="R81:R83" si="16">IF($E15=0,0,-PMT(real_disc, $E15,Q75,))</f>
        <v>-1661047.1408130948</v>
      </c>
      <c r="S81" s="119">
        <f t="shared" ref="S81:S83" si="17">IF($E15=0,0,-PMT(real_disc, $E15,R75,))</f>
        <v>-1661047.1408130948</v>
      </c>
      <c r="T81" s="119">
        <f t="shared" ref="T81:T83" si="18">IF($E15=0,0,-PMT(real_disc, $E15,S75,))</f>
        <v>-1661047.1408130948</v>
      </c>
      <c r="U81" s="119">
        <f t="shared" ref="U81:U83" si="19">IF($E15=0,0,-PMT(real_disc, $E15,T75,))</f>
        <v>-1661047.1408130948</v>
      </c>
      <c r="V81" s="119">
        <f t="shared" ref="V81:V83" si="20">IF($E15=0,0,-PMT(real_disc, $E15,U75,))</f>
        <v>-1661047.1408130948</v>
      </c>
      <c r="W81" s="119">
        <f t="shared" ref="W81:W83" si="21">IF($E15=0,0,-PMT(real_disc, $E15,V75,))</f>
        <v>-1661047.1408130948</v>
      </c>
      <c r="X81" s="119">
        <f t="shared" ref="X81:X83" si="22">IF($E15=0,0,-PMT(real_disc, $E15,W75,))</f>
        <v>-1661047.1408130948</v>
      </c>
      <c r="Y81" s="119">
        <f t="shared" ref="Y81:Y83" si="23">IF($E15=0,0,-PMT(real_disc, $E15,X75,))</f>
        <v>-1661047.1408130948</v>
      </c>
      <c r="Z81" s="119">
        <f t="shared" ref="Z81:Z83" si="24">IF($E15=0,0,-PMT(real_disc, $E15,Y75,))</f>
        <v>-1661047.1408130948</v>
      </c>
      <c r="AA81" s="119">
        <f t="shared" ref="AA81:AA83" si="25">IF($E15=0,0,-PMT(real_disc, $E15,Z75,))</f>
        <v>-1661047.1408130948</v>
      </c>
      <c r="AB81" s="119">
        <f t="shared" ref="AB81:AB83" si="26">IF($E15=0,0,-PMT(real_disc, $E15,AA75,))</f>
        <v>-1661047.1408130948</v>
      </c>
      <c r="AC81" s="119">
        <f t="shared" ref="AC81:AC83" si="27">IF($E15=0,0,-PMT(real_disc, $E15,AB75,))</f>
        <v>-1661047.1408130948</v>
      </c>
      <c r="AD81" s="119">
        <f t="shared" ref="AD81:AD83" si="28">IF($E15=0,0,-PMT(real_disc, $E15,AC75,))</f>
        <v>-1661047.1408130948</v>
      </c>
      <c r="AE81" s="119">
        <f t="shared" ref="AE81:AE83" si="29">IF($E15=0,0,-PMT(real_disc, $E15,AD75,))</f>
        <v>-1661047.1408130948</v>
      </c>
      <c r="AF81" s="119">
        <f t="shared" ref="AF81:AF83" si="30">IF($E15=0,0,-PMT(real_disc, $E15,AE75,))</f>
        <v>-1661047.1408130948</v>
      </c>
      <c r="AG81" s="119">
        <f t="shared" ref="AG81:AG83" si="31">IF($E15=0,0,-PMT(real_disc, $E15,AF75,))</f>
        <v>-1661047.1408130948</v>
      </c>
    </row>
    <row r="82" spans="1:33" x14ac:dyDescent="0.2">
      <c r="A82" s="8"/>
      <c r="B82" s="8"/>
      <c r="C82" s="4" t="str">
        <f>$C$79&amp;" - "&amp;C16</f>
        <v>Annualised capex - PCK Stage 1</v>
      </c>
      <c r="D82" s="38"/>
      <c r="F82" s="97"/>
      <c r="G82" s="214">
        <f>input_dollars</f>
        <v>45291</v>
      </c>
      <c r="H82" s="31"/>
      <c r="I82" s="119">
        <f t="shared" si="7"/>
        <v>0</v>
      </c>
      <c r="J82" s="119">
        <f t="shared" si="8"/>
        <v>0</v>
      </c>
      <c r="K82" s="119">
        <f t="shared" si="9"/>
        <v>-230579.95444128313</v>
      </c>
      <c r="L82" s="119">
        <f t="shared" si="10"/>
        <v>-1260718.4938142959</v>
      </c>
      <c r="M82" s="119">
        <f t="shared" si="11"/>
        <v>-2203800.0001445925</v>
      </c>
      <c r="N82" s="119">
        <f t="shared" si="12"/>
        <v>-2203800.0001445925</v>
      </c>
      <c r="O82" s="119">
        <f t="shared" si="13"/>
        <v>-2203800.0001445925</v>
      </c>
      <c r="P82" s="119">
        <f t="shared" si="14"/>
        <v>-2203800.0001445925</v>
      </c>
      <c r="Q82" s="119">
        <f t="shared" si="15"/>
        <v>-2203800.0001445925</v>
      </c>
      <c r="R82" s="119">
        <f t="shared" si="16"/>
        <v>-2203800.0001445925</v>
      </c>
      <c r="S82" s="119">
        <f t="shared" si="17"/>
        <v>-2648298.2176224669</v>
      </c>
      <c r="T82" s="119">
        <f t="shared" si="18"/>
        <v>-2648298.2176224669</v>
      </c>
      <c r="U82" s="119">
        <f t="shared" si="19"/>
        <v>-2648298.2176224669</v>
      </c>
      <c r="V82" s="119">
        <f t="shared" si="20"/>
        <v>-2648298.2176224669</v>
      </c>
      <c r="W82" s="119">
        <f t="shared" si="21"/>
        <v>-2648298.2176224669</v>
      </c>
      <c r="X82" s="119">
        <f t="shared" si="22"/>
        <v>-2648298.2176224669</v>
      </c>
      <c r="Y82" s="119">
        <f t="shared" si="23"/>
        <v>-2648298.2176224669</v>
      </c>
      <c r="Z82" s="119">
        <f t="shared" si="24"/>
        <v>-2648298.2176224669</v>
      </c>
      <c r="AA82" s="119">
        <f t="shared" si="25"/>
        <v>-2648298.2176224669</v>
      </c>
      <c r="AB82" s="119">
        <f t="shared" si="26"/>
        <v>-2648298.2176224669</v>
      </c>
      <c r="AC82" s="119">
        <f t="shared" si="27"/>
        <v>-2648298.2176224669</v>
      </c>
      <c r="AD82" s="119">
        <f t="shared" si="28"/>
        <v>-2648298.2176224669</v>
      </c>
      <c r="AE82" s="119">
        <f t="shared" si="29"/>
        <v>-2648298.2176224669</v>
      </c>
      <c r="AF82" s="119">
        <f t="shared" si="30"/>
        <v>-2648298.2176224669</v>
      </c>
      <c r="AG82" s="119">
        <f t="shared" si="31"/>
        <v>-2648298.2176224669</v>
      </c>
    </row>
    <row r="83" spans="1:33" x14ac:dyDescent="0.2">
      <c r="A83" s="8"/>
      <c r="B83" s="8"/>
      <c r="C83" s="4" t="str">
        <f>$C$79&amp;" - "&amp;C17</f>
        <v xml:space="preserve">Annualised capex - </v>
      </c>
      <c r="D83" s="38"/>
      <c r="F83" s="97"/>
      <c r="G83" s="214">
        <f>input_dollars</f>
        <v>45291</v>
      </c>
      <c r="H83" s="31"/>
      <c r="I83" s="119">
        <f t="shared" si="7"/>
        <v>0</v>
      </c>
      <c r="J83" s="119">
        <f t="shared" si="8"/>
        <v>0</v>
      </c>
      <c r="K83" s="119">
        <f t="shared" si="9"/>
        <v>0</v>
      </c>
      <c r="L83" s="119">
        <f t="shared" si="10"/>
        <v>0</v>
      </c>
      <c r="M83" s="119">
        <f t="shared" si="11"/>
        <v>0</v>
      </c>
      <c r="N83" s="119">
        <f t="shared" si="12"/>
        <v>0</v>
      </c>
      <c r="O83" s="119">
        <f t="shared" si="13"/>
        <v>0</v>
      </c>
      <c r="P83" s="119">
        <f t="shared" si="14"/>
        <v>0</v>
      </c>
      <c r="Q83" s="119">
        <f t="shared" si="15"/>
        <v>0</v>
      </c>
      <c r="R83" s="119">
        <f t="shared" si="16"/>
        <v>0</v>
      </c>
      <c r="S83" s="119">
        <f t="shared" si="17"/>
        <v>0</v>
      </c>
      <c r="T83" s="119">
        <f t="shared" si="18"/>
        <v>0</v>
      </c>
      <c r="U83" s="119">
        <f t="shared" si="19"/>
        <v>0</v>
      </c>
      <c r="V83" s="119">
        <f t="shared" si="20"/>
        <v>0</v>
      </c>
      <c r="W83" s="119">
        <f t="shared" si="21"/>
        <v>0</v>
      </c>
      <c r="X83" s="119">
        <f t="shared" si="22"/>
        <v>0</v>
      </c>
      <c r="Y83" s="119">
        <f t="shared" si="23"/>
        <v>0</v>
      </c>
      <c r="Z83" s="119">
        <f t="shared" si="24"/>
        <v>0</v>
      </c>
      <c r="AA83" s="119">
        <f t="shared" si="25"/>
        <v>0</v>
      </c>
      <c r="AB83" s="119">
        <f t="shared" si="26"/>
        <v>0</v>
      </c>
      <c r="AC83" s="119">
        <f t="shared" si="27"/>
        <v>0</v>
      </c>
      <c r="AD83" s="119">
        <f t="shared" si="28"/>
        <v>0</v>
      </c>
      <c r="AE83" s="119">
        <f t="shared" si="29"/>
        <v>0</v>
      </c>
      <c r="AF83" s="119">
        <f t="shared" si="30"/>
        <v>0</v>
      </c>
      <c r="AG83" s="119">
        <f t="shared" si="31"/>
        <v>0</v>
      </c>
    </row>
    <row r="84" spans="1:33" x14ac:dyDescent="0.2">
      <c r="A84" s="8"/>
      <c r="B84" s="8"/>
      <c r="C84" s="176" t="s">
        <v>157</v>
      </c>
      <c r="D84" s="176"/>
      <c r="E84" s="177"/>
      <c r="F84" s="178"/>
      <c r="G84" s="219">
        <f>input_dollars</f>
        <v>45291</v>
      </c>
      <c r="H84" s="179"/>
      <c r="I84" s="180">
        <f>SUM(I80:I83)</f>
        <v>0</v>
      </c>
      <c r="J84" s="180">
        <f t="shared" ref="J84:AB84" si="32">SUM(J80:J83)</f>
        <v>-834915.45513830835</v>
      </c>
      <c r="K84" s="180">
        <f t="shared" si="32"/>
        <v>-1814316.4952948142</v>
      </c>
      <c r="L84" s="180">
        <f t="shared" si="32"/>
        <v>-3531071.6473204363</v>
      </c>
      <c r="M84" s="180">
        <f t="shared" si="32"/>
        <v>-4474153.1536507327</v>
      </c>
      <c r="N84" s="180">
        <f t="shared" si="32"/>
        <v>-4474153.1536507327</v>
      </c>
      <c r="O84" s="180">
        <f t="shared" si="32"/>
        <v>-4474153.1536507327</v>
      </c>
      <c r="P84" s="180">
        <f t="shared" si="32"/>
        <v>-4474153.1536507327</v>
      </c>
      <c r="Q84" s="180">
        <f t="shared" si="32"/>
        <v>-4474153.1536507327</v>
      </c>
      <c r="R84" s="180">
        <f t="shared" si="32"/>
        <v>-4474153.1536507327</v>
      </c>
      <c r="S84" s="180">
        <f t="shared" si="32"/>
        <v>-4918651.3711286075</v>
      </c>
      <c r="T84" s="180">
        <f t="shared" si="32"/>
        <v>-4918651.3711286075</v>
      </c>
      <c r="U84" s="180">
        <f t="shared" si="32"/>
        <v>-4918651.3711286075</v>
      </c>
      <c r="V84" s="180">
        <f t="shared" si="32"/>
        <v>-4918651.3711286075</v>
      </c>
      <c r="W84" s="180">
        <f t="shared" si="32"/>
        <v>-4918651.3711286075</v>
      </c>
      <c r="X84" s="180">
        <f t="shared" si="32"/>
        <v>-4918651.3711286075</v>
      </c>
      <c r="Y84" s="180">
        <f t="shared" si="32"/>
        <v>-4918651.3711286075</v>
      </c>
      <c r="Z84" s="180">
        <f t="shared" si="32"/>
        <v>-4918651.3711286075</v>
      </c>
      <c r="AA84" s="180">
        <f t="shared" si="32"/>
        <v>-4918651.3711286075</v>
      </c>
      <c r="AB84" s="180">
        <f t="shared" si="32"/>
        <v>-4918651.3711286075</v>
      </c>
      <c r="AC84" s="180">
        <f>SUM(AC80:AC83)</f>
        <v>-4918651.3711286075</v>
      </c>
      <c r="AD84" s="180">
        <f>SUM(AD80:AD83)</f>
        <v>-4918651.3711286075</v>
      </c>
      <c r="AE84" s="180">
        <f>SUM(AE80:AE83)</f>
        <v>-4918651.3711286075</v>
      </c>
      <c r="AF84" s="180">
        <f>SUM(AF80:AF83)</f>
        <v>-4918651.3711286075</v>
      </c>
      <c r="AG84" s="180">
        <f>SUM(AG80:AG83)</f>
        <v>-4918651.3711286075</v>
      </c>
    </row>
    <row r="85" spans="1:33" x14ac:dyDescent="0.2">
      <c r="A85" s="8"/>
      <c r="B85" s="8"/>
      <c r="C85" s="75"/>
      <c r="D85" s="38"/>
      <c r="F85"/>
      <c r="G85" s="220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">
      <c r="A86" s="8"/>
      <c r="B86" s="8"/>
      <c r="C86" s="4" t="s">
        <v>91</v>
      </c>
      <c r="D86" s="38"/>
      <c r="F86" s="97"/>
      <c r="G86" s="214">
        <f t="shared" ref="G86:G91" si="33">input_dollars</f>
        <v>45291</v>
      </c>
      <c r="H86" s="31"/>
      <c r="I86" s="119">
        <f>I84</f>
        <v>0</v>
      </c>
      <c r="J86" s="119">
        <f t="shared" ref="J86:AB86" si="34">J84</f>
        <v>-834915.45513830835</v>
      </c>
      <c r="K86" s="119">
        <f t="shared" si="34"/>
        <v>-1814316.4952948142</v>
      </c>
      <c r="L86" s="119">
        <f t="shared" si="34"/>
        <v>-3531071.6473204363</v>
      </c>
      <c r="M86" s="119">
        <f t="shared" si="34"/>
        <v>-4474153.1536507327</v>
      </c>
      <c r="N86" s="119">
        <f t="shared" si="34"/>
        <v>-4474153.1536507327</v>
      </c>
      <c r="O86" s="119">
        <f t="shared" si="34"/>
        <v>-4474153.1536507327</v>
      </c>
      <c r="P86" s="119">
        <f t="shared" si="34"/>
        <v>-4474153.1536507327</v>
      </c>
      <c r="Q86" s="119">
        <f t="shared" si="34"/>
        <v>-4474153.1536507327</v>
      </c>
      <c r="R86" s="119">
        <f t="shared" si="34"/>
        <v>-4474153.1536507327</v>
      </c>
      <c r="S86" s="119">
        <f t="shared" si="34"/>
        <v>-4918651.3711286075</v>
      </c>
      <c r="T86" s="119">
        <f t="shared" si="34"/>
        <v>-4918651.3711286075</v>
      </c>
      <c r="U86" s="119">
        <f t="shared" si="34"/>
        <v>-4918651.3711286075</v>
      </c>
      <c r="V86" s="119">
        <f t="shared" si="34"/>
        <v>-4918651.3711286075</v>
      </c>
      <c r="W86" s="119">
        <f t="shared" si="34"/>
        <v>-4918651.3711286075</v>
      </c>
      <c r="X86" s="119">
        <f t="shared" si="34"/>
        <v>-4918651.3711286075</v>
      </c>
      <c r="Y86" s="119">
        <f t="shared" si="34"/>
        <v>-4918651.3711286075</v>
      </c>
      <c r="Z86" s="119">
        <f t="shared" si="34"/>
        <v>-4918651.3711286075</v>
      </c>
      <c r="AA86" s="119">
        <f t="shared" si="34"/>
        <v>-4918651.3711286075</v>
      </c>
      <c r="AB86" s="119">
        <f t="shared" si="34"/>
        <v>-4918651.3711286075</v>
      </c>
      <c r="AC86" s="119">
        <f>AC84</f>
        <v>-4918651.3711286075</v>
      </c>
      <c r="AD86" s="119">
        <f>AD84</f>
        <v>-4918651.3711286075</v>
      </c>
      <c r="AE86" s="119">
        <f>AE84</f>
        <v>-4918651.3711286075</v>
      </c>
      <c r="AF86" s="119">
        <f>AF84</f>
        <v>-4918651.3711286075</v>
      </c>
      <c r="AG86" s="119">
        <f>AG84</f>
        <v>-4918651.3711286075</v>
      </c>
    </row>
    <row r="87" spans="1:33" x14ac:dyDescent="0.2">
      <c r="A87" s="8"/>
      <c r="B87" s="8"/>
      <c r="C87" s="4" t="s">
        <v>31</v>
      </c>
      <c r="D87" s="38"/>
      <c r="F87" s="97"/>
      <c r="G87" s="214">
        <f t="shared" si="33"/>
        <v>45291</v>
      </c>
      <c r="H87" s="31"/>
      <c r="I87" s="31">
        <f t="shared" ref="I87:AG87" si="35">-I20</f>
        <v>0</v>
      </c>
      <c r="J87" s="31">
        <f t="shared" si="35"/>
        <v>0</v>
      </c>
      <c r="K87" s="31">
        <f t="shared" si="35"/>
        <v>0</v>
      </c>
      <c r="L87" s="31">
        <f t="shared" si="35"/>
        <v>0</v>
      </c>
      <c r="M87" s="31">
        <f t="shared" si="35"/>
        <v>0</v>
      </c>
      <c r="N87" s="31">
        <f t="shared" si="35"/>
        <v>0</v>
      </c>
      <c r="O87" s="31">
        <f t="shared" si="35"/>
        <v>0</v>
      </c>
      <c r="P87" s="31">
        <f t="shared" si="35"/>
        <v>0</v>
      </c>
      <c r="Q87" s="31">
        <f t="shared" si="35"/>
        <v>0</v>
      </c>
      <c r="R87" s="31">
        <f t="shared" si="35"/>
        <v>0</v>
      </c>
      <c r="S87" s="31">
        <f t="shared" si="35"/>
        <v>0</v>
      </c>
      <c r="T87" s="31">
        <f t="shared" si="35"/>
        <v>0</v>
      </c>
      <c r="U87" s="31">
        <f t="shared" si="35"/>
        <v>0</v>
      </c>
      <c r="V87" s="31">
        <f t="shared" si="35"/>
        <v>0</v>
      </c>
      <c r="W87" s="31">
        <f t="shared" si="35"/>
        <v>0</v>
      </c>
      <c r="X87" s="31">
        <f t="shared" si="35"/>
        <v>0</v>
      </c>
      <c r="Y87" s="31">
        <f t="shared" si="35"/>
        <v>0</v>
      </c>
      <c r="Z87" s="31">
        <f t="shared" si="35"/>
        <v>0</v>
      </c>
      <c r="AA87" s="31">
        <f t="shared" si="35"/>
        <v>0</v>
      </c>
      <c r="AB87" s="31">
        <f t="shared" si="35"/>
        <v>0</v>
      </c>
      <c r="AC87" s="31">
        <f t="shared" si="35"/>
        <v>0</v>
      </c>
      <c r="AD87" s="31">
        <f t="shared" si="35"/>
        <v>0</v>
      </c>
      <c r="AE87" s="31">
        <f t="shared" si="35"/>
        <v>0</v>
      </c>
      <c r="AF87" s="31">
        <f t="shared" si="35"/>
        <v>0</v>
      </c>
      <c r="AG87" s="31">
        <f t="shared" si="35"/>
        <v>0</v>
      </c>
    </row>
    <row r="88" spans="1:33" x14ac:dyDescent="0.2">
      <c r="A88" s="8"/>
      <c r="B88" s="8"/>
      <c r="C88" s="4" t="s">
        <v>140</v>
      </c>
      <c r="D88" s="38"/>
      <c r="F88" s="97"/>
      <c r="G88" s="214">
        <f t="shared" si="33"/>
        <v>45291</v>
      </c>
      <c r="H88" s="31"/>
      <c r="I88" s="31">
        <f>I65</f>
        <v>0</v>
      </c>
      <c r="J88" s="31">
        <f t="shared" ref="J88:AB88" si="36">J65</f>
        <v>8068753.4449888254</v>
      </c>
      <c r="K88" s="31">
        <f t="shared" si="36"/>
        <v>9552062.6512675472</v>
      </c>
      <c r="L88" s="31">
        <f t="shared" si="36"/>
        <v>13775185.188423926</v>
      </c>
      <c r="M88" s="31">
        <f t="shared" si="36"/>
        <v>17927105.749037001</v>
      </c>
      <c r="N88" s="31">
        <f t="shared" si="36"/>
        <v>24511111.40627902</v>
      </c>
      <c r="O88" s="31">
        <f t="shared" si="36"/>
        <v>34960971.117101096</v>
      </c>
      <c r="P88" s="31">
        <f t="shared" si="36"/>
        <v>45936008.066067778</v>
      </c>
      <c r="Q88" s="31">
        <f t="shared" si="36"/>
        <v>58190606.431703173</v>
      </c>
      <c r="R88" s="31">
        <f t="shared" si="36"/>
        <v>58190606.431703173</v>
      </c>
      <c r="S88" s="31">
        <f t="shared" si="36"/>
        <v>58190606.431703173</v>
      </c>
      <c r="T88" s="31">
        <f t="shared" si="36"/>
        <v>58190606.431703173</v>
      </c>
      <c r="U88" s="31">
        <f t="shared" si="36"/>
        <v>58190606.431703173</v>
      </c>
      <c r="V88" s="31">
        <f t="shared" si="36"/>
        <v>58190606.431703173</v>
      </c>
      <c r="W88" s="31">
        <f t="shared" si="36"/>
        <v>58190606.431703173</v>
      </c>
      <c r="X88" s="31">
        <f t="shared" si="36"/>
        <v>58190606.431703173</v>
      </c>
      <c r="Y88" s="31">
        <f t="shared" si="36"/>
        <v>58190606.431703173</v>
      </c>
      <c r="Z88" s="31">
        <f t="shared" si="36"/>
        <v>58190606.431703173</v>
      </c>
      <c r="AA88" s="31">
        <f t="shared" si="36"/>
        <v>58190606.431703173</v>
      </c>
      <c r="AB88" s="31">
        <f t="shared" si="36"/>
        <v>58190606.431703173</v>
      </c>
      <c r="AC88" s="31">
        <f>AC65</f>
        <v>58190606.431703173</v>
      </c>
      <c r="AD88" s="31">
        <f>AD65</f>
        <v>58190606.431703173</v>
      </c>
      <c r="AE88" s="31">
        <f>AE65</f>
        <v>58190606.431703173</v>
      </c>
      <c r="AF88" s="31">
        <f>AF65</f>
        <v>58190606.431703173</v>
      </c>
      <c r="AG88" s="31">
        <f>AG65</f>
        <v>58190606.431703173</v>
      </c>
    </row>
    <row r="89" spans="1:33" x14ac:dyDescent="0.2">
      <c r="A89" s="8"/>
      <c r="B89" s="8"/>
      <c r="C89" s="4" t="s">
        <v>122</v>
      </c>
      <c r="D89" s="38"/>
      <c r="F89" s="97"/>
      <c r="G89" s="214">
        <f t="shared" si="33"/>
        <v>45291</v>
      </c>
      <c r="H89" s="31"/>
      <c r="I89" s="31">
        <f t="shared" ref="I89:AG89" si="37">I58</f>
        <v>0</v>
      </c>
      <c r="J89" s="31">
        <f t="shared" si="37"/>
        <v>0</v>
      </c>
      <c r="K89" s="31">
        <f t="shared" si="37"/>
        <v>0</v>
      </c>
      <c r="L89" s="31">
        <f t="shared" si="37"/>
        <v>0</v>
      </c>
      <c r="M89" s="31">
        <f t="shared" si="37"/>
        <v>0</v>
      </c>
      <c r="N89" s="31">
        <f t="shared" si="37"/>
        <v>0</v>
      </c>
      <c r="O89" s="31">
        <f t="shared" si="37"/>
        <v>0</v>
      </c>
      <c r="P89" s="31">
        <f t="shared" si="37"/>
        <v>0</v>
      </c>
      <c r="Q89" s="31">
        <f t="shared" si="37"/>
        <v>0</v>
      </c>
      <c r="R89" s="31">
        <f t="shared" si="37"/>
        <v>0</v>
      </c>
      <c r="S89" s="31">
        <f t="shared" si="37"/>
        <v>0</v>
      </c>
      <c r="T89" s="31">
        <f t="shared" si="37"/>
        <v>0</v>
      </c>
      <c r="U89" s="31">
        <f t="shared" si="37"/>
        <v>0</v>
      </c>
      <c r="V89" s="31">
        <f t="shared" si="37"/>
        <v>0</v>
      </c>
      <c r="W89" s="31">
        <f t="shared" si="37"/>
        <v>0</v>
      </c>
      <c r="X89" s="31">
        <f t="shared" si="37"/>
        <v>0</v>
      </c>
      <c r="Y89" s="31">
        <f t="shared" si="37"/>
        <v>0</v>
      </c>
      <c r="Z89" s="31">
        <f t="shared" si="37"/>
        <v>0</v>
      </c>
      <c r="AA89" s="31">
        <f t="shared" si="37"/>
        <v>0</v>
      </c>
      <c r="AB89" s="31">
        <f t="shared" si="37"/>
        <v>0</v>
      </c>
      <c r="AC89" s="31">
        <f t="shared" si="37"/>
        <v>0</v>
      </c>
      <c r="AD89" s="31">
        <f t="shared" si="37"/>
        <v>0</v>
      </c>
      <c r="AE89" s="31">
        <f t="shared" si="37"/>
        <v>0</v>
      </c>
      <c r="AF89" s="31">
        <f t="shared" si="37"/>
        <v>0</v>
      </c>
      <c r="AG89" s="31">
        <f t="shared" si="37"/>
        <v>0</v>
      </c>
    </row>
    <row r="90" spans="1:33" x14ac:dyDescent="0.2">
      <c r="A90" s="8"/>
      <c r="B90" s="8"/>
      <c r="C90" s="4"/>
      <c r="D90" s="38"/>
      <c r="F90" s="31"/>
      <c r="G90" s="21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x14ac:dyDescent="0.2">
      <c r="A91" s="8"/>
      <c r="B91" s="8"/>
      <c r="C91" s="181" t="s">
        <v>188</v>
      </c>
      <c r="D91" s="182"/>
      <c r="E91" s="177"/>
      <c r="F91" s="183"/>
      <c r="G91" s="219">
        <f t="shared" si="33"/>
        <v>45291</v>
      </c>
      <c r="H91" s="183"/>
      <c r="I91" s="183">
        <f t="shared" ref="I91:AB91" si="38">SUM(I86:I90)</f>
        <v>0</v>
      </c>
      <c r="J91" s="183">
        <f t="shared" si="38"/>
        <v>7233837.9898505174</v>
      </c>
      <c r="K91" s="183">
        <f t="shared" si="38"/>
        <v>7737746.1559727332</v>
      </c>
      <c r="L91" s="183">
        <f t="shared" si="38"/>
        <v>10244113.54110349</v>
      </c>
      <c r="M91" s="183">
        <f t="shared" si="38"/>
        <v>13452952.595386269</v>
      </c>
      <c r="N91" s="183">
        <f t="shared" si="38"/>
        <v>20036958.252628289</v>
      </c>
      <c r="O91" s="183">
        <f t="shared" si="38"/>
        <v>30486817.963450365</v>
      </c>
      <c r="P91" s="183">
        <f t="shared" si="38"/>
        <v>41461854.912417047</v>
      </c>
      <c r="Q91" s="183">
        <f t="shared" si="38"/>
        <v>53716453.278052442</v>
      </c>
      <c r="R91" s="183">
        <f t="shared" si="38"/>
        <v>53716453.278052442</v>
      </c>
      <c r="S91" s="183">
        <f t="shared" si="38"/>
        <v>53271955.060574561</v>
      </c>
      <c r="T91" s="183">
        <f t="shared" si="38"/>
        <v>53271955.060574561</v>
      </c>
      <c r="U91" s="183">
        <f t="shared" si="38"/>
        <v>53271955.060574561</v>
      </c>
      <c r="V91" s="183">
        <f t="shared" si="38"/>
        <v>53271955.060574561</v>
      </c>
      <c r="W91" s="183">
        <f t="shared" si="38"/>
        <v>53271955.060574561</v>
      </c>
      <c r="X91" s="183">
        <f t="shared" si="38"/>
        <v>53271955.060574561</v>
      </c>
      <c r="Y91" s="183">
        <f t="shared" si="38"/>
        <v>53271955.060574561</v>
      </c>
      <c r="Z91" s="183">
        <f t="shared" si="38"/>
        <v>53271955.060574561</v>
      </c>
      <c r="AA91" s="183">
        <f t="shared" si="38"/>
        <v>53271955.060574561</v>
      </c>
      <c r="AB91" s="183">
        <f t="shared" si="38"/>
        <v>53271955.060574561</v>
      </c>
      <c r="AC91" s="183">
        <f>SUM(AC86:AC90)</f>
        <v>53271955.060574561</v>
      </c>
      <c r="AD91" s="183">
        <f>SUM(AD86:AD90)</f>
        <v>53271955.060574561</v>
      </c>
      <c r="AE91" s="183">
        <f>SUM(AE86:AE90)</f>
        <v>53271955.060574561</v>
      </c>
      <c r="AF91" s="183">
        <f>SUM(AF86:AF90)</f>
        <v>53271955.060574561</v>
      </c>
      <c r="AG91" s="183">
        <f>SUM(AG86:AG90)</f>
        <v>53271955.060574561</v>
      </c>
    </row>
    <row r="92" spans="1:33" x14ac:dyDescent="0.2">
      <c r="A92" s="8"/>
      <c r="B92" s="8"/>
      <c r="C92" s="75"/>
      <c r="D92" s="141"/>
      <c r="E92" s="64"/>
      <c r="F92" s="144"/>
      <c r="G92" s="221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</row>
    <row r="93" spans="1:33" x14ac:dyDescent="0.2">
      <c r="A93" s="8"/>
      <c r="B93" s="8"/>
      <c r="C93" s="75"/>
      <c r="D93" s="141"/>
      <c r="E93" s="64"/>
      <c r="F93" s="144"/>
      <c r="G93" s="221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</row>
    <row r="94" spans="1:33" x14ac:dyDescent="0.2">
      <c r="A94" s="8"/>
      <c r="B94" s="8"/>
      <c r="C94" s="234" t="s">
        <v>198</v>
      </c>
      <c r="D94" s="82"/>
      <c r="E94" s="235"/>
      <c r="F94" s="236"/>
      <c r="G94" s="237" cm="1">
        <f t="array" ref="G94">IF(SUM($I18:$AG18)=0,0,(INDEX(I$6:AG$6,MATCH(TRUE,INDEX($I18:$AG18&lt;&gt;0,),0))))</f>
        <v>1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x14ac:dyDescent="0.2">
      <c r="C95" s="82"/>
      <c r="D95" s="238"/>
      <c r="E95" s="235"/>
      <c r="F95" s="235"/>
      <c r="G95" s="237"/>
    </row>
    <row r="96" spans="1:33" x14ac:dyDescent="0.2">
      <c r="C96" s="239" t="s">
        <v>193</v>
      </c>
      <c r="D96" s="240"/>
      <c r="E96" s="240"/>
      <c r="F96" s="240"/>
      <c r="G96" s="241">
        <f>IF(_xlfn.MINIFS($G$94:$G$95, $G$94:$G$95, "&gt;"&amp;0)=0, $A$4, _xlfn.MINIFS($G$94:$G$95, $G$94:$G$95, "&gt;"&amp;0))</f>
        <v>1</v>
      </c>
    </row>
    <row r="98" spans="1:43" x14ac:dyDescent="0.2">
      <c r="G98" s="12"/>
    </row>
    <row r="106" spans="1:43" ht="15" x14ac:dyDescent="0.2">
      <c r="A106" s="89" t="s">
        <v>216</v>
      </c>
      <c r="B106" s="89"/>
      <c r="C106" s="89"/>
      <c r="D106" s="89"/>
      <c r="E106" s="89"/>
      <c r="F106" s="89"/>
      <c r="G106" s="208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/>
      <c r="AI106"/>
      <c r="AJ106"/>
      <c r="AK106"/>
      <c r="AL106"/>
      <c r="AM106"/>
      <c r="AN106"/>
      <c r="AO106"/>
      <c r="AP106"/>
      <c r="AQ106"/>
    </row>
    <row r="108" spans="1:43" x14ac:dyDescent="0.2"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</row>
    <row r="109" spans="1:43" x14ac:dyDescent="0.2"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">
        <v>119</v>
      </c>
      <c r="C110" s="1" t="s">
        <v>188</v>
      </c>
      <c r="D110"/>
      <c r="E110"/>
      <c r="F110"/>
      <c r="G110" s="38" t="str">
        <f>PROPER($A$3)&amp;A110</f>
        <v>Option 4NPV</v>
      </c>
      <c r="I110" s="31">
        <f>I91</f>
        <v>0</v>
      </c>
      <c r="J110" s="31">
        <f t="shared" ref="J110:AG110" si="39">J91</f>
        <v>7233837.9898505174</v>
      </c>
      <c r="K110" s="31">
        <f t="shared" si="39"/>
        <v>7737746.1559727332</v>
      </c>
      <c r="L110" s="31">
        <f t="shared" si="39"/>
        <v>10244113.54110349</v>
      </c>
      <c r="M110" s="31">
        <f t="shared" si="39"/>
        <v>13452952.595386269</v>
      </c>
      <c r="N110" s="31">
        <f t="shared" si="39"/>
        <v>20036958.252628289</v>
      </c>
      <c r="O110" s="31">
        <f t="shared" si="39"/>
        <v>30486817.963450365</v>
      </c>
      <c r="P110" s="31">
        <f t="shared" si="39"/>
        <v>41461854.912417047</v>
      </c>
      <c r="Q110" s="31">
        <f t="shared" si="39"/>
        <v>53716453.278052442</v>
      </c>
      <c r="R110" s="31">
        <f t="shared" si="39"/>
        <v>53716453.278052442</v>
      </c>
      <c r="S110" s="31">
        <f t="shared" si="39"/>
        <v>53271955.060574561</v>
      </c>
      <c r="T110" s="31">
        <f t="shared" si="39"/>
        <v>53271955.060574561</v>
      </c>
      <c r="U110" s="31">
        <f t="shared" si="39"/>
        <v>53271955.060574561</v>
      </c>
      <c r="V110" s="31">
        <f t="shared" si="39"/>
        <v>53271955.060574561</v>
      </c>
      <c r="W110" s="31">
        <f t="shared" si="39"/>
        <v>53271955.060574561</v>
      </c>
      <c r="X110" s="31">
        <f t="shared" si="39"/>
        <v>53271955.060574561</v>
      </c>
      <c r="Y110" s="31">
        <f t="shared" si="39"/>
        <v>53271955.060574561</v>
      </c>
      <c r="Z110" s="31">
        <f t="shared" si="39"/>
        <v>53271955.060574561</v>
      </c>
      <c r="AA110" s="31">
        <f t="shared" si="39"/>
        <v>53271955.060574561</v>
      </c>
      <c r="AB110" s="31">
        <f t="shared" si="39"/>
        <v>53271955.060574561</v>
      </c>
      <c r="AC110" s="31">
        <f t="shared" si="39"/>
        <v>53271955.060574561</v>
      </c>
      <c r="AD110" s="31">
        <f t="shared" si="39"/>
        <v>53271955.060574561</v>
      </c>
      <c r="AE110" s="31">
        <f t="shared" si="39"/>
        <v>53271955.060574561</v>
      </c>
      <c r="AF110" s="31">
        <f t="shared" si="39"/>
        <v>53271955.060574561</v>
      </c>
      <c r="AG110" s="31">
        <f t="shared" si="39"/>
        <v>53271955.060574561</v>
      </c>
    </row>
    <row r="111" spans="1:43" x14ac:dyDescent="0.2">
      <c r="C111" s="1" t="s">
        <v>157</v>
      </c>
      <c r="D111"/>
      <c r="E111"/>
      <c r="F111"/>
      <c r="G111"/>
      <c r="I111" s="31">
        <f>I86</f>
        <v>0</v>
      </c>
      <c r="J111" s="31">
        <f t="shared" ref="J111:AG111" si="40">J86</f>
        <v>-834915.45513830835</v>
      </c>
      <c r="K111" s="31">
        <f t="shared" si="40"/>
        <v>-1814316.4952948142</v>
      </c>
      <c r="L111" s="31">
        <f t="shared" si="40"/>
        <v>-3531071.6473204363</v>
      </c>
      <c r="M111" s="31">
        <f t="shared" si="40"/>
        <v>-4474153.1536507327</v>
      </c>
      <c r="N111" s="31">
        <f t="shared" si="40"/>
        <v>-4474153.1536507327</v>
      </c>
      <c r="O111" s="31">
        <f t="shared" si="40"/>
        <v>-4474153.1536507327</v>
      </c>
      <c r="P111" s="31">
        <f t="shared" si="40"/>
        <v>-4474153.1536507327</v>
      </c>
      <c r="Q111" s="31">
        <f t="shared" si="40"/>
        <v>-4474153.1536507327</v>
      </c>
      <c r="R111" s="31">
        <f t="shared" si="40"/>
        <v>-4474153.1536507327</v>
      </c>
      <c r="S111" s="31">
        <f t="shared" si="40"/>
        <v>-4918651.3711286075</v>
      </c>
      <c r="T111" s="31">
        <f t="shared" si="40"/>
        <v>-4918651.3711286075</v>
      </c>
      <c r="U111" s="31">
        <f t="shared" si="40"/>
        <v>-4918651.3711286075</v>
      </c>
      <c r="V111" s="31">
        <f t="shared" si="40"/>
        <v>-4918651.3711286075</v>
      </c>
      <c r="W111" s="31">
        <f t="shared" si="40"/>
        <v>-4918651.3711286075</v>
      </c>
      <c r="X111" s="31">
        <f t="shared" si="40"/>
        <v>-4918651.3711286075</v>
      </c>
      <c r="Y111" s="31">
        <f t="shared" si="40"/>
        <v>-4918651.3711286075</v>
      </c>
      <c r="Z111" s="31">
        <f t="shared" si="40"/>
        <v>-4918651.3711286075</v>
      </c>
      <c r="AA111" s="31">
        <f t="shared" si="40"/>
        <v>-4918651.3711286075</v>
      </c>
      <c r="AB111" s="31">
        <f t="shared" si="40"/>
        <v>-4918651.3711286075</v>
      </c>
      <c r="AC111" s="31">
        <f t="shared" si="40"/>
        <v>-4918651.3711286075</v>
      </c>
      <c r="AD111" s="31">
        <f t="shared" si="40"/>
        <v>-4918651.3711286075</v>
      </c>
      <c r="AE111" s="31">
        <f t="shared" si="40"/>
        <v>-4918651.3711286075</v>
      </c>
      <c r="AF111" s="31">
        <f t="shared" si="40"/>
        <v>-4918651.3711286075</v>
      </c>
      <c r="AG111" s="31">
        <f t="shared" si="40"/>
        <v>-4918651.3711286075</v>
      </c>
    </row>
    <row r="112" spans="1:43" x14ac:dyDescent="0.2">
      <c r="C112" s="1" t="s">
        <v>241</v>
      </c>
      <c r="D112"/>
      <c r="E112"/>
      <c r="F112"/>
      <c r="G112"/>
      <c r="I112" s="31">
        <f>SUM(I88:I89)</f>
        <v>0</v>
      </c>
      <c r="J112" s="31">
        <f t="shared" ref="J112:AG112" si="41">SUM(J88:J89)</f>
        <v>8068753.4449888254</v>
      </c>
      <c r="K112" s="31">
        <f t="shared" si="41"/>
        <v>9552062.6512675472</v>
      </c>
      <c r="L112" s="31">
        <f t="shared" si="41"/>
        <v>13775185.188423926</v>
      </c>
      <c r="M112" s="31">
        <f t="shared" si="41"/>
        <v>17927105.749037001</v>
      </c>
      <c r="N112" s="31">
        <f t="shared" si="41"/>
        <v>24511111.40627902</v>
      </c>
      <c r="O112" s="31">
        <f t="shared" si="41"/>
        <v>34960971.117101096</v>
      </c>
      <c r="P112" s="31">
        <f t="shared" si="41"/>
        <v>45936008.066067778</v>
      </c>
      <c r="Q112" s="31">
        <f t="shared" si="41"/>
        <v>58190606.431703173</v>
      </c>
      <c r="R112" s="31">
        <f t="shared" si="41"/>
        <v>58190606.431703173</v>
      </c>
      <c r="S112" s="31">
        <f t="shared" si="41"/>
        <v>58190606.431703173</v>
      </c>
      <c r="T112" s="31">
        <f t="shared" si="41"/>
        <v>58190606.431703173</v>
      </c>
      <c r="U112" s="31">
        <f t="shared" si="41"/>
        <v>58190606.431703173</v>
      </c>
      <c r="V112" s="31">
        <f t="shared" si="41"/>
        <v>58190606.431703173</v>
      </c>
      <c r="W112" s="31">
        <f t="shared" si="41"/>
        <v>58190606.431703173</v>
      </c>
      <c r="X112" s="31">
        <f t="shared" si="41"/>
        <v>58190606.431703173</v>
      </c>
      <c r="Y112" s="31">
        <f t="shared" si="41"/>
        <v>58190606.431703173</v>
      </c>
      <c r="Z112" s="31">
        <f t="shared" si="41"/>
        <v>58190606.431703173</v>
      </c>
      <c r="AA112" s="31">
        <f t="shared" si="41"/>
        <v>58190606.431703173</v>
      </c>
      <c r="AB112" s="31">
        <f t="shared" si="41"/>
        <v>58190606.431703173</v>
      </c>
      <c r="AC112" s="31">
        <f t="shared" si="41"/>
        <v>58190606.431703173</v>
      </c>
      <c r="AD112" s="31">
        <f t="shared" si="41"/>
        <v>58190606.431703173</v>
      </c>
      <c r="AE112" s="31">
        <f t="shared" si="41"/>
        <v>58190606.431703173</v>
      </c>
      <c r="AF112" s="31">
        <f t="shared" si="41"/>
        <v>58190606.431703173</v>
      </c>
      <c r="AG112" s="31">
        <f t="shared" si="41"/>
        <v>58190606.431703173</v>
      </c>
    </row>
    <row r="113" spans="1:33" x14ac:dyDescent="0.2">
      <c r="D113" s="306" t="str">
        <f>Assumptions!G110</f>
        <v>Capex</v>
      </c>
      <c r="E113" s="306" t="str">
        <f>Assumptions!H110</f>
        <v>Total benefits</v>
      </c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</row>
    <row r="114" spans="1:33" x14ac:dyDescent="0.2">
      <c r="A114" s="1" t="str">
        <f>"sens"&amp;Assumptions!B111</f>
        <v>sens1</v>
      </c>
      <c r="C114" s="305" t="str">
        <f>Assumptions!C111</f>
        <v>Capex 10% higher</v>
      </c>
      <c r="D114" s="306">
        <f>Assumptions!G111</f>
        <v>0.1</v>
      </c>
      <c r="E114" s="306">
        <f>Assumptions!H111</f>
        <v>0</v>
      </c>
      <c r="G114" s="38" t="str">
        <f>PROPER($A$3)&amp;A114</f>
        <v>Option 4sens1</v>
      </c>
      <c r="I114" s="31" cm="1">
        <f t="array" ref="I114">I$110+IF($C114&lt;&gt;0,SUMPRODUCT((I$111:I$112)*TRANSPOSE(($D114:$E114))),0)</f>
        <v>0</v>
      </c>
      <c r="J114" s="31" cm="1">
        <f t="array" ref="J114">J$110+IF($C114&lt;&gt;0,SUMPRODUCT((J$111:J$112)*TRANSPOSE(($D114:$E114))),0)</f>
        <v>7150346.4443366863</v>
      </c>
      <c r="K114" s="31" cm="1">
        <f t="array" ref="K114">K$110+IF($C114&lt;&gt;0,SUMPRODUCT((K$111:K$112)*TRANSPOSE(($D114:$E114))),0)</f>
        <v>7556314.5064432519</v>
      </c>
      <c r="L114" s="31" cm="1">
        <f t="array" ref="L114">L$110+IF($C114&lt;&gt;0,SUMPRODUCT((L$111:L$112)*TRANSPOSE(($D114:$E114))),0)</f>
        <v>9891006.376371447</v>
      </c>
      <c r="M114" s="31" cm="1">
        <f t="array" ref="M114">M$110+IF($C114&lt;&gt;0,SUMPRODUCT((M$111:M$112)*TRANSPOSE(($D114:$E114))),0)</f>
        <v>13005537.280021194</v>
      </c>
      <c r="N114" s="31" cm="1">
        <f t="array" ref="N114">N$110+IF($C114&lt;&gt;0,SUMPRODUCT((N$111:N$112)*TRANSPOSE(($D114:$E114))),0)</f>
        <v>19589542.937263217</v>
      </c>
      <c r="O114" s="31" cm="1">
        <f t="array" ref="O114">O$110+IF($C114&lt;&gt;0,SUMPRODUCT((O$111:O$112)*TRANSPOSE(($D114:$E114))),0)</f>
        <v>30039402.648085292</v>
      </c>
      <c r="P114" s="31" cm="1">
        <f t="array" ref="P114">P$110+IF($C114&lt;&gt;0,SUMPRODUCT((P$111:P$112)*TRANSPOSE(($D114:$E114))),0)</f>
        <v>41014439.597051971</v>
      </c>
      <c r="Q114" s="31" cm="1">
        <f t="array" ref="Q114">Q$110+IF($C114&lt;&gt;0,SUMPRODUCT((Q$111:Q$112)*TRANSPOSE(($D114:$E114))),0)</f>
        <v>53269037.962687366</v>
      </c>
      <c r="R114" s="31" cm="1">
        <f t="array" ref="R114">R$110+IF($C114&lt;&gt;0,SUMPRODUCT((R$111:R$112)*TRANSPOSE(($D114:$E114))),0)</f>
        <v>53269037.962687366</v>
      </c>
      <c r="S114" s="31" cm="1">
        <f t="array" ref="S114">S$110+IF($C114&lt;&gt;0,SUMPRODUCT((S$111:S$112)*TRANSPOSE(($D114:$E114))),0)</f>
        <v>52780089.923461698</v>
      </c>
      <c r="T114" s="31" cm="1">
        <f t="array" ref="T114">T$110+IF($C114&lt;&gt;0,SUMPRODUCT((T$111:T$112)*TRANSPOSE(($D114:$E114))),0)</f>
        <v>52780089.923461698</v>
      </c>
      <c r="U114" s="31" cm="1">
        <f t="array" ref="U114">U$110+IF($C114&lt;&gt;0,SUMPRODUCT((U$111:U$112)*TRANSPOSE(($D114:$E114))),0)</f>
        <v>52780089.923461698</v>
      </c>
      <c r="V114" s="31" cm="1">
        <f t="array" ref="V114">V$110+IF($C114&lt;&gt;0,SUMPRODUCT((V$111:V$112)*TRANSPOSE(($D114:$E114))),0)</f>
        <v>52780089.923461698</v>
      </c>
      <c r="W114" s="31" cm="1">
        <f t="array" ref="W114">W$110+IF($C114&lt;&gt;0,SUMPRODUCT((W$111:W$112)*TRANSPOSE(($D114:$E114))),0)</f>
        <v>52780089.923461698</v>
      </c>
      <c r="X114" s="31" cm="1">
        <f t="array" ref="X114">X$110+IF($C114&lt;&gt;0,SUMPRODUCT((X$111:X$112)*TRANSPOSE(($D114:$E114))),0)</f>
        <v>52780089.923461698</v>
      </c>
      <c r="Y114" s="31" cm="1">
        <f t="array" ref="Y114">Y$110+IF($C114&lt;&gt;0,SUMPRODUCT((Y$111:Y$112)*TRANSPOSE(($D114:$E114))),0)</f>
        <v>52780089.923461698</v>
      </c>
      <c r="Z114" s="31" cm="1">
        <f t="array" ref="Z114">Z$110+IF($C114&lt;&gt;0,SUMPRODUCT((Z$111:Z$112)*TRANSPOSE(($D114:$E114))),0)</f>
        <v>52780089.923461698</v>
      </c>
      <c r="AA114" s="31" cm="1">
        <f t="array" ref="AA114">AA$110+IF($C114&lt;&gt;0,SUMPRODUCT((AA$111:AA$112)*TRANSPOSE(($D114:$E114))),0)</f>
        <v>52780089.923461698</v>
      </c>
      <c r="AB114" s="31" cm="1">
        <f t="array" ref="AB114">AB$110+IF($C114&lt;&gt;0,SUMPRODUCT((AB$111:AB$112)*TRANSPOSE(($D114:$E114))),0)</f>
        <v>52780089.923461698</v>
      </c>
      <c r="AC114" s="31" cm="1">
        <f t="array" ref="AC114">AC$110+IF($C114&lt;&gt;0,SUMPRODUCT((AC$111:AC$112)*TRANSPOSE(($D114:$E114))),0)</f>
        <v>52780089.923461698</v>
      </c>
      <c r="AD114" s="31" cm="1">
        <f t="array" ref="AD114">AD$110+IF($C114&lt;&gt;0,SUMPRODUCT((AD$111:AD$112)*TRANSPOSE(($D114:$E114))),0)</f>
        <v>52780089.923461698</v>
      </c>
      <c r="AE114" s="31" cm="1">
        <f t="array" ref="AE114">AE$110+IF($C114&lt;&gt;0,SUMPRODUCT((AE$111:AE$112)*TRANSPOSE(($D114:$E114))),0)</f>
        <v>52780089.923461698</v>
      </c>
      <c r="AF114" s="31" cm="1">
        <f t="array" ref="AF114">AF$110+IF($C114&lt;&gt;0,SUMPRODUCT((AF$111:AF$112)*TRANSPOSE(($D114:$E114))),0)</f>
        <v>52780089.923461698</v>
      </c>
      <c r="AG114" s="31" cm="1">
        <f t="array" ref="AG114">AG$110+IF($C114&lt;&gt;0,SUMPRODUCT((AG$111:AG$112)*TRANSPOSE(($D114:$E114))),0)</f>
        <v>52780089.923461698</v>
      </c>
    </row>
    <row r="115" spans="1:33" x14ac:dyDescent="0.2">
      <c r="A115" s="1" t="str">
        <f>"sens"&amp;Assumptions!B112</f>
        <v>sens2</v>
      </c>
      <c r="C115" s="305" t="str">
        <f>Assumptions!C112</f>
        <v>Capex 10% lower</v>
      </c>
      <c r="D115" s="306">
        <f>Assumptions!G112</f>
        <v>-0.1</v>
      </c>
      <c r="E115" s="306">
        <f>Assumptions!H112</f>
        <v>0</v>
      </c>
      <c r="G115" s="38" t="str">
        <f t="shared" ref="G115:G121" si="42">PROPER($A$3)&amp;A115</f>
        <v>Option 4sens2</v>
      </c>
      <c r="I115" s="31" cm="1">
        <f t="array" ref="I115">I$110+IF($C115&lt;&gt;0,SUMPRODUCT((I$111:I$112)*TRANSPOSE(($D115:$E115))),0)</f>
        <v>0</v>
      </c>
      <c r="J115" s="31" cm="1">
        <f t="array" ref="J115">J$110+IF($C115&lt;&gt;0,SUMPRODUCT((J$111:J$112)*TRANSPOSE(($D115:$E115))),0)</f>
        <v>7317329.5353643484</v>
      </c>
      <c r="K115" s="31" cm="1">
        <f t="array" ref="K115">K$110+IF($C115&lt;&gt;0,SUMPRODUCT((K$111:K$112)*TRANSPOSE(($D115:$E115))),0)</f>
        <v>7919177.8055022145</v>
      </c>
      <c r="L115" s="31" cm="1">
        <f t="array" ref="L115">L$110+IF($C115&lt;&gt;0,SUMPRODUCT((L$111:L$112)*TRANSPOSE(($D115:$E115))),0)</f>
        <v>10597220.705835532</v>
      </c>
      <c r="M115" s="31" cm="1">
        <f t="array" ref="M115">M$110+IF($C115&lt;&gt;0,SUMPRODUCT((M$111:M$112)*TRANSPOSE(($D115:$E115))),0)</f>
        <v>13900367.910751343</v>
      </c>
      <c r="N115" s="31" cm="1">
        <f t="array" ref="N115">N$110+IF($C115&lt;&gt;0,SUMPRODUCT((N$111:N$112)*TRANSPOSE(($D115:$E115))),0)</f>
        <v>20484373.567993362</v>
      </c>
      <c r="O115" s="31" cm="1">
        <f t="array" ref="O115">O$110+IF($C115&lt;&gt;0,SUMPRODUCT((O$111:O$112)*TRANSPOSE(($D115:$E115))),0)</f>
        <v>30934233.278815437</v>
      </c>
      <c r="P115" s="31" cm="1">
        <f t="array" ref="P115">P$110+IF($C115&lt;&gt;0,SUMPRODUCT((P$111:P$112)*TRANSPOSE(($D115:$E115))),0)</f>
        <v>41909270.227782123</v>
      </c>
      <c r="Q115" s="31" cm="1">
        <f t="array" ref="Q115">Q$110+IF($C115&lt;&gt;0,SUMPRODUCT((Q$111:Q$112)*TRANSPOSE(($D115:$E115))),0)</f>
        <v>54163868.593417518</v>
      </c>
      <c r="R115" s="31" cm="1">
        <f t="array" ref="R115">R$110+IF($C115&lt;&gt;0,SUMPRODUCT((R$111:R$112)*TRANSPOSE(($D115:$E115))),0)</f>
        <v>54163868.593417518</v>
      </c>
      <c r="S115" s="31" cm="1">
        <f t="array" ref="S115">S$110+IF($C115&lt;&gt;0,SUMPRODUCT((S$111:S$112)*TRANSPOSE(($D115:$E115))),0)</f>
        <v>53763820.197687425</v>
      </c>
      <c r="T115" s="31" cm="1">
        <f t="array" ref="T115">T$110+IF($C115&lt;&gt;0,SUMPRODUCT((T$111:T$112)*TRANSPOSE(($D115:$E115))),0)</f>
        <v>53763820.197687425</v>
      </c>
      <c r="U115" s="31" cm="1">
        <f t="array" ref="U115">U$110+IF($C115&lt;&gt;0,SUMPRODUCT((U$111:U$112)*TRANSPOSE(($D115:$E115))),0)</f>
        <v>53763820.197687425</v>
      </c>
      <c r="V115" s="31" cm="1">
        <f t="array" ref="V115">V$110+IF($C115&lt;&gt;0,SUMPRODUCT((V$111:V$112)*TRANSPOSE(($D115:$E115))),0)</f>
        <v>53763820.197687425</v>
      </c>
      <c r="W115" s="31" cm="1">
        <f t="array" ref="W115">W$110+IF($C115&lt;&gt;0,SUMPRODUCT((W$111:W$112)*TRANSPOSE(($D115:$E115))),0)</f>
        <v>53763820.197687425</v>
      </c>
      <c r="X115" s="31" cm="1">
        <f t="array" ref="X115">X$110+IF($C115&lt;&gt;0,SUMPRODUCT((X$111:X$112)*TRANSPOSE(($D115:$E115))),0)</f>
        <v>53763820.197687425</v>
      </c>
      <c r="Y115" s="31" cm="1">
        <f t="array" ref="Y115">Y$110+IF($C115&lt;&gt;0,SUMPRODUCT((Y$111:Y$112)*TRANSPOSE(($D115:$E115))),0)</f>
        <v>53763820.197687425</v>
      </c>
      <c r="Z115" s="31" cm="1">
        <f t="array" ref="Z115">Z$110+IF($C115&lt;&gt;0,SUMPRODUCT((Z$111:Z$112)*TRANSPOSE(($D115:$E115))),0)</f>
        <v>53763820.197687425</v>
      </c>
      <c r="AA115" s="31" cm="1">
        <f t="array" ref="AA115">AA$110+IF($C115&lt;&gt;0,SUMPRODUCT((AA$111:AA$112)*TRANSPOSE(($D115:$E115))),0)</f>
        <v>53763820.197687425</v>
      </c>
      <c r="AB115" s="31" cm="1">
        <f t="array" ref="AB115">AB$110+IF($C115&lt;&gt;0,SUMPRODUCT((AB$111:AB$112)*TRANSPOSE(($D115:$E115))),0)</f>
        <v>53763820.197687425</v>
      </c>
      <c r="AC115" s="31" cm="1">
        <f t="array" ref="AC115">AC$110+IF($C115&lt;&gt;0,SUMPRODUCT((AC$111:AC$112)*TRANSPOSE(($D115:$E115))),0)</f>
        <v>53763820.197687425</v>
      </c>
      <c r="AD115" s="31" cm="1">
        <f t="array" ref="AD115">AD$110+IF($C115&lt;&gt;0,SUMPRODUCT((AD$111:AD$112)*TRANSPOSE(($D115:$E115))),0)</f>
        <v>53763820.197687425</v>
      </c>
      <c r="AE115" s="31" cm="1">
        <f t="array" ref="AE115">AE$110+IF($C115&lt;&gt;0,SUMPRODUCT((AE$111:AE$112)*TRANSPOSE(($D115:$E115))),0)</f>
        <v>53763820.197687425</v>
      </c>
      <c r="AF115" s="31" cm="1">
        <f t="array" ref="AF115">AF$110+IF($C115&lt;&gt;0,SUMPRODUCT((AF$111:AF$112)*TRANSPOSE(($D115:$E115))),0)</f>
        <v>53763820.197687425</v>
      </c>
      <c r="AG115" s="31" cm="1">
        <f t="array" ref="AG115">AG$110+IF($C115&lt;&gt;0,SUMPRODUCT((AG$111:AG$112)*TRANSPOSE(($D115:$E115))),0)</f>
        <v>53763820.197687425</v>
      </c>
    </row>
    <row r="116" spans="1:33" x14ac:dyDescent="0.2">
      <c r="A116" s="1" t="str">
        <f>"sens"&amp;Assumptions!B113</f>
        <v>sens3</v>
      </c>
      <c r="C116" s="305" t="str">
        <f>Assumptions!C113</f>
        <v>Total benefits 10% higher</v>
      </c>
      <c r="D116" s="306">
        <f>Assumptions!G113</f>
        <v>0</v>
      </c>
      <c r="E116" s="306">
        <f>Assumptions!H113</f>
        <v>0.1</v>
      </c>
      <c r="G116" s="38" t="str">
        <f t="shared" si="42"/>
        <v>Option 4sens3</v>
      </c>
      <c r="I116" s="31" cm="1">
        <f t="array" ref="I116">I$110+IF($C116&lt;&gt;0,SUMPRODUCT((I$111:I$112)*TRANSPOSE(($D116:$E116))),0)</f>
        <v>0</v>
      </c>
      <c r="J116" s="31" cm="1">
        <f t="array" ref="J116">J$110+IF($C116&lt;&gt;0,SUMPRODUCT((J$111:J$112)*TRANSPOSE(($D116:$E116))),0)</f>
        <v>8040713.3343493994</v>
      </c>
      <c r="K116" s="31" cm="1">
        <f t="array" ref="K116">K$110+IF($C116&lt;&gt;0,SUMPRODUCT((K$111:K$112)*TRANSPOSE(($D116:$E116))),0)</f>
        <v>8692952.4210994877</v>
      </c>
      <c r="L116" s="31" cm="1">
        <f t="array" ref="L116">L$110+IF($C116&lt;&gt;0,SUMPRODUCT((L$111:L$112)*TRANSPOSE(($D116:$E116))),0)</f>
        <v>11621632.059945881</v>
      </c>
      <c r="M116" s="31" cm="1">
        <f t="array" ref="M116">M$110+IF($C116&lt;&gt;0,SUMPRODUCT((M$111:M$112)*TRANSPOSE(($D116:$E116))),0)</f>
        <v>15245663.170289969</v>
      </c>
      <c r="N116" s="31" cm="1">
        <f t="array" ref="N116">N$110+IF($C116&lt;&gt;0,SUMPRODUCT((N$111:N$112)*TRANSPOSE(($D116:$E116))),0)</f>
        <v>22488069.393256191</v>
      </c>
      <c r="O116" s="31" cm="1">
        <f t="array" ref="O116">O$110+IF($C116&lt;&gt;0,SUMPRODUCT((O$111:O$112)*TRANSPOSE(($D116:$E116))),0)</f>
        <v>33982915.075160474</v>
      </c>
      <c r="P116" s="31" cm="1">
        <f t="array" ref="P116">P$110+IF($C116&lt;&gt;0,SUMPRODUCT((P$111:P$112)*TRANSPOSE(($D116:$E116))),0)</f>
        <v>46055455.719023824</v>
      </c>
      <c r="Q116" s="31" cm="1">
        <f t="array" ref="Q116">Q$110+IF($C116&lt;&gt;0,SUMPRODUCT((Q$111:Q$112)*TRANSPOSE(($D116:$E116))),0)</f>
        <v>59535513.921222761</v>
      </c>
      <c r="R116" s="31" cm="1">
        <f t="array" ref="R116">R$110+IF($C116&lt;&gt;0,SUMPRODUCT((R$111:R$112)*TRANSPOSE(($D116:$E116))),0)</f>
        <v>59535513.921222761</v>
      </c>
      <c r="S116" s="31" cm="1">
        <f t="array" ref="S116">S$110+IF($C116&lt;&gt;0,SUMPRODUCT((S$111:S$112)*TRANSPOSE(($D116:$E116))),0)</f>
        <v>59091015.703744881</v>
      </c>
      <c r="T116" s="31" cm="1">
        <f t="array" ref="T116">T$110+IF($C116&lt;&gt;0,SUMPRODUCT((T$111:T$112)*TRANSPOSE(($D116:$E116))),0)</f>
        <v>59091015.703744881</v>
      </c>
      <c r="U116" s="31" cm="1">
        <f t="array" ref="U116">U$110+IF($C116&lt;&gt;0,SUMPRODUCT((U$111:U$112)*TRANSPOSE(($D116:$E116))),0)</f>
        <v>59091015.703744881</v>
      </c>
      <c r="V116" s="31" cm="1">
        <f t="array" ref="V116">V$110+IF($C116&lt;&gt;0,SUMPRODUCT((V$111:V$112)*TRANSPOSE(($D116:$E116))),0)</f>
        <v>59091015.703744881</v>
      </c>
      <c r="W116" s="31" cm="1">
        <f t="array" ref="W116">W$110+IF($C116&lt;&gt;0,SUMPRODUCT((W$111:W$112)*TRANSPOSE(($D116:$E116))),0)</f>
        <v>59091015.703744881</v>
      </c>
      <c r="X116" s="31" cm="1">
        <f t="array" ref="X116">X$110+IF($C116&lt;&gt;0,SUMPRODUCT((X$111:X$112)*TRANSPOSE(($D116:$E116))),0)</f>
        <v>59091015.703744881</v>
      </c>
      <c r="Y116" s="31" cm="1">
        <f t="array" ref="Y116">Y$110+IF($C116&lt;&gt;0,SUMPRODUCT((Y$111:Y$112)*TRANSPOSE(($D116:$E116))),0)</f>
        <v>59091015.703744881</v>
      </c>
      <c r="Z116" s="31" cm="1">
        <f t="array" ref="Z116">Z$110+IF($C116&lt;&gt;0,SUMPRODUCT((Z$111:Z$112)*TRANSPOSE(($D116:$E116))),0)</f>
        <v>59091015.703744881</v>
      </c>
      <c r="AA116" s="31" cm="1">
        <f t="array" ref="AA116">AA$110+IF($C116&lt;&gt;0,SUMPRODUCT((AA$111:AA$112)*TRANSPOSE(($D116:$E116))),0)</f>
        <v>59091015.703744881</v>
      </c>
      <c r="AB116" s="31" cm="1">
        <f t="array" ref="AB116">AB$110+IF($C116&lt;&gt;0,SUMPRODUCT((AB$111:AB$112)*TRANSPOSE(($D116:$E116))),0)</f>
        <v>59091015.703744881</v>
      </c>
      <c r="AC116" s="31" cm="1">
        <f t="array" ref="AC116">AC$110+IF($C116&lt;&gt;0,SUMPRODUCT((AC$111:AC$112)*TRANSPOSE(($D116:$E116))),0)</f>
        <v>59091015.703744881</v>
      </c>
      <c r="AD116" s="31" cm="1">
        <f t="array" ref="AD116">AD$110+IF($C116&lt;&gt;0,SUMPRODUCT((AD$111:AD$112)*TRANSPOSE(($D116:$E116))),0)</f>
        <v>59091015.703744881</v>
      </c>
      <c r="AE116" s="31" cm="1">
        <f t="array" ref="AE116">AE$110+IF($C116&lt;&gt;0,SUMPRODUCT((AE$111:AE$112)*TRANSPOSE(($D116:$E116))),0)</f>
        <v>59091015.703744881</v>
      </c>
      <c r="AF116" s="31" cm="1">
        <f t="array" ref="AF116">AF$110+IF($C116&lt;&gt;0,SUMPRODUCT((AF$111:AF$112)*TRANSPOSE(($D116:$E116))),0)</f>
        <v>59091015.703744881</v>
      </c>
      <c r="AG116" s="31" cm="1">
        <f t="array" ref="AG116">AG$110+IF($C116&lt;&gt;0,SUMPRODUCT((AG$111:AG$112)*TRANSPOSE(($D116:$E116))),0)</f>
        <v>59091015.703744881</v>
      </c>
    </row>
    <row r="117" spans="1:33" x14ac:dyDescent="0.2">
      <c r="A117" s="1" t="str">
        <f>"sens"&amp;Assumptions!B114</f>
        <v>sens4</v>
      </c>
      <c r="C117" s="305" t="str">
        <f>Assumptions!C114</f>
        <v>Total benefits 10% lower</v>
      </c>
      <c r="D117" s="306">
        <f>Assumptions!G114</f>
        <v>0</v>
      </c>
      <c r="E117" s="306">
        <f>Assumptions!H114</f>
        <v>-0.1</v>
      </c>
      <c r="G117" s="38" t="str">
        <f t="shared" si="42"/>
        <v>Option 4sens4</v>
      </c>
      <c r="I117" s="31" cm="1">
        <f t="array" ref="I117">I$110+IF($C117&lt;&gt;0,SUMPRODUCT((I$111:I$112)*TRANSPOSE(($D117:$E117))),0)</f>
        <v>0</v>
      </c>
      <c r="J117" s="31" cm="1">
        <f t="array" ref="J117">J$110+IF($C117&lt;&gt;0,SUMPRODUCT((J$111:J$112)*TRANSPOSE(($D117:$E117))),0)</f>
        <v>6426962.6453516353</v>
      </c>
      <c r="K117" s="31" cm="1">
        <f t="array" ref="K117">K$110+IF($C117&lt;&gt;0,SUMPRODUCT((K$111:K$112)*TRANSPOSE(($D117:$E117))),0)</f>
        <v>6782539.8908459786</v>
      </c>
      <c r="L117" s="31" cm="1">
        <f t="array" ref="L117">L$110+IF($C117&lt;&gt;0,SUMPRODUCT((L$111:L$112)*TRANSPOSE(($D117:$E117))),0)</f>
        <v>8866595.022261098</v>
      </c>
      <c r="M117" s="31" cm="1">
        <f t="array" ref="M117">M$110+IF($C117&lt;&gt;0,SUMPRODUCT((M$111:M$112)*TRANSPOSE(($D117:$E117))),0)</f>
        <v>11660242.020482568</v>
      </c>
      <c r="N117" s="31" cm="1">
        <f t="array" ref="N117">N$110+IF($C117&lt;&gt;0,SUMPRODUCT((N$111:N$112)*TRANSPOSE(($D117:$E117))),0)</f>
        <v>17585847.112000387</v>
      </c>
      <c r="O117" s="31" cm="1">
        <f t="array" ref="O117">O$110+IF($C117&lt;&gt;0,SUMPRODUCT((O$111:O$112)*TRANSPOSE(($D117:$E117))),0)</f>
        <v>26990720.851740256</v>
      </c>
      <c r="P117" s="31" cm="1">
        <f t="array" ref="P117">P$110+IF($C117&lt;&gt;0,SUMPRODUCT((P$111:P$112)*TRANSPOSE(($D117:$E117))),0)</f>
        <v>36868254.10581027</v>
      </c>
      <c r="Q117" s="31" cm="1">
        <f t="array" ref="Q117">Q$110+IF($C117&lt;&gt;0,SUMPRODUCT((Q$111:Q$112)*TRANSPOSE(($D117:$E117))),0)</f>
        <v>47897392.634882122</v>
      </c>
      <c r="R117" s="31" cm="1">
        <f t="array" ref="R117">R$110+IF($C117&lt;&gt;0,SUMPRODUCT((R$111:R$112)*TRANSPOSE(($D117:$E117))),0)</f>
        <v>47897392.634882122</v>
      </c>
      <c r="S117" s="31" cm="1">
        <f t="array" ref="S117">S$110+IF($C117&lt;&gt;0,SUMPRODUCT((S$111:S$112)*TRANSPOSE(($D117:$E117))),0)</f>
        <v>47452894.417404242</v>
      </c>
      <c r="T117" s="31" cm="1">
        <f t="array" ref="T117">T$110+IF($C117&lt;&gt;0,SUMPRODUCT((T$111:T$112)*TRANSPOSE(($D117:$E117))),0)</f>
        <v>47452894.417404242</v>
      </c>
      <c r="U117" s="31" cm="1">
        <f t="array" ref="U117">U$110+IF($C117&lt;&gt;0,SUMPRODUCT((U$111:U$112)*TRANSPOSE(($D117:$E117))),0)</f>
        <v>47452894.417404242</v>
      </c>
      <c r="V117" s="31" cm="1">
        <f t="array" ref="V117">V$110+IF($C117&lt;&gt;0,SUMPRODUCT((V$111:V$112)*TRANSPOSE(($D117:$E117))),0)</f>
        <v>47452894.417404242</v>
      </c>
      <c r="W117" s="31" cm="1">
        <f t="array" ref="W117">W$110+IF($C117&lt;&gt;0,SUMPRODUCT((W$111:W$112)*TRANSPOSE(($D117:$E117))),0)</f>
        <v>47452894.417404242</v>
      </c>
      <c r="X117" s="31" cm="1">
        <f t="array" ref="X117">X$110+IF($C117&lt;&gt;0,SUMPRODUCT((X$111:X$112)*TRANSPOSE(($D117:$E117))),0)</f>
        <v>47452894.417404242</v>
      </c>
      <c r="Y117" s="31" cm="1">
        <f t="array" ref="Y117">Y$110+IF($C117&lt;&gt;0,SUMPRODUCT((Y$111:Y$112)*TRANSPOSE(($D117:$E117))),0)</f>
        <v>47452894.417404242</v>
      </c>
      <c r="Z117" s="31" cm="1">
        <f t="array" ref="Z117">Z$110+IF($C117&lt;&gt;0,SUMPRODUCT((Z$111:Z$112)*TRANSPOSE(($D117:$E117))),0)</f>
        <v>47452894.417404242</v>
      </c>
      <c r="AA117" s="31" cm="1">
        <f t="array" ref="AA117">AA$110+IF($C117&lt;&gt;0,SUMPRODUCT((AA$111:AA$112)*TRANSPOSE(($D117:$E117))),0)</f>
        <v>47452894.417404242</v>
      </c>
      <c r="AB117" s="31" cm="1">
        <f t="array" ref="AB117">AB$110+IF($C117&lt;&gt;0,SUMPRODUCT((AB$111:AB$112)*TRANSPOSE(($D117:$E117))),0)</f>
        <v>47452894.417404242</v>
      </c>
      <c r="AC117" s="31" cm="1">
        <f t="array" ref="AC117">AC$110+IF($C117&lt;&gt;0,SUMPRODUCT((AC$111:AC$112)*TRANSPOSE(($D117:$E117))),0)</f>
        <v>47452894.417404242</v>
      </c>
      <c r="AD117" s="31" cm="1">
        <f t="array" ref="AD117">AD$110+IF($C117&lt;&gt;0,SUMPRODUCT((AD$111:AD$112)*TRANSPOSE(($D117:$E117))),0)</f>
        <v>47452894.417404242</v>
      </c>
      <c r="AE117" s="31" cm="1">
        <f t="array" ref="AE117">AE$110+IF($C117&lt;&gt;0,SUMPRODUCT((AE$111:AE$112)*TRANSPOSE(($D117:$E117))),0)</f>
        <v>47452894.417404242</v>
      </c>
      <c r="AF117" s="31" cm="1">
        <f t="array" ref="AF117">AF$110+IF($C117&lt;&gt;0,SUMPRODUCT((AF$111:AF$112)*TRANSPOSE(($D117:$E117))),0)</f>
        <v>47452894.417404242</v>
      </c>
      <c r="AG117" s="31" cm="1">
        <f t="array" ref="AG117">AG$110+IF($C117&lt;&gt;0,SUMPRODUCT((AG$111:AG$112)*TRANSPOSE(($D117:$E117))),0)</f>
        <v>47452894.417404242</v>
      </c>
    </row>
    <row r="118" spans="1:33" x14ac:dyDescent="0.2">
      <c r="A118" s="1" t="str">
        <f>"sens"&amp;Assumptions!B115</f>
        <v>sens5</v>
      </c>
      <c r="C118" s="305" t="str">
        <f>Assumptions!C115</f>
        <v>Capex 10% higher &amp; Total benefits 10% lower</v>
      </c>
      <c r="D118" s="306">
        <f>Assumptions!G115</f>
        <v>0.1</v>
      </c>
      <c r="E118" s="306">
        <f>Assumptions!H115</f>
        <v>-0.1</v>
      </c>
      <c r="G118" s="38" t="str">
        <f t="shared" si="42"/>
        <v>Option 4sens5</v>
      </c>
      <c r="I118" s="31" cm="1">
        <f t="array" ref="I118">I$110+IF($C118&lt;&gt;0,SUMPRODUCT((I$111:I$112)*TRANSPOSE(($D118:$E118))),0)</f>
        <v>0</v>
      </c>
      <c r="J118" s="31" cm="1">
        <f t="array" ref="J118">J$110+IF($C118&lt;&gt;0,SUMPRODUCT((J$111:J$112)*TRANSPOSE(($D118:$E118))),0)</f>
        <v>6343471.0998378042</v>
      </c>
      <c r="K118" s="31" cm="1">
        <f t="array" ref="K118">K$110+IF($C118&lt;&gt;0,SUMPRODUCT((K$111:K$112)*TRANSPOSE(($D118:$E118))),0)</f>
        <v>6601108.2413164973</v>
      </c>
      <c r="L118" s="31" cm="1">
        <f t="array" ref="L118">L$110+IF($C118&lt;&gt;0,SUMPRODUCT((L$111:L$112)*TRANSPOSE(($D118:$E118))),0)</f>
        <v>8513487.8575290535</v>
      </c>
      <c r="M118" s="31" cm="1">
        <f t="array" ref="M118">M$110+IF($C118&lt;&gt;0,SUMPRODUCT((M$111:M$112)*TRANSPOSE(($D118:$E118))),0)</f>
        <v>11212826.705117494</v>
      </c>
      <c r="N118" s="31" cm="1">
        <f t="array" ref="N118">N$110+IF($C118&lt;&gt;0,SUMPRODUCT((N$111:N$112)*TRANSPOSE(($D118:$E118))),0)</f>
        <v>17138431.796635315</v>
      </c>
      <c r="O118" s="31" cm="1">
        <f t="array" ref="O118">O$110+IF($C118&lt;&gt;0,SUMPRODUCT((O$111:O$112)*TRANSPOSE(($D118:$E118))),0)</f>
        <v>26543305.53637518</v>
      </c>
      <c r="P118" s="31" cm="1">
        <f t="array" ref="P118">P$110+IF($C118&lt;&gt;0,SUMPRODUCT((P$111:P$112)*TRANSPOSE(($D118:$E118))),0)</f>
        <v>36420838.790445194</v>
      </c>
      <c r="Q118" s="31" cm="1">
        <f t="array" ref="Q118">Q$110+IF($C118&lt;&gt;0,SUMPRODUCT((Q$111:Q$112)*TRANSPOSE(($D118:$E118))),0)</f>
        <v>47449977.319517054</v>
      </c>
      <c r="R118" s="31" cm="1">
        <f t="array" ref="R118">R$110+IF($C118&lt;&gt;0,SUMPRODUCT((R$111:R$112)*TRANSPOSE(($D118:$E118))),0)</f>
        <v>47449977.319517054</v>
      </c>
      <c r="S118" s="31" cm="1">
        <f t="array" ref="S118">S$110+IF($C118&lt;&gt;0,SUMPRODUCT((S$111:S$112)*TRANSPOSE(($D118:$E118))),0)</f>
        <v>46961029.280291386</v>
      </c>
      <c r="T118" s="31" cm="1">
        <f t="array" ref="T118">T$110+IF($C118&lt;&gt;0,SUMPRODUCT((T$111:T$112)*TRANSPOSE(($D118:$E118))),0)</f>
        <v>46961029.280291386</v>
      </c>
      <c r="U118" s="31" cm="1">
        <f t="array" ref="U118">U$110+IF($C118&lt;&gt;0,SUMPRODUCT((U$111:U$112)*TRANSPOSE(($D118:$E118))),0)</f>
        <v>46961029.280291386</v>
      </c>
      <c r="V118" s="31" cm="1">
        <f t="array" ref="V118">V$110+IF($C118&lt;&gt;0,SUMPRODUCT((V$111:V$112)*TRANSPOSE(($D118:$E118))),0)</f>
        <v>46961029.280291386</v>
      </c>
      <c r="W118" s="31" cm="1">
        <f t="array" ref="W118">W$110+IF($C118&lt;&gt;0,SUMPRODUCT((W$111:W$112)*TRANSPOSE(($D118:$E118))),0)</f>
        <v>46961029.280291386</v>
      </c>
      <c r="X118" s="31" cm="1">
        <f t="array" ref="X118">X$110+IF($C118&lt;&gt;0,SUMPRODUCT((X$111:X$112)*TRANSPOSE(($D118:$E118))),0)</f>
        <v>46961029.280291386</v>
      </c>
      <c r="Y118" s="31" cm="1">
        <f t="array" ref="Y118">Y$110+IF($C118&lt;&gt;0,SUMPRODUCT((Y$111:Y$112)*TRANSPOSE(($D118:$E118))),0)</f>
        <v>46961029.280291386</v>
      </c>
      <c r="Z118" s="31" cm="1">
        <f t="array" ref="Z118">Z$110+IF($C118&lt;&gt;0,SUMPRODUCT((Z$111:Z$112)*TRANSPOSE(($D118:$E118))),0)</f>
        <v>46961029.280291386</v>
      </c>
      <c r="AA118" s="31" cm="1">
        <f t="array" ref="AA118">AA$110+IF($C118&lt;&gt;0,SUMPRODUCT((AA$111:AA$112)*TRANSPOSE(($D118:$E118))),0)</f>
        <v>46961029.280291386</v>
      </c>
      <c r="AB118" s="31" cm="1">
        <f t="array" ref="AB118">AB$110+IF($C118&lt;&gt;0,SUMPRODUCT((AB$111:AB$112)*TRANSPOSE(($D118:$E118))),0)</f>
        <v>46961029.280291386</v>
      </c>
      <c r="AC118" s="31" cm="1">
        <f t="array" ref="AC118">AC$110+IF($C118&lt;&gt;0,SUMPRODUCT((AC$111:AC$112)*TRANSPOSE(($D118:$E118))),0)</f>
        <v>46961029.280291386</v>
      </c>
      <c r="AD118" s="31" cm="1">
        <f t="array" ref="AD118">AD$110+IF($C118&lt;&gt;0,SUMPRODUCT((AD$111:AD$112)*TRANSPOSE(($D118:$E118))),0)</f>
        <v>46961029.280291386</v>
      </c>
      <c r="AE118" s="31" cm="1">
        <f t="array" ref="AE118">AE$110+IF($C118&lt;&gt;0,SUMPRODUCT((AE$111:AE$112)*TRANSPOSE(($D118:$E118))),0)</f>
        <v>46961029.280291386</v>
      </c>
      <c r="AF118" s="31" cm="1">
        <f t="array" ref="AF118">AF$110+IF($C118&lt;&gt;0,SUMPRODUCT((AF$111:AF$112)*TRANSPOSE(($D118:$E118))),0)</f>
        <v>46961029.280291386</v>
      </c>
      <c r="AG118" s="31" cm="1">
        <f t="array" ref="AG118">AG$110+IF($C118&lt;&gt;0,SUMPRODUCT((AG$111:AG$112)*TRANSPOSE(($D118:$E118))),0)</f>
        <v>46961029.280291386</v>
      </c>
    </row>
    <row r="119" spans="1:33" x14ac:dyDescent="0.2">
      <c r="A119" s="1" t="str">
        <f>"sens"&amp;Assumptions!B116</f>
        <v>sens</v>
      </c>
      <c r="C119" s="305">
        <f>Assumptions!C116</f>
        <v>0</v>
      </c>
      <c r="D119" s="306">
        <f>Assumptions!G116</f>
        <v>0</v>
      </c>
      <c r="E119" s="306">
        <f>Assumptions!H116</f>
        <v>0</v>
      </c>
      <c r="G119" s="38" t="str">
        <f t="shared" si="42"/>
        <v>Option 4sens</v>
      </c>
      <c r="I119" s="31" cm="1">
        <f t="array" ref="I119">I$110+IF($C119&lt;&gt;0,SUMPRODUCT((I$111:I$112)*TRANSPOSE(($D119:$E119))),0)</f>
        <v>0</v>
      </c>
      <c r="J119" s="31" cm="1">
        <f t="array" ref="J119">J$110+IF($C119&lt;&gt;0,SUMPRODUCT((J$111:J$112)*TRANSPOSE(($D119:$E119))),0)</f>
        <v>7233837.9898505174</v>
      </c>
      <c r="K119" s="31" cm="1">
        <f t="array" ref="K119">K$110+IF($C119&lt;&gt;0,SUMPRODUCT((K$111:K$112)*TRANSPOSE(($D119:$E119))),0)</f>
        <v>7737746.1559727332</v>
      </c>
      <c r="L119" s="31" cm="1">
        <f t="array" ref="L119">L$110+IF($C119&lt;&gt;0,SUMPRODUCT((L$111:L$112)*TRANSPOSE(($D119:$E119))),0)</f>
        <v>10244113.54110349</v>
      </c>
      <c r="M119" s="31" cm="1">
        <f t="array" ref="M119">M$110+IF($C119&lt;&gt;0,SUMPRODUCT((M$111:M$112)*TRANSPOSE(($D119:$E119))),0)</f>
        <v>13452952.595386269</v>
      </c>
      <c r="N119" s="31" cm="1">
        <f t="array" ref="N119">N$110+IF($C119&lt;&gt;0,SUMPRODUCT((N$111:N$112)*TRANSPOSE(($D119:$E119))),0)</f>
        <v>20036958.252628289</v>
      </c>
      <c r="O119" s="31" cm="1">
        <f t="array" ref="O119">O$110+IF($C119&lt;&gt;0,SUMPRODUCT((O$111:O$112)*TRANSPOSE(($D119:$E119))),0)</f>
        <v>30486817.963450365</v>
      </c>
      <c r="P119" s="31" cm="1">
        <f t="array" ref="P119">P$110+IF($C119&lt;&gt;0,SUMPRODUCT((P$111:P$112)*TRANSPOSE(($D119:$E119))),0)</f>
        <v>41461854.912417047</v>
      </c>
      <c r="Q119" s="31" cm="1">
        <f t="array" ref="Q119">Q$110+IF($C119&lt;&gt;0,SUMPRODUCT((Q$111:Q$112)*TRANSPOSE(($D119:$E119))),0)</f>
        <v>53716453.278052442</v>
      </c>
      <c r="R119" s="31" cm="1">
        <f t="array" ref="R119">R$110+IF($C119&lt;&gt;0,SUMPRODUCT((R$111:R$112)*TRANSPOSE(($D119:$E119))),0)</f>
        <v>53716453.278052442</v>
      </c>
      <c r="S119" s="31" cm="1">
        <f t="array" ref="S119">S$110+IF($C119&lt;&gt;0,SUMPRODUCT((S$111:S$112)*TRANSPOSE(($D119:$E119))),0)</f>
        <v>53271955.060574561</v>
      </c>
      <c r="T119" s="31" cm="1">
        <f t="array" ref="T119">T$110+IF($C119&lt;&gt;0,SUMPRODUCT((T$111:T$112)*TRANSPOSE(($D119:$E119))),0)</f>
        <v>53271955.060574561</v>
      </c>
      <c r="U119" s="31" cm="1">
        <f t="array" ref="U119">U$110+IF($C119&lt;&gt;0,SUMPRODUCT((U$111:U$112)*TRANSPOSE(($D119:$E119))),0)</f>
        <v>53271955.060574561</v>
      </c>
      <c r="V119" s="31" cm="1">
        <f t="array" ref="V119">V$110+IF($C119&lt;&gt;0,SUMPRODUCT((V$111:V$112)*TRANSPOSE(($D119:$E119))),0)</f>
        <v>53271955.060574561</v>
      </c>
      <c r="W119" s="31" cm="1">
        <f t="array" ref="W119">W$110+IF($C119&lt;&gt;0,SUMPRODUCT((W$111:W$112)*TRANSPOSE(($D119:$E119))),0)</f>
        <v>53271955.060574561</v>
      </c>
      <c r="X119" s="31" cm="1">
        <f t="array" ref="X119">X$110+IF($C119&lt;&gt;0,SUMPRODUCT((X$111:X$112)*TRANSPOSE(($D119:$E119))),0)</f>
        <v>53271955.060574561</v>
      </c>
      <c r="Y119" s="31" cm="1">
        <f t="array" ref="Y119">Y$110+IF($C119&lt;&gt;0,SUMPRODUCT((Y$111:Y$112)*TRANSPOSE(($D119:$E119))),0)</f>
        <v>53271955.060574561</v>
      </c>
      <c r="Z119" s="31" cm="1">
        <f t="array" ref="Z119">Z$110+IF($C119&lt;&gt;0,SUMPRODUCT((Z$111:Z$112)*TRANSPOSE(($D119:$E119))),0)</f>
        <v>53271955.060574561</v>
      </c>
      <c r="AA119" s="31" cm="1">
        <f t="array" ref="AA119">AA$110+IF($C119&lt;&gt;0,SUMPRODUCT((AA$111:AA$112)*TRANSPOSE(($D119:$E119))),0)</f>
        <v>53271955.060574561</v>
      </c>
      <c r="AB119" s="31" cm="1">
        <f t="array" ref="AB119">AB$110+IF($C119&lt;&gt;0,SUMPRODUCT((AB$111:AB$112)*TRANSPOSE(($D119:$E119))),0)</f>
        <v>53271955.060574561</v>
      </c>
      <c r="AC119" s="31" cm="1">
        <f t="array" ref="AC119">AC$110+IF($C119&lt;&gt;0,SUMPRODUCT((AC$111:AC$112)*TRANSPOSE(($D119:$E119))),0)</f>
        <v>53271955.060574561</v>
      </c>
      <c r="AD119" s="31" cm="1">
        <f t="array" ref="AD119">AD$110+IF($C119&lt;&gt;0,SUMPRODUCT((AD$111:AD$112)*TRANSPOSE(($D119:$E119))),0)</f>
        <v>53271955.060574561</v>
      </c>
      <c r="AE119" s="31" cm="1">
        <f t="array" ref="AE119">AE$110+IF($C119&lt;&gt;0,SUMPRODUCT((AE$111:AE$112)*TRANSPOSE(($D119:$E119))),0)</f>
        <v>53271955.060574561</v>
      </c>
      <c r="AF119" s="31" cm="1">
        <f t="array" ref="AF119">AF$110+IF($C119&lt;&gt;0,SUMPRODUCT((AF$111:AF$112)*TRANSPOSE(($D119:$E119))),0)</f>
        <v>53271955.060574561</v>
      </c>
      <c r="AG119" s="31" cm="1">
        <f t="array" ref="AG119">AG$110+IF($C119&lt;&gt;0,SUMPRODUCT((AG$111:AG$112)*TRANSPOSE(($D119:$E119))),0)</f>
        <v>53271955.060574561</v>
      </c>
    </row>
    <row r="120" spans="1:33" x14ac:dyDescent="0.2">
      <c r="A120" s="1" t="str">
        <f>"sens"&amp;Assumptions!B117</f>
        <v>sens</v>
      </c>
      <c r="C120" s="305">
        <f>Assumptions!C117</f>
        <v>0</v>
      </c>
      <c r="D120" s="306">
        <f>Assumptions!G117</f>
        <v>0</v>
      </c>
      <c r="E120" s="306">
        <f>Assumptions!H117</f>
        <v>0</v>
      </c>
      <c r="G120" s="38" t="str">
        <f t="shared" si="42"/>
        <v>Option 4sens</v>
      </c>
      <c r="I120" s="31" cm="1">
        <f t="array" ref="I120">I$110+IF($C120&lt;&gt;0,SUMPRODUCT((I$111:I$112)*TRANSPOSE(($D120:$E120))),0)</f>
        <v>0</v>
      </c>
      <c r="J120" s="31" cm="1">
        <f t="array" ref="J120">J$110+IF($C120&lt;&gt;0,SUMPRODUCT((J$111:J$112)*TRANSPOSE(($D120:$E120))),0)</f>
        <v>7233837.9898505174</v>
      </c>
      <c r="K120" s="31" cm="1">
        <f t="array" ref="K120">K$110+IF($C120&lt;&gt;0,SUMPRODUCT((K$111:K$112)*TRANSPOSE(($D120:$E120))),0)</f>
        <v>7737746.1559727332</v>
      </c>
      <c r="L120" s="31" cm="1">
        <f t="array" ref="L120">L$110+IF($C120&lt;&gt;0,SUMPRODUCT((L$111:L$112)*TRANSPOSE(($D120:$E120))),0)</f>
        <v>10244113.54110349</v>
      </c>
      <c r="M120" s="31" cm="1">
        <f t="array" ref="M120">M$110+IF($C120&lt;&gt;0,SUMPRODUCT((M$111:M$112)*TRANSPOSE(($D120:$E120))),0)</f>
        <v>13452952.595386269</v>
      </c>
      <c r="N120" s="31" cm="1">
        <f t="array" ref="N120">N$110+IF($C120&lt;&gt;0,SUMPRODUCT((N$111:N$112)*TRANSPOSE(($D120:$E120))),0)</f>
        <v>20036958.252628289</v>
      </c>
      <c r="O120" s="31" cm="1">
        <f t="array" ref="O120">O$110+IF($C120&lt;&gt;0,SUMPRODUCT((O$111:O$112)*TRANSPOSE(($D120:$E120))),0)</f>
        <v>30486817.963450365</v>
      </c>
      <c r="P120" s="31" cm="1">
        <f t="array" ref="P120">P$110+IF($C120&lt;&gt;0,SUMPRODUCT((P$111:P$112)*TRANSPOSE(($D120:$E120))),0)</f>
        <v>41461854.912417047</v>
      </c>
      <c r="Q120" s="31" cm="1">
        <f t="array" ref="Q120">Q$110+IF($C120&lt;&gt;0,SUMPRODUCT((Q$111:Q$112)*TRANSPOSE(($D120:$E120))),0)</f>
        <v>53716453.278052442</v>
      </c>
      <c r="R120" s="31" cm="1">
        <f t="array" ref="R120">R$110+IF($C120&lt;&gt;0,SUMPRODUCT((R$111:R$112)*TRANSPOSE(($D120:$E120))),0)</f>
        <v>53716453.278052442</v>
      </c>
      <c r="S120" s="31" cm="1">
        <f t="array" ref="S120">S$110+IF($C120&lt;&gt;0,SUMPRODUCT((S$111:S$112)*TRANSPOSE(($D120:$E120))),0)</f>
        <v>53271955.060574561</v>
      </c>
      <c r="T120" s="31" cm="1">
        <f t="array" ref="T120">T$110+IF($C120&lt;&gt;0,SUMPRODUCT((T$111:T$112)*TRANSPOSE(($D120:$E120))),0)</f>
        <v>53271955.060574561</v>
      </c>
      <c r="U120" s="31" cm="1">
        <f t="array" ref="U120">U$110+IF($C120&lt;&gt;0,SUMPRODUCT((U$111:U$112)*TRANSPOSE(($D120:$E120))),0)</f>
        <v>53271955.060574561</v>
      </c>
      <c r="V120" s="31" cm="1">
        <f t="array" ref="V120">V$110+IF($C120&lt;&gt;0,SUMPRODUCT((V$111:V$112)*TRANSPOSE(($D120:$E120))),0)</f>
        <v>53271955.060574561</v>
      </c>
      <c r="W120" s="31" cm="1">
        <f t="array" ref="W120">W$110+IF($C120&lt;&gt;0,SUMPRODUCT((W$111:W$112)*TRANSPOSE(($D120:$E120))),0)</f>
        <v>53271955.060574561</v>
      </c>
      <c r="X120" s="31" cm="1">
        <f t="array" ref="X120">X$110+IF($C120&lt;&gt;0,SUMPRODUCT((X$111:X$112)*TRANSPOSE(($D120:$E120))),0)</f>
        <v>53271955.060574561</v>
      </c>
      <c r="Y120" s="31" cm="1">
        <f t="array" ref="Y120">Y$110+IF($C120&lt;&gt;0,SUMPRODUCT((Y$111:Y$112)*TRANSPOSE(($D120:$E120))),0)</f>
        <v>53271955.060574561</v>
      </c>
      <c r="Z120" s="31" cm="1">
        <f t="array" ref="Z120">Z$110+IF($C120&lt;&gt;0,SUMPRODUCT((Z$111:Z$112)*TRANSPOSE(($D120:$E120))),0)</f>
        <v>53271955.060574561</v>
      </c>
      <c r="AA120" s="31" cm="1">
        <f t="array" ref="AA120">AA$110+IF($C120&lt;&gt;0,SUMPRODUCT((AA$111:AA$112)*TRANSPOSE(($D120:$E120))),0)</f>
        <v>53271955.060574561</v>
      </c>
      <c r="AB120" s="31" cm="1">
        <f t="array" ref="AB120">AB$110+IF($C120&lt;&gt;0,SUMPRODUCT((AB$111:AB$112)*TRANSPOSE(($D120:$E120))),0)</f>
        <v>53271955.060574561</v>
      </c>
      <c r="AC120" s="31" cm="1">
        <f t="array" ref="AC120">AC$110+IF($C120&lt;&gt;0,SUMPRODUCT((AC$111:AC$112)*TRANSPOSE(($D120:$E120))),0)</f>
        <v>53271955.060574561</v>
      </c>
      <c r="AD120" s="31" cm="1">
        <f t="array" ref="AD120">AD$110+IF($C120&lt;&gt;0,SUMPRODUCT((AD$111:AD$112)*TRANSPOSE(($D120:$E120))),0)</f>
        <v>53271955.060574561</v>
      </c>
      <c r="AE120" s="31" cm="1">
        <f t="array" ref="AE120">AE$110+IF($C120&lt;&gt;0,SUMPRODUCT((AE$111:AE$112)*TRANSPOSE(($D120:$E120))),0)</f>
        <v>53271955.060574561</v>
      </c>
      <c r="AF120" s="31" cm="1">
        <f t="array" ref="AF120">AF$110+IF($C120&lt;&gt;0,SUMPRODUCT((AF$111:AF$112)*TRANSPOSE(($D120:$E120))),0)</f>
        <v>53271955.060574561</v>
      </c>
      <c r="AG120" s="31" cm="1">
        <f t="array" ref="AG120">AG$110+IF($C120&lt;&gt;0,SUMPRODUCT((AG$111:AG$112)*TRANSPOSE(($D120:$E120))),0)</f>
        <v>53271955.060574561</v>
      </c>
    </row>
    <row r="121" spans="1:33" x14ac:dyDescent="0.2">
      <c r="A121" s="1" t="str">
        <f>"sens"&amp;Assumptions!B118</f>
        <v>sens</v>
      </c>
      <c r="C121" s="305">
        <f>Assumptions!C118</f>
        <v>0</v>
      </c>
      <c r="D121" s="306">
        <f>Assumptions!G118</f>
        <v>0</v>
      </c>
      <c r="E121" s="306">
        <f>Assumptions!H118</f>
        <v>0</v>
      </c>
      <c r="G121" s="38" t="str">
        <f t="shared" si="42"/>
        <v>Option 4sens</v>
      </c>
      <c r="I121" s="31" cm="1">
        <f t="array" ref="I121">I$110+IF($C121&lt;&gt;0,SUMPRODUCT((I$111:I$112)*TRANSPOSE(($D121:$E121))),0)</f>
        <v>0</v>
      </c>
      <c r="J121" s="31" cm="1">
        <f t="array" ref="J121">J$110+IF($C121&lt;&gt;0,SUMPRODUCT((J$111:J$112)*TRANSPOSE(($D121:$E121))),0)</f>
        <v>7233837.9898505174</v>
      </c>
      <c r="K121" s="31" cm="1">
        <f t="array" ref="K121">K$110+IF($C121&lt;&gt;0,SUMPRODUCT((K$111:K$112)*TRANSPOSE(($D121:$E121))),0)</f>
        <v>7737746.1559727332</v>
      </c>
      <c r="L121" s="31" cm="1">
        <f t="array" ref="L121">L$110+IF($C121&lt;&gt;0,SUMPRODUCT((L$111:L$112)*TRANSPOSE(($D121:$E121))),0)</f>
        <v>10244113.54110349</v>
      </c>
      <c r="M121" s="31" cm="1">
        <f t="array" ref="M121">M$110+IF($C121&lt;&gt;0,SUMPRODUCT((M$111:M$112)*TRANSPOSE(($D121:$E121))),0)</f>
        <v>13452952.595386269</v>
      </c>
      <c r="N121" s="31" cm="1">
        <f t="array" ref="N121">N$110+IF($C121&lt;&gt;0,SUMPRODUCT((N$111:N$112)*TRANSPOSE(($D121:$E121))),0)</f>
        <v>20036958.252628289</v>
      </c>
      <c r="O121" s="31" cm="1">
        <f t="array" ref="O121">O$110+IF($C121&lt;&gt;0,SUMPRODUCT((O$111:O$112)*TRANSPOSE(($D121:$E121))),0)</f>
        <v>30486817.963450365</v>
      </c>
      <c r="P121" s="31" cm="1">
        <f t="array" ref="P121">P$110+IF($C121&lt;&gt;0,SUMPRODUCT((P$111:P$112)*TRANSPOSE(($D121:$E121))),0)</f>
        <v>41461854.912417047</v>
      </c>
      <c r="Q121" s="31" cm="1">
        <f t="array" ref="Q121">Q$110+IF($C121&lt;&gt;0,SUMPRODUCT((Q$111:Q$112)*TRANSPOSE(($D121:$E121))),0)</f>
        <v>53716453.278052442</v>
      </c>
      <c r="R121" s="31" cm="1">
        <f t="array" ref="R121">R$110+IF($C121&lt;&gt;0,SUMPRODUCT((R$111:R$112)*TRANSPOSE(($D121:$E121))),0)</f>
        <v>53716453.278052442</v>
      </c>
      <c r="S121" s="31" cm="1">
        <f t="array" ref="S121">S$110+IF($C121&lt;&gt;0,SUMPRODUCT((S$111:S$112)*TRANSPOSE(($D121:$E121))),0)</f>
        <v>53271955.060574561</v>
      </c>
      <c r="T121" s="31" cm="1">
        <f t="array" ref="T121">T$110+IF($C121&lt;&gt;0,SUMPRODUCT((T$111:T$112)*TRANSPOSE(($D121:$E121))),0)</f>
        <v>53271955.060574561</v>
      </c>
      <c r="U121" s="31" cm="1">
        <f t="array" ref="U121">U$110+IF($C121&lt;&gt;0,SUMPRODUCT((U$111:U$112)*TRANSPOSE(($D121:$E121))),0)</f>
        <v>53271955.060574561</v>
      </c>
      <c r="V121" s="31" cm="1">
        <f t="array" ref="V121">V$110+IF($C121&lt;&gt;0,SUMPRODUCT((V$111:V$112)*TRANSPOSE(($D121:$E121))),0)</f>
        <v>53271955.060574561</v>
      </c>
      <c r="W121" s="31" cm="1">
        <f t="array" ref="W121">W$110+IF($C121&lt;&gt;0,SUMPRODUCT((W$111:W$112)*TRANSPOSE(($D121:$E121))),0)</f>
        <v>53271955.060574561</v>
      </c>
      <c r="X121" s="31" cm="1">
        <f t="array" ref="X121">X$110+IF($C121&lt;&gt;0,SUMPRODUCT((X$111:X$112)*TRANSPOSE(($D121:$E121))),0)</f>
        <v>53271955.060574561</v>
      </c>
      <c r="Y121" s="31" cm="1">
        <f t="array" ref="Y121">Y$110+IF($C121&lt;&gt;0,SUMPRODUCT((Y$111:Y$112)*TRANSPOSE(($D121:$E121))),0)</f>
        <v>53271955.060574561</v>
      </c>
      <c r="Z121" s="31" cm="1">
        <f t="array" ref="Z121">Z$110+IF($C121&lt;&gt;0,SUMPRODUCT((Z$111:Z$112)*TRANSPOSE(($D121:$E121))),0)</f>
        <v>53271955.060574561</v>
      </c>
      <c r="AA121" s="31" cm="1">
        <f t="array" ref="AA121">AA$110+IF($C121&lt;&gt;0,SUMPRODUCT((AA$111:AA$112)*TRANSPOSE(($D121:$E121))),0)</f>
        <v>53271955.060574561</v>
      </c>
      <c r="AB121" s="31" cm="1">
        <f t="array" ref="AB121">AB$110+IF($C121&lt;&gt;0,SUMPRODUCT((AB$111:AB$112)*TRANSPOSE(($D121:$E121))),0)</f>
        <v>53271955.060574561</v>
      </c>
      <c r="AC121" s="31" cm="1">
        <f t="array" ref="AC121">AC$110+IF($C121&lt;&gt;0,SUMPRODUCT((AC$111:AC$112)*TRANSPOSE(($D121:$E121))),0)</f>
        <v>53271955.060574561</v>
      </c>
      <c r="AD121" s="31" cm="1">
        <f t="array" ref="AD121">AD$110+IF($C121&lt;&gt;0,SUMPRODUCT((AD$111:AD$112)*TRANSPOSE(($D121:$E121))),0)</f>
        <v>53271955.060574561</v>
      </c>
      <c r="AE121" s="31" cm="1">
        <f t="array" ref="AE121">AE$110+IF($C121&lt;&gt;0,SUMPRODUCT((AE$111:AE$112)*TRANSPOSE(($D121:$E121))),0)</f>
        <v>53271955.060574561</v>
      </c>
      <c r="AF121" s="31" cm="1">
        <f t="array" ref="AF121">AF$110+IF($C121&lt;&gt;0,SUMPRODUCT((AF$111:AF$112)*TRANSPOSE(($D121:$E121))),0)</f>
        <v>53271955.060574561</v>
      </c>
      <c r="AG121" s="31" cm="1">
        <f t="array" ref="AG121">AG$110+IF($C121&lt;&gt;0,SUMPRODUCT((AG$111:AG$112)*TRANSPOSE(($D121:$E121))),0)</f>
        <v>53271955.060574561</v>
      </c>
    </row>
  </sheetData>
  <conditionalFormatting sqref="E29">
    <cfRule type="expression" dxfId="5" priority="2">
      <formula>AND(SUM($I$28:$AG$28)&gt;0, $E$29=0)</formula>
    </cfRule>
  </conditionalFormatting>
  <conditionalFormatting sqref="E14:E17">
    <cfRule type="expression" dxfId="4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21"/>
  <sheetViews>
    <sheetView showGridLines="0" zoomScale="90" zoomScaleNormal="90" workbookViewId="0">
      <pane xSplit="7" ySplit="10" topLeftCell="H11" activePane="bottomRight" state="frozen"/>
      <selection activeCell="E14" sqref="E14:K14"/>
      <selection pane="topRight" activeCell="E14" sqref="E14:K14"/>
      <selection pane="bottomLeft" activeCell="E14" sqref="E14:K14"/>
      <selection pane="bottomRight" activeCell="E13" sqref="E13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Melton &amp; Wyndham Transformation Capacity Project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185</v>
      </c>
      <c r="B3" s="5"/>
      <c r="C3" s="204" t="str">
        <f>INDEX(Assumptions!$E$14:$E$18, MATCH(A3,_xlfn.ANCHORARRAY( Assumptions!$C$14),0))</f>
        <v>Lean investment, Southern capacity priority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252</v>
      </c>
      <c r="D14"/>
      <c r="E14" s="151">
        <v>50</v>
      </c>
      <c r="G14" s="211">
        <f>input_dollars</f>
        <v>45291</v>
      </c>
      <c r="H14" s="152"/>
      <c r="I14" s="32">
        <v>14291649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253</v>
      </c>
      <c r="D15"/>
      <c r="E15" s="151">
        <v>50</v>
      </c>
      <c r="G15" s="211">
        <f>input_dollars</f>
        <v>45291</v>
      </c>
      <c r="H15" s="2"/>
      <c r="I15" s="32">
        <v>13551742.666666666</v>
      </c>
      <c r="J15" s="32">
        <v>13551742.666666666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254</v>
      </c>
      <c r="D16"/>
      <c r="E16" s="151">
        <v>50</v>
      </c>
      <c r="G16" s="211">
        <f>input_dollars</f>
        <v>45291</v>
      </c>
      <c r="H16" s="2"/>
      <c r="I16" s="32">
        <v>0</v>
      </c>
      <c r="J16" s="32">
        <v>5483395.2999999998</v>
      </c>
      <c r="K16" s="32">
        <v>29525526.100000001</v>
      </c>
      <c r="L16" s="32">
        <v>27108549.599999998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57"/>
      <c r="D17"/>
      <c r="E17" s="151">
        <v>0</v>
      </c>
      <c r="G17" s="211">
        <f>input_dollars</f>
        <v>45291</v>
      </c>
      <c r="H17" s="2"/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/>
      <c r="AI17"/>
      <c r="AJ17"/>
      <c r="AK17"/>
      <c r="AL17"/>
      <c r="AM17"/>
      <c r="AN17"/>
      <c r="AO17"/>
      <c r="AP17"/>
      <c r="AQ17"/>
    </row>
    <row r="18" spans="1:43" x14ac:dyDescent="0.2">
      <c r="C18" s="1" t="s">
        <v>30</v>
      </c>
      <c r="G18" s="211">
        <f>input_dollars</f>
        <v>45291</v>
      </c>
      <c r="H18" s="107"/>
      <c r="I18" s="106">
        <f t="shared" ref="I18:Q18" si="0">SUM(I14:I17)</f>
        <v>27843391.666666664</v>
      </c>
      <c r="J18" s="106">
        <f t="shared" si="0"/>
        <v>19035137.966666665</v>
      </c>
      <c r="K18" s="106">
        <f>SUM(K14:K17)</f>
        <v>29525526.100000001</v>
      </c>
      <c r="L18" s="106">
        <f t="shared" si="0"/>
        <v>27108549.599999998</v>
      </c>
      <c r="M18" s="106">
        <f t="shared" si="0"/>
        <v>0</v>
      </c>
      <c r="N18" s="106">
        <f t="shared" si="0"/>
        <v>0</v>
      </c>
      <c r="O18" s="106">
        <f t="shared" si="0"/>
        <v>0</v>
      </c>
      <c r="P18" s="106">
        <f t="shared" si="0"/>
        <v>0</v>
      </c>
      <c r="Q18" s="106">
        <f t="shared" si="0"/>
        <v>0</v>
      </c>
      <c r="R18" s="106">
        <f t="shared" ref="R18:AG18" si="1">SUM(R14:R17)</f>
        <v>0</v>
      </c>
      <c r="S18" s="106">
        <f t="shared" si="1"/>
        <v>0</v>
      </c>
      <c r="T18" s="106">
        <f t="shared" si="1"/>
        <v>0</v>
      </c>
      <c r="U18" s="106">
        <f t="shared" si="1"/>
        <v>0</v>
      </c>
      <c r="V18" s="106">
        <f t="shared" si="1"/>
        <v>0</v>
      </c>
      <c r="W18" s="106">
        <f t="shared" si="1"/>
        <v>0</v>
      </c>
      <c r="X18" s="106">
        <f t="shared" si="1"/>
        <v>0</v>
      </c>
      <c r="Y18" s="106">
        <f t="shared" si="1"/>
        <v>0</v>
      </c>
      <c r="Z18" s="106">
        <f t="shared" si="1"/>
        <v>0</v>
      </c>
      <c r="AA18" s="106">
        <f t="shared" si="1"/>
        <v>0</v>
      </c>
      <c r="AB18" s="106">
        <f t="shared" si="1"/>
        <v>0</v>
      </c>
      <c r="AC18" s="106">
        <f t="shared" si="1"/>
        <v>0</v>
      </c>
      <c r="AD18" s="106">
        <f t="shared" si="1"/>
        <v>0</v>
      </c>
      <c r="AE18" s="106">
        <f t="shared" si="1"/>
        <v>0</v>
      </c>
      <c r="AF18" s="106">
        <f t="shared" si="1"/>
        <v>0</v>
      </c>
      <c r="AG18" s="106">
        <f t="shared" si="1"/>
        <v>0</v>
      </c>
      <c r="AH18"/>
      <c r="AI18"/>
      <c r="AJ18"/>
      <c r="AK18"/>
    </row>
    <row r="19" spans="1:43" x14ac:dyDescent="0.2">
      <c r="C19"/>
      <c r="D19"/>
      <c r="E19"/>
      <c r="G19" s="2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2">
      <c r="C20" s="1" t="s">
        <v>31</v>
      </c>
      <c r="D20"/>
      <c r="E20"/>
      <c r="F20" s="107"/>
      <c r="G20" s="211">
        <f>input_dollars</f>
        <v>45291</v>
      </c>
      <c r="H20" s="107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/>
      <c r="AI20"/>
      <c r="AJ20"/>
      <c r="AK20"/>
    </row>
    <row r="21" spans="1:43" x14ac:dyDescent="0.2">
      <c r="G21" s="209"/>
      <c r="AH21"/>
      <c r="AI21"/>
      <c r="AJ21"/>
      <c r="AK21"/>
    </row>
    <row r="22" spans="1:43" x14ac:dyDescent="0.2">
      <c r="C22"/>
      <c r="D22"/>
      <c r="E22"/>
      <c r="G22" s="2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15" x14ac:dyDescent="0.2">
      <c r="A23" s="89" t="s">
        <v>150</v>
      </c>
      <c r="B23" s="89"/>
      <c r="C23" s="89"/>
      <c r="D23" s="89"/>
      <c r="E23" s="89"/>
      <c r="F23" s="89"/>
      <c r="G23" s="208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11"/>
      <c r="D24" s="111"/>
      <c r="E24" s="111"/>
      <c r="F24" s="111"/>
      <c r="G24" s="212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111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" t="s">
        <v>152</v>
      </c>
      <c r="D26" s="212"/>
      <c r="E26" s="111"/>
      <c r="F26" s="111"/>
      <c r="G26" s="212"/>
      <c r="H26" s="111"/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  <c r="O26" s="173">
        <v>0</v>
      </c>
      <c r="P26" s="173">
        <v>0</v>
      </c>
      <c r="Q26" s="173">
        <v>0</v>
      </c>
      <c r="R26" s="173">
        <v>0</v>
      </c>
      <c r="S26" s="173">
        <v>0</v>
      </c>
      <c r="T26" s="173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73">
        <v>0</v>
      </c>
      <c r="AA26" s="173">
        <v>0</v>
      </c>
      <c r="AB26" s="173">
        <v>0</v>
      </c>
      <c r="AC26" s="173">
        <v>0</v>
      </c>
      <c r="AD26" s="173">
        <v>0</v>
      </c>
      <c r="AE26" s="173">
        <v>0</v>
      </c>
      <c r="AF26" s="173">
        <v>0</v>
      </c>
      <c r="AG26" s="173">
        <v>0</v>
      </c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2"/>
      <c r="E27" s="111"/>
      <c r="F27" s="111"/>
      <c r="G27" s="212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123</v>
      </c>
      <c r="D28" s="209"/>
      <c r="E28"/>
      <c r="G28" s="211" t="s">
        <v>40</v>
      </c>
      <c r="H28"/>
      <c r="I28" s="172">
        <v>126.05320803874913</v>
      </c>
      <c r="J28" s="172">
        <v>22.535387606279876</v>
      </c>
      <c r="K28" s="172">
        <v>14.230099165183752</v>
      </c>
      <c r="L28" s="172">
        <v>21.27242968569043</v>
      </c>
      <c r="M28" s="172">
        <v>18.045475972315721</v>
      </c>
      <c r="N28" s="172">
        <v>36.379180428644169</v>
      </c>
      <c r="O28" s="172">
        <v>77.045837421339101</v>
      </c>
      <c r="P28" s="172">
        <v>126.43423973722346</v>
      </c>
      <c r="Q28" s="172">
        <v>126.43423973722346</v>
      </c>
      <c r="R28" s="172">
        <v>126.43423973722346</v>
      </c>
      <c r="S28" s="172">
        <v>126.43423973722346</v>
      </c>
      <c r="T28" s="172">
        <v>126.43423973722346</v>
      </c>
      <c r="U28" s="172">
        <v>126.43423973722346</v>
      </c>
      <c r="V28" s="172">
        <v>126.43423973722346</v>
      </c>
      <c r="W28" s="172">
        <v>126.43423973722346</v>
      </c>
      <c r="X28" s="172">
        <v>126.43423973722346</v>
      </c>
      <c r="Y28" s="172">
        <v>126.43423973722346</v>
      </c>
      <c r="Z28" s="172">
        <v>126.43423973722346</v>
      </c>
      <c r="AA28" s="172">
        <v>126.43423973722346</v>
      </c>
      <c r="AB28" s="172">
        <v>126.43423973722346</v>
      </c>
      <c r="AC28" s="172">
        <v>126.43423973722346</v>
      </c>
      <c r="AD28" s="172">
        <v>126.43423973722346</v>
      </c>
      <c r="AE28" s="172">
        <v>126.43423973722346</v>
      </c>
      <c r="AF28" s="172">
        <v>126.43423973722346</v>
      </c>
      <c r="AG28" s="172">
        <v>126.43423973722346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124</v>
      </c>
      <c r="D29" s="209" t="s">
        <v>63</v>
      </c>
      <c r="E29" s="113">
        <f>Assumptions!H41*vcr_esc</f>
        <v>42566</v>
      </c>
      <c r="F29" s="242" t="str">
        <f>IF(AND(SUM(I28:AG28)&lt;&gt;0, E29=0), "!", "")</f>
        <v/>
      </c>
      <c r="G29" s="211">
        <f>input_dollars</f>
        <v>45291</v>
      </c>
      <c r="H29"/>
      <c r="I29" s="119">
        <f>I28*$E$29</f>
        <v>5365580.8533773953</v>
      </c>
      <c r="J29" s="119">
        <f t="shared" ref="J29:AG29" si="2">J28*$E$29</f>
        <v>959241.30884890922</v>
      </c>
      <c r="K29" s="119">
        <f t="shared" si="2"/>
        <v>605718.40106521163</v>
      </c>
      <c r="L29" s="119">
        <f t="shared" si="2"/>
        <v>905482.24200109881</v>
      </c>
      <c r="M29" s="119">
        <f t="shared" si="2"/>
        <v>768123.73023759096</v>
      </c>
      <c r="N29" s="119">
        <f t="shared" si="2"/>
        <v>1548516.1941256677</v>
      </c>
      <c r="O29" s="119">
        <f t="shared" si="2"/>
        <v>3279533.1156767202</v>
      </c>
      <c r="P29" s="119">
        <f t="shared" si="2"/>
        <v>5381799.8486546539</v>
      </c>
      <c r="Q29" s="119">
        <f t="shared" si="2"/>
        <v>5381799.8486546539</v>
      </c>
      <c r="R29" s="119">
        <f t="shared" si="2"/>
        <v>5381799.8486546539</v>
      </c>
      <c r="S29" s="119">
        <f t="shared" si="2"/>
        <v>5381799.8486546539</v>
      </c>
      <c r="T29" s="119">
        <f t="shared" si="2"/>
        <v>5381799.8486546539</v>
      </c>
      <c r="U29" s="119">
        <f t="shared" si="2"/>
        <v>5381799.8486546539</v>
      </c>
      <c r="V29" s="119">
        <f t="shared" si="2"/>
        <v>5381799.8486546539</v>
      </c>
      <c r="W29" s="119">
        <f t="shared" si="2"/>
        <v>5381799.8486546539</v>
      </c>
      <c r="X29" s="119">
        <f t="shared" si="2"/>
        <v>5381799.8486546539</v>
      </c>
      <c r="Y29" s="119">
        <f t="shared" si="2"/>
        <v>5381799.8486546539</v>
      </c>
      <c r="Z29" s="119">
        <f t="shared" si="2"/>
        <v>5381799.8486546539</v>
      </c>
      <c r="AA29" s="119">
        <f t="shared" si="2"/>
        <v>5381799.8486546539</v>
      </c>
      <c r="AB29" s="119">
        <f t="shared" si="2"/>
        <v>5381799.8486546539</v>
      </c>
      <c r="AC29" s="119">
        <f t="shared" si="2"/>
        <v>5381799.8486546539</v>
      </c>
      <c r="AD29" s="119">
        <f t="shared" si="2"/>
        <v>5381799.8486546539</v>
      </c>
      <c r="AE29" s="119">
        <f t="shared" si="2"/>
        <v>5381799.8486546539</v>
      </c>
      <c r="AF29" s="119">
        <f t="shared" si="2"/>
        <v>5381799.8486546539</v>
      </c>
      <c r="AG29" s="119">
        <f t="shared" si="2"/>
        <v>5381799.8486546539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10"/>
      <c r="E30"/>
      <c r="G30" s="21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114</v>
      </c>
      <c r="D31" s="209" t="s">
        <v>208</v>
      </c>
      <c r="G31" s="211">
        <f>input_dollars</f>
        <v>45291</v>
      </c>
      <c r="H31" s="152"/>
      <c r="I31" s="174" cm="1">
        <f t="array" ref="I31">SUMPRODUCT((Assumptions!$H$70:$H$71)*(Assumptions!$G$70:$G$71)*(Assumptions!$I$70:$I$71)*(I$25:I$26))</f>
        <v>0</v>
      </c>
      <c r="J31" s="174" cm="1">
        <f t="array" ref="J31">SUMPRODUCT((Assumptions!$H$70:$H$71)*(Assumptions!$G$70:$G$71)*(Assumptions!$I$70:$I$71)*(J$25:J$26))</f>
        <v>0</v>
      </c>
      <c r="K31" s="174" cm="1">
        <f t="array" ref="K31">SUMPRODUCT((Assumptions!$H$70:$H$71)*(Assumptions!$G$70:$G$71)*(Assumptions!$I$70:$I$71)*(K$25:K$26))</f>
        <v>0</v>
      </c>
      <c r="L31" s="174" cm="1">
        <f t="array" ref="L31">SUMPRODUCT((Assumptions!$H$70:$H$71)*(Assumptions!$G$70:$G$71)*(Assumptions!$I$70:$I$71)*(L$25:L$26))</f>
        <v>0</v>
      </c>
      <c r="M31" s="174" cm="1">
        <f t="array" ref="M31">SUMPRODUCT((Assumptions!$H$70:$H$71)*(Assumptions!$G$70:$G$71)*(Assumptions!$I$70:$I$71)*(M$25:M$26))</f>
        <v>0</v>
      </c>
      <c r="N31" s="174" cm="1">
        <f t="array" ref="N31">SUMPRODUCT((Assumptions!$H$70:$H$71)*(Assumptions!$G$70:$G$71)*(Assumptions!$I$70:$I$71)*(N$25:N$26))</f>
        <v>0</v>
      </c>
      <c r="O31" s="174" cm="1">
        <f t="array" ref="O31">SUMPRODUCT((Assumptions!$H$70:$H$71)*(Assumptions!$G$70:$G$71)*(Assumptions!$I$70:$I$71)*(O$25:O$26))</f>
        <v>0</v>
      </c>
      <c r="P31" s="174" cm="1">
        <f t="array" ref="P31">SUMPRODUCT((Assumptions!$H$70:$H$71)*(Assumptions!$G$70:$G$71)*(Assumptions!$I$70:$I$71)*(P$25:P$26))</f>
        <v>0</v>
      </c>
      <c r="Q31" s="174" cm="1">
        <f t="array" ref="Q31">SUMPRODUCT((Assumptions!$H$70:$H$71)*(Assumptions!$G$70:$G$71)*(Assumptions!$I$70:$I$71)*(Q$25:Q$26))</f>
        <v>0</v>
      </c>
      <c r="R31" s="174" cm="1">
        <f t="array" ref="R31">SUMPRODUCT((Assumptions!$H$70:$H$71)*(Assumptions!$G$70:$G$71)*(Assumptions!$I$70:$I$71)*(R$25:R$26))</f>
        <v>0</v>
      </c>
      <c r="S31" s="174" cm="1">
        <f t="array" ref="S31">SUMPRODUCT((Assumptions!$H$70:$H$71)*(Assumptions!$G$70:$G$71)*(Assumptions!$I$70:$I$71)*(S$25:S$26))</f>
        <v>0</v>
      </c>
      <c r="T31" s="174" cm="1">
        <f t="array" ref="T31">SUMPRODUCT((Assumptions!$H$70:$H$71)*(Assumptions!$G$70:$G$71)*(Assumptions!$I$70:$I$71)*(T$25:T$26))</f>
        <v>0</v>
      </c>
      <c r="U31" s="174" cm="1">
        <f t="array" ref="U31">SUMPRODUCT((Assumptions!$H$70:$H$71)*(Assumptions!$G$70:$G$71)*(Assumptions!$I$70:$I$71)*(U$25:U$26))</f>
        <v>0</v>
      </c>
      <c r="V31" s="174" cm="1">
        <f t="array" ref="V31">SUMPRODUCT((Assumptions!$H$70:$H$71)*(Assumptions!$G$70:$G$71)*(Assumptions!$I$70:$I$71)*(V$25:V$26))</f>
        <v>0</v>
      </c>
      <c r="W31" s="174" cm="1">
        <f t="array" ref="W31">SUMPRODUCT((Assumptions!$H$70:$H$71)*(Assumptions!$G$70:$G$71)*(Assumptions!$I$70:$I$71)*(W$25:W$26))</f>
        <v>0</v>
      </c>
      <c r="X31" s="174" cm="1">
        <f t="array" ref="X31">SUMPRODUCT((Assumptions!$H$70:$H$71)*(Assumptions!$G$70:$G$71)*(Assumptions!$I$70:$I$71)*(X$25:X$26))</f>
        <v>0</v>
      </c>
      <c r="Y31" s="174" cm="1">
        <f t="array" ref="Y31">SUMPRODUCT((Assumptions!$H$70:$H$71)*(Assumptions!$G$70:$G$71)*(Assumptions!$I$70:$I$71)*(Y$25:Y$26))</f>
        <v>0</v>
      </c>
      <c r="Z31" s="174" cm="1">
        <f t="array" ref="Z31">SUMPRODUCT((Assumptions!$H$70:$H$71)*(Assumptions!$G$70:$G$71)*(Assumptions!$I$70:$I$71)*(Z$25:Z$26))</f>
        <v>0</v>
      </c>
      <c r="AA31" s="174" cm="1">
        <f t="array" ref="AA31">SUMPRODUCT((Assumptions!$H$70:$H$71)*(Assumptions!$G$70:$G$71)*(Assumptions!$I$70:$I$71)*(AA$25:AA$26))</f>
        <v>0</v>
      </c>
      <c r="AB31" s="174" cm="1">
        <f t="array" ref="AB31">SUMPRODUCT((Assumptions!$H$70:$H$71)*(Assumptions!$G$70:$G$71)*(Assumptions!$I$70:$I$71)*(AB$25:AB$26))</f>
        <v>0</v>
      </c>
      <c r="AC31" s="174" cm="1">
        <f t="array" ref="AC31">SUMPRODUCT((Assumptions!$H$70:$H$71)*(Assumptions!$G$70:$G$71)*(Assumptions!$I$70:$I$71)*(AC$25:AC$26))</f>
        <v>0</v>
      </c>
      <c r="AD31" s="174" cm="1">
        <f t="array" ref="AD31">SUMPRODUCT((Assumptions!$H$70:$H$71)*(Assumptions!$G$70:$G$71)*(Assumptions!$I$70:$I$71)*(AD$25:AD$26))</f>
        <v>0</v>
      </c>
      <c r="AE31" s="174" cm="1">
        <f t="array" ref="AE31">SUMPRODUCT((Assumptions!$H$70:$H$71)*(Assumptions!$G$70:$G$71)*(Assumptions!$I$70:$I$71)*(AE$25:AE$26))</f>
        <v>0</v>
      </c>
      <c r="AF31" s="174" cm="1">
        <f t="array" ref="AF31">SUMPRODUCT((Assumptions!$H$70:$H$71)*(Assumptions!$G$70:$G$71)*(Assumptions!$I$70:$I$71)*(AF$25:AF$26))</f>
        <v>0</v>
      </c>
      <c r="AG31" s="174" cm="1">
        <f t="array" ref="AG31">SUMPRODUCT((Assumptions!$H$70:$H$71)*(Assumptions!$G$70:$G$71)*(Assumptions!$I$70:$I$71)*(AG$25:AG$26))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116</v>
      </c>
      <c r="D32" s="210"/>
      <c r="E32"/>
      <c r="G32" s="211">
        <f>input_dollars</f>
        <v>45291</v>
      </c>
      <c r="H32" s="152"/>
      <c r="I32" s="174" cm="1">
        <f t="array" ref="I32">(1+Assumptions!$G$81)*SUMPRODUCT((Assumptions!$G$78:$G$79)*(I$25:I$26))</f>
        <v>0</v>
      </c>
      <c r="J32" s="174" cm="1">
        <f t="array" ref="J32">(1+Assumptions!$G$81)*SUMPRODUCT((Assumptions!$G$78:$G$79)*(J$25:J$26))</f>
        <v>0</v>
      </c>
      <c r="K32" s="174" cm="1">
        <f t="array" ref="K32">(1+Assumptions!$G$81)*SUMPRODUCT((Assumptions!$G$78:$G$79)*(K$25:K$26))</f>
        <v>0</v>
      </c>
      <c r="L32" s="174" cm="1">
        <f t="array" ref="L32">(1+Assumptions!$G$81)*SUMPRODUCT((Assumptions!$G$78:$G$79)*(L$25:L$26))</f>
        <v>0</v>
      </c>
      <c r="M32" s="174" cm="1">
        <f t="array" ref="M32">(1+Assumptions!$G$81)*SUMPRODUCT((Assumptions!$G$78:$G$79)*(M$25:M$26))</f>
        <v>0</v>
      </c>
      <c r="N32" s="174" cm="1">
        <f t="array" ref="N32">(1+Assumptions!$G$81)*SUMPRODUCT((Assumptions!$G$78:$G$79)*(N$25:N$26))</f>
        <v>0</v>
      </c>
      <c r="O32" s="174" cm="1">
        <f t="array" ref="O32">(1+Assumptions!$G$81)*SUMPRODUCT((Assumptions!$G$78:$G$79)*(O$25:O$26))</f>
        <v>0</v>
      </c>
      <c r="P32" s="174" cm="1">
        <f t="array" ref="P32">(1+Assumptions!$G$81)*SUMPRODUCT((Assumptions!$G$78:$G$79)*(P$25:P$26))</f>
        <v>0</v>
      </c>
      <c r="Q32" s="174" cm="1">
        <f t="array" ref="Q32">(1+Assumptions!$G$81)*SUMPRODUCT((Assumptions!$G$78:$G$79)*(Q$25:Q$26))</f>
        <v>0</v>
      </c>
      <c r="R32" s="174" cm="1">
        <f t="array" ref="R32">(1+Assumptions!$G$81)*SUMPRODUCT((Assumptions!$G$78:$G$79)*(R$25:R$26))</f>
        <v>0</v>
      </c>
      <c r="S32" s="174" cm="1">
        <f t="array" ref="S32">(1+Assumptions!$G$81)*SUMPRODUCT((Assumptions!$G$78:$G$79)*(S$25:S$26))</f>
        <v>0</v>
      </c>
      <c r="T32" s="174" cm="1">
        <f t="array" ref="T32">(1+Assumptions!$G$81)*SUMPRODUCT((Assumptions!$G$78:$G$79)*(T$25:T$26))</f>
        <v>0</v>
      </c>
      <c r="U32" s="174" cm="1">
        <f t="array" ref="U32">(1+Assumptions!$G$81)*SUMPRODUCT((Assumptions!$G$78:$G$79)*(U$25:U$26))</f>
        <v>0</v>
      </c>
      <c r="V32" s="174" cm="1">
        <f t="array" ref="V32">(1+Assumptions!$G$81)*SUMPRODUCT((Assumptions!$G$78:$G$79)*(V$25:V$26))</f>
        <v>0</v>
      </c>
      <c r="W32" s="174" cm="1">
        <f t="array" ref="W32">(1+Assumptions!$G$81)*SUMPRODUCT((Assumptions!$G$78:$G$79)*(W$25:W$26))</f>
        <v>0</v>
      </c>
      <c r="X32" s="174" cm="1">
        <f t="array" ref="X32">(1+Assumptions!$G$81)*SUMPRODUCT((Assumptions!$G$78:$G$79)*(X$25:X$26))</f>
        <v>0</v>
      </c>
      <c r="Y32" s="174" cm="1">
        <f t="array" ref="Y32">(1+Assumptions!$G$81)*SUMPRODUCT((Assumptions!$G$78:$G$79)*(Y$25:Y$26))</f>
        <v>0</v>
      </c>
      <c r="Z32" s="174" cm="1">
        <f t="array" ref="Z32">(1+Assumptions!$G$81)*SUMPRODUCT((Assumptions!$G$78:$G$79)*(Z$25:Z$26))</f>
        <v>0</v>
      </c>
      <c r="AA32" s="174" cm="1">
        <f t="array" ref="AA32">(1+Assumptions!$G$81)*SUMPRODUCT((Assumptions!$G$78:$G$79)*(AA$25:AA$26))</f>
        <v>0</v>
      </c>
      <c r="AB32" s="174" cm="1">
        <f t="array" ref="AB32">(1+Assumptions!$G$81)*SUMPRODUCT((Assumptions!$G$78:$G$79)*(AB$25:AB$26))</f>
        <v>0</v>
      </c>
      <c r="AC32" s="174" cm="1">
        <f t="array" ref="AC32">(1+Assumptions!$G$81)*SUMPRODUCT((Assumptions!$G$78:$G$79)*(AC$25:AC$26))</f>
        <v>0</v>
      </c>
      <c r="AD32" s="174" cm="1">
        <f t="array" ref="AD32">(1+Assumptions!$G$81)*SUMPRODUCT((Assumptions!$G$78:$G$79)*(AD$25:AD$26))</f>
        <v>0</v>
      </c>
      <c r="AE32" s="174" cm="1">
        <f t="array" ref="AE32">(1+Assumptions!$G$81)*SUMPRODUCT((Assumptions!$G$78:$G$79)*(AE$25:AE$26))</f>
        <v>0</v>
      </c>
      <c r="AF32" s="174" cm="1">
        <f t="array" ref="AF32">(1+Assumptions!$G$81)*SUMPRODUCT((Assumptions!$G$78:$G$79)*(AF$25:AF$26))</f>
        <v>0</v>
      </c>
      <c r="AG32" s="174" cm="1">
        <f t="array" ref="AG32">(1+Assumptions!$G$81)*SUMPRODUCT((Assumptions!$G$78:$G$79)*(AG$25:AG$26))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115</v>
      </c>
      <c r="D33" s="209" t="s">
        <v>208</v>
      </c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23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  <c r="AC34" s="139">
        <v>0</v>
      </c>
      <c r="AD34" s="139">
        <v>0</v>
      </c>
      <c r="AE34" s="139">
        <v>0</v>
      </c>
      <c r="AF34" s="139">
        <v>0</v>
      </c>
      <c r="AG34" s="13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289" t="s">
        <v>173</v>
      </c>
      <c r="D35" s="210"/>
      <c r="E35"/>
      <c r="G35" s="211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10"/>
      <c r="E36"/>
      <c r="G36" s="21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172</v>
      </c>
      <c r="D37" s="222"/>
      <c r="E37" s="107"/>
      <c r="F37" s="3"/>
      <c r="G37" s="213"/>
      <c r="H37" s="107"/>
      <c r="I37" s="174">
        <f>SUM(I29:I35)</f>
        <v>5365580.8533773953</v>
      </c>
      <c r="J37" s="174">
        <f t="shared" ref="J37:AG37" si="3">SUM(J29:J35)</f>
        <v>959241.30884890922</v>
      </c>
      <c r="K37" s="174">
        <f t="shared" si="3"/>
        <v>605718.40106521163</v>
      </c>
      <c r="L37" s="174">
        <f t="shared" si="3"/>
        <v>905482.24200109881</v>
      </c>
      <c r="M37" s="174">
        <f t="shared" si="3"/>
        <v>768123.73023759096</v>
      </c>
      <c r="N37" s="174">
        <f t="shared" si="3"/>
        <v>1548516.1941256677</v>
      </c>
      <c r="O37" s="174">
        <f t="shared" si="3"/>
        <v>3279533.1156767202</v>
      </c>
      <c r="P37" s="174">
        <f t="shared" si="3"/>
        <v>5381799.8486546539</v>
      </c>
      <c r="Q37" s="174">
        <f t="shared" si="3"/>
        <v>5381799.8486546539</v>
      </c>
      <c r="R37" s="174">
        <f t="shared" si="3"/>
        <v>5381799.8486546539</v>
      </c>
      <c r="S37" s="174">
        <f t="shared" si="3"/>
        <v>5381799.8486546539</v>
      </c>
      <c r="T37" s="174">
        <f t="shared" si="3"/>
        <v>5381799.8486546539</v>
      </c>
      <c r="U37" s="174">
        <f t="shared" si="3"/>
        <v>5381799.8486546539</v>
      </c>
      <c r="V37" s="174">
        <f t="shared" si="3"/>
        <v>5381799.8486546539</v>
      </c>
      <c r="W37" s="174">
        <f t="shared" si="3"/>
        <v>5381799.8486546539</v>
      </c>
      <c r="X37" s="174">
        <f t="shared" si="3"/>
        <v>5381799.8486546539</v>
      </c>
      <c r="Y37" s="174">
        <f t="shared" si="3"/>
        <v>5381799.8486546539</v>
      </c>
      <c r="Z37" s="174">
        <f t="shared" si="3"/>
        <v>5381799.8486546539</v>
      </c>
      <c r="AA37" s="174">
        <f t="shared" si="3"/>
        <v>5381799.8486546539</v>
      </c>
      <c r="AB37" s="174">
        <f t="shared" si="3"/>
        <v>5381799.8486546539</v>
      </c>
      <c r="AC37" s="174">
        <f t="shared" si="3"/>
        <v>5381799.8486546539</v>
      </c>
      <c r="AD37" s="174">
        <f t="shared" si="3"/>
        <v>5381799.8486546539</v>
      </c>
      <c r="AE37" s="174">
        <f t="shared" si="3"/>
        <v>5381799.8486546539</v>
      </c>
      <c r="AF37" s="174">
        <f t="shared" si="3"/>
        <v>5381799.8486546539</v>
      </c>
      <c r="AG37" s="174">
        <f t="shared" si="3"/>
        <v>5381799.8486546539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1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56</v>
      </c>
      <c r="B39" s="89"/>
      <c r="C39" s="89"/>
      <c r="D39" s="89"/>
      <c r="E39" s="89"/>
      <c r="F39" s="89"/>
      <c r="G39" s="20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59</v>
      </c>
      <c r="G42" s="209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/>
      <c r="AI42"/>
      <c r="AJ42"/>
      <c r="AK42"/>
    </row>
    <row r="43" spans="1:16372" ht="13.5" x14ac:dyDescent="0.25">
      <c r="C43" s="1" t="s">
        <v>129</v>
      </c>
      <c r="G43" s="209" t="s">
        <v>104</v>
      </c>
      <c r="I43" s="85">
        <f t="shared" ref="I43:AG43" si="4">I42*I7</f>
        <v>0</v>
      </c>
      <c r="J43" s="85">
        <f t="shared" si="4"/>
        <v>0</v>
      </c>
      <c r="K43" s="85">
        <f t="shared" si="4"/>
        <v>0</v>
      </c>
      <c r="L43" s="85">
        <f t="shared" si="4"/>
        <v>0</v>
      </c>
      <c r="M43" s="85">
        <f t="shared" si="4"/>
        <v>0</v>
      </c>
      <c r="N43" s="85">
        <f t="shared" si="4"/>
        <v>0</v>
      </c>
      <c r="O43" s="85">
        <f t="shared" si="4"/>
        <v>0</v>
      </c>
      <c r="P43" s="85">
        <f t="shared" si="4"/>
        <v>0</v>
      </c>
      <c r="Q43" s="85">
        <f t="shared" si="4"/>
        <v>0</v>
      </c>
      <c r="R43" s="85">
        <f t="shared" si="4"/>
        <v>0</v>
      </c>
      <c r="S43" s="85">
        <f t="shared" si="4"/>
        <v>0</v>
      </c>
      <c r="T43" s="85">
        <f t="shared" si="4"/>
        <v>0</v>
      </c>
      <c r="U43" s="85">
        <f t="shared" si="4"/>
        <v>0</v>
      </c>
      <c r="V43" s="85">
        <f t="shared" si="4"/>
        <v>0</v>
      </c>
      <c r="W43" s="85">
        <f t="shared" si="4"/>
        <v>0</v>
      </c>
      <c r="X43" s="85">
        <f t="shared" si="4"/>
        <v>0</v>
      </c>
      <c r="Y43" s="85">
        <f t="shared" si="4"/>
        <v>0</v>
      </c>
      <c r="Z43" s="85">
        <f t="shared" si="4"/>
        <v>0</v>
      </c>
      <c r="AA43" s="85">
        <f t="shared" si="4"/>
        <v>0</v>
      </c>
      <c r="AB43" s="85">
        <f t="shared" si="4"/>
        <v>0</v>
      </c>
      <c r="AC43" s="85">
        <f t="shared" si="4"/>
        <v>0</v>
      </c>
      <c r="AD43" s="85">
        <f t="shared" si="4"/>
        <v>0</v>
      </c>
      <c r="AE43" s="85">
        <f t="shared" si="4"/>
        <v>0</v>
      </c>
      <c r="AF43" s="85">
        <f t="shared" si="4"/>
        <v>0</v>
      </c>
      <c r="AG43" s="85">
        <f t="shared" si="4"/>
        <v>0</v>
      </c>
      <c r="AH43"/>
      <c r="AI43"/>
      <c r="AJ43"/>
      <c r="AK43"/>
    </row>
    <row r="44" spans="1:16372" x14ac:dyDescent="0.2">
      <c r="D44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10"/>
      <c r="E45"/>
      <c r="G45" s="21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9" t="s">
        <v>63</v>
      </c>
      <c r="E46" s="113">
        <f>Assumptions!G94</f>
        <v>151432.81740793545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4</v>
      </c>
      <c r="D47" s="209" t="s">
        <v>63</v>
      </c>
      <c r="E47" s="113">
        <f>Assumptions!G95</f>
        <v>24590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5</v>
      </c>
      <c r="D48" s="209" t="s">
        <v>63</v>
      </c>
      <c r="E48" s="112">
        <f>Assumptions!G96</f>
        <v>88.357719508603083</v>
      </c>
      <c r="G48" s="211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15</v>
      </c>
      <c r="D49" s="209" t="s">
        <v>126</v>
      </c>
      <c r="E49" s="112">
        <f>Assumptions!G97</f>
        <v>0</v>
      </c>
      <c r="G49" s="211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9" t="s">
        <v>206</v>
      </c>
      <c r="E50" s="112">
        <f>Assumptions!G98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204</v>
      </c>
      <c r="D51" s="209" t="s">
        <v>206</v>
      </c>
      <c r="E51" s="112">
        <f>Assumptions!G99</f>
        <v>0.35181336539087127</v>
      </c>
      <c r="G51" s="211" t="s">
        <v>207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6</v>
      </c>
      <c r="D52" s="209" t="s">
        <v>126</v>
      </c>
      <c r="E52" s="112">
        <f>Assumptions!G100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C53" s="1" t="s">
        <v>7</v>
      </c>
      <c r="D53" s="209" t="s">
        <v>126</v>
      </c>
      <c r="E53" s="112">
        <f>Assumptions!G101</f>
        <v>0</v>
      </c>
      <c r="G53" s="211" t="s">
        <v>205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D54" s="209"/>
      <c r="G54" s="211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43" x14ac:dyDescent="0.2">
      <c r="C55" s="1" t="s">
        <v>117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C56" s="1" t="s">
        <v>118</v>
      </c>
      <c r="D56" s="209"/>
      <c r="G56" s="211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</row>
    <row r="57" spans="1:43" x14ac:dyDescent="0.2">
      <c r="D57" s="209"/>
      <c r="G57" s="209"/>
    </row>
    <row r="58" spans="1:43" x14ac:dyDescent="0.2">
      <c r="C58" s="3" t="s">
        <v>125</v>
      </c>
      <c r="D58" s="222"/>
      <c r="E58" s="107"/>
      <c r="F58" s="3"/>
      <c r="G58" s="214">
        <f>input_dollars</f>
        <v>45291</v>
      </c>
      <c r="H58" s="107"/>
      <c r="I58" s="174" cm="1">
        <f t="array" ref="I58">SUMPRODUCT((I$46:I$53)*($E$46:$E$53))+SUM(I55:I56)+I43</f>
        <v>0</v>
      </c>
      <c r="J58" s="174" cm="1">
        <f t="array" ref="J58">SUMPRODUCT((J$46:J$53)*($E$46:$E$53))+SUM(J55:J56)+J43</f>
        <v>0</v>
      </c>
      <c r="K58" s="174" cm="1">
        <f t="array" ref="K58">SUMPRODUCT((K$46:K$53)*($E$46:$E$53))+SUM(K55:K56)+K43</f>
        <v>0</v>
      </c>
      <c r="L58" s="174" cm="1">
        <f t="array" ref="L58">SUMPRODUCT((L$46:L$53)*($E$46:$E$53))+SUM(L55:L56)+L43</f>
        <v>0</v>
      </c>
      <c r="M58" s="174" cm="1">
        <f t="array" ref="M58">SUMPRODUCT((M$46:M$53)*($E$46:$E$53))+SUM(M55:M56)+M43</f>
        <v>0</v>
      </c>
      <c r="N58" s="174" cm="1">
        <f t="array" ref="N58">SUMPRODUCT((N$46:N$53)*($E$46:$E$53))+SUM(N55:N56)+N43</f>
        <v>0</v>
      </c>
      <c r="O58" s="174" cm="1">
        <f t="array" ref="O58">SUMPRODUCT((O$46:O$53)*($E$46:$E$53))+SUM(O55:O56)+O43</f>
        <v>0</v>
      </c>
      <c r="P58" s="174" cm="1">
        <f t="array" ref="P58">SUMPRODUCT((P$46:P$53)*($E$46:$E$53))+SUM(P55:P56)+P43</f>
        <v>0</v>
      </c>
      <c r="Q58" s="174" cm="1">
        <f t="array" ref="Q58">SUMPRODUCT((Q$46:Q$53)*($E$46:$E$53))+SUM(Q55:Q56)+Q43</f>
        <v>0</v>
      </c>
      <c r="R58" s="174" cm="1">
        <f t="array" ref="R58">SUMPRODUCT((R$46:R$53)*($E$46:$E$53))+SUM(R55:R56)+R43</f>
        <v>0</v>
      </c>
      <c r="S58" s="174" cm="1">
        <f t="array" ref="S58">SUMPRODUCT((S$46:S$53)*($E$46:$E$53))+SUM(S55:S56)+S43</f>
        <v>0</v>
      </c>
      <c r="T58" s="174" cm="1">
        <f t="array" ref="T58">SUMPRODUCT((T$46:T$53)*($E$46:$E$53))+SUM(T55:T56)+T43</f>
        <v>0</v>
      </c>
      <c r="U58" s="174" cm="1">
        <f t="array" ref="U58">SUMPRODUCT((U$46:U$53)*($E$46:$E$53))+SUM(U55:U56)+U43</f>
        <v>0</v>
      </c>
      <c r="V58" s="174" cm="1">
        <f t="array" ref="V58">SUMPRODUCT((V$46:V$53)*($E$46:$E$53))+SUM(V55:V56)+V43</f>
        <v>0</v>
      </c>
      <c r="W58" s="174" cm="1">
        <f t="array" ref="W58">SUMPRODUCT((W$46:W$53)*($E$46:$E$53))+SUM(W55:W56)+W43</f>
        <v>0</v>
      </c>
      <c r="X58" s="174" cm="1">
        <f t="array" ref="X58">SUMPRODUCT((X$46:X$53)*($E$46:$E$53))+SUM(X55:X56)+X43</f>
        <v>0</v>
      </c>
      <c r="Y58" s="174" cm="1">
        <f t="array" ref="Y58">SUMPRODUCT((Y$46:Y$53)*($E$46:$E$53))+SUM(Y55:Y56)+Y43</f>
        <v>0</v>
      </c>
      <c r="Z58" s="174" cm="1">
        <f t="array" ref="Z58">SUMPRODUCT((Z$46:Z$53)*($E$46:$E$53))+SUM(Z55:Z56)+Z43</f>
        <v>0</v>
      </c>
      <c r="AA58" s="174" cm="1">
        <f t="array" ref="AA58">SUMPRODUCT((AA$46:AA$53)*($E$46:$E$53))+SUM(AA55:AA56)+AA43</f>
        <v>0</v>
      </c>
      <c r="AB58" s="174" cm="1">
        <f t="array" ref="AB58">SUMPRODUCT((AB$46:AB$53)*($E$46:$E$53))+SUM(AB55:AB56)+AB43</f>
        <v>0</v>
      </c>
      <c r="AC58" s="174" cm="1">
        <f t="array" ref="AC58">SUMPRODUCT((AC$46:AC$53)*($E$46:$E$53))+SUM(AC55:AC56)+AC43</f>
        <v>0</v>
      </c>
      <c r="AD58" s="174" cm="1">
        <f t="array" ref="AD58">SUMPRODUCT((AD$46:AD$53)*($E$46:$E$53))+SUM(AD55:AD56)+AD43</f>
        <v>0</v>
      </c>
      <c r="AE58" s="174" cm="1">
        <f t="array" ref="AE58">SUMPRODUCT((AE$46:AE$53)*($E$46:$E$53))+SUM(AE55:AE56)+AE43</f>
        <v>0</v>
      </c>
      <c r="AF58" s="174" cm="1">
        <f t="array" ref="AF58">SUMPRODUCT((AF$46:AF$53)*($E$46:$E$53))+SUM(AF55:AF56)+AF43</f>
        <v>0</v>
      </c>
      <c r="AG58" s="174" cm="1">
        <f t="array" ref="AG58">SUMPRODUCT((AG$46:AG$53)*($E$46:$E$53))+SUM(AG55:AG56)+AG43</f>
        <v>0</v>
      </c>
    </row>
    <row r="59" spans="1:43" x14ac:dyDescent="0.2">
      <c r="D59" s="209"/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x14ac:dyDescent="0.2">
      <c r="G60" s="209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8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5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F64" s="2"/>
      <c r="G64" s="216"/>
    </row>
    <row r="65" spans="1:33" x14ac:dyDescent="0.2">
      <c r="C65" s="4" t="str">
        <f>'Option1 (base case)'!C65</f>
        <v>Risks mitigated vs base case</v>
      </c>
      <c r="G65" s="214">
        <f>input_dollars</f>
        <v>45291</v>
      </c>
      <c r="I65" s="135">
        <f>(1-INDEX(Data!$C$9:$C$13, MATCH($A$3, options,0)))*('Option1 (base case)'!I37-I37)</f>
        <v>0</v>
      </c>
      <c r="J65" s="135">
        <f>(1-INDEX(Data!$C$9:$C$13, MATCH($A$3, options,0)))*('Option1 (base case)'!J37-J37)</f>
        <v>8068753.4449888254</v>
      </c>
      <c r="K65" s="135">
        <f>(1-INDEX(Data!$C$9:$C$13, MATCH($A$3, options,0)))*('Option1 (base case)'!K37-K37)</f>
        <v>11215677.23834095</v>
      </c>
      <c r="L65" s="135">
        <f>(1-INDEX(Data!$C$9:$C$13, MATCH($A$3, options,0)))*('Option1 (base case)'!L37-L37)</f>
        <v>13837146.203154052</v>
      </c>
      <c r="M65" s="135">
        <f>(1-INDEX(Data!$C$9:$C$13, MATCH($A$3, options,0)))*('Option1 (base case)'!M37-M37)</f>
        <v>18132639.643538598</v>
      </c>
      <c r="N65" s="135">
        <f>(1-INDEX(Data!$C$9:$C$13, MATCH($A$3, options,0)))*('Option1 (base case)'!N37-N37)</f>
        <v>24433939.813450564</v>
      </c>
      <c r="O65" s="135">
        <f>(1-INDEX(Data!$C$9:$C$13, MATCH($A$3, options,0)))*('Option1 (base case)'!O37-O37)</f>
        <v>34186937.135115683</v>
      </c>
      <c r="P65" s="135">
        <f>(1-INDEX(Data!$C$9:$C$13, MATCH($A$3, options,0)))*('Option1 (base case)'!P37-P37)</f>
        <v>44446608.7302434</v>
      </c>
      <c r="Q65" s="135">
        <f>(1-INDEX(Data!$C$9:$C$13, MATCH($A$3, options,0)))*('Option1 (base case)'!Q37-Q37)</f>
        <v>56701207.095878795</v>
      </c>
      <c r="R65" s="135">
        <f>(1-INDEX(Data!$C$9:$C$13, MATCH($A$3, options,0)))*('Option1 (base case)'!R37-R37)</f>
        <v>56701207.095878795</v>
      </c>
      <c r="S65" s="135">
        <f>(1-INDEX(Data!$C$9:$C$13, MATCH($A$3, options,0)))*('Option1 (base case)'!S37-S37)</f>
        <v>56701207.095878795</v>
      </c>
      <c r="T65" s="135">
        <f>(1-INDEX(Data!$C$9:$C$13, MATCH($A$3, options,0)))*('Option1 (base case)'!T37-T37)</f>
        <v>56701207.095878795</v>
      </c>
      <c r="U65" s="135">
        <f>(1-INDEX(Data!$C$9:$C$13, MATCH($A$3, options,0)))*('Option1 (base case)'!U37-U37)</f>
        <v>56701207.095878795</v>
      </c>
      <c r="V65" s="135">
        <f>(1-INDEX(Data!$C$9:$C$13, MATCH($A$3, options,0)))*('Option1 (base case)'!V37-V37)</f>
        <v>56701207.095878795</v>
      </c>
      <c r="W65" s="135">
        <f>(1-INDEX(Data!$C$9:$C$13, MATCH($A$3, options,0)))*('Option1 (base case)'!W37-W37)</f>
        <v>56701207.095878795</v>
      </c>
      <c r="X65" s="135">
        <f>(1-INDEX(Data!$C$9:$C$13, MATCH($A$3, options,0)))*('Option1 (base case)'!X37-X37)</f>
        <v>56701207.095878795</v>
      </c>
      <c r="Y65" s="135">
        <f>(1-INDEX(Data!$C$9:$C$13, MATCH($A$3, options,0)))*('Option1 (base case)'!Y37-Y37)</f>
        <v>56701207.095878795</v>
      </c>
      <c r="Z65" s="135">
        <f>(1-INDEX(Data!$C$9:$C$13, MATCH($A$3, options,0)))*('Option1 (base case)'!Z37-Z37)</f>
        <v>56701207.095878795</v>
      </c>
      <c r="AA65" s="135">
        <f>(1-INDEX(Data!$C$9:$C$13, MATCH($A$3, options,0)))*('Option1 (base case)'!AA37-AA37)</f>
        <v>56701207.095878795</v>
      </c>
      <c r="AB65" s="135">
        <f>(1-INDEX(Data!$C$9:$C$13, MATCH($A$3, options,0)))*('Option1 (base case)'!AB37-AB37)</f>
        <v>56701207.095878795</v>
      </c>
      <c r="AC65" s="135">
        <f>(1-INDEX(Data!$C$9:$C$13, MATCH($A$3, options,0)))*('Option1 (base case)'!AC37-AC37)</f>
        <v>56701207.095878795</v>
      </c>
      <c r="AD65" s="135">
        <f>(1-INDEX(Data!$C$9:$C$13, MATCH($A$3, options,0)))*('Option1 (base case)'!AD37-AD37)</f>
        <v>56701207.095878795</v>
      </c>
      <c r="AE65" s="135">
        <f>(1-INDEX(Data!$C$9:$C$13, MATCH($A$3, options,0)))*('Option1 (base case)'!AE37-AE37)</f>
        <v>56701207.095878795</v>
      </c>
      <c r="AF65" s="135">
        <f>(1-INDEX(Data!$C$9:$C$13, MATCH($A$3, options,0)))*('Option1 (base case)'!AF37-AF37)</f>
        <v>56701207.095878795</v>
      </c>
      <c r="AG65" s="135">
        <f>(1-INDEX(Data!$C$9:$C$13, MATCH($A$3, options,0)))*('Option1 (base case)'!AG37-AG37)</f>
        <v>56701207.095878795</v>
      </c>
    </row>
    <row r="66" spans="1:33" x14ac:dyDescent="0.2">
      <c r="G66" s="216"/>
    </row>
    <row r="67" spans="1:33" x14ac:dyDescent="0.2">
      <c r="A67" s="8"/>
      <c r="B67" s="8"/>
      <c r="C67" s="150" t="s">
        <v>30</v>
      </c>
      <c r="D67" s="38"/>
      <c r="F67" s="97"/>
      <c r="G67" s="21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x14ac:dyDescent="0.2">
      <c r="A68" s="8"/>
      <c r="B68" s="8"/>
      <c r="C68" s="4" t="str">
        <f>C14</f>
        <v>MTC 3rd Tx</v>
      </c>
      <c r="D68" s="38"/>
      <c r="F68" s="97"/>
      <c r="G68" s="214">
        <f>input_dollars</f>
        <v>45291</v>
      </c>
      <c r="H68" s="31"/>
      <c r="I68" s="119">
        <f t="shared" ref="I68:AG71" si="5">-I14</f>
        <v>-14291649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 t="str">
        <f>C15</f>
        <v>BMH Rebuild</v>
      </c>
      <c r="D69" s="38"/>
      <c r="F69" s="97"/>
      <c r="G69" s="214">
        <f>input_dollars</f>
        <v>45291</v>
      </c>
      <c r="H69" s="31"/>
      <c r="I69" s="119">
        <f t="shared" si="5"/>
        <v>-13551742.666666666</v>
      </c>
      <c r="J69" s="119">
        <f t="shared" si="5"/>
        <v>-13551742.666666666</v>
      </c>
      <c r="K69" s="119">
        <f t="shared" si="5"/>
        <v>0</v>
      </c>
      <c r="L69" s="119">
        <f t="shared" si="5"/>
        <v>0</v>
      </c>
      <c r="M69" s="119">
        <f t="shared" si="5"/>
        <v>0</v>
      </c>
      <c r="N69" s="119">
        <f t="shared" si="5"/>
        <v>0</v>
      </c>
      <c r="O69" s="119">
        <f t="shared" si="5"/>
        <v>0</v>
      </c>
      <c r="P69" s="119">
        <f t="shared" si="5"/>
        <v>0</v>
      </c>
      <c r="Q69" s="119">
        <f t="shared" si="5"/>
        <v>0</v>
      </c>
      <c r="R69" s="119">
        <f t="shared" si="5"/>
        <v>0</v>
      </c>
      <c r="S69" s="119">
        <f t="shared" si="5"/>
        <v>0</v>
      </c>
      <c r="T69" s="119">
        <f t="shared" si="5"/>
        <v>0</v>
      </c>
      <c r="U69" s="119">
        <f t="shared" si="5"/>
        <v>0</v>
      </c>
      <c r="V69" s="119">
        <f t="shared" si="5"/>
        <v>0</v>
      </c>
      <c r="W69" s="119">
        <f t="shared" si="5"/>
        <v>0</v>
      </c>
      <c r="X69" s="119">
        <f t="shared" si="5"/>
        <v>0</v>
      </c>
      <c r="Y69" s="119">
        <f t="shared" si="5"/>
        <v>0</v>
      </c>
      <c r="Z69" s="119">
        <f t="shared" si="5"/>
        <v>0</v>
      </c>
      <c r="AA69" s="119">
        <f t="shared" si="5"/>
        <v>0</v>
      </c>
      <c r="AB69" s="119">
        <f t="shared" si="5"/>
        <v>0</v>
      </c>
      <c r="AC69" s="119">
        <f t="shared" si="5"/>
        <v>0</v>
      </c>
      <c r="AD69" s="119">
        <f t="shared" si="5"/>
        <v>0</v>
      </c>
      <c r="AE69" s="119">
        <f t="shared" si="5"/>
        <v>0</v>
      </c>
      <c r="AF69" s="119">
        <f t="shared" si="5"/>
        <v>0</v>
      </c>
      <c r="AG69" s="119">
        <f t="shared" si="5"/>
        <v>0</v>
      </c>
    </row>
    <row r="70" spans="1:33" x14ac:dyDescent="0.2">
      <c r="A70" s="8"/>
      <c r="B70" s="8"/>
      <c r="C70" s="4" t="str">
        <f>C16</f>
        <v>PCK Stage 1</v>
      </c>
      <c r="D70" s="38"/>
      <c r="F70" s="97"/>
      <c r="G70" s="214">
        <f>input_dollars</f>
        <v>45291</v>
      </c>
      <c r="H70" s="31"/>
      <c r="I70" s="119">
        <f t="shared" si="5"/>
        <v>0</v>
      </c>
      <c r="J70" s="119">
        <f t="shared" si="5"/>
        <v>-5483395.2999999998</v>
      </c>
      <c r="K70" s="119">
        <f t="shared" si="5"/>
        <v>-29525526.100000001</v>
      </c>
      <c r="L70" s="119">
        <f t="shared" si="5"/>
        <v>-27108549.599999998</v>
      </c>
      <c r="M70" s="119">
        <f t="shared" si="5"/>
        <v>0</v>
      </c>
      <c r="N70" s="119">
        <f t="shared" si="5"/>
        <v>0</v>
      </c>
      <c r="O70" s="119">
        <f t="shared" si="5"/>
        <v>0</v>
      </c>
      <c r="P70" s="119">
        <f t="shared" si="5"/>
        <v>0</v>
      </c>
      <c r="Q70" s="119">
        <f t="shared" si="5"/>
        <v>0</v>
      </c>
      <c r="R70" s="119">
        <f t="shared" si="5"/>
        <v>0</v>
      </c>
      <c r="S70" s="119">
        <f t="shared" si="5"/>
        <v>0</v>
      </c>
      <c r="T70" s="119">
        <f t="shared" si="5"/>
        <v>0</v>
      </c>
      <c r="U70" s="119">
        <f t="shared" si="5"/>
        <v>0</v>
      </c>
      <c r="V70" s="119">
        <f t="shared" si="5"/>
        <v>0</v>
      </c>
      <c r="W70" s="119">
        <f t="shared" si="5"/>
        <v>0</v>
      </c>
      <c r="X70" s="119">
        <f t="shared" si="5"/>
        <v>0</v>
      </c>
      <c r="Y70" s="119">
        <f t="shared" si="5"/>
        <v>0</v>
      </c>
      <c r="Z70" s="119">
        <f t="shared" si="5"/>
        <v>0</v>
      </c>
      <c r="AA70" s="119">
        <f t="shared" si="5"/>
        <v>0</v>
      </c>
      <c r="AB70" s="119">
        <f t="shared" si="5"/>
        <v>0</v>
      </c>
      <c r="AC70" s="119">
        <f t="shared" si="5"/>
        <v>0</v>
      </c>
      <c r="AD70" s="119">
        <f t="shared" si="5"/>
        <v>0</v>
      </c>
      <c r="AE70" s="119">
        <f t="shared" si="5"/>
        <v>0</v>
      </c>
      <c r="AF70" s="119">
        <f t="shared" si="5"/>
        <v>0</v>
      </c>
      <c r="AG70" s="119">
        <f t="shared" si="5"/>
        <v>0</v>
      </c>
    </row>
    <row r="71" spans="1:33" x14ac:dyDescent="0.2">
      <c r="A71" s="8"/>
      <c r="B71" s="8"/>
      <c r="C71" s="4">
        <f>C17</f>
        <v>0</v>
      </c>
      <c r="D71" s="38"/>
      <c r="F71" s="97"/>
      <c r="G71" s="214">
        <f>input_dollars</f>
        <v>45291</v>
      </c>
      <c r="H71" s="31"/>
      <c r="I71" s="119">
        <f t="shared" si="5"/>
        <v>0</v>
      </c>
      <c r="J71" s="119">
        <f t="shared" si="5"/>
        <v>0</v>
      </c>
      <c r="K71" s="119">
        <f t="shared" si="5"/>
        <v>0</v>
      </c>
      <c r="L71" s="119">
        <f t="shared" si="5"/>
        <v>0</v>
      </c>
      <c r="M71" s="119">
        <f t="shared" si="5"/>
        <v>0</v>
      </c>
      <c r="N71" s="119">
        <f t="shared" si="5"/>
        <v>0</v>
      </c>
      <c r="O71" s="119">
        <f t="shared" si="5"/>
        <v>0</v>
      </c>
      <c r="P71" s="119">
        <f t="shared" si="5"/>
        <v>0</v>
      </c>
      <c r="Q71" s="119">
        <f t="shared" si="5"/>
        <v>0</v>
      </c>
      <c r="R71" s="119">
        <f t="shared" si="5"/>
        <v>0</v>
      </c>
      <c r="S71" s="119">
        <f t="shared" si="5"/>
        <v>0</v>
      </c>
      <c r="T71" s="119">
        <f t="shared" si="5"/>
        <v>0</v>
      </c>
      <c r="U71" s="119">
        <f t="shared" si="5"/>
        <v>0</v>
      </c>
      <c r="V71" s="119">
        <f t="shared" si="5"/>
        <v>0</v>
      </c>
      <c r="W71" s="119">
        <f t="shared" si="5"/>
        <v>0</v>
      </c>
      <c r="X71" s="119">
        <f t="shared" si="5"/>
        <v>0</v>
      </c>
      <c r="Y71" s="119">
        <f t="shared" si="5"/>
        <v>0</v>
      </c>
      <c r="Z71" s="119">
        <f t="shared" si="5"/>
        <v>0</v>
      </c>
      <c r="AA71" s="119">
        <f t="shared" si="5"/>
        <v>0</v>
      </c>
      <c r="AB71" s="119">
        <f t="shared" si="5"/>
        <v>0</v>
      </c>
      <c r="AC71" s="119">
        <f t="shared" si="5"/>
        <v>0</v>
      </c>
      <c r="AD71" s="119">
        <f t="shared" si="5"/>
        <v>0</v>
      </c>
      <c r="AE71" s="119">
        <f t="shared" si="5"/>
        <v>0</v>
      </c>
      <c r="AF71" s="119">
        <f t="shared" si="5"/>
        <v>0</v>
      </c>
      <c r="AG71" s="119">
        <f t="shared" si="5"/>
        <v>0</v>
      </c>
    </row>
    <row r="72" spans="1:33" x14ac:dyDescent="0.2">
      <c r="A72" s="8"/>
      <c r="B72" s="8"/>
      <c r="C72" s="4"/>
      <c r="D72" s="38"/>
      <c r="F72" s="97"/>
      <c r="G72" s="218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x14ac:dyDescent="0.2">
      <c r="A73" s="8"/>
      <c r="B73" s="8"/>
      <c r="C73" s="150" t="s">
        <v>156</v>
      </c>
      <c r="D73" s="38"/>
      <c r="F73" s="97"/>
      <c r="G73" s="217"/>
      <c r="H73" s="31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</row>
    <row r="74" spans="1:33" x14ac:dyDescent="0.2">
      <c r="A74" s="8"/>
      <c r="B74" s="8"/>
      <c r="C74" s="4" t="str">
        <f>C14</f>
        <v>MTC 3rd Tx</v>
      </c>
      <c r="D74" s="38"/>
      <c r="F74" s="97"/>
      <c r="G74" s="214">
        <f>input_dollars</f>
        <v>45291</v>
      </c>
      <c r="H74" s="31"/>
      <c r="I74" s="119" cm="1">
        <f t="array" ref="I74">SUMPRODUCT(($I68:I68))-SUMPRODUCT(($I68:I68)*($I$6:I$6&lt;=(I$6-$E14)))</f>
        <v>-14291649</v>
      </c>
      <c r="J74" s="119" cm="1">
        <f t="array" ref="J74">SUMPRODUCT(($I68:J68))-SUMPRODUCT(($I68:J68)*($I$6:J$6&lt;=(J$6-$E14)))</f>
        <v>-14291649</v>
      </c>
      <c r="K74" s="119" cm="1">
        <f t="array" ref="K74">SUMPRODUCT(($I68:K68))-SUMPRODUCT(($I68:K68)*($I$6:K$6&lt;=(K$6-$E14)))</f>
        <v>-14291649</v>
      </c>
      <c r="L74" s="119" cm="1">
        <f t="array" ref="L74">SUMPRODUCT(($I68:L68))-SUMPRODUCT(($I68:L68)*($I$6:L$6&lt;=(L$6-$E14)))</f>
        <v>-14291649</v>
      </c>
      <c r="M74" s="119" cm="1">
        <f t="array" ref="M74">SUMPRODUCT(($I68:M68))-SUMPRODUCT(($I68:M68)*($I$6:M$6&lt;=(M$6-$E14)))</f>
        <v>-14291649</v>
      </c>
      <c r="N74" s="119" cm="1">
        <f t="array" ref="N74">SUMPRODUCT(($I68:N68))-SUMPRODUCT(($I68:N68)*($I$6:N$6&lt;=(N$6-$E14)))</f>
        <v>-14291649</v>
      </c>
      <c r="O74" s="119" cm="1">
        <f t="array" ref="O74">SUMPRODUCT(($I68:O68))-SUMPRODUCT(($I68:O68)*($I$6:O$6&lt;=(O$6-$E14)))</f>
        <v>-14291649</v>
      </c>
      <c r="P74" s="119" cm="1">
        <f t="array" ref="P74">SUMPRODUCT(($I68:P68))-SUMPRODUCT(($I68:P68)*($I$6:P$6&lt;=(P$6-$E14)))</f>
        <v>-14291649</v>
      </c>
      <c r="Q74" s="119" cm="1">
        <f t="array" ref="Q74">SUMPRODUCT(($I68:Q68))-SUMPRODUCT(($I68:Q68)*($I$6:Q$6&lt;=(Q$6-$E14)))</f>
        <v>-14291649</v>
      </c>
      <c r="R74" s="119" cm="1">
        <f t="array" ref="R74">SUMPRODUCT(($I68:R68))-SUMPRODUCT(($I68:R68)*($I$6:R$6&lt;=(R$6-$E14)))</f>
        <v>-14291649</v>
      </c>
      <c r="S74" s="119" cm="1">
        <f t="array" ref="S74">SUMPRODUCT(($I68:S68))-SUMPRODUCT(($I68:S68)*($I$6:S$6&lt;=(S$6-$E14)))</f>
        <v>-14291649</v>
      </c>
      <c r="T74" s="119" cm="1">
        <f t="array" ref="T74">SUMPRODUCT(($I68:T68))-SUMPRODUCT(($I68:T68)*($I$6:T$6&lt;=(T$6-$E14)))</f>
        <v>-14291649</v>
      </c>
      <c r="U74" s="119" cm="1">
        <f t="array" ref="U74">SUMPRODUCT(($I68:U68))-SUMPRODUCT(($I68:U68)*($I$6:U$6&lt;=(U$6-$E14)))</f>
        <v>-14291649</v>
      </c>
      <c r="V74" s="119" cm="1">
        <f t="array" ref="V74">SUMPRODUCT(($I68:V68))-SUMPRODUCT(($I68:V68)*($I$6:V$6&lt;=(V$6-$E14)))</f>
        <v>-14291649</v>
      </c>
      <c r="W74" s="119" cm="1">
        <f t="array" ref="W74">SUMPRODUCT(($I68:W68))-SUMPRODUCT(($I68:W68)*($I$6:W$6&lt;=(W$6-$E14)))</f>
        <v>-14291649</v>
      </c>
      <c r="X74" s="119" cm="1">
        <f t="array" ref="X74">SUMPRODUCT(($I68:X68))-SUMPRODUCT(($I68:X68)*($I$6:X$6&lt;=(X$6-$E14)))</f>
        <v>-14291649</v>
      </c>
      <c r="Y74" s="119" cm="1">
        <f t="array" ref="Y74">SUMPRODUCT(($I68:Y68))-SUMPRODUCT(($I68:Y68)*($I$6:Y$6&lt;=(Y$6-$E14)))</f>
        <v>-14291649</v>
      </c>
      <c r="Z74" s="119" cm="1">
        <f t="array" ref="Z74">SUMPRODUCT(($I68:Z68))-SUMPRODUCT(($I68:Z68)*($I$6:Z$6&lt;=(Z$6-$E14)))</f>
        <v>-14291649</v>
      </c>
      <c r="AA74" s="119" cm="1">
        <f t="array" ref="AA74">SUMPRODUCT(($I68:AA68))-SUMPRODUCT(($I68:AA68)*($I$6:AA$6&lt;=(AA$6-$E14)))</f>
        <v>-14291649</v>
      </c>
      <c r="AB74" s="119" cm="1">
        <f t="array" ref="AB74">SUMPRODUCT(($I68:AB68))-SUMPRODUCT(($I68:AB68)*($I$6:AB$6&lt;=(AB$6-$E14)))</f>
        <v>-14291649</v>
      </c>
      <c r="AC74" s="119" cm="1">
        <f t="array" ref="AC74">SUMPRODUCT(($I68:AC68))-SUMPRODUCT(($I68:AC68)*($I$6:AC$6&lt;=(AC$6-$E14)))</f>
        <v>-14291649</v>
      </c>
      <c r="AD74" s="119" cm="1">
        <f t="array" ref="AD74">SUMPRODUCT(($I68:AD68))-SUMPRODUCT(($I68:AD68)*($I$6:AD$6&lt;=(AD$6-$E14)))</f>
        <v>-14291649</v>
      </c>
      <c r="AE74" s="119" cm="1">
        <f t="array" ref="AE74">SUMPRODUCT(($I68:AE68))-SUMPRODUCT(($I68:AE68)*($I$6:AE$6&lt;=(AE$6-$E14)))</f>
        <v>-14291649</v>
      </c>
      <c r="AF74" s="119" cm="1">
        <f t="array" ref="AF74">SUMPRODUCT(($I68:AF68))-SUMPRODUCT(($I68:AF68)*($I$6:AF$6&lt;=(AF$6-$E14)))</f>
        <v>-14291649</v>
      </c>
      <c r="AG74" s="119" cm="1">
        <f t="array" ref="AG74">SUMPRODUCT(($I68:AG68))-SUMPRODUCT(($I68:AG68)*($I$6:AG$6&lt;=(AG$6-$E14)))</f>
        <v>-14291649</v>
      </c>
    </row>
    <row r="75" spans="1:33" x14ac:dyDescent="0.2">
      <c r="A75" s="8"/>
      <c r="B75" s="8"/>
      <c r="C75" s="4" t="str">
        <f>C15</f>
        <v>BMH Rebuild</v>
      </c>
      <c r="D75" s="38"/>
      <c r="F75" s="97"/>
      <c r="G75" s="214">
        <f>input_dollars</f>
        <v>45291</v>
      </c>
      <c r="H75" s="31"/>
      <c r="I75" s="119" cm="1">
        <f t="array" ref="I75">SUMPRODUCT(($I69:I69))-SUMPRODUCT(($I69:I69)*($I$6:I$6&lt;=(I$6-$E15)))</f>
        <v>-13551742.666666666</v>
      </c>
      <c r="J75" s="119" cm="1">
        <f t="array" ref="J75">SUMPRODUCT(($I69:J69))-SUMPRODUCT(($I69:J69)*($I$6:J$6&lt;=(J$6-$E15)))</f>
        <v>-27103485.333333332</v>
      </c>
      <c r="K75" s="119" cm="1">
        <f t="array" ref="K75">SUMPRODUCT(($I69:K69))-SUMPRODUCT(($I69:K69)*($I$6:K$6&lt;=(K$6-$E15)))</f>
        <v>-27103485.333333332</v>
      </c>
      <c r="L75" s="119" cm="1">
        <f t="array" ref="L75">SUMPRODUCT(($I69:L69))-SUMPRODUCT(($I69:L69)*($I$6:L$6&lt;=(L$6-$E15)))</f>
        <v>-27103485.333333332</v>
      </c>
      <c r="M75" s="119" cm="1">
        <f t="array" ref="M75">SUMPRODUCT(($I69:M69))-SUMPRODUCT(($I69:M69)*($I$6:M$6&lt;=(M$6-$E15)))</f>
        <v>-27103485.333333332</v>
      </c>
      <c r="N75" s="119" cm="1">
        <f t="array" ref="N75">SUMPRODUCT(($I69:N69))-SUMPRODUCT(($I69:N69)*($I$6:N$6&lt;=(N$6-$E15)))</f>
        <v>-27103485.333333332</v>
      </c>
      <c r="O75" s="119" cm="1">
        <f t="array" ref="O75">SUMPRODUCT(($I69:O69))-SUMPRODUCT(($I69:O69)*($I$6:O$6&lt;=(O$6-$E15)))</f>
        <v>-27103485.333333332</v>
      </c>
      <c r="P75" s="119" cm="1">
        <f t="array" ref="P75">SUMPRODUCT(($I69:P69))-SUMPRODUCT(($I69:P69)*($I$6:P$6&lt;=(P$6-$E15)))</f>
        <v>-27103485.333333332</v>
      </c>
      <c r="Q75" s="119" cm="1">
        <f t="array" ref="Q75">SUMPRODUCT(($I69:Q69))-SUMPRODUCT(($I69:Q69)*($I$6:Q$6&lt;=(Q$6-$E15)))</f>
        <v>-27103485.333333332</v>
      </c>
      <c r="R75" s="119" cm="1">
        <f t="array" ref="R75">SUMPRODUCT(($I69:R69))-SUMPRODUCT(($I69:R69)*($I$6:R$6&lt;=(R$6-$E15)))</f>
        <v>-27103485.333333332</v>
      </c>
      <c r="S75" s="119" cm="1">
        <f t="array" ref="S75">SUMPRODUCT(($I69:S69))-SUMPRODUCT(($I69:S69)*($I$6:S$6&lt;=(S$6-$E15)))</f>
        <v>-27103485.333333332</v>
      </c>
      <c r="T75" s="119" cm="1">
        <f t="array" ref="T75">SUMPRODUCT(($I69:T69))-SUMPRODUCT(($I69:T69)*($I$6:T$6&lt;=(T$6-$E15)))</f>
        <v>-27103485.333333332</v>
      </c>
      <c r="U75" s="119" cm="1">
        <f t="array" ref="U75">SUMPRODUCT(($I69:U69))-SUMPRODUCT(($I69:U69)*($I$6:U$6&lt;=(U$6-$E15)))</f>
        <v>-27103485.333333332</v>
      </c>
      <c r="V75" s="119" cm="1">
        <f t="array" ref="V75">SUMPRODUCT(($I69:V69))-SUMPRODUCT(($I69:V69)*($I$6:V$6&lt;=(V$6-$E15)))</f>
        <v>-27103485.333333332</v>
      </c>
      <c r="W75" s="119" cm="1">
        <f t="array" ref="W75">SUMPRODUCT(($I69:W69))-SUMPRODUCT(($I69:W69)*($I$6:W$6&lt;=(W$6-$E15)))</f>
        <v>-27103485.333333332</v>
      </c>
      <c r="X75" s="119" cm="1">
        <f t="array" ref="X75">SUMPRODUCT(($I69:X69))-SUMPRODUCT(($I69:X69)*($I$6:X$6&lt;=(X$6-$E15)))</f>
        <v>-27103485.333333332</v>
      </c>
      <c r="Y75" s="119" cm="1">
        <f t="array" ref="Y75">SUMPRODUCT(($I69:Y69))-SUMPRODUCT(($I69:Y69)*($I$6:Y$6&lt;=(Y$6-$E15)))</f>
        <v>-27103485.333333332</v>
      </c>
      <c r="Z75" s="119" cm="1">
        <f t="array" ref="Z75">SUMPRODUCT(($I69:Z69))-SUMPRODUCT(($I69:Z69)*($I$6:Z$6&lt;=(Z$6-$E15)))</f>
        <v>-27103485.333333332</v>
      </c>
      <c r="AA75" s="119" cm="1">
        <f t="array" ref="AA75">SUMPRODUCT(($I69:AA69))-SUMPRODUCT(($I69:AA69)*($I$6:AA$6&lt;=(AA$6-$E15)))</f>
        <v>-27103485.333333332</v>
      </c>
      <c r="AB75" s="119" cm="1">
        <f t="array" ref="AB75">SUMPRODUCT(($I69:AB69))-SUMPRODUCT(($I69:AB69)*($I$6:AB$6&lt;=(AB$6-$E15)))</f>
        <v>-27103485.333333332</v>
      </c>
      <c r="AC75" s="119" cm="1">
        <f t="array" ref="AC75">SUMPRODUCT(($I69:AC69))-SUMPRODUCT(($I69:AC69)*($I$6:AC$6&lt;=(AC$6-$E15)))</f>
        <v>-27103485.333333332</v>
      </c>
      <c r="AD75" s="119" cm="1">
        <f t="array" ref="AD75">SUMPRODUCT(($I69:AD69))-SUMPRODUCT(($I69:AD69)*($I$6:AD$6&lt;=(AD$6-$E15)))</f>
        <v>-27103485.333333332</v>
      </c>
      <c r="AE75" s="119" cm="1">
        <f t="array" ref="AE75">SUMPRODUCT(($I69:AE69))-SUMPRODUCT(($I69:AE69)*($I$6:AE$6&lt;=(AE$6-$E15)))</f>
        <v>-27103485.333333332</v>
      </c>
      <c r="AF75" s="119" cm="1">
        <f t="array" ref="AF75">SUMPRODUCT(($I69:AF69))-SUMPRODUCT(($I69:AF69)*($I$6:AF$6&lt;=(AF$6-$E15)))</f>
        <v>-27103485.333333332</v>
      </c>
      <c r="AG75" s="119" cm="1">
        <f t="array" ref="AG75">SUMPRODUCT(($I69:AG69))-SUMPRODUCT(($I69:AG69)*($I$6:AG$6&lt;=(AG$6-$E15)))</f>
        <v>-27103485.333333332</v>
      </c>
    </row>
    <row r="76" spans="1:33" x14ac:dyDescent="0.2">
      <c r="A76" s="8"/>
      <c r="B76" s="8"/>
      <c r="C76" s="4" t="str">
        <f>C16</f>
        <v>PCK Stage 1</v>
      </c>
      <c r="D76" s="38"/>
      <c r="F76" s="97"/>
      <c r="G76" s="214">
        <f>input_dollars</f>
        <v>45291</v>
      </c>
      <c r="H76" s="31"/>
      <c r="I76" s="119" cm="1">
        <f t="array" ref="I76">SUMPRODUCT(($I70:I70))-SUMPRODUCT(($I70:I70)*($I$6:I$6&lt;=(I$6-$E16)))</f>
        <v>0</v>
      </c>
      <c r="J76" s="119" cm="1">
        <f t="array" ref="J76">SUMPRODUCT(($I70:J70))-SUMPRODUCT(($I70:J70)*($I$6:J$6&lt;=(J$6-$E16)))</f>
        <v>-5483395.2999999998</v>
      </c>
      <c r="K76" s="119" cm="1">
        <f t="array" ref="K76">SUMPRODUCT(($I70:K70))-SUMPRODUCT(($I70:K70)*($I$6:K$6&lt;=(K$6-$E16)))</f>
        <v>-35008921.399999999</v>
      </c>
      <c r="L76" s="119" cm="1">
        <f t="array" ref="L76">SUMPRODUCT(($I70:L70))-SUMPRODUCT(($I70:L70)*($I$6:L$6&lt;=(L$6-$E16)))</f>
        <v>-62117471</v>
      </c>
      <c r="M76" s="119" cm="1">
        <f t="array" ref="M76">SUMPRODUCT(($I70:M70))-SUMPRODUCT(($I70:M70)*($I$6:M$6&lt;=(M$6-$E16)))</f>
        <v>-62117471</v>
      </c>
      <c r="N76" s="119" cm="1">
        <f t="array" ref="N76">SUMPRODUCT(($I70:N70))-SUMPRODUCT(($I70:N70)*($I$6:N$6&lt;=(N$6-$E16)))</f>
        <v>-62117471</v>
      </c>
      <c r="O76" s="119" cm="1">
        <f t="array" ref="O76">SUMPRODUCT(($I70:O70))-SUMPRODUCT(($I70:O70)*($I$6:O$6&lt;=(O$6-$E16)))</f>
        <v>-62117471</v>
      </c>
      <c r="P76" s="119" cm="1">
        <f t="array" ref="P76">SUMPRODUCT(($I70:P70))-SUMPRODUCT(($I70:P70)*($I$6:P$6&lt;=(P$6-$E16)))</f>
        <v>-62117471</v>
      </c>
      <c r="Q76" s="119" cm="1">
        <f t="array" ref="Q76">SUMPRODUCT(($I70:Q70))-SUMPRODUCT(($I70:Q70)*($I$6:Q$6&lt;=(Q$6-$E16)))</f>
        <v>-62117471</v>
      </c>
      <c r="R76" s="119" cm="1">
        <f t="array" ref="R76">SUMPRODUCT(($I70:R70))-SUMPRODUCT(($I70:R70)*($I$6:R$6&lt;=(R$6-$E16)))</f>
        <v>-62117471</v>
      </c>
      <c r="S76" s="119" cm="1">
        <f t="array" ref="S76">SUMPRODUCT(($I70:S70))-SUMPRODUCT(($I70:S70)*($I$6:S$6&lt;=(S$6-$E16)))</f>
        <v>-62117471</v>
      </c>
      <c r="T76" s="119" cm="1">
        <f t="array" ref="T76">SUMPRODUCT(($I70:T70))-SUMPRODUCT(($I70:T70)*($I$6:T$6&lt;=(T$6-$E16)))</f>
        <v>-62117471</v>
      </c>
      <c r="U76" s="119" cm="1">
        <f t="array" ref="U76">SUMPRODUCT(($I70:U70))-SUMPRODUCT(($I70:U70)*($I$6:U$6&lt;=(U$6-$E16)))</f>
        <v>-62117471</v>
      </c>
      <c r="V76" s="119" cm="1">
        <f t="array" ref="V76">SUMPRODUCT(($I70:V70))-SUMPRODUCT(($I70:V70)*($I$6:V$6&lt;=(V$6-$E16)))</f>
        <v>-62117471</v>
      </c>
      <c r="W76" s="119" cm="1">
        <f t="array" ref="W76">SUMPRODUCT(($I70:W70))-SUMPRODUCT(($I70:W70)*($I$6:W$6&lt;=(W$6-$E16)))</f>
        <v>-62117471</v>
      </c>
      <c r="X76" s="119" cm="1">
        <f t="array" ref="X76">SUMPRODUCT(($I70:X70))-SUMPRODUCT(($I70:X70)*($I$6:X$6&lt;=(X$6-$E16)))</f>
        <v>-62117471</v>
      </c>
      <c r="Y76" s="119" cm="1">
        <f t="array" ref="Y76">SUMPRODUCT(($I70:Y70))-SUMPRODUCT(($I70:Y70)*($I$6:Y$6&lt;=(Y$6-$E16)))</f>
        <v>-62117471</v>
      </c>
      <c r="Z76" s="119" cm="1">
        <f t="array" ref="Z76">SUMPRODUCT(($I70:Z70))-SUMPRODUCT(($I70:Z70)*($I$6:Z$6&lt;=(Z$6-$E16)))</f>
        <v>-62117471</v>
      </c>
      <c r="AA76" s="119" cm="1">
        <f t="array" ref="AA76">SUMPRODUCT(($I70:AA70))-SUMPRODUCT(($I70:AA70)*($I$6:AA$6&lt;=(AA$6-$E16)))</f>
        <v>-62117471</v>
      </c>
      <c r="AB76" s="119" cm="1">
        <f t="array" ref="AB76">SUMPRODUCT(($I70:AB70))-SUMPRODUCT(($I70:AB70)*($I$6:AB$6&lt;=(AB$6-$E16)))</f>
        <v>-62117471</v>
      </c>
      <c r="AC76" s="119" cm="1">
        <f t="array" ref="AC76">SUMPRODUCT(($I70:AC70))-SUMPRODUCT(($I70:AC70)*($I$6:AC$6&lt;=(AC$6-$E16)))</f>
        <v>-62117471</v>
      </c>
      <c r="AD76" s="119" cm="1">
        <f t="array" ref="AD76">SUMPRODUCT(($I70:AD70))-SUMPRODUCT(($I70:AD70)*($I$6:AD$6&lt;=(AD$6-$E16)))</f>
        <v>-62117471</v>
      </c>
      <c r="AE76" s="119" cm="1">
        <f t="array" ref="AE76">SUMPRODUCT(($I70:AE70))-SUMPRODUCT(($I70:AE70)*($I$6:AE$6&lt;=(AE$6-$E16)))</f>
        <v>-62117471</v>
      </c>
      <c r="AF76" s="119" cm="1">
        <f t="array" ref="AF76">SUMPRODUCT(($I70:AF70))-SUMPRODUCT(($I70:AF70)*($I$6:AF$6&lt;=(AF$6-$E16)))</f>
        <v>-62117471</v>
      </c>
      <c r="AG76" s="119" cm="1">
        <f t="array" ref="AG76">SUMPRODUCT(($I70:AG70))-SUMPRODUCT(($I70:AG70)*($I$6:AG$6&lt;=(AG$6-$E16)))</f>
        <v>-62117471</v>
      </c>
    </row>
    <row r="77" spans="1:33" x14ac:dyDescent="0.2">
      <c r="A77" s="8"/>
      <c r="B77" s="8"/>
      <c r="C77" s="4">
        <f>C17</f>
        <v>0</v>
      </c>
      <c r="D77" s="38"/>
      <c r="F77" s="97"/>
      <c r="G77" s="214">
        <f>input_dollars</f>
        <v>45291</v>
      </c>
      <c r="H77" s="31"/>
      <c r="I77" s="119" cm="1">
        <f t="array" ref="I77">SUMPRODUCT(($I71:I71))-SUMPRODUCT(($I71:I71)*($I$6:I$6&lt;=(I$6-$E17)))</f>
        <v>0</v>
      </c>
      <c r="J77" s="119" cm="1">
        <f t="array" ref="J77">SUMPRODUCT(($I71:J71))-SUMPRODUCT(($I71:J71)*($I$6:J$6&lt;=(J$6-$E17)))</f>
        <v>0</v>
      </c>
      <c r="K77" s="119" cm="1">
        <f t="array" ref="K77">SUMPRODUCT(($I71:K71))-SUMPRODUCT(($I71:K71)*($I$6:K$6&lt;=(K$6-$E17)))</f>
        <v>0</v>
      </c>
      <c r="L77" s="119" cm="1">
        <f t="array" ref="L77">SUMPRODUCT(($I71:L71))-SUMPRODUCT(($I71:L71)*($I$6:L$6&lt;=(L$6-$E17)))</f>
        <v>0</v>
      </c>
      <c r="M77" s="119" cm="1">
        <f t="array" ref="M77">SUMPRODUCT(($I71:M71))-SUMPRODUCT(($I71:M71)*($I$6:M$6&lt;=(M$6-$E17)))</f>
        <v>0</v>
      </c>
      <c r="N77" s="119" cm="1">
        <f t="array" ref="N77">SUMPRODUCT(($I71:N71))-SUMPRODUCT(($I71:N71)*($I$6:N$6&lt;=(N$6-$E17)))</f>
        <v>0</v>
      </c>
      <c r="O77" s="119" cm="1">
        <f t="array" ref="O77">SUMPRODUCT(($I71:O71))-SUMPRODUCT(($I71:O71)*($I$6:O$6&lt;=(O$6-$E17)))</f>
        <v>0</v>
      </c>
      <c r="P77" s="119" cm="1">
        <f t="array" ref="P77">SUMPRODUCT(($I71:P71))-SUMPRODUCT(($I71:P71)*($I$6:P$6&lt;=(P$6-$E17)))</f>
        <v>0</v>
      </c>
      <c r="Q77" s="119" cm="1">
        <f t="array" ref="Q77">SUMPRODUCT(($I71:Q71))-SUMPRODUCT(($I71:Q71)*($I$6:Q$6&lt;=(Q$6-$E17)))</f>
        <v>0</v>
      </c>
      <c r="R77" s="119" cm="1">
        <f t="array" ref="R77">SUMPRODUCT(($I71:R71))-SUMPRODUCT(($I71:R71)*($I$6:R$6&lt;=(R$6-$E17)))</f>
        <v>0</v>
      </c>
      <c r="S77" s="119" cm="1">
        <f t="array" ref="S77">SUMPRODUCT(($I71:S71))-SUMPRODUCT(($I71:S71)*($I$6:S$6&lt;=(S$6-$E17)))</f>
        <v>0</v>
      </c>
      <c r="T77" s="119" cm="1">
        <f t="array" ref="T77">SUMPRODUCT(($I71:T71))-SUMPRODUCT(($I71:T71)*($I$6:T$6&lt;=(T$6-$E17)))</f>
        <v>0</v>
      </c>
      <c r="U77" s="119" cm="1">
        <f t="array" ref="U77">SUMPRODUCT(($I71:U71))-SUMPRODUCT(($I71:U71)*($I$6:U$6&lt;=(U$6-$E17)))</f>
        <v>0</v>
      </c>
      <c r="V77" s="119" cm="1">
        <f t="array" ref="V77">SUMPRODUCT(($I71:V71))-SUMPRODUCT(($I71:V71)*($I$6:V$6&lt;=(V$6-$E17)))</f>
        <v>0</v>
      </c>
      <c r="W77" s="119" cm="1">
        <f t="array" ref="W77">SUMPRODUCT(($I71:W71))-SUMPRODUCT(($I71:W71)*($I$6:W$6&lt;=(W$6-$E17)))</f>
        <v>0</v>
      </c>
      <c r="X77" s="119" cm="1">
        <f t="array" ref="X77">SUMPRODUCT(($I71:X71))-SUMPRODUCT(($I71:X71)*($I$6:X$6&lt;=(X$6-$E17)))</f>
        <v>0</v>
      </c>
      <c r="Y77" s="119" cm="1">
        <f t="array" ref="Y77">SUMPRODUCT(($I71:Y71))-SUMPRODUCT(($I71:Y71)*($I$6:Y$6&lt;=(Y$6-$E17)))</f>
        <v>0</v>
      </c>
      <c r="Z77" s="119" cm="1">
        <f t="array" ref="Z77">SUMPRODUCT(($I71:Z71))-SUMPRODUCT(($I71:Z71)*($I$6:Z$6&lt;=(Z$6-$E17)))</f>
        <v>0</v>
      </c>
      <c r="AA77" s="119" cm="1">
        <f t="array" ref="AA77">SUMPRODUCT(($I71:AA71))-SUMPRODUCT(($I71:AA71)*($I$6:AA$6&lt;=(AA$6-$E17)))</f>
        <v>0</v>
      </c>
      <c r="AB77" s="119" cm="1">
        <f t="array" ref="AB77">SUMPRODUCT(($I71:AB71))-SUMPRODUCT(($I71:AB71)*($I$6:AB$6&lt;=(AB$6-$E17)))</f>
        <v>0</v>
      </c>
      <c r="AC77" s="119" cm="1">
        <f t="array" ref="AC77">SUMPRODUCT(($I71:AC71))-SUMPRODUCT(($I71:AC71)*($I$6:AC$6&lt;=(AC$6-$E17)))</f>
        <v>0</v>
      </c>
      <c r="AD77" s="119" cm="1">
        <f t="array" ref="AD77">SUMPRODUCT(($I71:AD71))-SUMPRODUCT(($I71:AD71)*($I$6:AD$6&lt;=(AD$6-$E17)))</f>
        <v>0</v>
      </c>
      <c r="AE77" s="119" cm="1">
        <f t="array" ref="AE77">SUMPRODUCT(($I71:AE71))-SUMPRODUCT(($I71:AE71)*($I$6:AE$6&lt;=(AE$6-$E17)))</f>
        <v>0</v>
      </c>
      <c r="AF77" s="119" cm="1">
        <f t="array" ref="AF77">SUMPRODUCT(($I71:AF71))-SUMPRODUCT(($I71:AF71)*($I$6:AF$6&lt;=(AF$6-$E17)))</f>
        <v>0</v>
      </c>
      <c r="AG77" s="119" cm="1">
        <f t="array" ref="AG77">SUMPRODUCT(($I71:AG71))-SUMPRODUCT(($I71:AG71)*($I$6:AG$6&lt;=(AG$6-$E17)))</f>
        <v>0</v>
      </c>
    </row>
    <row r="78" spans="1:33" x14ac:dyDescent="0.2">
      <c r="A78" s="8"/>
      <c r="B78" s="8"/>
      <c r="C78" s="4"/>
      <c r="D78" s="38"/>
      <c r="F78" s="97"/>
      <c r="G78" s="218"/>
      <c r="H78" s="31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</row>
    <row r="79" spans="1:33" x14ac:dyDescent="0.2">
      <c r="A79" s="8"/>
      <c r="B79" s="8"/>
      <c r="C79" s="150" t="s">
        <v>91</v>
      </c>
      <c r="D79" s="38"/>
      <c r="F79" s="97"/>
      <c r="G79" s="217"/>
      <c r="H79" s="31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</row>
    <row r="80" spans="1:33" x14ac:dyDescent="0.2">
      <c r="A80" s="8"/>
      <c r="B80" s="8"/>
      <c r="C80" s="4" t="str">
        <f>$C$79&amp;" - "&amp;C14</f>
        <v>Annualised capex - MTC 3rd Tx</v>
      </c>
      <c r="D80" s="38"/>
      <c r="F80" s="97"/>
      <c r="G80" s="214">
        <f>input_dollars</f>
        <v>45291</v>
      </c>
      <c r="H80" s="31"/>
      <c r="I80" s="119">
        <f t="shared" ref="I80:AG80" si="6">IF($E14=0,0,-PMT(real_disc, $E14,H74,))</f>
        <v>0</v>
      </c>
      <c r="J80" s="119">
        <f t="shared" si="6"/>
        <v>-609306.01269304589</v>
      </c>
      <c r="K80" s="119">
        <f t="shared" si="6"/>
        <v>-609306.01269304589</v>
      </c>
      <c r="L80" s="119">
        <f t="shared" si="6"/>
        <v>-609306.01269304589</v>
      </c>
      <c r="M80" s="119">
        <f t="shared" si="6"/>
        <v>-609306.01269304589</v>
      </c>
      <c r="N80" s="119">
        <f t="shared" si="6"/>
        <v>-609306.01269304589</v>
      </c>
      <c r="O80" s="119">
        <f t="shared" si="6"/>
        <v>-609306.01269304589</v>
      </c>
      <c r="P80" s="119">
        <f t="shared" si="6"/>
        <v>-609306.01269304589</v>
      </c>
      <c r="Q80" s="119">
        <f t="shared" si="6"/>
        <v>-609306.01269304589</v>
      </c>
      <c r="R80" s="119">
        <f t="shared" si="6"/>
        <v>-609306.01269304589</v>
      </c>
      <c r="S80" s="119">
        <f t="shared" si="6"/>
        <v>-609306.01269304589</v>
      </c>
      <c r="T80" s="119">
        <f t="shared" si="6"/>
        <v>-609306.01269304589</v>
      </c>
      <c r="U80" s="119">
        <f t="shared" si="6"/>
        <v>-609306.01269304589</v>
      </c>
      <c r="V80" s="119">
        <f t="shared" si="6"/>
        <v>-609306.01269304589</v>
      </c>
      <c r="W80" s="119">
        <f t="shared" si="6"/>
        <v>-609306.01269304589</v>
      </c>
      <c r="X80" s="119">
        <f t="shared" si="6"/>
        <v>-609306.01269304589</v>
      </c>
      <c r="Y80" s="119">
        <f t="shared" si="6"/>
        <v>-609306.01269304589</v>
      </c>
      <c r="Z80" s="119">
        <f t="shared" si="6"/>
        <v>-609306.01269304589</v>
      </c>
      <c r="AA80" s="119">
        <f t="shared" si="6"/>
        <v>-609306.01269304589</v>
      </c>
      <c r="AB80" s="119">
        <f t="shared" si="6"/>
        <v>-609306.01269304589</v>
      </c>
      <c r="AC80" s="119">
        <f t="shared" si="6"/>
        <v>-609306.01269304589</v>
      </c>
      <c r="AD80" s="119">
        <f t="shared" si="6"/>
        <v>-609306.01269304589</v>
      </c>
      <c r="AE80" s="119">
        <f t="shared" si="6"/>
        <v>-609306.01269304589</v>
      </c>
      <c r="AF80" s="119">
        <f t="shared" si="6"/>
        <v>-609306.01269304589</v>
      </c>
      <c r="AG80" s="119">
        <f t="shared" si="6"/>
        <v>-609306.01269304589</v>
      </c>
    </row>
    <row r="81" spans="1:33" x14ac:dyDescent="0.2">
      <c r="A81" s="8"/>
      <c r="B81" s="8"/>
      <c r="C81" s="4" t="str">
        <f>$C$79&amp;" - "&amp;C15</f>
        <v>Annualised capex - BMH Rebuild</v>
      </c>
      <c r="D81" s="38"/>
      <c r="F81" s="97"/>
      <c r="G81" s="214">
        <f>input_dollars</f>
        <v>45291</v>
      </c>
      <c r="H81" s="31"/>
      <c r="I81" s="119">
        <f t="shared" ref="I81:I83" si="7">IF($E15=0,0,-PMT(real_disc, $E15,H75,))</f>
        <v>0</v>
      </c>
      <c r="J81" s="119">
        <f t="shared" ref="J81:J83" si="8">IF($E15=0,0,-PMT(real_disc, $E15,I75,))</f>
        <v>-577761.0609712631</v>
      </c>
      <c r="K81" s="119">
        <f t="shared" ref="K81:K83" si="9">IF($E15=0,0,-PMT(real_disc, $E15,J75,))</f>
        <v>-1155522.1219425262</v>
      </c>
      <c r="L81" s="119">
        <f t="shared" ref="L81:L83" si="10">IF($E15=0,0,-PMT(real_disc, $E15,K75,))</f>
        <v>-1155522.1219425262</v>
      </c>
      <c r="M81" s="119">
        <f t="shared" ref="M81:M83" si="11">IF($E15=0,0,-PMT(real_disc, $E15,L75,))</f>
        <v>-1155522.1219425262</v>
      </c>
      <c r="N81" s="119">
        <f t="shared" ref="N81:N83" si="12">IF($E15=0,0,-PMT(real_disc, $E15,M75,))</f>
        <v>-1155522.1219425262</v>
      </c>
      <c r="O81" s="119">
        <f t="shared" ref="O81:O83" si="13">IF($E15=0,0,-PMT(real_disc, $E15,N75,))</f>
        <v>-1155522.1219425262</v>
      </c>
      <c r="P81" s="119">
        <f t="shared" ref="P81:P83" si="14">IF($E15=0,0,-PMT(real_disc, $E15,O75,))</f>
        <v>-1155522.1219425262</v>
      </c>
      <c r="Q81" s="119">
        <f t="shared" ref="Q81:Q83" si="15">IF($E15=0,0,-PMT(real_disc, $E15,P75,))</f>
        <v>-1155522.1219425262</v>
      </c>
      <c r="R81" s="119">
        <f t="shared" ref="R81:R83" si="16">IF($E15=0,0,-PMT(real_disc, $E15,Q75,))</f>
        <v>-1155522.1219425262</v>
      </c>
      <c r="S81" s="119">
        <f t="shared" ref="S81:S83" si="17">IF($E15=0,0,-PMT(real_disc, $E15,R75,))</f>
        <v>-1155522.1219425262</v>
      </c>
      <c r="T81" s="119">
        <f t="shared" ref="T81:T83" si="18">IF($E15=0,0,-PMT(real_disc, $E15,S75,))</f>
        <v>-1155522.1219425262</v>
      </c>
      <c r="U81" s="119">
        <f t="shared" ref="U81:U83" si="19">IF($E15=0,0,-PMT(real_disc, $E15,T75,))</f>
        <v>-1155522.1219425262</v>
      </c>
      <c r="V81" s="119">
        <f t="shared" ref="V81:V83" si="20">IF($E15=0,0,-PMT(real_disc, $E15,U75,))</f>
        <v>-1155522.1219425262</v>
      </c>
      <c r="W81" s="119">
        <f t="shared" ref="W81:W83" si="21">IF($E15=0,0,-PMT(real_disc, $E15,V75,))</f>
        <v>-1155522.1219425262</v>
      </c>
      <c r="X81" s="119">
        <f t="shared" ref="X81:X83" si="22">IF($E15=0,0,-PMT(real_disc, $E15,W75,))</f>
        <v>-1155522.1219425262</v>
      </c>
      <c r="Y81" s="119">
        <f t="shared" ref="Y81:Y83" si="23">IF($E15=0,0,-PMT(real_disc, $E15,X75,))</f>
        <v>-1155522.1219425262</v>
      </c>
      <c r="Z81" s="119">
        <f t="shared" ref="Z81:Z83" si="24">IF($E15=0,0,-PMT(real_disc, $E15,Y75,))</f>
        <v>-1155522.1219425262</v>
      </c>
      <c r="AA81" s="119">
        <f t="shared" ref="AA81:AA83" si="25">IF($E15=0,0,-PMT(real_disc, $E15,Z75,))</f>
        <v>-1155522.1219425262</v>
      </c>
      <c r="AB81" s="119">
        <f t="shared" ref="AB81:AB83" si="26">IF($E15=0,0,-PMT(real_disc, $E15,AA75,))</f>
        <v>-1155522.1219425262</v>
      </c>
      <c r="AC81" s="119">
        <f t="shared" ref="AC81:AC83" si="27">IF($E15=0,0,-PMT(real_disc, $E15,AB75,))</f>
        <v>-1155522.1219425262</v>
      </c>
      <c r="AD81" s="119">
        <f t="shared" ref="AD81:AD83" si="28">IF($E15=0,0,-PMT(real_disc, $E15,AC75,))</f>
        <v>-1155522.1219425262</v>
      </c>
      <c r="AE81" s="119">
        <f t="shared" ref="AE81:AE83" si="29">IF($E15=0,0,-PMT(real_disc, $E15,AD75,))</f>
        <v>-1155522.1219425262</v>
      </c>
      <c r="AF81" s="119">
        <f t="shared" ref="AF81:AF83" si="30">IF($E15=0,0,-PMT(real_disc, $E15,AE75,))</f>
        <v>-1155522.1219425262</v>
      </c>
      <c r="AG81" s="119">
        <f t="shared" ref="AG81:AG83" si="31">IF($E15=0,0,-PMT(real_disc, $E15,AF75,))</f>
        <v>-1155522.1219425262</v>
      </c>
    </row>
    <row r="82" spans="1:33" x14ac:dyDescent="0.2">
      <c r="A82" s="8"/>
      <c r="B82" s="8"/>
      <c r="C82" s="4" t="str">
        <f>$C$79&amp;" - "&amp;C16</f>
        <v>Annualised capex - PCK Stage 1</v>
      </c>
      <c r="D82" s="38"/>
      <c r="F82" s="97"/>
      <c r="G82" s="214">
        <f>input_dollars</f>
        <v>45291</v>
      </c>
      <c r="H82" s="31"/>
      <c r="I82" s="119">
        <f t="shared" si="7"/>
        <v>0</v>
      </c>
      <c r="J82" s="119">
        <f t="shared" si="8"/>
        <v>0</v>
      </c>
      <c r="K82" s="119">
        <f t="shared" si="9"/>
        <v>-233777.48265877424</v>
      </c>
      <c r="L82" s="119">
        <f t="shared" si="10"/>
        <v>-1492560.1872057063</v>
      </c>
      <c r="M82" s="119">
        <f t="shared" si="11"/>
        <v>-2648298.2176224669</v>
      </c>
      <c r="N82" s="119">
        <f t="shared" si="12"/>
        <v>-2648298.2176224669</v>
      </c>
      <c r="O82" s="119">
        <f t="shared" si="13"/>
        <v>-2648298.2176224669</v>
      </c>
      <c r="P82" s="119">
        <f t="shared" si="14"/>
        <v>-2648298.2176224669</v>
      </c>
      <c r="Q82" s="119">
        <f t="shared" si="15"/>
        <v>-2648298.2176224669</v>
      </c>
      <c r="R82" s="119">
        <f t="shared" si="16"/>
        <v>-2648298.2176224669</v>
      </c>
      <c r="S82" s="119">
        <f t="shared" si="17"/>
        <v>-2648298.2176224669</v>
      </c>
      <c r="T82" s="119">
        <f t="shared" si="18"/>
        <v>-2648298.2176224669</v>
      </c>
      <c r="U82" s="119">
        <f t="shared" si="19"/>
        <v>-2648298.2176224669</v>
      </c>
      <c r="V82" s="119">
        <f t="shared" si="20"/>
        <v>-2648298.2176224669</v>
      </c>
      <c r="W82" s="119">
        <f t="shared" si="21"/>
        <v>-2648298.2176224669</v>
      </c>
      <c r="X82" s="119">
        <f t="shared" si="22"/>
        <v>-2648298.2176224669</v>
      </c>
      <c r="Y82" s="119">
        <f t="shared" si="23"/>
        <v>-2648298.2176224669</v>
      </c>
      <c r="Z82" s="119">
        <f t="shared" si="24"/>
        <v>-2648298.2176224669</v>
      </c>
      <c r="AA82" s="119">
        <f t="shared" si="25"/>
        <v>-2648298.2176224669</v>
      </c>
      <c r="AB82" s="119">
        <f t="shared" si="26"/>
        <v>-2648298.2176224669</v>
      </c>
      <c r="AC82" s="119">
        <f t="shared" si="27"/>
        <v>-2648298.2176224669</v>
      </c>
      <c r="AD82" s="119">
        <f t="shared" si="28"/>
        <v>-2648298.2176224669</v>
      </c>
      <c r="AE82" s="119">
        <f t="shared" si="29"/>
        <v>-2648298.2176224669</v>
      </c>
      <c r="AF82" s="119">
        <f t="shared" si="30"/>
        <v>-2648298.2176224669</v>
      </c>
      <c r="AG82" s="119">
        <f t="shared" si="31"/>
        <v>-2648298.2176224669</v>
      </c>
    </row>
    <row r="83" spans="1:33" x14ac:dyDescent="0.2">
      <c r="A83" s="8"/>
      <c r="B83" s="8"/>
      <c r="C83" s="4" t="str">
        <f>$C$79&amp;" - "&amp;C17</f>
        <v xml:space="preserve">Annualised capex - </v>
      </c>
      <c r="D83" s="38"/>
      <c r="F83" s="97"/>
      <c r="G83" s="214">
        <f>input_dollars</f>
        <v>45291</v>
      </c>
      <c r="H83" s="31"/>
      <c r="I83" s="119">
        <f t="shared" si="7"/>
        <v>0</v>
      </c>
      <c r="J83" s="119">
        <f t="shared" si="8"/>
        <v>0</v>
      </c>
      <c r="K83" s="119">
        <f t="shared" si="9"/>
        <v>0</v>
      </c>
      <c r="L83" s="119">
        <f t="shared" si="10"/>
        <v>0</v>
      </c>
      <c r="M83" s="119">
        <f t="shared" si="11"/>
        <v>0</v>
      </c>
      <c r="N83" s="119">
        <f t="shared" si="12"/>
        <v>0</v>
      </c>
      <c r="O83" s="119">
        <f t="shared" si="13"/>
        <v>0</v>
      </c>
      <c r="P83" s="119">
        <f t="shared" si="14"/>
        <v>0</v>
      </c>
      <c r="Q83" s="119">
        <f t="shared" si="15"/>
        <v>0</v>
      </c>
      <c r="R83" s="119">
        <f t="shared" si="16"/>
        <v>0</v>
      </c>
      <c r="S83" s="119">
        <f t="shared" si="17"/>
        <v>0</v>
      </c>
      <c r="T83" s="119">
        <f t="shared" si="18"/>
        <v>0</v>
      </c>
      <c r="U83" s="119">
        <f t="shared" si="19"/>
        <v>0</v>
      </c>
      <c r="V83" s="119">
        <f t="shared" si="20"/>
        <v>0</v>
      </c>
      <c r="W83" s="119">
        <f t="shared" si="21"/>
        <v>0</v>
      </c>
      <c r="X83" s="119">
        <f t="shared" si="22"/>
        <v>0</v>
      </c>
      <c r="Y83" s="119">
        <f t="shared" si="23"/>
        <v>0</v>
      </c>
      <c r="Z83" s="119">
        <f t="shared" si="24"/>
        <v>0</v>
      </c>
      <c r="AA83" s="119">
        <f t="shared" si="25"/>
        <v>0</v>
      </c>
      <c r="AB83" s="119">
        <f t="shared" si="26"/>
        <v>0</v>
      </c>
      <c r="AC83" s="119">
        <f t="shared" si="27"/>
        <v>0</v>
      </c>
      <c r="AD83" s="119">
        <f t="shared" si="28"/>
        <v>0</v>
      </c>
      <c r="AE83" s="119">
        <f t="shared" si="29"/>
        <v>0</v>
      </c>
      <c r="AF83" s="119">
        <f t="shared" si="30"/>
        <v>0</v>
      </c>
      <c r="AG83" s="119">
        <f t="shared" si="31"/>
        <v>0</v>
      </c>
    </row>
    <row r="84" spans="1:33" x14ac:dyDescent="0.2">
      <c r="A84" s="8"/>
      <c r="B84" s="8"/>
      <c r="C84" s="176" t="s">
        <v>157</v>
      </c>
      <c r="D84" s="176"/>
      <c r="E84" s="177"/>
      <c r="F84" s="178"/>
      <c r="G84" s="219">
        <f>input_dollars</f>
        <v>45291</v>
      </c>
      <c r="H84" s="179"/>
      <c r="I84" s="180">
        <f>SUM(I80:I83)</f>
        <v>0</v>
      </c>
      <c r="J84" s="180">
        <f t="shared" ref="J84:AB84" si="32">SUM(J80:J83)</f>
        <v>-1187067.073664309</v>
      </c>
      <c r="K84" s="180">
        <f t="shared" si="32"/>
        <v>-1998605.6172943464</v>
      </c>
      <c r="L84" s="180">
        <f t="shared" si="32"/>
        <v>-3257388.3218412781</v>
      </c>
      <c r="M84" s="180">
        <f t="shared" si="32"/>
        <v>-4413126.3522580387</v>
      </c>
      <c r="N84" s="180">
        <f t="shared" si="32"/>
        <v>-4413126.3522580387</v>
      </c>
      <c r="O84" s="180">
        <f t="shared" si="32"/>
        <v>-4413126.3522580387</v>
      </c>
      <c r="P84" s="180">
        <f t="shared" si="32"/>
        <v>-4413126.3522580387</v>
      </c>
      <c r="Q84" s="180">
        <f t="shared" si="32"/>
        <v>-4413126.3522580387</v>
      </c>
      <c r="R84" s="180">
        <f t="shared" si="32"/>
        <v>-4413126.3522580387</v>
      </c>
      <c r="S84" s="180">
        <f t="shared" si="32"/>
        <v>-4413126.3522580387</v>
      </c>
      <c r="T84" s="180">
        <f t="shared" si="32"/>
        <v>-4413126.3522580387</v>
      </c>
      <c r="U84" s="180">
        <f t="shared" si="32"/>
        <v>-4413126.3522580387</v>
      </c>
      <c r="V84" s="180">
        <f t="shared" si="32"/>
        <v>-4413126.3522580387</v>
      </c>
      <c r="W84" s="180">
        <f t="shared" si="32"/>
        <v>-4413126.3522580387</v>
      </c>
      <c r="X84" s="180">
        <f t="shared" si="32"/>
        <v>-4413126.3522580387</v>
      </c>
      <c r="Y84" s="180">
        <f t="shared" si="32"/>
        <v>-4413126.3522580387</v>
      </c>
      <c r="Z84" s="180">
        <f t="shared" si="32"/>
        <v>-4413126.3522580387</v>
      </c>
      <c r="AA84" s="180">
        <f t="shared" si="32"/>
        <v>-4413126.3522580387</v>
      </c>
      <c r="AB84" s="180">
        <f t="shared" si="32"/>
        <v>-4413126.3522580387</v>
      </c>
      <c r="AC84" s="180">
        <f>SUM(AC80:AC83)</f>
        <v>-4413126.3522580387</v>
      </c>
      <c r="AD84" s="180">
        <f>SUM(AD80:AD83)</f>
        <v>-4413126.3522580387</v>
      </c>
      <c r="AE84" s="180">
        <f>SUM(AE80:AE83)</f>
        <v>-4413126.3522580387</v>
      </c>
      <c r="AF84" s="180">
        <f>SUM(AF80:AF83)</f>
        <v>-4413126.3522580387</v>
      </c>
      <c r="AG84" s="180">
        <f>SUM(AG80:AG83)</f>
        <v>-4413126.3522580387</v>
      </c>
    </row>
    <row r="85" spans="1:33" x14ac:dyDescent="0.2">
      <c r="A85" s="8"/>
      <c r="B85" s="8"/>
      <c r="C85" s="75"/>
      <c r="D85" s="38"/>
      <c r="F85"/>
      <c r="G85" s="220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">
      <c r="A86" s="8"/>
      <c r="B86" s="8"/>
      <c r="C86" s="4" t="s">
        <v>91</v>
      </c>
      <c r="D86" s="38"/>
      <c r="F86" s="97"/>
      <c r="G86" s="214">
        <f t="shared" ref="G86:G91" si="33">input_dollars</f>
        <v>45291</v>
      </c>
      <c r="H86" s="31"/>
      <c r="I86" s="119">
        <f>I84</f>
        <v>0</v>
      </c>
      <c r="J86" s="119">
        <f t="shared" ref="J86:AB86" si="34">J84</f>
        <v>-1187067.073664309</v>
      </c>
      <c r="K86" s="119">
        <f t="shared" si="34"/>
        <v>-1998605.6172943464</v>
      </c>
      <c r="L86" s="119">
        <f t="shared" si="34"/>
        <v>-3257388.3218412781</v>
      </c>
      <c r="M86" s="119">
        <f t="shared" si="34"/>
        <v>-4413126.3522580387</v>
      </c>
      <c r="N86" s="119">
        <f t="shared" si="34"/>
        <v>-4413126.3522580387</v>
      </c>
      <c r="O86" s="119">
        <f t="shared" si="34"/>
        <v>-4413126.3522580387</v>
      </c>
      <c r="P86" s="119">
        <f t="shared" si="34"/>
        <v>-4413126.3522580387</v>
      </c>
      <c r="Q86" s="119">
        <f t="shared" si="34"/>
        <v>-4413126.3522580387</v>
      </c>
      <c r="R86" s="119">
        <f t="shared" si="34"/>
        <v>-4413126.3522580387</v>
      </c>
      <c r="S86" s="119">
        <f t="shared" si="34"/>
        <v>-4413126.3522580387</v>
      </c>
      <c r="T86" s="119">
        <f t="shared" si="34"/>
        <v>-4413126.3522580387</v>
      </c>
      <c r="U86" s="119">
        <f t="shared" si="34"/>
        <v>-4413126.3522580387</v>
      </c>
      <c r="V86" s="119">
        <f t="shared" si="34"/>
        <v>-4413126.3522580387</v>
      </c>
      <c r="W86" s="119">
        <f t="shared" si="34"/>
        <v>-4413126.3522580387</v>
      </c>
      <c r="X86" s="119">
        <f t="shared" si="34"/>
        <v>-4413126.3522580387</v>
      </c>
      <c r="Y86" s="119">
        <f t="shared" si="34"/>
        <v>-4413126.3522580387</v>
      </c>
      <c r="Z86" s="119">
        <f t="shared" si="34"/>
        <v>-4413126.3522580387</v>
      </c>
      <c r="AA86" s="119">
        <f t="shared" si="34"/>
        <v>-4413126.3522580387</v>
      </c>
      <c r="AB86" s="119">
        <f t="shared" si="34"/>
        <v>-4413126.3522580387</v>
      </c>
      <c r="AC86" s="119">
        <f>AC84</f>
        <v>-4413126.3522580387</v>
      </c>
      <c r="AD86" s="119">
        <f>AD84</f>
        <v>-4413126.3522580387</v>
      </c>
      <c r="AE86" s="119">
        <f>AE84</f>
        <v>-4413126.3522580387</v>
      </c>
      <c r="AF86" s="119">
        <f>AF84</f>
        <v>-4413126.3522580387</v>
      </c>
      <c r="AG86" s="119">
        <f>AG84</f>
        <v>-4413126.3522580387</v>
      </c>
    </row>
    <row r="87" spans="1:33" x14ac:dyDescent="0.2">
      <c r="A87" s="8"/>
      <c r="B87" s="8"/>
      <c r="C87" s="4" t="s">
        <v>31</v>
      </c>
      <c r="D87" s="38"/>
      <c r="F87" s="97"/>
      <c r="G87" s="214">
        <f t="shared" si="33"/>
        <v>45291</v>
      </c>
      <c r="H87" s="31"/>
      <c r="I87" s="31">
        <f t="shared" ref="I87:AG87" si="35">-I20</f>
        <v>0</v>
      </c>
      <c r="J87" s="31">
        <f t="shared" si="35"/>
        <v>0</v>
      </c>
      <c r="K87" s="31">
        <f t="shared" si="35"/>
        <v>0</v>
      </c>
      <c r="L87" s="31">
        <f t="shared" si="35"/>
        <v>0</v>
      </c>
      <c r="M87" s="31">
        <f t="shared" si="35"/>
        <v>0</v>
      </c>
      <c r="N87" s="31">
        <f t="shared" si="35"/>
        <v>0</v>
      </c>
      <c r="O87" s="31">
        <f t="shared" si="35"/>
        <v>0</v>
      </c>
      <c r="P87" s="31">
        <f t="shared" si="35"/>
        <v>0</v>
      </c>
      <c r="Q87" s="31">
        <f t="shared" si="35"/>
        <v>0</v>
      </c>
      <c r="R87" s="31">
        <f t="shared" si="35"/>
        <v>0</v>
      </c>
      <c r="S87" s="31">
        <f t="shared" si="35"/>
        <v>0</v>
      </c>
      <c r="T87" s="31">
        <f t="shared" si="35"/>
        <v>0</v>
      </c>
      <c r="U87" s="31">
        <f t="shared" si="35"/>
        <v>0</v>
      </c>
      <c r="V87" s="31">
        <f t="shared" si="35"/>
        <v>0</v>
      </c>
      <c r="W87" s="31">
        <f t="shared" si="35"/>
        <v>0</v>
      </c>
      <c r="X87" s="31">
        <f t="shared" si="35"/>
        <v>0</v>
      </c>
      <c r="Y87" s="31">
        <f t="shared" si="35"/>
        <v>0</v>
      </c>
      <c r="Z87" s="31">
        <f t="shared" si="35"/>
        <v>0</v>
      </c>
      <c r="AA87" s="31">
        <f t="shared" si="35"/>
        <v>0</v>
      </c>
      <c r="AB87" s="31">
        <f t="shared" si="35"/>
        <v>0</v>
      </c>
      <c r="AC87" s="31">
        <f t="shared" si="35"/>
        <v>0</v>
      </c>
      <c r="AD87" s="31">
        <f t="shared" si="35"/>
        <v>0</v>
      </c>
      <c r="AE87" s="31">
        <f t="shared" si="35"/>
        <v>0</v>
      </c>
      <c r="AF87" s="31">
        <f t="shared" si="35"/>
        <v>0</v>
      </c>
      <c r="AG87" s="31">
        <f t="shared" si="35"/>
        <v>0</v>
      </c>
    </row>
    <row r="88" spans="1:33" x14ac:dyDescent="0.2">
      <c r="A88" s="8"/>
      <c r="B88" s="8"/>
      <c r="C88" s="4" t="s">
        <v>140</v>
      </c>
      <c r="D88" s="38"/>
      <c r="F88" s="97"/>
      <c r="G88" s="214">
        <f t="shared" si="33"/>
        <v>45291</v>
      </c>
      <c r="H88" s="31"/>
      <c r="I88" s="31">
        <f>I65</f>
        <v>0</v>
      </c>
      <c r="J88" s="31">
        <f t="shared" ref="J88:AB88" si="36">J65</f>
        <v>8068753.4449888254</v>
      </c>
      <c r="K88" s="31">
        <f t="shared" si="36"/>
        <v>11215677.23834095</v>
      </c>
      <c r="L88" s="31">
        <f t="shared" si="36"/>
        <v>13837146.203154052</v>
      </c>
      <c r="M88" s="31">
        <f t="shared" si="36"/>
        <v>18132639.643538598</v>
      </c>
      <c r="N88" s="31">
        <f t="shared" si="36"/>
        <v>24433939.813450564</v>
      </c>
      <c r="O88" s="31">
        <f t="shared" si="36"/>
        <v>34186937.135115683</v>
      </c>
      <c r="P88" s="31">
        <f t="shared" si="36"/>
        <v>44446608.7302434</v>
      </c>
      <c r="Q88" s="31">
        <f t="shared" si="36"/>
        <v>56701207.095878795</v>
      </c>
      <c r="R88" s="31">
        <f t="shared" si="36"/>
        <v>56701207.095878795</v>
      </c>
      <c r="S88" s="31">
        <f t="shared" si="36"/>
        <v>56701207.095878795</v>
      </c>
      <c r="T88" s="31">
        <f t="shared" si="36"/>
        <v>56701207.095878795</v>
      </c>
      <c r="U88" s="31">
        <f t="shared" si="36"/>
        <v>56701207.095878795</v>
      </c>
      <c r="V88" s="31">
        <f t="shared" si="36"/>
        <v>56701207.095878795</v>
      </c>
      <c r="W88" s="31">
        <f t="shared" si="36"/>
        <v>56701207.095878795</v>
      </c>
      <c r="X88" s="31">
        <f t="shared" si="36"/>
        <v>56701207.095878795</v>
      </c>
      <c r="Y88" s="31">
        <f t="shared" si="36"/>
        <v>56701207.095878795</v>
      </c>
      <c r="Z88" s="31">
        <f t="shared" si="36"/>
        <v>56701207.095878795</v>
      </c>
      <c r="AA88" s="31">
        <f t="shared" si="36"/>
        <v>56701207.095878795</v>
      </c>
      <c r="AB88" s="31">
        <f t="shared" si="36"/>
        <v>56701207.095878795</v>
      </c>
      <c r="AC88" s="31">
        <f>AC65</f>
        <v>56701207.095878795</v>
      </c>
      <c r="AD88" s="31">
        <f>AD65</f>
        <v>56701207.095878795</v>
      </c>
      <c r="AE88" s="31">
        <f>AE65</f>
        <v>56701207.095878795</v>
      </c>
      <c r="AF88" s="31">
        <f>AF65</f>
        <v>56701207.095878795</v>
      </c>
      <c r="AG88" s="31">
        <f>AG65</f>
        <v>56701207.095878795</v>
      </c>
    </row>
    <row r="89" spans="1:33" x14ac:dyDescent="0.2">
      <c r="A89" s="8"/>
      <c r="B89" s="8"/>
      <c r="C89" s="4" t="s">
        <v>122</v>
      </c>
      <c r="D89" s="38"/>
      <c r="F89" s="97"/>
      <c r="G89" s="214">
        <f t="shared" si="33"/>
        <v>45291</v>
      </c>
      <c r="H89" s="31"/>
      <c r="I89" s="31">
        <f t="shared" ref="I89:AG89" si="37">I58</f>
        <v>0</v>
      </c>
      <c r="J89" s="31">
        <f t="shared" si="37"/>
        <v>0</v>
      </c>
      <c r="K89" s="31">
        <f t="shared" si="37"/>
        <v>0</v>
      </c>
      <c r="L89" s="31">
        <f t="shared" si="37"/>
        <v>0</v>
      </c>
      <c r="M89" s="31">
        <f t="shared" si="37"/>
        <v>0</v>
      </c>
      <c r="N89" s="31">
        <f t="shared" si="37"/>
        <v>0</v>
      </c>
      <c r="O89" s="31">
        <f t="shared" si="37"/>
        <v>0</v>
      </c>
      <c r="P89" s="31">
        <f t="shared" si="37"/>
        <v>0</v>
      </c>
      <c r="Q89" s="31">
        <f t="shared" si="37"/>
        <v>0</v>
      </c>
      <c r="R89" s="31">
        <f t="shared" si="37"/>
        <v>0</v>
      </c>
      <c r="S89" s="31">
        <f t="shared" si="37"/>
        <v>0</v>
      </c>
      <c r="T89" s="31">
        <f t="shared" si="37"/>
        <v>0</v>
      </c>
      <c r="U89" s="31">
        <f t="shared" si="37"/>
        <v>0</v>
      </c>
      <c r="V89" s="31">
        <f t="shared" si="37"/>
        <v>0</v>
      </c>
      <c r="W89" s="31">
        <f t="shared" si="37"/>
        <v>0</v>
      </c>
      <c r="X89" s="31">
        <f t="shared" si="37"/>
        <v>0</v>
      </c>
      <c r="Y89" s="31">
        <f t="shared" si="37"/>
        <v>0</v>
      </c>
      <c r="Z89" s="31">
        <f t="shared" si="37"/>
        <v>0</v>
      </c>
      <c r="AA89" s="31">
        <f t="shared" si="37"/>
        <v>0</v>
      </c>
      <c r="AB89" s="31">
        <f t="shared" si="37"/>
        <v>0</v>
      </c>
      <c r="AC89" s="31">
        <f t="shared" si="37"/>
        <v>0</v>
      </c>
      <c r="AD89" s="31">
        <f t="shared" si="37"/>
        <v>0</v>
      </c>
      <c r="AE89" s="31">
        <f t="shared" si="37"/>
        <v>0</v>
      </c>
      <c r="AF89" s="31">
        <f t="shared" si="37"/>
        <v>0</v>
      </c>
      <c r="AG89" s="31">
        <f t="shared" si="37"/>
        <v>0</v>
      </c>
    </row>
    <row r="90" spans="1:33" x14ac:dyDescent="0.2">
      <c r="A90" s="8"/>
      <c r="B90" s="8"/>
      <c r="C90" s="4"/>
      <c r="D90" s="38"/>
      <c r="F90" s="31"/>
      <c r="G90" s="21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x14ac:dyDescent="0.2">
      <c r="A91" s="8"/>
      <c r="B91" s="8"/>
      <c r="C91" s="181" t="s">
        <v>188</v>
      </c>
      <c r="D91" s="182"/>
      <c r="E91" s="177"/>
      <c r="F91" s="183"/>
      <c r="G91" s="219">
        <f t="shared" si="33"/>
        <v>45291</v>
      </c>
      <c r="H91" s="183"/>
      <c r="I91" s="183">
        <f t="shared" ref="I91:AB91" si="38">SUM(I86:I90)</f>
        <v>0</v>
      </c>
      <c r="J91" s="183">
        <f t="shared" si="38"/>
        <v>6881686.3713245168</v>
      </c>
      <c r="K91" s="183">
        <f t="shared" si="38"/>
        <v>9217071.6210466027</v>
      </c>
      <c r="L91" s="183">
        <f t="shared" si="38"/>
        <v>10579757.881312773</v>
      </c>
      <c r="M91" s="183">
        <f t="shared" si="38"/>
        <v>13719513.29128056</v>
      </c>
      <c r="N91" s="183">
        <f t="shared" si="38"/>
        <v>20020813.461192526</v>
      </c>
      <c r="O91" s="183">
        <f t="shared" si="38"/>
        <v>29773810.782857645</v>
      </c>
      <c r="P91" s="183">
        <f t="shared" si="38"/>
        <v>40033482.377985358</v>
      </c>
      <c r="Q91" s="183">
        <f t="shared" si="38"/>
        <v>52288080.743620753</v>
      </c>
      <c r="R91" s="183">
        <f t="shared" si="38"/>
        <v>52288080.743620753</v>
      </c>
      <c r="S91" s="183">
        <f t="shared" si="38"/>
        <v>52288080.743620753</v>
      </c>
      <c r="T91" s="183">
        <f t="shared" si="38"/>
        <v>52288080.743620753</v>
      </c>
      <c r="U91" s="183">
        <f t="shared" si="38"/>
        <v>52288080.743620753</v>
      </c>
      <c r="V91" s="183">
        <f t="shared" si="38"/>
        <v>52288080.743620753</v>
      </c>
      <c r="W91" s="183">
        <f t="shared" si="38"/>
        <v>52288080.743620753</v>
      </c>
      <c r="X91" s="183">
        <f t="shared" si="38"/>
        <v>52288080.743620753</v>
      </c>
      <c r="Y91" s="183">
        <f t="shared" si="38"/>
        <v>52288080.743620753</v>
      </c>
      <c r="Z91" s="183">
        <f t="shared" si="38"/>
        <v>52288080.743620753</v>
      </c>
      <c r="AA91" s="183">
        <f t="shared" si="38"/>
        <v>52288080.743620753</v>
      </c>
      <c r="AB91" s="183">
        <f t="shared" si="38"/>
        <v>52288080.743620753</v>
      </c>
      <c r="AC91" s="183">
        <f>SUM(AC86:AC90)</f>
        <v>52288080.743620753</v>
      </c>
      <c r="AD91" s="183">
        <f>SUM(AD86:AD90)</f>
        <v>52288080.743620753</v>
      </c>
      <c r="AE91" s="183">
        <f>SUM(AE86:AE90)</f>
        <v>52288080.743620753</v>
      </c>
      <c r="AF91" s="183">
        <f>SUM(AF86:AF90)</f>
        <v>52288080.743620753</v>
      </c>
      <c r="AG91" s="183">
        <f>SUM(AG86:AG90)</f>
        <v>52288080.743620753</v>
      </c>
    </row>
    <row r="92" spans="1:33" x14ac:dyDescent="0.2">
      <c r="A92" s="8"/>
      <c r="B92" s="8"/>
      <c r="C92" s="75"/>
      <c r="D92" s="141"/>
      <c r="E92" s="64"/>
      <c r="F92" s="144"/>
      <c r="G92" s="221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</row>
    <row r="93" spans="1:33" x14ac:dyDescent="0.2">
      <c r="A93" s="8"/>
      <c r="B93" s="8"/>
      <c r="C93" s="75"/>
      <c r="D93" s="141"/>
      <c r="E93" s="64"/>
      <c r="F93" s="144"/>
      <c r="G93" s="221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</row>
    <row r="94" spans="1:33" x14ac:dyDescent="0.2">
      <c r="A94" s="8"/>
      <c r="B94" s="8"/>
      <c r="C94" s="234" t="s">
        <v>198</v>
      </c>
      <c r="D94" s="82"/>
      <c r="E94" s="235"/>
      <c r="F94" s="236"/>
      <c r="G94" s="237" cm="1">
        <f t="array" ref="G94">IF(SUM($I18:$AG18)=0,0,(INDEX(I$6:AG$6,MATCH(TRUE,INDEX($I18:$AG18&lt;&gt;0,),0))))</f>
        <v>1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x14ac:dyDescent="0.2">
      <c r="C95" s="82"/>
      <c r="D95" s="238"/>
      <c r="E95" s="235"/>
      <c r="F95" s="235"/>
      <c r="G95" s="237"/>
    </row>
    <row r="96" spans="1:33" x14ac:dyDescent="0.2">
      <c r="C96" s="239" t="s">
        <v>193</v>
      </c>
      <c r="D96" s="240"/>
      <c r="E96" s="240"/>
      <c r="F96" s="240"/>
      <c r="G96" s="241">
        <f>IF(_xlfn.MINIFS($G$94:$G$95, $G$94:$G$95, "&gt;"&amp;0)=0, $A$4, _xlfn.MINIFS($G$94:$G$95, $G$94:$G$95, "&gt;"&amp;0))</f>
        <v>1</v>
      </c>
    </row>
    <row r="98" spans="1:43" x14ac:dyDescent="0.2">
      <c r="G98" s="12"/>
    </row>
    <row r="106" spans="1:43" ht="15" x14ac:dyDescent="0.2">
      <c r="A106" s="89" t="s">
        <v>216</v>
      </c>
      <c r="B106" s="89"/>
      <c r="C106" s="89"/>
      <c r="D106" s="89"/>
      <c r="E106" s="89"/>
      <c r="F106" s="89"/>
      <c r="G106" s="208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/>
      <c r="AI106"/>
      <c r="AJ106"/>
      <c r="AK106"/>
      <c r="AL106"/>
      <c r="AM106"/>
      <c r="AN106"/>
      <c r="AO106"/>
      <c r="AP106"/>
      <c r="AQ106"/>
    </row>
    <row r="108" spans="1:43" x14ac:dyDescent="0.2"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</row>
    <row r="109" spans="1:43" x14ac:dyDescent="0.2"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">
        <v>119</v>
      </c>
      <c r="C110" s="1" t="s">
        <v>188</v>
      </c>
      <c r="D110"/>
      <c r="E110"/>
      <c r="F110"/>
      <c r="G110" s="38" t="str">
        <f>PROPER($A$3)&amp;A110</f>
        <v>Option 5NPV</v>
      </c>
      <c r="I110" s="31">
        <f>I91</f>
        <v>0</v>
      </c>
      <c r="J110" s="31">
        <f t="shared" ref="J110:AG110" si="39">J91</f>
        <v>6881686.3713245168</v>
      </c>
      <c r="K110" s="31">
        <f t="shared" si="39"/>
        <v>9217071.6210466027</v>
      </c>
      <c r="L110" s="31">
        <f t="shared" si="39"/>
        <v>10579757.881312773</v>
      </c>
      <c r="M110" s="31">
        <f t="shared" si="39"/>
        <v>13719513.29128056</v>
      </c>
      <c r="N110" s="31">
        <f t="shared" si="39"/>
        <v>20020813.461192526</v>
      </c>
      <c r="O110" s="31">
        <f t="shared" si="39"/>
        <v>29773810.782857645</v>
      </c>
      <c r="P110" s="31">
        <f t="shared" si="39"/>
        <v>40033482.377985358</v>
      </c>
      <c r="Q110" s="31">
        <f t="shared" si="39"/>
        <v>52288080.743620753</v>
      </c>
      <c r="R110" s="31">
        <f t="shared" si="39"/>
        <v>52288080.743620753</v>
      </c>
      <c r="S110" s="31">
        <f t="shared" si="39"/>
        <v>52288080.743620753</v>
      </c>
      <c r="T110" s="31">
        <f t="shared" si="39"/>
        <v>52288080.743620753</v>
      </c>
      <c r="U110" s="31">
        <f t="shared" si="39"/>
        <v>52288080.743620753</v>
      </c>
      <c r="V110" s="31">
        <f t="shared" si="39"/>
        <v>52288080.743620753</v>
      </c>
      <c r="W110" s="31">
        <f t="shared" si="39"/>
        <v>52288080.743620753</v>
      </c>
      <c r="X110" s="31">
        <f t="shared" si="39"/>
        <v>52288080.743620753</v>
      </c>
      <c r="Y110" s="31">
        <f t="shared" si="39"/>
        <v>52288080.743620753</v>
      </c>
      <c r="Z110" s="31">
        <f t="shared" si="39"/>
        <v>52288080.743620753</v>
      </c>
      <c r="AA110" s="31">
        <f t="shared" si="39"/>
        <v>52288080.743620753</v>
      </c>
      <c r="AB110" s="31">
        <f t="shared" si="39"/>
        <v>52288080.743620753</v>
      </c>
      <c r="AC110" s="31">
        <f t="shared" si="39"/>
        <v>52288080.743620753</v>
      </c>
      <c r="AD110" s="31">
        <f t="shared" si="39"/>
        <v>52288080.743620753</v>
      </c>
      <c r="AE110" s="31">
        <f t="shared" si="39"/>
        <v>52288080.743620753</v>
      </c>
      <c r="AF110" s="31">
        <f t="shared" si="39"/>
        <v>52288080.743620753</v>
      </c>
      <c r="AG110" s="31">
        <f t="shared" si="39"/>
        <v>52288080.743620753</v>
      </c>
    </row>
    <row r="111" spans="1:43" x14ac:dyDescent="0.2">
      <c r="C111" s="1" t="s">
        <v>157</v>
      </c>
      <c r="D111"/>
      <c r="E111"/>
      <c r="F111"/>
      <c r="G111"/>
      <c r="I111" s="31">
        <f>I86</f>
        <v>0</v>
      </c>
      <c r="J111" s="31">
        <f t="shared" ref="J111:AG111" si="40">J86</f>
        <v>-1187067.073664309</v>
      </c>
      <c r="K111" s="31">
        <f t="shared" si="40"/>
        <v>-1998605.6172943464</v>
      </c>
      <c r="L111" s="31">
        <f t="shared" si="40"/>
        <v>-3257388.3218412781</v>
      </c>
      <c r="M111" s="31">
        <f t="shared" si="40"/>
        <v>-4413126.3522580387</v>
      </c>
      <c r="N111" s="31">
        <f t="shared" si="40"/>
        <v>-4413126.3522580387</v>
      </c>
      <c r="O111" s="31">
        <f t="shared" si="40"/>
        <v>-4413126.3522580387</v>
      </c>
      <c r="P111" s="31">
        <f t="shared" si="40"/>
        <v>-4413126.3522580387</v>
      </c>
      <c r="Q111" s="31">
        <f t="shared" si="40"/>
        <v>-4413126.3522580387</v>
      </c>
      <c r="R111" s="31">
        <f t="shared" si="40"/>
        <v>-4413126.3522580387</v>
      </c>
      <c r="S111" s="31">
        <f t="shared" si="40"/>
        <v>-4413126.3522580387</v>
      </c>
      <c r="T111" s="31">
        <f t="shared" si="40"/>
        <v>-4413126.3522580387</v>
      </c>
      <c r="U111" s="31">
        <f t="shared" si="40"/>
        <v>-4413126.3522580387</v>
      </c>
      <c r="V111" s="31">
        <f t="shared" si="40"/>
        <v>-4413126.3522580387</v>
      </c>
      <c r="W111" s="31">
        <f t="shared" si="40"/>
        <v>-4413126.3522580387</v>
      </c>
      <c r="X111" s="31">
        <f t="shared" si="40"/>
        <v>-4413126.3522580387</v>
      </c>
      <c r="Y111" s="31">
        <f t="shared" si="40"/>
        <v>-4413126.3522580387</v>
      </c>
      <c r="Z111" s="31">
        <f t="shared" si="40"/>
        <v>-4413126.3522580387</v>
      </c>
      <c r="AA111" s="31">
        <f t="shared" si="40"/>
        <v>-4413126.3522580387</v>
      </c>
      <c r="AB111" s="31">
        <f t="shared" si="40"/>
        <v>-4413126.3522580387</v>
      </c>
      <c r="AC111" s="31">
        <f t="shared" si="40"/>
        <v>-4413126.3522580387</v>
      </c>
      <c r="AD111" s="31">
        <f t="shared" si="40"/>
        <v>-4413126.3522580387</v>
      </c>
      <c r="AE111" s="31">
        <f t="shared" si="40"/>
        <v>-4413126.3522580387</v>
      </c>
      <c r="AF111" s="31">
        <f t="shared" si="40"/>
        <v>-4413126.3522580387</v>
      </c>
      <c r="AG111" s="31">
        <f t="shared" si="40"/>
        <v>-4413126.3522580387</v>
      </c>
    </row>
    <row r="112" spans="1:43" x14ac:dyDescent="0.2">
      <c r="C112" s="1" t="s">
        <v>241</v>
      </c>
      <c r="D112"/>
      <c r="E112"/>
      <c r="F112"/>
      <c r="G112"/>
      <c r="I112" s="31">
        <f>SUM(I88:I89)</f>
        <v>0</v>
      </c>
      <c r="J112" s="31">
        <f t="shared" ref="J112:AG112" si="41">SUM(J88:J89)</f>
        <v>8068753.4449888254</v>
      </c>
      <c r="K112" s="31">
        <f t="shared" si="41"/>
        <v>11215677.23834095</v>
      </c>
      <c r="L112" s="31">
        <f t="shared" si="41"/>
        <v>13837146.203154052</v>
      </c>
      <c r="M112" s="31">
        <f t="shared" si="41"/>
        <v>18132639.643538598</v>
      </c>
      <c r="N112" s="31">
        <f t="shared" si="41"/>
        <v>24433939.813450564</v>
      </c>
      <c r="O112" s="31">
        <f t="shared" si="41"/>
        <v>34186937.135115683</v>
      </c>
      <c r="P112" s="31">
        <f t="shared" si="41"/>
        <v>44446608.7302434</v>
      </c>
      <c r="Q112" s="31">
        <f t="shared" si="41"/>
        <v>56701207.095878795</v>
      </c>
      <c r="R112" s="31">
        <f t="shared" si="41"/>
        <v>56701207.095878795</v>
      </c>
      <c r="S112" s="31">
        <f t="shared" si="41"/>
        <v>56701207.095878795</v>
      </c>
      <c r="T112" s="31">
        <f t="shared" si="41"/>
        <v>56701207.095878795</v>
      </c>
      <c r="U112" s="31">
        <f t="shared" si="41"/>
        <v>56701207.095878795</v>
      </c>
      <c r="V112" s="31">
        <f t="shared" si="41"/>
        <v>56701207.095878795</v>
      </c>
      <c r="W112" s="31">
        <f t="shared" si="41"/>
        <v>56701207.095878795</v>
      </c>
      <c r="X112" s="31">
        <f t="shared" si="41"/>
        <v>56701207.095878795</v>
      </c>
      <c r="Y112" s="31">
        <f t="shared" si="41"/>
        <v>56701207.095878795</v>
      </c>
      <c r="Z112" s="31">
        <f t="shared" si="41"/>
        <v>56701207.095878795</v>
      </c>
      <c r="AA112" s="31">
        <f t="shared" si="41"/>
        <v>56701207.095878795</v>
      </c>
      <c r="AB112" s="31">
        <f t="shared" si="41"/>
        <v>56701207.095878795</v>
      </c>
      <c r="AC112" s="31">
        <f t="shared" si="41"/>
        <v>56701207.095878795</v>
      </c>
      <c r="AD112" s="31">
        <f t="shared" si="41"/>
        <v>56701207.095878795</v>
      </c>
      <c r="AE112" s="31">
        <f t="shared" si="41"/>
        <v>56701207.095878795</v>
      </c>
      <c r="AF112" s="31">
        <f t="shared" si="41"/>
        <v>56701207.095878795</v>
      </c>
      <c r="AG112" s="31">
        <f t="shared" si="41"/>
        <v>56701207.095878795</v>
      </c>
    </row>
    <row r="113" spans="1:33" x14ac:dyDescent="0.2">
      <c r="D113" s="306" t="str">
        <f>Assumptions!G110</f>
        <v>Capex</v>
      </c>
      <c r="E113" s="306" t="str">
        <f>Assumptions!H110</f>
        <v>Total benefits</v>
      </c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</row>
    <row r="114" spans="1:33" x14ac:dyDescent="0.2">
      <c r="A114" s="1" t="str">
        <f>"sens"&amp;Assumptions!B111</f>
        <v>sens1</v>
      </c>
      <c r="C114" s="305" t="str">
        <f>Assumptions!C111</f>
        <v>Capex 10% higher</v>
      </c>
      <c r="D114" s="306">
        <f>Assumptions!G111</f>
        <v>0.1</v>
      </c>
      <c r="E114" s="306">
        <f>Assumptions!H111</f>
        <v>0</v>
      </c>
      <c r="G114" s="38" t="str">
        <f>PROPER($A$3)&amp;A114</f>
        <v>Option 5sens1</v>
      </c>
      <c r="I114" s="31" cm="1">
        <f t="array" ref="I114">I$110+IF($C114&lt;&gt;0,SUMPRODUCT((I$111:I$112)*TRANSPOSE(($D114:$E114))),0)</f>
        <v>0</v>
      </c>
      <c r="J114" s="31" cm="1">
        <f t="array" ref="J114">J$110+IF($C114&lt;&gt;0,SUMPRODUCT((J$111:J$112)*TRANSPOSE(($D114:$E114))),0)</f>
        <v>6762979.6639580857</v>
      </c>
      <c r="K114" s="31" cm="1">
        <f t="array" ref="K114">K$110+IF($C114&lt;&gt;0,SUMPRODUCT((K$111:K$112)*TRANSPOSE(($D114:$E114))),0)</f>
        <v>9017211.0593171678</v>
      </c>
      <c r="L114" s="31" cm="1">
        <f t="array" ref="L114">L$110+IF($C114&lt;&gt;0,SUMPRODUCT((L$111:L$112)*TRANSPOSE(($D114:$E114))),0)</f>
        <v>10254019.049128644</v>
      </c>
      <c r="M114" s="31" cm="1">
        <f t="array" ref="M114">M$110+IF($C114&lt;&gt;0,SUMPRODUCT((M$111:M$112)*TRANSPOSE(($D114:$E114))),0)</f>
        <v>13278200.656054756</v>
      </c>
      <c r="N114" s="31" cm="1">
        <f t="array" ref="N114">N$110+IF($C114&lt;&gt;0,SUMPRODUCT((N$111:N$112)*TRANSPOSE(($D114:$E114))),0)</f>
        <v>19579500.825966723</v>
      </c>
      <c r="O114" s="31" cm="1">
        <f t="array" ref="O114">O$110+IF($C114&lt;&gt;0,SUMPRODUCT((O$111:O$112)*TRANSPOSE(($D114:$E114))),0)</f>
        <v>29332498.147631843</v>
      </c>
      <c r="P114" s="31" cm="1">
        <f t="array" ref="P114">P$110+IF($C114&lt;&gt;0,SUMPRODUCT((P$111:P$112)*TRANSPOSE(($D114:$E114))),0)</f>
        <v>39592169.742759556</v>
      </c>
      <c r="Q114" s="31" cm="1">
        <f t="array" ref="Q114">Q$110+IF($C114&lt;&gt;0,SUMPRODUCT((Q$111:Q$112)*TRANSPOSE(($D114:$E114))),0)</f>
        <v>51846768.108394951</v>
      </c>
      <c r="R114" s="31" cm="1">
        <f t="array" ref="R114">R$110+IF($C114&lt;&gt;0,SUMPRODUCT((R$111:R$112)*TRANSPOSE(($D114:$E114))),0)</f>
        <v>51846768.108394951</v>
      </c>
      <c r="S114" s="31" cm="1">
        <f t="array" ref="S114">S$110+IF($C114&lt;&gt;0,SUMPRODUCT((S$111:S$112)*TRANSPOSE(($D114:$E114))),0)</f>
        <v>51846768.108394951</v>
      </c>
      <c r="T114" s="31" cm="1">
        <f t="array" ref="T114">T$110+IF($C114&lt;&gt;0,SUMPRODUCT((T$111:T$112)*TRANSPOSE(($D114:$E114))),0)</f>
        <v>51846768.108394951</v>
      </c>
      <c r="U114" s="31" cm="1">
        <f t="array" ref="U114">U$110+IF($C114&lt;&gt;0,SUMPRODUCT((U$111:U$112)*TRANSPOSE(($D114:$E114))),0)</f>
        <v>51846768.108394951</v>
      </c>
      <c r="V114" s="31" cm="1">
        <f t="array" ref="V114">V$110+IF($C114&lt;&gt;0,SUMPRODUCT((V$111:V$112)*TRANSPOSE(($D114:$E114))),0)</f>
        <v>51846768.108394951</v>
      </c>
      <c r="W114" s="31" cm="1">
        <f t="array" ref="W114">W$110+IF($C114&lt;&gt;0,SUMPRODUCT((W$111:W$112)*TRANSPOSE(($D114:$E114))),0)</f>
        <v>51846768.108394951</v>
      </c>
      <c r="X114" s="31" cm="1">
        <f t="array" ref="X114">X$110+IF($C114&lt;&gt;0,SUMPRODUCT((X$111:X$112)*TRANSPOSE(($D114:$E114))),0)</f>
        <v>51846768.108394951</v>
      </c>
      <c r="Y114" s="31" cm="1">
        <f t="array" ref="Y114">Y$110+IF($C114&lt;&gt;0,SUMPRODUCT((Y$111:Y$112)*TRANSPOSE(($D114:$E114))),0)</f>
        <v>51846768.108394951</v>
      </c>
      <c r="Z114" s="31" cm="1">
        <f t="array" ref="Z114">Z$110+IF($C114&lt;&gt;0,SUMPRODUCT((Z$111:Z$112)*TRANSPOSE(($D114:$E114))),0)</f>
        <v>51846768.108394951</v>
      </c>
      <c r="AA114" s="31" cm="1">
        <f t="array" ref="AA114">AA$110+IF($C114&lt;&gt;0,SUMPRODUCT((AA$111:AA$112)*TRANSPOSE(($D114:$E114))),0)</f>
        <v>51846768.108394951</v>
      </c>
      <c r="AB114" s="31" cm="1">
        <f t="array" ref="AB114">AB$110+IF($C114&lt;&gt;0,SUMPRODUCT((AB$111:AB$112)*TRANSPOSE(($D114:$E114))),0)</f>
        <v>51846768.108394951</v>
      </c>
      <c r="AC114" s="31" cm="1">
        <f t="array" ref="AC114">AC$110+IF($C114&lt;&gt;0,SUMPRODUCT((AC$111:AC$112)*TRANSPOSE(($D114:$E114))),0)</f>
        <v>51846768.108394951</v>
      </c>
      <c r="AD114" s="31" cm="1">
        <f t="array" ref="AD114">AD$110+IF($C114&lt;&gt;0,SUMPRODUCT((AD$111:AD$112)*TRANSPOSE(($D114:$E114))),0)</f>
        <v>51846768.108394951</v>
      </c>
      <c r="AE114" s="31" cm="1">
        <f t="array" ref="AE114">AE$110+IF($C114&lt;&gt;0,SUMPRODUCT((AE$111:AE$112)*TRANSPOSE(($D114:$E114))),0)</f>
        <v>51846768.108394951</v>
      </c>
      <c r="AF114" s="31" cm="1">
        <f t="array" ref="AF114">AF$110+IF($C114&lt;&gt;0,SUMPRODUCT((AF$111:AF$112)*TRANSPOSE(($D114:$E114))),0)</f>
        <v>51846768.108394951</v>
      </c>
      <c r="AG114" s="31" cm="1">
        <f t="array" ref="AG114">AG$110+IF($C114&lt;&gt;0,SUMPRODUCT((AG$111:AG$112)*TRANSPOSE(($D114:$E114))),0)</f>
        <v>51846768.108394951</v>
      </c>
    </row>
    <row r="115" spans="1:33" x14ac:dyDescent="0.2">
      <c r="A115" s="1" t="str">
        <f>"sens"&amp;Assumptions!B112</f>
        <v>sens2</v>
      </c>
      <c r="C115" s="305" t="str">
        <f>Assumptions!C112</f>
        <v>Capex 10% lower</v>
      </c>
      <c r="D115" s="306">
        <f>Assumptions!G112</f>
        <v>-0.1</v>
      </c>
      <c r="E115" s="306">
        <f>Assumptions!H112</f>
        <v>0</v>
      </c>
      <c r="G115" s="38" t="str">
        <f t="shared" ref="G115:G121" si="42">PROPER($A$3)&amp;A115</f>
        <v>Option 5sens2</v>
      </c>
      <c r="I115" s="31" cm="1">
        <f t="array" ref="I115">I$110+IF($C115&lt;&gt;0,SUMPRODUCT((I$111:I$112)*TRANSPOSE(($D115:$E115))),0)</f>
        <v>0</v>
      </c>
      <c r="J115" s="31" cm="1">
        <f t="array" ref="J115">J$110+IF($C115&lt;&gt;0,SUMPRODUCT((J$111:J$112)*TRANSPOSE(($D115:$E115))),0)</f>
        <v>7000393.078690948</v>
      </c>
      <c r="K115" s="31" cm="1">
        <f t="array" ref="K115">K$110+IF($C115&lt;&gt;0,SUMPRODUCT((K$111:K$112)*TRANSPOSE(($D115:$E115))),0)</f>
        <v>9416932.1827760376</v>
      </c>
      <c r="L115" s="31" cm="1">
        <f t="array" ref="L115">L$110+IF($C115&lt;&gt;0,SUMPRODUCT((L$111:L$112)*TRANSPOSE(($D115:$E115))),0)</f>
        <v>10905496.713496901</v>
      </c>
      <c r="M115" s="31" cm="1">
        <f t="array" ref="M115">M$110+IF($C115&lt;&gt;0,SUMPRODUCT((M$111:M$112)*TRANSPOSE(($D115:$E115))),0)</f>
        <v>14160825.926506365</v>
      </c>
      <c r="N115" s="31" cm="1">
        <f t="array" ref="N115">N$110+IF($C115&lt;&gt;0,SUMPRODUCT((N$111:N$112)*TRANSPOSE(($D115:$E115))),0)</f>
        <v>20462126.096418329</v>
      </c>
      <c r="O115" s="31" cm="1">
        <f t="array" ref="O115">O$110+IF($C115&lt;&gt;0,SUMPRODUCT((O$111:O$112)*TRANSPOSE(($D115:$E115))),0)</f>
        <v>30215123.418083448</v>
      </c>
      <c r="P115" s="31" cm="1">
        <f t="array" ref="P115">P$110+IF($C115&lt;&gt;0,SUMPRODUCT((P$111:P$112)*TRANSPOSE(($D115:$E115))),0)</f>
        <v>40474795.013211161</v>
      </c>
      <c r="Q115" s="31" cm="1">
        <f t="array" ref="Q115">Q$110+IF($C115&lt;&gt;0,SUMPRODUCT((Q$111:Q$112)*TRANSPOSE(($D115:$E115))),0)</f>
        <v>52729393.378846556</v>
      </c>
      <c r="R115" s="31" cm="1">
        <f t="array" ref="R115">R$110+IF($C115&lt;&gt;0,SUMPRODUCT((R$111:R$112)*TRANSPOSE(($D115:$E115))),0)</f>
        <v>52729393.378846556</v>
      </c>
      <c r="S115" s="31" cm="1">
        <f t="array" ref="S115">S$110+IF($C115&lt;&gt;0,SUMPRODUCT((S$111:S$112)*TRANSPOSE(($D115:$E115))),0)</f>
        <v>52729393.378846556</v>
      </c>
      <c r="T115" s="31" cm="1">
        <f t="array" ref="T115">T$110+IF($C115&lt;&gt;0,SUMPRODUCT((T$111:T$112)*TRANSPOSE(($D115:$E115))),0)</f>
        <v>52729393.378846556</v>
      </c>
      <c r="U115" s="31" cm="1">
        <f t="array" ref="U115">U$110+IF($C115&lt;&gt;0,SUMPRODUCT((U$111:U$112)*TRANSPOSE(($D115:$E115))),0)</f>
        <v>52729393.378846556</v>
      </c>
      <c r="V115" s="31" cm="1">
        <f t="array" ref="V115">V$110+IF($C115&lt;&gt;0,SUMPRODUCT((V$111:V$112)*TRANSPOSE(($D115:$E115))),0)</f>
        <v>52729393.378846556</v>
      </c>
      <c r="W115" s="31" cm="1">
        <f t="array" ref="W115">W$110+IF($C115&lt;&gt;0,SUMPRODUCT((W$111:W$112)*TRANSPOSE(($D115:$E115))),0)</f>
        <v>52729393.378846556</v>
      </c>
      <c r="X115" s="31" cm="1">
        <f t="array" ref="X115">X$110+IF($C115&lt;&gt;0,SUMPRODUCT((X$111:X$112)*TRANSPOSE(($D115:$E115))),0)</f>
        <v>52729393.378846556</v>
      </c>
      <c r="Y115" s="31" cm="1">
        <f t="array" ref="Y115">Y$110+IF($C115&lt;&gt;0,SUMPRODUCT((Y$111:Y$112)*TRANSPOSE(($D115:$E115))),0)</f>
        <v>52729393.378846556</v>
      </c>
      <c r="Z115" s="31" cm="1">
        <f t="array" ref="Z115">Z$110+IF($C115&lt;&gt;0,SUMPRODUCT((Z$111:Z$112)*TRANSPOSE(($D115:$E115))),0)</f>
        <v>52729393.378846556</v>
      </c>
      <c r="AA115" s="31" cm="1">
        <f t="array" ref="AA115">AA$110+IF($C115&lt;&gt;0,SUMPRODUCT((AA$111:AA$112)*TRANSPOSE(($D115:$E115))),0)</f>
        <v>52729393.378846556</v>
      </c>
      <c r="AB115" s="31" cm="1">
        <f t="array" ref="AB115">AB$110+IF($C115&lt;&gt;0,SUMPRODUCT((AB$111:AB$112)*TRANSPOSE(($D115:$E115))),0)</f>
        <v>52729393.378846556</v>
      </c>
      <c r="AC115" s="31" cm="1">
        <f t="array" ref="AC115">AC$110+IF($C115&lt;&gt;0,SUMPRODUCT((AC$111:AC$112)*TRANSPOSE(($D115:$E115))),0)</f>
        <v>52729393.378846556</v>
      </c>
      <c r="AD115" s="31" cm="1">
        <f t="array" ref="AD115">AD$110+IF($C115&lt;&gt;0,SUMPRODUCT((AD$111:AD$112)*TRANSPOSE(($D115:$E115))),0)</f>
        <v>52729393.378846556</v>
      </c>
      <c r="AE115" s="31" cm="1">
        <f t="array" ref="AE115">AE$110+IF($C115&lt;&gt;0,SUMPRODUCT((AE$111:AE$112)*TRANSPOSE(($D115:$E115))),0)</f>
        <v>52729393.378846556</v>
      </c>
      <c r="AF115" s="31" cm="1">
        <f t="array" ref="AF115">AF$110+IF($C115&lt;&gt;0,SUMPRODUCT((AF$111:AF$112)*TRANSPOSE(($D115:$E115))),0)</f>
        <v>52729393.378846556</v>
      </c>
      <c r="AG115" s="31" cm="1">
        <f t="array" ref="AG115">AG$110+IF($C115&lt;&gt;0,SUMPRODUCT((AG$111:AG$112)*TRANSPOSE(($D115:$E115))),0)</f>
        <v>52729393.378846556</v>
      </c>
    </row>
    <row r="116" spans="1:33" x14ac:dyDescent="0.2">
      <c r="A116" s="1" t="str">
        <f>"sens"&amp;Assumptions!B113</f>
        <v>sens3</v>
      </c>
      <c r="C116" s="305" t="str">
        <f>Assumptions!C113</f>
        <v>Total benefits 10% higher</v>
      </c>
      <c r="D116" s="306">
        <f>Assumptions!G113</f>
        <v>0</v>
      </c>
      <c r="E116" s="306">
        <f>Assumptions!H113</f>
        <v>0.1</v>
      </c>
      <c r="G116" s="38" t="str">
        <f t="shared" si="42"/>
        <v>Option 5sens3</v>
      </c>
      <c r="I116" s="31" cm="1">
        <f t="array" ref="I116">I$110+IF($C116&lt;&gt;0,SUMPRODUCT((I$111:I$112)*TRANSPOSE(($D116:$E116))),0)</f>
        <v>0</v>
      </c>
      <c r="J116" s="31" cm="1">
        <f t="array" ref="J116">J$110+IF($C116&lt;&gt;0,SUMPRODUCT((J$111:J$112)*TRANSPOSE(($D116:$E116))),0)</f>
        <v>7688561.7158233989</v>
      </c>
      <c r="K116" s="31" cm="1">
        <f t="array" ref="K116">K$110+IF($C116&lt;&gt;0,SUMPRODUCT((K$111:K$112)*TRANSPOSE(($D116:$E116))),0)</f>
        <v>10338639.344880698</v>
      </c>
      <c r="L116" s="31" cm="1">
        <f t="array" ref="L116">L$110+IF($C116&lt;&gt;0,SUMPRODUCT((L$111:L$112)*TRANSPOSE(($D116:$E116))),0)</f>
        <v>11963472.501628177</v>
      </c>
      <c r="M116" s="31" cm="1">
        <f t="array" ref="M116">M$110+IF($C116&lt;&gt;0,SUMPRODUCT((M$111:M$112)*TRANSPOSE(($D116:$E116))),0)</f>
        <v>15532777.25563442</v>
      </c>
      <c r="N116" s="31" cm="1">
        <f t="array" ref="N116">N$110+IF($C116&lt;&gt;0,SUMPRODUCT((N$111:N$112)*TRANSPOSE(($D116:$E116))),0)</f>
        <v>22464207.442537583</v>
      </c>
      <c r="O116" s="31" cm="1">
        <f t="array" ref="O116">O$110+IF($C116&lt;&gt;0,SUMPRODUCT((O$111:O$112)*TRANSPOSE(($D116:$E116))),0)</f>
        <v>33192504.496369213</v>
      </c>
      <c r="P116" s="31" cm="1">
        <f t="array" ref="P116">P$110+IF($C116&lt;&gt;0,SUMPRODUCT((P$111:P$112)*TRANSPOSE(($D116:$E116))),0)</f>
        <v>44478143.251009695</v>
      </c>
      <c r="Q116" s="31" cm="1">
        <f t="array" ref="Q116">Q$110+IF($C116&lt;&gt;0,SUMPRODUCT((Q$111:Q$112)*TRANSPOSE(($D116:$E116))),0)</f>
        <v>57958201.453208633</v>
      </c>
      <c r="R116" s="31" cm="1">
        <f t="array" ref="R116">R$110+IF($C116&lt;&gt;0,SUMPRODUCT((R$111:R$112)*TRANSPOSE(($D116:$E116))),0)</f>
        <v>57958201.453208633</v>
      </c>
      <c r="S116" s="31" cm="1">
        <f t="array" ref="S116">S$110+IF($C116&lt;&gt;0,SUMPRODUCT((S$111:S$112)*TRANSPOSE(($D116:$E116))),0)</f>
        <v>57958201.453208633</v>
      </c>
      <c r="T116" s="31" cm="1">
        <f t="array" ref="T116">T$110+IF($C116&lt;&gt;0,SUMPRODUCT((T$111:T$112)*TRANSPOSE(($D116:$E116))),0)</f>
        <v>57958201.453208633</v>
      </c>
      <c r="U116" s="31" cm="1">
        <f t="array" ref="U116">U$110+IF($C116&lt;&gt;0,SUMPRODUCT((U$111:U$112)*TRANSPOSE(($D116:$E116))),0)</f>
        <v>57958201.453208633</v>
      </c>
      <c r="V116" s="31" cm="1">
        <f t="array" ref="V116">V$110+IF($C116&lt;&gt;0,SUMPRODUCT((V$111:V$112)*TRANSPOSE(($D116:$E116))),0)</f>
        <v>57958201.453208633</v>
      </c>
      <c r="W116" s="31" cm="1">
        <f t="array" ref="W116">W$110+IF($C116&lt;&gt;0,SUMPRODUCT((W$111:W$112)*TRANSPOSE(($D116:$E116))),0)</f>
        <v>57958201.453208633</v>
      </c>
      <c r="X116" s="31" cm="1">
        <f t="array" ref="X116">X$110+IF($C116&lt;&gt;0,SUMPRODUCT((X$111:X$112)*TRANSPOSE(($D116:$E116))),0)</f>
        <v>57958201.453208633</v>
      </c>
      <c r="Y116" s="31" cm="1">
        <f t="array" ref="Y116">Y$110+IF($C116&lt;&gt;0,SUMPRODUCT((Y$111:Y$112)*TRANSPOSE(($D116:$E116))),0)</f>
        <v>57958201.453208633</v>
      </c>
      <c r="Z116" s="31" cm="1">
        <f t="array" ref="Z116">Z$110+IF($C116&lt;&gt;0,SUMPRODUCT((Z$111:Z$112)*TRANSPOSE(($D116:$E116))),0)</f>
        <v>57958201.453208633</v>
      </c>
      <c r="AA116" s="31" cm="1">
        <f t="array" ref="AA116">AA$110+IF($C116&lt;&gt;0,SUMPRODUCT((AA$111:AA$112)*TRANSPOSE(($D116:$E116))),0)</f>
        <v>57958201.453208633</v>
      </c>
      <c r="AB116" s="31" cm="1">
        <f t="array" ref="AB116">AB$110+IF($C116&lt;&gt;0,SUMPRODUCT((AB$111:AB$112)*TRANSPOSE(($D116:$E116))),0)</f>
        <v>57958201.453208633</v>
      </c>
      <c r="AC116" s="31" cm="1">
        <f t="array" ref="AC116">AC$110+IF($C116&lt;&gt;0,SUMPRODUCT((AC$111:AC$112)*TRANSPOSE(($D116:$E116))),0)</f>
        <v>57958201.453208633</v>
      </c>
      <c r="AD116" s="31" cm="1">
        <f t="array" ref="AD116">AD$110+IF($C116&lt;&gt;0,SUMPRODUCT((AD$111:AD$112)*TRANSPOSE(($D116:$E116))),0)</f>
        <v>57958201.453208633</v>
      </c>
      <c r="AE116" s="31" cm="1">
        <f t="array" ref="AE116">AE$110+IF($C116&lt;&gt;0,SUMPRODUCT((AE$111:AE$112)*TRANSPOSE(($D116:$E116))),0)</f>
        <v>57958201.453208633</v>
      </c>
      <c r="AF116" s="31" cm="1">
        <f t="array" ref="AF116">AF$110+IF($C116&lt;&gt;0,SUMPRODUCT((AF$111:AF$112)*TRANSPOSE(($D116:$E116))),0)</f>
        <v>57958201.453208633</v>
      </c>
      <c r="AG116" s="31" cm="1">
        <f t="array" ref="AG116">AG$110+IF($C116&lt;&gt;0,SUMPRODUCT((AG$111:AG$112)*TRANSPOSE(($D116:$E116))),0)</f>
        <v>57958201.453208633</v>
      </c>
    </row>
    <row r="117" spans="1:33" x14ac:dyDescent="0.2">
      <c r="A117" s="1" t="str">
        <f>"sens"&amp;Assumptions!B114</f>
        <v>sens4</v>
      </c>
      <c r="C117" s="305" t="str">
        <f>Assumptions!C114</f>
        <v>Total benefits 10% lower</v>
      </c>
      <c r="D117" s="306">
        <f>Assumptions!G114</f>
        <v>0</v>
      </c>
      <c r="E117" s="306">
        <f>Assumptions!H114</f>
        <v>-0.1</v>
      </c>
      <c r="G117" s="38" t="str">
        <f t="shared" si="42"/>
        <v>Option 5sens4</v>
      </c>
      <c r="I117" s="31" cm="1">
        <f t="array" ref="I117">I$110+IF($C117&lt;&gt;0,SUMPRODUCT((I$111:I$112)*TRANSPOSE(($D117:$E117))),0)</f>
        <v>0</v>
      </c>
      <c r="J117" s="31" cm="1">
        <f t="array" ref="J117">J$110+IF($C117&lt;&gt;0,SUMPRODUCT((J$111:J$112)*TRANSPOSE(($D117:$E117))),0)</f>
        <v>6074811.0268256348</v>
      </c>
      <c r="K117" s="31" cm="1">
        <f t="array" ref="K117">K$110+IF($C117&lt;&gt;0,SUMPRODUCT((K$111:K$112)*TRANSPOSE(($D117:$E117))),0)</f>
        <v>8095503.8972125072</v>
      </c>
      <c r="L117" s="31" cm="1">
        <f t="array" ref="L117">L$110+IF($C117&lt;&gt;0,SUMPRODUCT((L$111:L$112)*TRANSPOSE(($D117:$E117))),0)</f>
        <v>9196043.260997368</v>
      </c>
      <c r="M117" s="31" cm="1">
        <f t="array" ref="M117">M$110+IF($C117&lt;&gt;0,SUMPRODUCT((M$111:M$112)*TRANSPOSE(($D117:$E117))),0)</f>
        <v>11906249.326926701</v>
      </c>
      <c r="N117" s="31" cm="1">
        <f t="array" ref="N117">N$110+IF($C117&lt;&gt;0,SUMPRODUCT((N$111:N$112)*TRANSPOSE(($D117:$E117))),0)</f>
        <v>17577419.479847468</v>
      </c>
      <c r="O117" s="31" cm="1">
        <f t="array" ref="O117">O$110+IF($C117&lt;&gt;0,SUMPRODUCT((O$111:O$112)*TRANSPOSE(($D117:$E117))),0)</f>
        <v>26355117.069346078</v>
      </c>
      <c r="P117" s="31" cm="1">
        <f t="array" ref="P117">P$110+IF($C117&lt;&gt;0,SUMPRODUCT((P$111:P$112)*TRANSPOSE(($D117:$E117))),0)</f>
        <v>35588821.504961021</v>
      </c>
      <c r="Q117" s="31" cm="1">
        <f t="array" ref="Q117">Q$110+IF($C117&lt;&gt;0,SUMPRODUCT((Q$111:Q$112)*TRANSPOSE(($D117:$E117))),0)</f>
        <v>46617960.034032874</v>
      </c>
      <c r="R117" s="31" cm="1">
        <f t="array" ref="R117">R$110+IF($C117&lt;&gt;0,SUMPRODUCT((R$111:R$112)*TRANSPOSE(($D117:$E117))),0)</f>
        <v>46617960.034032874</v>
      </c>
      <c r="S117" s="31" cm="1">
        <f t="array" ref="S117">S$110+IF($C117&lt;&gt;0,SUMPRODUCT((S$111:S$112)*TRANSPOSE(($D117:$E117))),0)</f>
        <v>46617960.034032874</v>
      </c>
      <c r="T117" s="31" cm="1">
        <f t="array" ref="T117">T$110+IF($C117&lt;&gt;0,SUMPRODUCT((T$111:T$112)*TRANSPOSE(($D117:$E117))),0)</f>
        <v>46617960.034032874</v>
      </c>
      <c r="U117" s="31" cm="1">
        <f t="array" ref="U117">U$110+IF($C117&lt;&gt;0,SUMPRODUCT((U$111:U$112)*TRANSPOSE(($D117:$E117))),0)</f>
        <v>46617960.034032874</v>
      </c>
      <c r="V117" s="31" cm="1">
        <f t="array" ref="V117">V$110+IF($C117&lt;&gt;0,SUMPRODUCT((V$111:V$112)*TRANSPOSE(($D117:$E117))),0)</f>
        <v>46617960.034032874</v>
      </c>
      <c r="W117" s="31" cm="1">
        <f t="array" ref="W117">W$110+IF($C117&lt;&gt;0,SUMPRODUCT((W$111:W$112)*TRANSPOSE(($D117:$E117))),0)</f>
        <v>46617960.034032874</v>
      </c>
      <c r="X117" s="31" cm="1">
        <f t="array" ref="X117">X$110+IF($C117&lt;&gt;0,SUMPRODUCT((X$111:X$112)*TRANSPOSE(($D117:$E117))),0)</f>
        <v>46617960.034032874</v>
      </c>
      <c r="Y117" s="31" cm="1">
        <f t="array" ref="Y117">Y$110+IF($C117&lt;&gt;0,SUMPRODUCT((Y$111:Y$112)*TRANSPOSE(($D117:$E117))),0)</f>
        <v>46617960.034032874</v>
      </c>
      <c r="Z117" s="31" cm="1">
        <f t="array" ref="Z117">Z$110+IF($C117&lt;&gt;0,SUMPRODUCT((Z$111:Z$112)*TRANSPOSE(($D117:$E117))),0)</f>
        <v>46617960.034032874</v>
      </c>
      <c r="AA117" s="31" cm="1">
        <f t="array" ref="AA117">AA$110+IF($C117&lt;&gt;0,SUMPRODUCT((AA$111:AA$112)*TRANSPOSE(($D117:$E117))),0)</f>
        <v>46617960.034032874</v>
      </c>
      <c r="AB117" s="31" cm="1">
        <f t="array" ref="AB117">AB$110+IF($C117&lt;&gt;0,SUMPRODUCT((AB$111:AB$112)*TRANSPOSE(($D117:$E117))),0)</f>
        <v>46617960.034032874</v>
      </c>
      <c r="AC117" s="31" cm="1">
        <f t="array" ref="AC117">AC$110+IF($C117&lt;&gt;0,SUMPRODUCT((AC$111:AC$112)*TRANSPOSE(($D117:$E117))),0)</f>
        <v>46617960.034032874</v>
      </c>
      <c r="AD117" s="31" cm="1">
        <f t="array" ref="AD117">AD$110+IF($C117&lt;&gt;0,SUMPRODUCT((AD$111:AD$112)*TRANSPOSE(($D117:$E117))),0)</f>
        <v>46617960.034032874</v>
      </c>
      <c r="AE117" s="31" cm="1">
        <f t="array" ref="AE117">AE$110+IF($C117&lt;&gt;0,SUMPRODUCT((AE$111:AE$112)*TRANSPOSE(($D117:$E117))),0)</f>
        <v>46617960.034032874</v>
      </c>
      <c r="AF117" s="31" cm="1">
        <f t="array" ref="AF117">AF$110+IF($C117&lt;&gt;0,SUMPRODUCT((AF$111:AF$112)*TRANSPOSE(($D117:$E117))),0)</f>
        <v>46617960.034032874</v>
      </c>
      <c r="AG117" s="31" cm="1">
        <f t="array" ref="AG117">AG$110+IF($C117&lt;&gt;0,SUMPRODUCT((AG$111:AG$112)*TRANSPOSE(($D117:$E117))),0)</f>
        <v>46617960.034032874</v>
      </c>
    </row>
    <row r="118" spans="1:33" x14ac:dyDescent="0.2">
      <c r="A118" s="1" t="str">
        <f>"sens"&amp;Assumptions!B115</f>
        <v>sens5</v>
      </c>
      <c r="C118" s="305" t="str">
        <f>Assumptions!C115</f>
        <v>Capex 10% higher &amp; Total benefits 10% lower</v>
      </c>
      <c r="D118" s="306">
        <f>Assumptions!G115</f>
        <v>0.1</v>
      </c>
      <c r="E118" s="306">
        <f>Assumptions!H115</f>
        <v>-0.1</v>
      </c>
      <c r="G118" s="38" t="str">
        <f t="shared" si="42"/>
        <v>Option 5sens5</v>
      </c>
      <c r="I118" s="31" cm="1">
        <f t="array" ref="I118">I$110+IF($C118&lt;&gt;0,SUMPRODUCT((I$111:I$112)*TRANSPOSE(($D118:$E118))),0)</f>
        <v>0</v>
      </c>
      <c r="J118" s="31" cm="1">
        <f t="array" ref="J118">J$110+IF($C118&lt;&gt;0,SUMPRODUCT((J$111:J$112)*TRANSPOSE(($D118:$E118))),0)</f>
        <v>5956104.3194592036</v>
      </c>
      <c r="K118" s="31" cm="1">
        <f t="array" ref="K118">K$110+IF($C118&lt;&gt;0,SUMPRODUCT((K$111:K$112)*TRANSPOSE(($D118:$E118))),0)</f>
        <v>7895643.3354830733</v>
      </c>
      <c r="L118" s="31" cm="1">
        <f t="array" ref="L118">L$110+IF($C118&lt;&gt;0,SUMPRODUCT((L$111:L$112)*TRANSPOSE(($D118:$E118))),0)</f>
        <v>8870304.4288132396</v>
      </c>
      <c r="M118" s="31" cm="1">
        <f t="array" ref="M118">M$110+IF($C118&lt;&gt;0,SUMPRODUCT((M$111:M$112)*TRANSPOSE(($D118:$E118))),0)</f>
        <v>11464936.691700896</v>
      </c>
      <c r="N118" s="31" cm="1">
        <f t="array" ref="N118">N$110+IF($C118&lt;&gt;0,SUMPRODUCT((N$111:N$112)*TRANSPOSE(($D118:$E118))),0)</f>
        <v>17136106.844621666</v>
      </c>
      <c r="O118" s="31" cm="1">
        <f t="array" ref="O118">O$110+IF($C118&lt;&gt;0,SUMPRODUCT((O$111:O$112)*TRANSPOSE(($D118:$E118))),0)</f>
        <v>25913804.434120271</v>
      </c>
      <c r="P118" s="31" cm="1">
        <f t="array" ref="P118">P$110+IF($C118&lt;&gt;0,SUMPRODUCT((P$111:P$112)*TRANSPOSE(($D118:$E118))),0)</f>
        <v>35147508.869735211</v>
      </c>
      <c r="Q118" s="31" cm="1">
        <f t="array" ref="Q118">Q$110+IF($C118&lt;&gt;0,SUMPRODUCT((Q$111:Q$112)*TRANSPOSE(($D118:$E118))),0)</f>
        <v>46176647.398807071</v>
      </c>
      <c r="R118" s="31" cm="1">
        <f t="array" ref="R118">R$110+IF($C118&lt;&gt;0,SUMPRODUCT((R$111:R$112)*TRANSPOSE(($D118:$E118))),0)</f>
        <v>46176647.398807071</v>
      </c>
      <c r="S118" s="31" cm="1">
        <f t="array" ref="S118">S$110+IF($C118&lt;&gt;0,SUMPRODUCT((S$111:S$112)*TRANSPOSE(($D118:$E118))),0)</f>
        <v>46176647.398807071</v>
      </c>
      <c r="T118" s="31" cm="1">
        <f t="array" ref="T118">T$110+IF($C118&lt;&gt;0,SUMPRODUCT((T$111:T$112)*TRANSPOSE(($D118:$E118))),0)</f>
        <v>46176647.398807071</v>
      </c>
      <c r="U118" s="31" cm="1">
        <f t="array" ref="U118">U$110+IF($C118&lt;&gt;0,SUMPRODUCT((U$111:U$112)*TRANSPOSE(($D118:$E118))),0)</f>
        <v>46176647.398807071</v>
      </c>
      <c r="V118" s="31" cm="1">
        <f t="array" ref="V118">V$110+IF($C118&lt;&gt;0,SUMPRODUCT((V$111:V$112)*TRANSPOSE(($D118:$E118))),0)</f>
        <v>46176647.398807071</v>
      </c>
      <c r="W118" s="31" cm="1">
        <f t="array" ref="W118">W$110+IF($C118&lt;&gt;0,SUMPRODUCT((W$111:W$112)*TRANSPOSE(($D118:$E118))),0)</f>
        <v>46176647.398807071</v>
      </c>
      <c r="X118" s="31" cm="1">
        <f t="array" ref="X118">X$110+IF($C118&lt;&gt;0,SUMPRODUCT((X$111:X$112)*TRANSPOSE(($D118:$E118))),0)</f>
        <v>46176647.398807071</v>
      </c>
      <c r="Y118" s="31" cm="1">
        <f t="array" ref="Y118">Y$110+IF($C118&lt;&gt;0,SUMPRODUCT((Y$111:Y$112)*TRANSPOSE(($D118:$E118))),0)</f>
        <v>46176647.398807071</v>
      </c>
      <c r="Z118" s="31" cm="1">
        <f t="array" ref="Z118">Z$110+IF($C118&lt;&gt;0,SUMPRODUCT((Z$111:Z$112)*TRANSPOSE(($D118:$E118))),0)</f>
        <v>46176647.398807071</v>
      </c>
      <c r="AA118" s="31" cm="1">
        <f t="array" ref="AA118">AA$110+IF($C118&lt;&gt;0,SUMPRODUCT((AA$111:AA$112)*TRANSPOSE(($D118:$E118))),0)</f>
        <v>46176647.398807071</v>
      </c>
      <c r="AB118" s="31" cm="1">
        <f t="array" ref="AB118">AB$110+IF($C118&lt;&gt;0,SUMPRODUCT((AB$111:AB$112)*TRANSPOSE(($D118:$E118))),0)</f>
        <v>46176647.398807071</v>
      </c>
      <c r="AC118" s="31" cm="1">
        <f t="array" ref="AC118">AC$110+IF($C118&lt;&gt;0,SUMPRODUCT((AC$111:AC$112)*TRANSPOSE(($D118:$E118))),0)</f>
        <v>46176647.398807071</v>
      </c>
      <c r="AD118" s="31" cm="1">
        <f t="array" ref="AD118">AD$110+IF($C118&lt;&gt;0,SUMPRODUCT((AD$111:AD$112)*TRANSPOSE(($D118:$E118))),0)</f>
        <v>46176647.398807071</v>
      </c>
      <c r="AE118" s="31" cm="1">
        <f t="array" ref="AE118">AE$110+IF($C118&lt;&gt;0,SUMPRODUCT((AE$111:AE$112)*TRANSPOSE(($D118:$E118))),0)</f>
        <v>46176647.398807071</v>
      </c>
      <c r="AF118" s="31" cm="1">
        <f t="array" ref="AF118">AF$110+IF($C118&lt;&gt;0,SUMPRODUCT((AF$111:AF$112)*TRANSPOSE(($D118:$E118))),0)</f>
        <v>46176647.398807071</v>
      </c>
      <c r="AG118" s="31" cm="1">
        <f t="array" ref="AG118">AG$110+IF($C118&lt;&gt;0,SUMPRODUCT((AG$111:AG$112)*TRANSPOSE(($D118:$E118))),0)</f>
        <v>46176647.398807071</v>
      </c>
    </row>
    <row r="119" spans="1:33" x14ac:dyDescent="0.2">
      <c r="A119" s="1" t="str">
        <f>"sens"&amp;Assumptions!B116</f>
        <v>sens</v>
      </c>
      <c r="C119" s="305">
        <f>Assumptions!C116</f>
        <v>0</v>
      </c>
      <c r="D119" s="306">
        <f>Assumptions!G116</f>
        <v>0</v>
      </c>
      <c r="E119" s="306">
        <f>Assumptions!H116</f>
        <v>0</v>
      </c>
      <c r="G119" s="38" t="str">
        <f t="shared" si="42"/>
        <v>Option 5sens</v>
      </c>
      <c r="I119" s="31" cm="1">
        <f t="array" ref="I119">I$110+IF($C119&lt;&gt;0,SUMPRODUCT((I$111:I$112)*TRANSPOSE(($D119:$E119))),0)</f>
        <v>0</v>
      </c>
      <c r="J119" s="31" cm="1">
        <f t="array" ref="J119">J$110+IF($C119&lt;&gt;0,SUMPRODUCT((J$111:J$112)*TRANSPOSE(($D119:$E119))),0)</f>
        <v>6881686.3713245168</v>
      </c>
      <c r="K119" s="31" cm="1">
        <f t="array" ref="K119">K$110+IF($C119&lt;&gt;0,SUMPRODUCT((K$111:K$112)*TRANSPOSE(($D119:$E119))),0)</f>
        <v>9217071.6210466027</v>
      </c>
      <c r="L119" s="31" cm="1">
        <f t="array" ref="L119">L$110+IF($C119&lt;&gt;0,SUMPRODUCT((L$111:L$112)*TRANSPOSE(($D119:$E119))),0)</f>
        <v>10579757.881312773</v>
      </c>
      <c r="M119" s="31" cm="1">
        <f t="array" ref="M119">M$110+IF($C119&lt;&gt;0,SUMPRODUCT((M$111:M$112)*TRANSPOSE(($D119:$E119))),0)</f>
        <v>13719513.29128056</v>
      </c>
      <c r="N119" s="31" cm="1">
        <f t="array" ref="N119">N$110+IF($C119&lt;&gt;0,SUMPRODUCT((N$111:N$112)*TRANSPOSE(($D119:$E119))),0)</f>
        <v>20020813.461192526</v>
      </c>
      <c r="O119" s="31" cm="1">
        <f t="array" ref="O119">O$110+IF($C119&lt;&gt;0,SUMPRODUCT((O$111:O$112)*TRANSPOSE(($D119:$E119))),0)</f>
        <v>29773810.782857645</v>
      </c>
      <c r="P119" s="31" cm="1">
        <f t="array" ref="P119">P$110+IF($C119&lt;&gt;0,SUMPRODUCT((P$111:P$112)*TRANSPOSE(($D119:$E119))),0)</f>
        <v>40033482.377985358</v>
      </c>
      <c r="Q119" s="31" cm="1">
        <f t="array" ref="Q119">Q$110+IF($C119&lt;&gt;0,SUMPRODUCT((Q$111:Q$112)*TRANSPOSE(($D119:$E119))),0)</f>
        <v>52288080.743620753</v>
      </c>
      <c r="R119" s="31" cm="1">
        <f t="array" ref="R119">R$110+IF($C119&lt;&gt;0,SUMPRODUCT((R$111:R$112)*TRANSPOSE(($D119:$E119))),0)</f>
        <v>52288080.743620753</v>
      </c>
      <c r="S119" s="31" cm="1">
        <f t="array" ref="S119">S$110+IF($C119&lt;&gt;0,SUMPRODUCT((S$111:S$112)*TRANSPOSE(($D119:$E119))),0)</f>
        <v>52288080.743620753</v>
      </c>
      <c r="T119" s="31" cm="1">
        <f t="array" ref="T119">T$110+IF($C119&lt;&gt;0,SUMPRODUCT((T$111:T$112)*TRANSPOSE(($D119:$E119))),0)</f>
        <v>52288080.743620753</v>
      </c>
      <c r="U119" s="31" cm="1">
        <f t="array" ref="U119">U$110+IF($C119&lt;&gt;0,SUMPRODUCT((U$111:U$112)*TRANSPOSE(($D119:$E119))),0)</f>
        <v>52288080.743620753</v>
      </c>
      <c r="V119" s="31" cm="1">
        <f t="array" ref="V119">V$110+IF($C119&lt;&gt;0,SUMPRODUCT((V$111:V$112)*TRANSPOSE(($D119:$E119))),0)</f>
        <v>52288080.743620753</v>
      </c>
      <c r="W119" s="31" cm="1">
        <f t="array" ref="W119">W$110+IF($C119&lt;&gt;0,SUMPRODUCT((W$111:W$112)*TRANSPOSE(($D119:$E119))),0)</f>
        <v>52288080.743620753</v>
      </c>
      <c r="X119" s="31" cm="1">
        <f t="array" ref="X119">X$110+IF($C119&lt;&gt;0,SUMPRODUCT((X$111:X$112)*TRANSPOSE(($D119:$E119))),0)</f>
        <v>52288080.743620753</v>
      </c>
      <c r="Y119" s="31" cm="1">
        <f t="array" ref="Y119">Y$110+IF($C119&lt;&gt;0,SUMPRODUCT((Y$111:Y$112)*TRANSPOSE(($D119:$E119))),0)</f>
        <v>52288080.743620753</v>
      </c>
      <c r="Z119" s="31" cm="1">
        <f t="array" ref="Z119">Z$110+IF($C119&lt;&gt;0,SUMPRODUCT((Z$111:Z$112)*TRANSPOSE(($D119:$E119))),0)</f>
        <v>52288080.743620753</v>
      </c>
      <c r="AA119" s="31" cm="1">
        <f t="array" ref="AA119">AA$110+IF($C119&lt;&gt;0,SUMPRODUCT((AA$111:AA$112)*TRANSPOSE(($D119:$E119))),0)</f>
        <v>52288080.743620753</v>
      </c>
      <c r="AB119" s="31" cm="1">
        <f t="array" ref="AB119">AB$110+IF($C119&lt;&gt;0,SUMPRODUCT((AB$111:AB$112)*TRANSPOSE(($D119:$E119))),0)</f>
        <v>52288080.743620753</v>
      </c>
      <c r="AC119" s="31" cm="1">
        <f t="array" ref="AC119">AC$110+IF($C119&lt;&gt;0,SUMPRODUCT((AC$111:AC$112)*TRANSPOSE(($D119:$E119))),0)</f>
        <v>52288080.743620753</v>
      </c>
      <c r="AD119" s="31" cm="1">
        <f t="array" ref="AD119">AD$110+IF($C119&lt;&gt;0,SUMPRODUCT((AD$111:AD$112)*TRANSPOSE(($D119:$E119))),0)</f>
        <v>52288080.743620753</v>
      </c>
      <c r="AE119" s="31" cm="1">
        <f t="array" ref="AE119">AE$110+IF($C119&lt;&gt;0,SUMPRODUCT((AE$111:AE$112)*TRANSPOSE(($D119:$E119))),0)</f>
        <v>52288080.743620753</v>
      </c>
      <c r="AF119" s="31" cm="1">
        <f t="array" ref="AF119">AF$110+IF($C119&lt;&gt;0,SUMPRODUCT((AF$111:AF$112)*TRANSPOSE(($D119:$E119))),0)</f>
        <v>52288080.743620753</v>
      </c>
      <c r="AG119" s="31" cm="1">
        <f t="array" ref="AG119">AG$110+IF($C119&lt;&gt;0,SUMPRODUCT((AG$111:AG$112)*TRANSPOSE(($D119:$E119))),0)</f>
        <v>52288080.743620753</v>
      </c>
    </row>
    <row r="120" spans="1:33" x14ac:dyDescent="0.2">
      <c r="A120" s="1" t="str">
        <f>"sens"&amp;Assumptions!B117</f>
        <v>sens</v>
      </c>
      <c r="C120" s="305">
        <f>Assumptions!C117</f>
        <v>0</v>
      </c>
      <c r="D120" s="306">
        <f>Assumptions!G117</f>
        <v>0</v>
      </c>
      <c r="E120" s="306">
        <f>Assumptions!H117</f>
        <v>0</v>
      </c>
      <c r="G120" s="38" t="str">
        <f t="shared" si="42"/>
        <v>Option 5sens</v>
      </c>
      <c r="I120" s="31" cm="1">
        <f t="array" ref="I120">I$110+IF($C120&lt;&gt;0,SUMPRODUCT((I$111:I$112)*TRANSPOSE(($D120:$E120))),0)</f>
        <v>0</v>
      </c>
      <c r="J120" s="31" cm="1">
        <f t="array" ref="J120">J$110+IF($C120&lt;&gt;0,SUMPRODUCT((J$111:J$112)*TRANSPOSE(($D120:$E120))),0)</f>
        <v>6881686.3713245168</v>
      </c>
      <c r="K120" s="31" cm="1">
        <f t="array" ref="K120">K$110+IF($C120&lt;&gt;0,SUMPRODUCT((K$111:K$112)*TRANSPOSE(($D120:$E120))),0)</f>
        <v>9217071.6210466027</v>
      </c>
      <c r="L120" s="31" cm="1">
        <f t="array" ref="L120">L$110+IF($C120&lt;&gt;0,SUMPRODUCT((L$111:L$112)*TRANSPOSE(($D120:$E120))),0)</f>
        <v>10579757.881312773</v>
      </c>
      <c r="M120" s="31" cm="1">
        <f t="array" ref="M120">M$110+IF($C120&lt;&gt;0,SUMPRODUCT((M$111:M$112)*TRANSPOSE(($D120:$E120))),0)</f>
        <v>13719513.29128056</v>
      </c>
      <c r="N120" s="31" cm="1">
        <f t="array" ref="N120">N$110+IF($C120&lt;&gt;0,SUMPRODUCT((N$111:N$112)*TRANSPOSE(($D120:$E120))),0)</f>
        <v>20020813.461192526</v>
      </c>
      <c r="O120" s="31" cm="1">
        <f t="array" ref="O120">O$110+IF($C120&lt;&gt;0,SUMPRODUCT((O$111:O$112)*TRANSPOSE(($D120:$E120))),0)</f>
        <v>29773810.782857645</v>
      </c>
      <c r="P120" s="31" cm="1">
        <f t="array" ref="P120">P$110+IF($C120&lt;&gt;0,SUMPRODUCT((P$111:P$112)*TRANSPOSE(($D120:$E120))),0)</f>
        <v>40033482.377985358</v>
      </c>
      <c r="Q120" s="31" cm="1">
        <f t="array" ref="Q120">Q$110+IF($C120&lt;&gt;0,SUMPRODUCT((Q$111:Q$112)*TRANSPOSE(($D120:$E120))),0)</f>
        <v>52288080.743620753</v>
      </c>
      <c r="R120" s="31" cm="1">
        <f t="array" ref="R120">R$110+IF($C120&lt;&gt;0,SUMPRODUCT((R$111:R$112)*TRANSPOSE(($D120:$E120))),0)</f>
        <v>52288080.743620753</v>
      </c>
      <c r="S120" s="31" cm="1">
        <f t="array" ref="S120">S$110+IF($C120&lt;&gt;0,SUMPRODUCT((S$111:S$112)*TRANSPOSE(($D120:$E120))),0)</f>
        <v>52288080.743620753</v>
      </c>
      <c r="T120" s="31" cm="1">
        <f t="array" ref="T120">T$110+IF($C120&lt;&gt;0,SUMPRODUCT((T$111:T$112)*TRANSPOSE(($D120:$E120))),0)</f>
        <v>52288080.743620753</v>
      </c>
      <c r="U120" s="31" cm="1">
        <f t="array" ref="U120">U$110+IF($C120&lt;&gt;0,SUMPRODUCT((U$111:U$112)*TRANSPOSE(($D120:$E120))),0)</f>
        <v>52288080.743620753</v>
      </c>
      <c r="V120" s="31" cm="1">
        <f t="array" ref="V120">V$110+IF($C120&lt;&gt;0,SUMPRODUCT((V$111:V$112)*TRANSPOSE(($D120:$E120))),0)</f>
        <v>52288080.743620753</v>
      </c>
      <c r="W120" s="31" cm="1">
        <f t="array" ref="W120">W$110+IF($C120&lt;&gt;0,SUMPRODUCT((W$111:W$112)*TRANSPOSE(($D120:$E120))),0)</f>
        <v>52288080.743620753</v>
      </c>
      <c r="X120" s="31" cm="1">
        <f t="array" ref="X120">X$110+IF($C120&lt;&gt;0,SUMPRODUCT((X$111:X$112)*TRANSPOSE(($D120:$E120))),0)</f>
        <v>52288080.743620753</v>
      </c>
      <c r="Y120" s="31" cm="1">
        <f t="array" ref="Y120">Y$110+IF($C120&lt;&gt;0,SUMPRODUCT((Y$111:Y$112)*TRANSPOSE(($D120:$E120))),0)</f>
        <v>52288080.743620753</v>
      </c>
      <c r="Z120" s="31" cm="1">
        <f t="array" ref="Z120">Z$110+IF($C120&lt;&gt;0,SUMPRODUCT((Z$111:Z$112)*TRANSPOSE(($D120:$E120))),0)</f>
        <v>52288080.743620753</v>
      </c>
      <c r="AA120" s="31" cm="1">
        <f t="array" ref="AA120">AA$110+IF($C120&lt;&gt;0,SUMPRODUCT((AA$111:AA$112)*TRANSPOSE(($D120:$E120))),0)</f>
        <v>52288080.743620753</v>
      </c>
      <c r="AB120" s="31" cm="1">
        <f t="array" ref="AB120">AB$110+IF($C120&lt;&gt;0,SUMPRODUCT((AB$111:AB$112)*TRANSPOSE(($D120:$E120))),0)</f>
        <v>52288080.743620753</v>
      </c>
      <c r="AC120" s="31" cm="1">
        <f t="array" ref="AC120">AC$110+IF($C120&lt;&gt;0,SUMPRODUCT((AC$111:AC$112)*TRANSPOSE(($D120:$E120))),0)</f>
        <v>52288080.743620753</v>
      </c>
      <c r="AD120" s="31" cm="1">
        <f t="array" ref="AD120">AD$110+IF($C120&lt;&gt;0,SUMPRODUCT((AD$111:AD$112)*TRANSPOSE(($D120:$E120))),0)</f>
        <v>52288080.743620753</v>
      </c>
      <c r="AE120" s="31" cm="1">
        <f t="array" ref="AE120">AE$110+IF($C120&lt;&gt;0,SUMPRODUCT((AE$111:AE$112)*TRANSPOSE(($D120:$E120))),0)</f>
        <v>52288080.743620753</v>
      </c>
      <c r="AF120" s="31" cm="1">
        <f t="array" ref="AF120">AF$110+IF($C120&lt;&gt;0,SUMPRODUCT((AF$111:AF$112)*TRANSPOSE(($D120:$E120))),0)</f>
        <v>52288080.743620753</v>
      </c>
      <c r="AG120" s="31" cm="1">
        <f t="array" ref="AG120">AG$110+IF($C120&lt;&gt;0,SUMPRODUCT((AG$111:AG$112)*TRANSPOSE(($D120:$E120))),0)</f>
        <v>52288080.743620753</v>
      </c>
    </row>
    <row r="121" spans="1:33" x14ac:dyDescent="0.2">
      <c r="A121" s="1" t="str">
        <f>"sens"&amp;Assumptions!B118</f>
        <v>sens</v>
      </c>
      <c r="C121" s="305">
        <f>Assumptions!C118</f>
        <v>0</v>
      </c>
      <c r="D121" s="306">
        <f>Assumptions!G118</f>
        <v>0</v>
      </c>
      <c r="E121" s="306">
        <f>Assumptions!H118</f>
        <v>0</v>
      </c>
      <c r="G121" s="38" t="str">
        <f t="shared" si="42"/>
        <v>Option 5sens</v>
      </c>
      <c r="I121" s="31" cm="1">
        <f t="array" ref="I121">I$110+IF($C121&lt;&gt;0,SUMPRODUCT((I$111:I$112)*TRANSPOSE(($D121:$E121))),0)</f>
        <v>0</v>
      </c>
      <c r="J121" s="31" cm="1">
        <f t="array" ref="J121">J$110+IF($C121&lt;&gt;0,SUMPRODUCT((J$111:J$112)*TRANSPOSE(($D121:$E121))),0)</f>
        <v>6881686.3713245168</v>
      </c>
      <c r="K121" s="31" cm="1">
        <f t="array" ref="K121">K$110+IF($C121&lt;&gt;0,SUMPRODUCT((K$111:K$112)*TRANSPOSE(($D121:$E121))),0)</f>
        <v>9217071.6210466027</v>
      </c>
      <c r="L121" s="31" cm="1">
        <f t="array" ref="L121">L$110+IF($C121&lt;&gt;0,SUMPRODUCT((L$111:L$112)*TRANSPOSE(($D121:$E121))),0)</f>
        <v>10579757.881312773</v>
      </c>
      <c r="M121" s="31" cm="1">
        <f t="array" ref="M121">M$110+IF($C121&lt;&gt;0,SUMPRODUCT((M$111:M$112)*TRANSPOSE(($D121:$E121))),0)</f>
        <v>13719513.29128056</v>
      </c>
      <c r="N121" s="31" cm="1">
        <f t="array" ref="N121">N$110+IF($C121&lt;&gt;0,SUMPRODUCT((N$111:N$112)*TRANSPOSE(($D121:$E121))),0)</f>
        <v>20020813.461192526</v>
      </c>
      <c r="O121" s="31" cm="1">
        <f t="array" ref="O121">O$110+IF($C121&lt;&gt;0,SUMPRODUCT((O$111:O$112)*TRANSPOSE(($D121:$E121))),0)</f>
        <v>29773810.782857645</v>
      </c>
      <c r="P121" s="31" cm="1">
        <f t="array" ref="P121">P$110+IF($C121&lt;&gt;0,SUMPRODUCT((P$111:P$112)*TRANSPOSE(($D121:$E121))),0)</f>
        <v>40033482.377985358</v>
      </c>
      <c r="Q121" s="31" cm="1">
        <f t="array" ref="Q121">Q$110+IF($C121&lt;&gt;0,SUMPRODUCT((Q$111:Q$112)*TRANSPOSE(($D121:$E121))),0)</f>
        <v>52288080.743620753</v>
      </c>
      <c r="R121" s="31" cm="1">
        <f t="array" ref="R121">R$110+IF($C121&lt;&gt;0,SUMPRODUCT((R$111:R$112)*TRANSPOSE(($D121:$E121))),0)</f>
        <v>52288080.743620753</v>
      </c>
      <c r="S121" s="31" cm="1">
        <f t="array" ref="S121">S$110+IF($C121&lt;&gt;0,SUMPRODUCT((S$111:S$112)*TRANSPOSE(($D121:$E121))),0)</f>
        <v>52288080.743620753</v>
      </c>
      <c r="T121" s="31" cm="1">
        <f t="array" ref="T121">T$110+IF($C121&lt;&gt;0,SUMPRODUCT((T$111:T$112)*TRANSPOSE(($D121:$E121))),0)</f>
        <v>52288080.743620753</v>
      </c>
      <c r="U121" s="31" cm="1">
        <f t="array" ref="U121">U$110+IF($C121&lt;&gt;0,SUMPRODUCT((U$111:U$112)*TRANSPOSE(($D121:$E121))),0)</f>
        <v>52288080.743620753</v>
      </c>
      <c r="V121" s="31" cm="1">
        <f t="array" ref="V121">V$110+IF($C121&lt;&gt;0,SUMPRODUCT((V$111:V$112)*TRANSPOSE(($D121:$E121))),0)</f>
        <v>52288080.743620753</v>
      </c>
      <c r="W121" s="31" cm="1">
        <f t="array" ref="W121">W$110+IF($C121&lt;&gt;0,SUMPRODUCT((W$111:W$112)*TRANSPOSE(($D121:$E121))),0)</f>
        <v>52288080.743620753</v>
      </c>
      <c r="X121" s="31" cm="1">
        <f t="array" ref="X121">X$110+IF($C121&lt;&gt;0,SUMPRODUCT((X$111:X$112)*TRANSPOSE(($D121:$E121))),0)</f>
        <v>52288080.743620753</v>
      </c>
      <c r="Y121" s="31" cm="1">
        <f t="array" ref="Y121">Y$110+IF($C121&lt;&gt;0,SUMPRODUCT((Y$111:Y$112)*TRANSPOSE(($D121:$E121))),0)</f>
        <v>52288080.743620753</v>
      </c>
      <c r="Z121" s="31" cm="1">
        <f t="array" ref="Z121">Z$110+IF($C121&lt;&gt;0,SUMPRODUCT((Z$111:Z$112)*TRANSPOSE(($D121:$E121))),0)</f>
        <v>52288080.743620753</v>
      </c>
      <c r="AA121" s="31" cm="1">
        <f t="array" ref="AA121">AA$110+IF($C121&lt;&gt;0,SUMPRODUCT((AA$111:AA$112)*TRANSPOSE(($D121:$E121))),0)</f>
        <v>52288080.743620753</v>
      </c>
      <c r="AB121" s="31" cm="1">
        <f t="array" ref="AB121">AB$110+IF($C121&lt;&gt;0,SUMPRODUCT((AB$111:AB$112)*TRANSPOSE(($D121:$E121))),0)</f>
        <v>52288080.743620753</v>
      </c>
      <c r="AC121" s="31" cm="1">
        <f t="array" ref="AC121">AC$110+IF($C121&lt;&gt;0,SUMPRODUCT((AC$111:AC$112)*TRANSPOSE(($D121:$E121))),0)</f>
        <v>52288080.743620753</v>
      </c>
      <c r="AD121" s="31" cm="1">
        <f t="array" ref="AD121">AD$110+IF($C121&lt;&gt;0,SUMPRODUCT((AD$111:AD$112)*TRANSPOSE(($D121:$E121))),0)</f>
        <v>52288080.743620753</v>
      </c>
      <c r="AE121" s="31" cm="1">
        <f t="array" ref="AE121">AE$110+IF($C121&lt;&gt;0,SUMPRODUCT((AE$111:AE$112)*TRANSPOSE(($D121:$E121))),0)</f>
        <v>52288080.743620753</v>
      </c>
      <c r="AF121" s="31" cm="1">
        <f t="array" ref="AF121">AF$110+IF($C121&lt;&gt;0,SUMPRODUCT((AF$111:AF$112)*TRANSPOSE(($D121:$E121))),0)</f>
        <v>52288080.743620753</v>
      </c>
      <c r="AG121" s="31" cm="1">
        <f t="array" ref="AG121">AG$110+IF($C121&lt;&gt;0,SUMPRODUCT((AG$111:AG$112)*TRANSPOSE(($D121:$E121))),0)</f>
        <v>52288080.743620753</v>
      </c>
    </row>
  </sheetData>
  <conditionalFormatting sqref="E29">
    <cfRule type="expression" dxfId="2" priority="2">
      <formula>AND(SUM($I$28:$AG$28)&gt;0, $E$29=0)</formula>
    </cfRule>
  </conditionalFormatting>
  <conditionalFormatting sqref="E14:E17">
    <cfRule type="expression" dxfId="1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5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I25" activePane="bottomRight" state="frozen"/>
      <selection activeCell="D33" sqref="D33"/>
      <selection pane="topRight" activeCell="D33" sqref="D33"/>
      <selection pane="bottomLeft" activeCell="D33" sqref="D33"/>
      <selection pane="bottomRight" activeCell="I66" sqref="I66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Melton &amp; Wyndham Transformation Capacity Project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7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92">
        <f t="shared" ref="H5:AG5" si="0">IF(H9=start,1/((1+real_disc)^(1/2)),G5/(1+real_disc))</f>
        <v>0</v>
      </c>
      <c r="I5" s="192">
        <f t="shared" si="0"/>
        <v>0.98294637436598087</v>
      </c>
      <c r="J5" s="192">
        <f t="shared" si="0"/>
        <v>0.94970664189949849</v>
      </c>
      <c r="K5" s="192">
        <f t="shared" si="0"/>
        <v>0.91759095835700344</v>
      </c>
      <c r="L5" s="192">
        <f t="shared" si="0"/>
        <v>0.88656131242222558</v>
      </c>
      <c r="M5" s="192">
        <f t="shared" si="0"/>
        <v>0.85658097818572532</v>
      </c>
      <c r="N5" s="192">
        <f t="shared" si="0"/>
        <v>0.8276144716770294</v>
      </c>
      <c r="O5" s="192">
        <f t="shared" si="0"/>
        <v>0.79962750886669509</v>
      </c>
      <c r="P5" s="192">
        <f t="shared" si="0"/>
        <v>0.77258696508859437</v>
      </c>
      <c r="Q5" s="192">
        <f t="shared" si="0"/>
        <v>0.74646083583439071</v>
      </c>
      <c r="R5" s="192">
        <f t="shared" si="0"/>
        <v>0.72121819887380756</v>
      </c>
      <c r="S5" s="192">
        <f t="shared" si="0"/>
        <v>0.69682917765585273</v>
      </c>
      <c r="T5" s="192">
        <f t="shared" si="0"/>
        <v>0.67326490594768384</v>
      </c>
      <c r="U5" s="192">
        <f t="shared" si="0"/>
        <v>0.6504974936692598</v>
      </c>
      <c r="V5" s="192">
        <f t="shared" si="0"/>
        <v>0.62849999388334288</v>
      </c>
      <c r="W5" s="192">
        <f t="shared" si="0"/>
        <v>0.60724637090178057</v>
      </c>
      <c r="X5" s="192">
        <f t="shared" si="0"/>
        <v>0.58671146947031949</v>
      </c>
      <c r="Y5" s="192">
        <f t="shared" si="0"/>
        <v>0.56687098499547783</v>
      </c>
      <c r="Z5" s="192">
        <f t="shared" si="0"/>
        <v>0.54770143477823952</v>
      </c>
      <c r="AA5" s="192">
        <f t="shared" si="0"/>
        <v>0.52918013022052135</v>
      </c>
      <c r="AB5" s="192">
        <f t="shared" si="0"/>
        <v>0.5112851499715183</v>
      </c>
      <c r="AC5" s="192">
        <f t="shared" si="0"/>
        <v>0.4939953139821433</v>
      </c>
      <c r="AD5" s="192">
        <f t="shared" si="0"/>
        <v>0.47729015843685346</v>
      </c>
      <c r="AE5" s="192">
        <f t="shared" si="0"/>
        <v>0.46114991153319179</v>
      </c>
      <c r="AF5" s="192">
        <f t="shared" si="0"/>
        <v>0.4455554700803786</v>
      </c>
      <c r="AG5" s="192">
        <f t="shared" si="0"/>
        <v>0.43048837688925473</v>
      </c>
    </row>
    <row r="6" spans="1:34" s="2" customFormat="1" hidden="1" outlineLevel="1" x14ac:dyDescent="0.2">
      <c r="A6" s="193" t="str">
        <f>'Option1 (base case)'!A6</f>
        <v>Count</v>
      </c>
      <c r="B6" s="116"/>
      <c r="C6" s="117"/>
      <c r="D6" s="116"/>
      <c r="E6" s="116"/>
      <c r="F6" s="116"/>
      <c r="G6" s="101"/>
      <c r="H6" s="193">
        <f>'Option1 (base case)'!H6</f>
        <v>0</v>
      </c>
      <c r="I6" s="193">
        <f>'Option1 (base case)'!I6</f>
        <v>1</v>
      </c>
      <c r="J6" s="193">
        <f>'Option1 (base case)'!J6</f>
        <v>2</v>
      </c>
      <c r="K6" s="193">
        <f>'Option1 (base case)'!K6</f>
        <v>3</v>
      </c>
      <c r="L6" s="193">
        <f>'Option1 (base case)'!L6</f>
        <v>4</v>
      </c>
      <c r="M6" s="193">
        <f>'Option1 (base case)'!M6</f>
        <v>5</v>
      </c>
      <c r="N6" s="193">
        <f>'Option1 (base case)'!N6</f>
        <v>6</v>
      </c>
      <c r="O6" s="193">
        <f>'Option1 (base case)'!O6</f>
        <v>7</v>
      </c>
      <c r="P6" s="193">
        <f>'Option1 (base case)'!P6</f>
        <v>8</v>
      </c>
      <c r="Q6" s="193">
        <f>'Option1 (base case)'!Q6</f>
        <v>9</v>
      </c>
      <c r="R6" s="193">
        <f>'Option1 (base case)'!R6</f>
        <v>10</v>
      </c>
      <c r="S6" s="193">
        <f>'Option1 (base case)'!S6</f>
        <v>11</v>
      </c>
      <c r="T6" s="193">
        <f>'Option1 (base case)'!T6</f>
        <v>12</v>
      </c>
      <c r="U6" s="193">
        <f>'Option1 (base case)'!U6</f>
        <v>13</v>
      </c>
      <c r="V6" s="193">
        <f>'Option1 (base case)'!V6</f>
        <v>14</v>
      </c>
      <c r="W6" s="193">
        <f>'Option1 (base case)'!W6</f>
        <v>15</v>
      </c>
      <c r="X6" s="193">
        <f>'Option1 (base case)'!X6</f>
        <v>16</v>
      </c>
      <c r="Y6" s="193">
        <f>'Option1 (base case)'!Y6</f>
        <v>17</v>
      </c>
      <c r="Z6" s="193">
        <f>'Option1 (base case)'!Z6</f>
        <v>18</v>
      </c>
      <c r="AA6" s="193">
        <f>'Option1 (base case)'!AA6</f>
        <v>19</v>
      </c>
      <c r="AB6" s="193">
        <f>'Option1 (base case)'!AB6</f>
        <v>20</v>
      </c>
      <c r="AC6" s="193">
        <f>'Option1 (base case)'!AC6</f>
        <v>21</v>
      </c>
      <c r="AD6" s="193">
        <f>'Option1 (base case)'!AD6</f>
        <v>22</v>
      </c>
      <c r="AE6" s="193">
        <f>'Option1 (base case)'!AE6</f>
        <v>23</v>
      </c>
      <c r="AF6" s="193">
        <f>'Option1 (base case)'!AF6</f>
        <v>24</v>
      </c>
      <c r="AG6" s="193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5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6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8"/>
      <c r="H12" s="118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s="2" customFormat="1" x14ac:dyDescent="0.2">
      <c r="A13" s="123"/>
      <c r="B13" s="123"/>
      <c r="C13" s="123"/>
      <c r="D13" s="118"/>
      <c r="F13" s="118"/>
      <c r="G13" s="225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5" customFormat="1" x14ac:dyDescent="0.2">
      <c r="A14" s="273" t="str">
        <f>A15</f>
        <v>Option 1 (base case)</v>
      </c>
      <c r="B14" s="273"/>
      <c r="C14" s="273" t="s">
        <v>124</v>
      </c>
      <c r="D14" s="274" t="str">
        <f t="shared" ref="D14:D25" si="2">A14&amp;C14</f>
        <v>Option 1 (base case)Energy at risk value</v>
      </c>
      <c r="F14" s="97">
        <f>SUMPRODUCT($H14:$AG14, $H$5:$AG$5)</f>
        <v>835496363.98306704</v>
      </c>
      <c r="G14" s="276">
        <f>output_dollars</f>
        <v>46203</v>
      </c>
      <c r="H14" s="277"/>
      <c r="I14" s="31">
        <f>'Option1 (base case)'!I$29*conv_2026</f>
        <v>5971422.7870944589</v>
      </c>
      <c r="J14" s="31">
        <f>'Option1 (base case)'!J$29*conv_2026</f>
        <v>10047369.533328706</v>
      </c>
      <c r="K14" s="31">
        <f>'Option1 (base case)'!K$29*conv_2026</f>
        <v>13156180.705389129</v>
      </c>
      <c r="L14" s="31">
        <f>'Option1 (base case)'!L$29*conv_2026</f>
        <v>16407257.638034217</v>
      </c>
      <c r="M14" s="31">
        <f>'Option1 (base case)'!M$29*conv_2026</f>
        <v>21034898.585603144</v>
      </c>
      <c r="N14" s="31">
        <f>'Option1 (base case)'!N$29*conv_2026</f>
        <v>28916203.875794467</v>
      </c>
      <c r="O14" s="31">
        <f>'Option1 (base case)'!O$29*conv_2026</f>
        <v>41696908.558698073</v>
      </c>
      <c r="P14" s="31">
        <f>'Option1 (base case)'!P$29*conv_2026</f>
        <v>55454666.05826889</v>
      </c>
      <c r="Q14" s="31">
        <f>'Option1 (base case)'!Q$29*conv_2026</f>
        <v>69092963.556140676</v>
      </c>
      <c r="R14" s="31">
        <f>'Option1 (base case)'!R$29*conv_2026</f>
        <v>69092963.556140676</v>
      </c>
      <c r="S14" s="31">
        <f>'Option1 (base case)'!S$29*conv_2026</f>
        <v>69092963.556140676</v>
      </c>
      <c r="T14" s="31">
        <f>'Option1 (base case)'!T$29*conv_2026</f>
        <v>69092963.556140676</v>
      </c>
      <c r="U14" s="31">
        <f>'Option1 (base case)'!U$29*conv_2026</f>
        <v>69092963.556140676</v>
      </c>
      <c r="V14" s="31">
        <f>'Option1 (base case)'!V$29*conv_2026</f>
        <v>69092963.556140676</v>
      </c>
      <c r="W14" s="31">
        <f>'Option1 (base case)'!W$29*conv_2026</f>
        <v>69092963.556140676</v>
      </c>
      <c r="X14" s="31">
        <f>'Option1 (base case)'!X$29*conv_2026</f>
        <v>69092963.556140676</v>
      </c>
      <c r="Y14" s="31">
        <f>'Option1 (base case)'!Y$29*conv_2026</f>
        <v>69092963.556140676</v>
      </c>
      <c r="Z14" s="31">
        <f>'Option1 (base case)'!Z$29*conv_2026</f>
        <v>69092963.556140676</v>
      </c>
      <c r="AA14" s="31">
        <f>'Option1 (base case)'!AA$29*conv_2026</f>
        <v>69092963.556140676</v>
      </c>
      <c r="AB14" s="31">
        <f>'Option1 (base case)'!AB$29*conv_2026</f>
        <v>69092963.556140676</v>
      </c>
      <c r="AC14" s="31">
        <f>'Option1 (base case)'!AC$29*conv_2026</f>
        <v>69092963.556140676</v>
      </c>
      <c r="AD14" s="31">
        <f>'Option1 (base case)'!AD$29*conv_2026</f>
        <v>69092963.556140676</v>
      </c>
      <c r="AE14" s="31">
        <f>'Option1 (base case)'!AE$29*conv_2026</f>
        <v>69092963.556140676</v>
      </c>
      <c r="AF14" s="31">
        <f>'Option1 (base case)'!AF$29*conv_2026</f>
        <v>69092963.556140676</v>
      </c>
      <c r="AG14" s="31">
        <f>'Option1 (base case)'!AG$29*conv_2026</f>
        <v>69092963.556140676</v>
      </c>
    </row>
    <row r="15" spans="1:34" s="1" customFormat="1" x14ac:dyDescent="0.2">
      <c r="A15" s="138" t="str">
        <f>Data!B9</f>
        <v>Option 1 (base case)</v>
      </c>
      <c r="B15" s="138"/>
      <c r="C15" s="58" t="str">
        <f>'Option1 (base case)'!C$67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9">
        <f>output_dollars</f>
        <v>46203</v>
      </c>
      <c r="H15" s="31"/>
      <c r="I15" s="31">
        <f>SUM('Option1 (base case)'!I$68:I$71)*conv_2026</f>
        <v>0</v>
      </c>
      <c r="J15" s="31">
        <f>SUM('Option1 (base case)'!J$68:J$71)</f>
        <v>0</v>
      </c>
      <c r="K15" s="31">
        <f>SUM('Option1 (base case)'!K$68:K$71)</f>
        <v>0</v>
      </c>
      <c r="L15" s="31">
        <f>SUM('Option1 (base case)'!L$68:L$71)</f>
        <v>0</v>
      </c>
      <c r="M15" s="31">
        <f>SUM('Option1 (base case)'!M$68:M$71)</f>
        <v>0</v>
      </c>
      <c r="N15" s="31">
        <f>SUM('Option1 (base case)'!N$68:N$71)</f>
        <v>0</v>
      </c>
      <c r="O15" s="31">
        <f>SUM('Option1 (base case)'!O$68:O$71)</f>
        <v>0</v>
      </c>
      <c r="P15" s="31">
        <f>SUM('Option1 (base case)'!P$68:P$71)</f>
        <v>0</v>
      </c>
      <c r="Q15" s="31">
        <f>SUM('Option1 (base case)'!Q$68:Q$71)</f>
        <v>0</v>
      </c>
      <c r="R15" s="31">
        <f>SUM('Option1 (base case)'!R$68:R$71)</f>
        <v>0</v>
      </c>
      <c r="S15" s="31">
        <f>SUM('Option1 (base case)'!S$68:S$71)</f>
        <v>0</v>
      </c>
      <c r="T15" s="31">
        <f>SUM('Option1 (base case)'!T$68:T$71)</f>
        <v>0</v>
      </c>
      <c r="U15" s="31">
        <f>SUM('Option1 (base case)'!U$68:U$71)</f>
        <v>0</v>
      </c>
      <c r="V15" s="31">
        <f>SUM('Option1 (base case)'!V$68:V$71)</f>
        <v>0</v>
      </c>
      <c r="W15" s="31">
        <f>SUM('Option1 (base case)'!W$68:W$71)</f>
        <v>0</v>
      </c>
      <c r="X15" s="31">
        <f>SUM('Option1 (base case)'!X$68:X$71)</f>
        <v>0</v>
      </c>
      <c r="Y15" s="31">
        <f>SUM('Option1 (base case)'!Y$68:Y$71)</f>
        <v>0</v>
      </c>
      <c r="Z15" s="31">
        <f>SUM('Option1 (base case)'!Z$68:Z$71)</f>
        <v>0</v>
      </c>
      <c r="AA15" s="31">
        <f>SUM('Option1 (base case)'!AA$68:AA$71)</f>
        <v>0</v>
      </c>
      <c r="AB15" s="31">
        <f>SUM('Option1 (base case)'!AB$68:AB$71)</f>
        <v>0</v>
      </c>
      <c r="AC15" s="31">
        <f>SUM('Option1 (base case)'!AC$68:AC$71)</f>
        <v>0</v>
      </c>
      <c r="AD15" s="31">
        <f>SUM('Option1 (base case)'!AD$68:AD$71)</f>
        <v>0</v>
      </c>
      <c r="AE15" s="31">
        <f>SUM('Option1 (base case)'!AE$68:AE$71)</f>
        <v>0</v>
      </c>
      <c r="AF15" s="31">
        <f>SUM('Option1 (base case)'!AF$68:AF$71)</f>
        <v>0</v>
      </c>
      <c r="AG15" s="31">
        <f>SUM('Option1 (base case)'!AG$68:AG$71)</f>
        <v>0</v>
      </c>
    </row>
    <row r="16" spans="1:34" s="1" customFormat="1" x14ac:dyDescent="0.2">
      <c r="A16" s="138" t="str">
        <f t="shared" ref="A16:A25" si="3">A15</f>
        <v>Option 1 (base case)</v>
      </c>
      <c r="B16" s="138"/>
      <c r="C16" s="58" t="str">
        <f>'Option1 (base case)'!C$37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675996692.61087787</v>
      </c>
      <c r="G16" s="229">
        <f>output_dollars</f>
        <v>46203</v>
      </c>
      <c r="H16" s="31"/>
      <c r="I16" s="31">
        <f>'Option1 (base case)'!I$37*conv_2026</f>
        <v>5971422.7870944589</v>
      </c>
      <c r="J16" s="31">
        <f>'Option1 (base case)'!J$37*conv_2026</f>
        <v>10047369.533328706</v>
      </c>
      <c r="K16" s="31">
        <f>'Option1 (base case)'!K$37*conv_2026</f>
        <v>13156180.705389129</v>
      </c>
      <c r="L16" s="31">
        <f>'Option1 (base case)'!L$37*conv_2026</f>
        <v>16407257.638034217</v>
      </c>
      <c r="M16" s="31">
        <f>'Option1 (base case)'!M$37*conv_2026</f>
        <v>21034898.585603144</v>
      </c>
      <c r="N16" s="31">
        <f>'Option1 (base case)'!N$37*conv_2026</f>
        <v>28916203.875794467</v>
      </c>
      <c r="O16" s="31">
        <f>'Option1 (base case)'!O$37*conv_2026</f>
        <v>41696908.558698073</v>
      </c>
      <c r="P16" s="31">
        <f>'Option1 (base case)'!P$37*conv_2026</f>
        <v>55454666.05826889</v>
      </c>
      <c r="Q16" s="31">
        <f>'Option1 (base case)'!Q$37*conv_2026</f>
        <v>69092963.556140676</v>
      </c>
      <c r="R16" s="31">
        <f>'Option1 (base case)'!R$37*conv_2026</f>
        <v>69092963.556140676</v>
      </c>
      <c r="S16" s="31">
        <f>'Option1 (base case)'!S$37*conv_2026</f>
        <v>69092963.556140676</v>
      </c>
      <c r="T16" s="31">
        <f>'Option1 (base case)'!T$37*conv_2026</f>
        <v>69092963.556140676</v>
      </c>
      <c r="U16" s="31">
        <f>'Option1 (base case)'!U$37*conv_2026</f>
        <v>69092963.556140676</v>
      </c>
      <c r="V16" s="31">
        <f>'Option1 (base case)'!V$37*conv_2026</f>
        <v>69092963.556140676</v>
      </c>
      <c r="W16" s="31">
        <f>'Option1 (base case)'!W$37*conv_2026</f>
        <v>69092963.556140676</v>
      </c>
      <c r="X16" s="31">
        <f>'Option1 (base case)'!X$37*conv_2026</f>
        <v>69092963.556140676</v>
      </c>
      <c r="Y16" s="31">
        <f>'Option1 (base case)'!Y$37*conv_2026</f>
        <v>69092963.556140676</v>
      </c>
      <c r="Z16" s="31">
        <f>'Option1 (base case)'!Z$37*conv_2026</f>
        <v>69092963.556140676</v>
      </c>
      <c r="AA16" s="31">
        <f>'Option1 (base case)'!AA$37*conv_2026</f>
        <v>69092963.556140676</v>
      </c>
      <c r="AB16" s="31">
        <f>'Option1 (base case)'!AB$37*conv_2026</f>
        <v>69092963.556140676</v>
      </c>
      <c r="AC16" s="31">
        <f>'Option1 (base case)'!AC$37*conv_2026</f>
        <v>69092963.556140676</v>
      </c>
      <c r="AD16" s="31">
        <f>'Option1 (base case)'!AD$37*conv_2026</f>
        <v>69092963.556140676</v>
      </c>
      <c r="AE16" s="31">
        <f>'Option1 (base case)'!AE$37*conv_2026</f>
        <v>69092963.556140676</v>
      </c>
      <c r="AF16" s="31">
        <f>'Option1 (base case)'!AF$37*conv_2026</f>
        <v>69092963.556140676</v>
      </c>
      <c r="AG16" s="31">
        <f>'Option1 (base case)'!AG$37*conv_2026</f>
        <v>69092963.556140676</v>
      </c>
    </row>
    <row r="17" spans="1:33" s="1" customFormat="1" x14ac:dyDescent="0.2">
      <c r="A17" s="138" t="str">
        <f t="shared" si="3"/>
        <v>Option 1 (base case)</v>
      </c>
      <c r="B17" s="138"/>
      <c r="C17" s="75"/>
      <c r="D17" s="38" t="str">
        <f t="shared" si="2"/>
        <v>Option 1 (base case)</v>
      </c>
      <c r="F17"/>
      <c r="G17" s="23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8" t="str">
        <f t="shared" si="3"/>
        <v>Option 1 (base case)</v>
      </c>
      <c r="B18" s="138"/>
      <c r="C18" s="58" t="str">
        <f>'Option1 (base case)'!C$86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9">
        <f t="shared" ref="G18:G25" si="4">output_dollars</f>
        <v>46203</v>
      </c>
      <c r="H18" s="31"/>
      <c r="I18" s="31">
        <f>'Option1 (base case)'!I$86*conv_2026</f>
        <v>0</v>
      </c>
      <c r="J18" s="31">
        <f>'Option1 (base case)'!J$86*conv_2026</f>
        <v>0</v>
      </c>
      <c r="K18" s="31">
        <f>'Option1 (base case)'!K$86*conv_2026</f>
        <v>0</v>
      </c>
      <c r="L18" s="31">
        <f>'Option1 (base case)'!L$86*conv_2026</f>
        <v>0</v>
      </c>
      <c r="M18" s="31">
        <f>'Option1 (base case)'!M$86*conv_2026</f>
        <v>0</v>
      </c>
      <c r="N18" s="31">
        <f>'Option1 (base case)'!N$86*conv_2026</f>
        <v>0</v>
      </c>
      <c r="O18" s="31">
        <f>'Option1 (base case)'!O$86*conv_2026</f>
        <v>0</v>
      </c>
      <c r="P18" s="31">
        <f>'Option1 (base case)'!P$86*conv_2026</f>
        <v>0</v>
      </c>
      <c r="Q18" s="31">
        <f>'Option1 (base case)'!Q$86*conv_2026</f>
        <v>0</v>
      </c>
      <c r="R18" s="31">
        <f>'Option1 (base case)'!R$86*conv_2026</f>
        <v>0</v>
      </c>
      <c r="S18" s="31">
        <f>'Option1 (base case)'!S$86*conv_2026</f>
        <v>0</v>
      </c>
      <c r="T18" s="31">
        <f>'Option1 (base case)'!T$86*conv_2026</f>
        <v>0</v>
      </c>
      <c r="U18" s="31">
        <f>'Option1 (base case)'!U$86*conv_2026</f>
        <v>0</v>
      </c>
      <c r="V18" s="31">
        <f>'Option1 (base case)'!V$86*conv_2026</f>
        <v>0</v>
      </c>
      <c r="W18" s="31">
        <f>'Option1 (base case)'!W$86*conv_2026</f>
        <v>0</v>
      </c>
      <c r="X18" s="31">
        <f>'Option1 (base case)'!X$86*conv_2026</f>
        <v>0</v>
      </c>
      <c r="Y18" s="31">
        <f>'Option1 (base case)'!Y$86*conv_2026</f>
        <v>0</v>
      </c>
      <c r="Z18" s="31">
        <f>'Option1 (base case)'!Z$86*conv_2026</f>
        <v>0</v>
      </c>
      <c r="AA18" s="31">
        <f>'Option1 (base case)'!AA$86*conv_2026</f>
        <v>0</v>
      </c>
      <c r="AB18" s="31">
        <f>'Option1 (base case)'!AB$86*conv_2026</f>
        <v>0</v>
      </c>
      <c r="AC18" s="31">
        <f>'Option1 (base case)'!AC$86*conv_2026</f>
        <v>0</v>
      </c>
      <c r="AD18" s="31">
        <f>'Option1 (base case)'!AD$86*conv_2026</f>
        <v>0</v>
      </c>
      <c r="AE18" s="31">
        <f>'Option1 (base case)'!AE$86*conv_2026</f>
        <v>0</v>
      </c>
      <c r="AF18" s="31">
        <f>'Option1 (base case)'!AF$86*conv_2026</f>
        <v>0</v>
      </c>
      <c r="AG18" s="31">
        <f>'Option1 (base case)'!AG$86*conv_2026</f>
        <v>0</v>
      </c>
    </row>
    <row r="19" spans="1:33" s="1" customFormat="1" x14ac:dyDescent="0.2">
      <c r="A19" s="138" t="str">
        <f t="shared" si="3"/>
        <v>Option 1 (base case)</v>
      </c>
      <c r="B19" s="138"/>
      <c r="C19" s="58" t="str">
        <f>'Option1 (base case)'!C$87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9">
        <f t="shared" si="4"/>
        <v>46203</v>
      </c>
      <c r="H19" s="31"/>
      <c r="I19" s="31">
        <f>'Option1 (base case)'!I$87*conv_2026</f>
        <v>0</v>
      </c>
      <c r="J19" s="31">
        <f>'Option1 (base case)'!J$87*conv_2026</f>
        <v>0</v>
      </c>
      <c r="K19" s="31">
        <f>'Option1 (base case)'!K$87*conv_2026</f>
        <v>0</v>
      </c>
      <c r="L19" s="31">
        <f>'Option1 (base case)'!L$87*conv_2026</f>
        <v>0</v>
      </c>
      <c r="M19" s="31">
        <f>'Option1 (base case)'!M$87*conv_2026</f>
        <v>0</v>
      </c>
      <c r="N19" s="31">
        <f>'Option1 (base case)'!N$87*conv_2026</f>
        <v>0</v>
      </c>
      <c r="O19" s="31">
        <f>'Option1 (base case)'!O$87*conv_2026</f>
        <v>0</v>
      </c>
      <c r="P19" s="31">
        <f>'Option1 (base case)'!P$87*conv_2026</f>
        <v>0</v>
      </c>
      <c r="Q19" s="31">
        <f>'Option1 (base case)'!Q$87*conv_2026</f>
        <v>0</v>
      </c>
      <c r="R19" s="31">
        <f>'Option1 (base case)'!R$87*conv_2026</f>
        <v>0</v>
      </c>
      <c r="S19" s="31">
        <f>'Option1 (base case)'!S$87*conv_2026</f>
        <v>0</v>
      </c>
      <c r="T19" s="31">
        <f>'Option1 (base case)'!T$87*conv_2026</f>
        <v>0</v>
      </c>
      <c r="U19" s="31">
        <f>'Option1 (base case)'!U$87*conv_2026</f>
        <v>0</v>
      </c>
      <c r="V19" s="31">
        <f>'Option1 (base case)'!V$87*conv_2026</f>
        <v>0</v>
      </c>
      <c r="W19" s="31">
        <f>'Option1 (base case)'!W$87*conv_2026</f>
        <v>0</v>
      </c>
      <c r="X19" s="31">
        <f>'Option1 (base case)'!X$87*conv_2026</f>
        <v>0</v>
      </c>
      <c r="Y19" s="31">
        <f>'Option1 (base case)'!Y$87*conv_2026</f>
        <v>0</v>
      </c>
      <c r="Z19" s="31">
        <f>'Option1 (base case)'!Z$87*conv_2026</f>
        <v>0</v>
      </c>
      <c r="AA19" s="31">
        <f>'Option1 (base case)'!AA$87*conv_2026</f>
        <v>0</v>
      </c>
      <c r="AB19" s="31">
        <f>'Option1 (base case)'!AB$87*conv_2026</f>
        <v>0</v>
      </c>
      <c r="AC19" s="31">
        <f>'Option1 (base case)'!AC$87*conv_2026</f>
        <v>0</v>
      </c>
      <c r="AD19" s="31">
        <f>'Option1 (base case)'!AD$87*conv_2026</f>
        <v>0</v>
      </c>
      <c r="AE19" s="31">
        <f>'Option1 (base case)'!AE$87*conv_2026</f>
        <v>0</v>
      </c>
      <c r="AF19" s="31">
        <f>'Option1 (base case)'!AF$87*conv_2026</f>
        <v>0</v>
      </c>
      <c r="AG19" s="31">
        <f>'Option1 (base case)'!AG$87*conv_2026</f>
        <v>0</v>
      </c>
    </row>
    <row r="20" spans="1:33" s="1" customFormat="1" x14ac:dyDescent="0.2">
      <c r="A20" s="138" t="str">
        <f t="shared" si="3"/>
        <v>Option 1 (base case)</v>
      </c>
      <c r="B20" s="138"/>
      <c r="C20" s="58" t="str">
        <f>'Option1 (base case)'!C$88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9">
        <f t="shared" si="4"/>
        <v>46203</v>
      </c>
      <c r="H20" s="31"/>
      <c r="I20" s="31">
        <f>'Option1 (base case)'!I$88*conv_2026</f>
        <v>0</v>
      </c>
      <c r="J20" s="31">
        <f>'Option1 (base case)'!J$88*conv_2026</f>
        <v>0</v>
      </c>
      <c r="K20" s="31">
        <f>'Option1 (base case)'!K$88*conv_2026</f>
        <v>0</v>
      </c>
      <c r="L20" s="31">
        <f>'Option1 (base case)'!L$88*conv_2026</f>
        <v>0</v>
      </c>
      <c r="M20" s="31">
        <f>'Option1 (base case)'!M$88*conv_2026</f>
        <v>0</v>
      </c>
      <c r="N20" s="31">
        <f>'Option1 (base case)'!N$88*conv_2026</f>
        <v>0</v>
      </c>
      <c r="O20" s="31">
        <f>'Option1 (base case)'!O$88*conv_2026</f>
        <v>0</v>
      </c>
      <c r="P20" s="31">
        <f>'Option1 (base case)'!P$88*conv_2026</f>
        <v>0</v>
      </c>
      <c r="Q20" s="31">
        <f>'Option1 (base case)'!Q$88*conv_2026</f>
        <v>0</v>
      </c>
      <c r="R20" s="31">
        <f>'Option1 (base case)'!R$88*conv_2026</f>
        <v>0</v>
      </c>
      <c r="S20" s="31">
        <f>'Option1 (base case)'!S$88*conv_2026</f>
        <v>0</v>
      </c>
      <c r="T20" s="31">
        <f>'Option1 (base case)'!T$88*conv_2026</f>
        <v>0</v>
      </c>
      <c r="U20" s="31">
        <f>'Option1 (base case)'!U$88*conv_2026</f>
        <v>0</v>
      </c>
      <c r="V20" s="31">
        <f>'Option1 (base case)'!V$88*conv_2026</f>
        <v>0</v>
      </c>
      <c r="W20" s="31">
        <f>'Option1 (base case)'!W$88*conv_2026</f>
        <v>0</v>
      </c>
      <c r="X20" s="31">
        <f>'Option1 (base case)'!X$88*conv_2026</f>
        <v>0</v>
      </c>
      <c r="Y20" s="31">
        <f>'Option1 (base case)'!Y$88*conv_2026</f>
        <v>0</v>
      </c>
      <c r="Z20" s="31">
        <f>'Option1 (base case)'!Z$88*conv_2026</f>
        <v>0</v>
      </c>
      <c r="AA20" s="31">
        <f>'Option1 (base case)'!AA$88*conv_2026</f>
        <v>0</v>
      </c>
      <c r="AB20" s="31">
        <f>'Option1 (base case)'!AB$88*conv_2026</f>
        <v>0</v>
      </c>
      <c r="AC20" s="31">
        <f>'Option1 (base case)'!AC$88*conv_2026</f>
        <v>0</v>
      </c>
      <c r="AD20" s="31">
        <f>'Option1 (base case)'!AD$88*conv_2026</f>
        <v>0</v>
      </c>
      <c r="AE20" s="31">
        <f>'Option1 (base case)'!AE$88*conv_2026</f>
        <v>0</v>
      </c>
      <c r="AF20" s="31">
        <f>'Option1 (base case)'!AF$88*conv_2026</f>
        <v>0</v>
      </c>
      <c r="AG20" s="31">
        <f>'Option1 (base case)'!AG$88*conv_2026</f>
        <v>0</v>
      </c>
    </row>
    <row r="21" spans="1:33" s="1" customFormat="1" x14ac:dyDescent="0.2">
      <c r="A21" s="138" t="str">
        <f t="shared" si="3"/>
        <v>Option 1 (base case)</v>
      </c>
      <c r="B21" s="138"/>
      <c r="C21" s="58" t="str">
        <f>'Option1 (base case)'!C$89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9">
        <f t="shared" si="4"/>
        <v>46203</v>
      </c>
      <c r="H21" s="31"/>
      <c r="I21" s="31">
        <f>'Option1 (base case)'!I$89*conv_2026</f>
        <v>0</v>
      </c>
      <c r="J21" s="31">
        <f>'Option1 (base case)'!J$89*conv_2026</f>
        <v>0</v>
      </c>
      <c r="K21" s="31">
        <f>'Option1 (base case)'!K$89*conv_2026</f>
        <v>0</v>
      </c>
      <c r="L21" s="31">
        <f>'Option1 (base case)'!L$89*conv_2026</f>
        <v>0</v>
      </c>
      <c r="M21" s="31">
        <f>'Option1 (base case)'!M$89*conv_2026</f>
        <v>0</v>
      </c>
      <c r="N21" s="31">
        <f>'Option1 (base case)'!N$89*conv_2026</f>
        <v>0</v>
      </c>
      <c r="O21" s="31">
        <f>'Option1 (base case)'!O$89*conv_2026</f>
        <v>0</v>
      </c>
      <c r="P21" s="31">
        <f>'Option1 (base case)'!P$89*conv_2026</f>
        <v>0</v>
      </c>
      <c r="Q21" s="31">
        <f>'Option1 (base case)'!Q$89*conv_2026</f>
        <v>0</v>
      </c>
      <c r="R21" s="31">
        <f>'Option1 (base case)'!R$89*conv_2026</f>
        <v>0</v>
      </c>
      <c r="S21" s="31">
        <f>'Option1 (base case)'!S$89*conv_2026</f>
        <v>0</v>
      </c>
      <c r="T21" s="31">
        <f>'Option1 (base case)'!T$89*conv_2026</f>
        <v>0</v>
      </c>
      <c r="U21" s="31">
        <f>'Option1 (base case)'!U$89*conv_2026</f>
        <v>0</v>
      </c>
      <c r="V21" s="31">
        <f>'Option1 (base case)'!V$89*conv_2026</f>
        <v>0</v>
      </c>
      <c r="W21" s="31">
        <f>'Option1 (base case)'!W$89*conv_2026</f>
        <v>0</v>
      </c>
      <c r="X21" s="31">
        <f>'Option1 (base case)'!X$89*conv_2026</f>
        <v>0</v>
      </c>
      <c r="Y21" s="31">
        <f>'Option1 (base case)'!Y$89*conv_2026</f>
        <v>0</v>
      </c>
      <c r="Z21" s="31">
        <f>'Option1 (base case)'!Z$89*conv_2026</f>
        <v>0</v>
      </c>
      <c r="AA21" s="31">
        <f>'Option1 (base case)'!AA$89*conv_2026</f>
        <v>0</v>
      </c>
      <c r="AB21" s="31">
        <f>'Option1 (base case)'!AB$89*conv_2026</f>
        <v>0</v>
      </c>
      <c r="AC21" s="31">
        <f>'Option1 (base case)'!AC$89*conv_2026</f>
        <v>0</v>
      </c>
      <c r="AD21" s="31">
        <f>'Option1 (base case)'!AD$89*conv_2026</f>
        <v>0</v>
      </c>
      <c r="AE21" s="31">
        <f>'Option1 (base case)'!AE$89*conv_2026</f>
        <v>0</v>
      </c>
      <c r="AF21" s="31">
        <f>'Option1 (base case)'!AF$89*conv_2026</f>
        <v>0</v>
      </c>
      <c r="AG21" s="31">
        <f>'Option1 (base case)'!AG$89*conv_2026</f>
        <v>0</v>
      </c>
    </row>
    <row r="22" spans="1:33" s="1" customFormat="1" x14ac:dyDescent="0.2">
      <c r="A22" s="138" t="str">
        <f t="shared" si="3"/>
        <v>Option 1 (base case)</v>
      </c>
      <c r="B22" s="138"/>
      <c r="C22" s="147" t="str">
        <f>'Option1 (base case)'!C$91</f>
        <v>Net benefits</v>
      </c>
      <c r="D22" s="109" t="str">
        <f t="shared" si="2"/>
        <v>Option 1 (base case)Net benefits</v>
      </c>
      <c r="E22" s="110"/>
      <c r="F22" s="146"/>
      <c r="G22" s="231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8" t="str">
        <f t="shared" si="3"/>
        <v>Option 1 (base case)</v>
      </c>
      <c r="B23" s="138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9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8" t="str">
        <f t="shared" si="3"/>
        <v>Option 1 (base case)</v>
      </c>
      <c r="B24" s="138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9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8" t="str">
        <f t="shared" si="3"/>
        <v>Option 1 (base case)</v>
      </c>
      <c r="B25" s="138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9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2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5" customFormat="1" x14ac:dyDescent="0.2">
      <c r="A28" s="273" t="str">
        <f>A29</f>
        <v>Option 2</v>
      </c>
      <c r="B28" s="273"/>
      <c r="C28" s="273" t="s">
        <v>124</v>
      </c>
      <c r="D28" s="274" t="str">
        <f t="shared" si="6"/>
        <v>Option 2Energy at risk value</v>
      </c>
      <c r="F28" s="97">
        <f>SUMPRODUCT($H28:$AG28, $H$5:$AG$5)</f>
        <v>18532523.924680095</v>
      </c>
      <c r="G28" s="276">
        <f>output_dollars</f>
        <v>46203</v>
      </c>
      <c r="H28" s="277"/>
      <c r="I28" s="31">
        <f>Option2!I$29*conv_2026</f>
        <v>5971422.7870944589</v>
      </c>
      <c r="J28" s="31">
        <f>Option2!J$29*conv_2026</f>
        <v>1067637.8913466877</v>
      </c>
      <c r="K28" s="31">
        <f>Option2!K$29*conv_2026</f>
        <v>674380.63710922573</v>
      </c>
      <c r="L28" s="31">
        <f>Option2!L$29*conv_2026</f>
        <v>1008294.2162616197</v>
      </c>
      <c r="M28" s="31">
        <f>Option2!M$29*conv_2026</f>
        <v>936576.83240389498</v>
      </c>
      <c r="N28" s="31">
        <f>Option2!N$29*conv_2026</f>
        <v>331185.41922286525</v>
      </c>
      <c r="O28" s="31">
        <f>Option2!O$29*conv_2026</f>
        <v>544202.33495024662</v>
      </c>
      <c r="P28" s="31">
        <f>Option2!P$29*conv_2026</f>
        <v>817758.8633911669</v>
      </c>
      <c r="Q28" s="31">
        <f>Option2!Q$29*conv_2026</f>
        <v>817758.8633911669</v>
      </c>
      <c r="R28" s="31">
        <f>Option2!R$29*conv_2026</f>
        <v>817758.8633911669</v>
      </c>
      <c r="S28" s="31">
        <f>Option2!S$29*conv_2026</f>
        <v>817758.8633911669</v>
      </c>
      <c r="T28" s="31">
        <f>Option2!T$29*conv_2026</f>
        <v>817758.8633911669</v>
      </c>
      <c r="U28" s="31">
        <f>Option2!U$29*conv_2026</f>
        <v>817758.8633911669</v>
      </c>
      <c r="V28" s="31">
        <f>Option2!V$29*conv_2026</f>
        <v>817758.8633911669</v>
      </c>
      <c r="W28" s="31">
        <f>Option2!W$29*conv_2026</f>
        <v>817758.8633911669</v>
      </c>
      <c r="X28" s="31">
        <f>Option2!X$29*conv_2026</f>
        <v>817758.8633911669</v>
      </c>
      <c r="Y28" s="31">
        <f>Option2!Y$29*conv_2026</f>
        <v>817758.8633911669</v>
      </c>
      <c r="Z28" s="31">
        <f>Option2!Z$29*conv_2026</f>
        <v>817758.8633911669</v>
      </c>
      <c r="AA28" s="31">
        <f>Option2!AA$29*conv_2026</f>
        <v>817758.8633911669</v>
      </c>
      <c r="AB28" s="31">
        <f>Option2!AB$29*conv_2026</f>
        <v>817758.8633911669</v>
      </c>
      <c r="AC28" s="31">
        <f>Option2!AC$29*conv_2026</f>
        <v>817758.8633911669</v>
      </c>
      <c r="AD28" s="31">
        <f>Option2!AD$29*conv_2026</f>
        <v>817758.8633911669</v>
      </c>
      <c r="AE28" s="31">
        <f>Option2!AE$29*conv_2026</f>
        <v>817758.8633911669</v>
      </c>
      <c r="AF28" s="31">
        <f>Option2!AF$29*conv_2026</f>
        <v>817758.8633911669</v>
      </c>
      <c r="AG28" s="31">
        <f>Option2!AG$29*conv_2026</f>
        <v>817758.8633911669</v>
      </c>
    </row>
    <row r="29" spans="1:33" s="2" customFormat="1" x14ac:dyDescent="0.2">
      <c r="A29" s="138" t="str">
        <f>Data!B10</f>
        <v>Option 2</v>
      </c>
      <c r="B29" s="138"/>
      <c r="C29" s="58" t="str">
        <f>Option2!C$67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-143616359.52106434</v>
      </c>
      <c r="G29" s="229">
        <f>output_dollars</f>
        <v>46203</v>
      </c>
      <c r="H29" s="31"/>
      <c r="I29" s="31">
        <f>SUM(Option2!I$68:I$71)*conv_2026*I$7</f>
        <v>-30987262.704963814</v>
      </c>
      <c r="J29" s="31">
        <f>SUM(Option2!J$68:J$71)*conv_2026*J$7</f>
        <v>-21100977.320906792</v>
      </c>
      <c r="K29" s="31">
        <f>SUM(Option2!K$68:K$71)*conv_2026*K$7</f>
        <v>-35439974.193158947</v>
      </c>
      <c r="L29" s="31">
        <f>SUM(Option2!L$68:L$71)*conv_2026*L$7</f>
        <v>-44165516.215598188</v>
      </c>
      <c r="M29" s="31">
        <f>SUM(Option2!M$68:M$71)*conv_2026*M$7</f>
        <v>-15263615.742698222</v>
      </c>
      <c r="N29" s="31">
        <f>SUM(Option2!N$68:N$71)*conv_2026*N$7</f>
        <v>0</v>
      </c>
      <c r="O29" s="31">
        <f>SUM(Option2!O$68:O$71)*conv_2026*O$7</f>
        <v>0</v>
      </c>
      <c r="P29" s="31">
        <f>SUM(Option2!P$68:P$71)*conv_2026*P$7</f>
        <v>0</v>
      </c>
      <c r="Q29" s="31">
        <f>SUM(Option2!Q$68:Q$71)*conv_2026*Q$7</f>
        <v>0</v>
      </c>
      <c r="R29" s="31">
        <f>SUM(Option2!R$68:R$71)*conv_2026*R$7</f>
        <v>-11603205.364257392</v>
      </c>
      <c r="S29" s="31">
        <f>SUM(Option2!S$68:S$71)*conv_2026*S$7</f>
        <v>0</v>
      </c>
      <c r="T29" s="31">
        <f>SUM(Option2!T$68:T$71)*conv_2026*T$7</f>
        <v>0</v>
      </c>
      <c r="U29" s="31">
        <f>SUM(Option2!U$68:U$71)*conv_2026*U$7</f>
        <v>0</v>
      </c>
      <c r="V29" s="31">
        <f>SUM(Option2!V$68:V$71)*conv_2026*V$7</f>
        <v>0</v>
      </c>
      <c r="W29" s="31">
        <f>SUM(Option2!W$68:W$71)*conv_2026*W$7</f>
        <v>0</v>
      </c>
      <c r="X29" s="31">
        <f>SUM(Option2!X$68:X$71)*conv_2026*X$7</f>
        <v>0</v>
      </c>
      <c r="Y29" s="31">
        <f>SUM(Option2!Y$68:Y$71)*conv_2026*Y$7</f>
        <v>0</v>
      </c>
      <c r="Z29" s="31">
        <f>SUM(Option2!Z$68:Z$71)*conv_2026*Z$7</f>
        <v>0</v>
      </c>
      <c r="AA29" s="31">
        <f>SUM(Option2!AA$68:AA$71)*conv_2026*AA$7</f>
        <v>0</v>
      </c>
      <c r="AB29" s="31">
        <f>SUM(Option2!AB$68:AB$71)*conv_2026*AB$7</f>
        <v>0</v>
      </c>
      <c r="AC29" s="31">
        <f>SUM(Option2!AC$68:AC$71)*conv_2026*AC$7</f>
        <v>0</v>
      </c>
      <c r="AD29" s="31">
        <f>SUM(Option2!AD$68:AD$71)*conv_2026*AD$7</f>
        <v>0</v>
      </c>
      <c r="AE29" s="31">
        <f>SUM(Option2!AE$68:AE$71)*conv_2026*AE$7</f>
        <v>0</v>
      </c>
      <c r="AF29" s="31">
        <f>SUM(Option2!AF$68:AF$71)*conv_2026*AF$7</f>
        <v>0</v>
      </c>
      <c r="AG29" s="31">
        <f>SUM(Option2!AG$68:AG$71)*conv_2026*AG$7</f>
        <v>0</v>
      </c>
    </row>
    <row r="30" spans="1:33" s="2" customFormat="1" x14ac:dyDescent="0.2">
      <c r="A30" s="138" t="str">
        <f t="shared" ref="A30:A39" si="7">A29</f>
        <v>Option 2</v>
      </c>
      <c r="B30" s="138"/>
      <c r="C30" s="58" t="str">
        <f>'Option1 (base case)'!C$37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16644744.572639352</v>
      </c>
      <c r="G30" s="229">
        <f>output_dollars</f>
        <v>46203</v>
      </c>
      <c r="H30" s="31"/>
      <c r="I30" s="31">
        <f>Option2!I$37*conv_2026*I$7</f>
        <v>5971422.7870944589</v>
      </c>
      <c r="J30" s="31">
        <f>Option2!J$37*conv_2026*J$7</f>
        <v>1067637.8913466877</v>
      </c>
      <c r="K30" s="31">
        <f>Option2!K$37*conv_2026*K$7</f>
        <v>674380.63710922573</v>
      </c>
      <c r="L30" s="31">
        <f>Option2!L$37*conv_2026*L$7</f>
        <v>1008294.2162616197</v>
      </c>
      <c r="M30" s="31">
        <f>Option2!M$37*conv_2026*M$7</f>
        <v>936576.83240389498</v>
      </c>
      <c r="N30" s="31">
        <f>Option2!N$37*conv_2026*N$7</f>
        <v>331185.41922286525</v>
      </c>
      <c r="O30" s="31">
        <f>Option2!O$37*conv_2026*O$7</f>
        <v>544202.33495024662</v>
      </c>
      <c r="P30" s="31">
        <f>Option2!P$37*conv_2026*P$7</f>
        <v>817758.8633911669</v>
      </c>
      <c r="Q30" s="31">
        <f>Option2!Q$37*conv_2026*Q$7</f>
        <v>817758.8633911669</v>
      </c>
      <c r="R30" s="31">
        <f>Option2!R$37*conv_2026*R$7</f>
        <v>817758.8633911669</v>
      </c>
      <c r="S30" s="31">
        <f>Option2!S$37*conv_2026*S$7</f>
        <v>817758.8633911669</v>
      </c>
      <c r="T30" s="31">
        <f>Option2!T$37*conv_2026*T$7</f>
        <v>817758.8633911669</v>
      </c>
      <c r="U30" s="31">
        <f>Option2!U$37*conv_2026*U$7</f>
        <v>817758.8633911669</v>
      </c>
      <c r="V30" s="31">
        <f>Option2!V$37*conv_2026*V$7</f>
        <v>817758.8633911669</v>
      </c>
      <c r="W30" s="31">
        <f>Option2!W$37*conv_2026*W$7</f>
        <v>817758.8633911669</v>
      </c>
      <c r="X30" s="31">
        <f>Option2!X$37*conv_2026*X$7</f>
        <v>817758.8633911669</v>
      </c>
      <c r="Y30" s="31">
        <f>Option2!Y$37*conv_2026*Y$7</f>
        <v>817758.8633911669</v>
      </c>
      <c r="Z30" s="31">
        <f>Option2!Z$37*conv_2026*Z$7</f>
        <v>817758.8633911669</v>
      </c>
      <c r="AA30" s="31">
        <f>Option2!AA$37*conv_2026*AA$7</f>
        <v>817758.8633911669</v>
      </c>
      <c r="AB30" s="31">
        <f>Option2!AB$37*conv_2026*AB$7</f>
        <v>817758.8633911669</v>
      </c>
      <c r="AC30" s="31">
        <f>Option2!AC$37*conv_2026*AC$7</f>
        <v>0</v>
      </c>
      <c r="AD30" s="31">
        <f>Option2!AD$37*conv_2026*AD$7</f>
        <v>0</v>
      </c>
      <c r="AE30" s="31">
        <f>Option2!AE$37*conv_2026*AE$7</f>
        <v>0</v>
      </c>
      <c r="AF30" s="31">
        <f>Option2!AF$37*conv_2026*AF$7</f>
        <v>0</v>
      </c>
      <c r="AG30" s="31">
        <f>Option2!AG$37*conv_2026*AG$7</f>
        <v>0</v>
      </c>
    </row>
    <row r="31" spans="1:33" s="2" customFormat="1" x14ac:dyDescent="0.2">
      <c r="A31" s="138" t="str">
        <f t="shared" si="7"/>
        <v>Option 2</v>
      </c>
      <c r="B31" s="138"/>
      <c r="C31" s="75"/>
      <c r="D31" s="38" t="str">
        <f t="shared" si="6"/>
        <v>Option 2</v>
      </c>
      <c r="E31" s="1"/>
      <c r="F31" s="97"/>
      <c r="G31" s="23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8" t="str">
        <f t="shared" si="7"/>
        <v>Option 2</v>
      </c>
      <c r="B32" s="138"/>
      <c r="C32" s="58" t="str">
        <f>Option2!C$86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-76188514.826549023</v>
      </c>
      <c r="G32" s="229">
        <f t="shared" ref="G32:G39" si="8">output_dollars</f>
        <v>46203</v>
      </c>
      <c r="H32" s="31"/>
      <c r="I32" s="31">
        <f>Option2!I$86*conv_2026*I$7</f>
        <v>0</v>
      </c>
      <c r="J32" s="31">
        <f>Option2!J$86*conv_2026*J$7</f>
        <v>-1321101.9584257514</v>
      </c>
      <c r="K32" s="31">
        <f>Option2!K$86*conv_2026*K$7</f>
        <v>-2220714.8970956071</v>
      </c>
      <c r="L32" s="31">
        <f>Option2!L$86*conv_2026*L$7</f>
        <v>-3731652.4638927015</v>
      </c>
      <c r="M32" s="31">
        <f>Option2!M$86*conv_2026*M$7</f>
        <v>-5614592.2550851805</v>
      </c>
      <c r="N32" s="31">
        <f>Option2!N$86*conv_2026*N$7</f>
        <v>-6265336.8155947663</v>
      </c>
      <c r="O32" s="31">
        <f>Option2!O$86*conv_2026*O$7</f>
        <v>-6265336.8155947663</v>
      </c>
      <c r="P32" s="31">
        <f>Option2!P$86*conv_2026*P$7</f>
        <v>-6265336.8155947663</v>
      </c>
      <c r="Q32" s="31">
        <f>Option2!Q$86*conv_2026*Q$7</f>
        <v>-6265336.8155947663</v>
      </c>
      <c r="R32" s="31">
        <f>Option2!R$86*conv_2026*R$7</f>
        <v>-6265336.8155947663</v>
      </c>
      <c r="S32" s="31">
        <f>Option2!S$86*conv_2026*S$7</f>
        <v>-6760024.5031355266</v>
      </c>
      <c r="T32" s="31">
        <f>Option2!T$86*conv_2026*T$7</f>
        <v>-6760024.5031355266</v>
      </c>
      <c r="U32" s="31">
        <f>Option2!U$86*conv_2026*U$7</f>
        <v>-6760024.5031355266</v>
      </c>
      <c r="V32" s="31">
        <f>Option2!V$86*conv_2026*V$7</f>
        <v>-6760024.5031355266</v>
      </c>
      <c r="W32" s="31">
        <f>Option2!W$86*conv_2026*W$7</f>
        <v>-6760024.5031355266</v>
      </c>
      <c r="X32" s="31">
        <f>Option2!X$86*conv_2026*X$7</f>
        <v>-6760024.5031355266</v>
      </c>
      <c r="Y32" s="31">
        <f>Option2!Y$86*conv_2026*Y$7</f>
        <v>-6760024.5031355266</v>
      </c>
      <c r="Z32" s="31">
        <f>Option2!Z$86*conv_2026*Z$7</f>
        <v>-6760024.5031355266</v>
      </c>
      <c r="AA32" s="31">
        <f>Option2!AA$86*conv_2026*AA$7</f>
        <v>-6760024.5031355266</v>
      </c>
      <c r="AB32" s="31">
        <f>Option2!AB$86*conv_2026*AB$7</f>
        <v>-6760024.5031355266</v>
      </c>
      <c r="AC32" s="31">
        <f>Option2!AC$86*conv_2026*AC$7</f>
        <v>0</v>
      </c>
      <c r="AD32" s="31">
        <f>Option2!AD$86*conv_2026*AD$7</f>
        <v>0</v>
      </c>
      <c r="AE32" s="31">
        <f>Option2!AE$86*conv_2026*AE$7</f>
        <v>0</v>
      </c>
      <c r="AF32" s="31">
        <f>Option2!AF$86*conv_2026*AF$7</f>
        <v>0</v>
      </c>
      <c r="AG32" s="31">
        <f>Option2!AG$86*conv_2026*AG$7</f>
        <v>0</v>
      </c>
    </row>
    <row r="33" spans="1:33" s="2" customFormat="1" x14ac:dyDescent="0.2">
      <c r="A33" s="138" t="str">
        <f t="shared" si="7"/>
        <v>Option 2</v>
      </c>
      <c r="B33" s="138"/>
      <c r="C33" s="58" t="str">
        <f>Option2!C$87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9">
        <f t="shared" si="8"/>
        <v>46203</v>
      </c>
      <c r="H33" s="31"/>
      <c r="I33" s="31">
        <f>Option2!I$87*conv_2026*I$7</f>
        <v>0</v>
      </c>
      <c r="J33" s="31">
        <f>Option2!J$87*conv_2026*J$7</f>
        <v>0</v>
      </c>
      <c r="K33" s="31">
        <f>Option2!K$87*conv_2026*K$7</f>
        <v>0</v>
      </c>
      <c r="L33" s="31">
        <f>Option2!L$87*conv_2026*L$7</f>
        <v>0</v>
      </c>
      <c r="M33" s="31">
        <f>Option2!M$87*conv_2026*M$7</f>
        <v>0</v>
      </c>
      <c r="N33" s="31">
        <f>Option2!N$87*conv_2026*N$7</f>
        <v>0</v>
      </c>
      <c r="O33" s="31">
        <f>Option2!O$87*conv_2026*O$7</f>
        <v>0</v>
      </c>
      <c r="P33" s="31">
        <f>Option2!P$87*conv_2026*P$7</f>
        <v>0</v>
      </c>
      <c r="Q33" s="31">
        <f>Option2!Q$87*conv_2026*Q$7</f>
        <v>0</v>
      </c>
      <c r="R33" s="31">
        <f>Option2!R$87*conv_2026*R$7</f>
        <v>0</v>
      </c>
      <c r="S33" s="31">
        <f>Option2!S$87*conv_2026*S$7</f>
        <v>0</v>
      </c>
      <c r="T33" s="31">
        <f>Option2!T$87*conv_2026*T$7</f>
        <v>0</v>
      </c>
      <c r="U33" s="31">
        <f>Option2!U$87*conv_2026*U$7</f>
        <v>0</v>
      </c>
      <c r="V33" s="31">
        <f>Option2!V$87*conv_2026*V$7</f>
        <v>0</v>
      </c>
      <c r="W33" s="31">
        <f>Option2!W$87*conv_2026*W$7</f>
        <v>0</v>
      </c>
      <c r="X33" s="31">
        <f>Option2!X$87*conv_2026*X$7</f>
        <v>0</v>
      </c>
      <c r="Y33" s="31">
        <f>Option2!Y$87*conv_2026*Y$7</f>
        <v>0</v>
      </c>
      <c r="Z33" s="31">
        <f>Option2!Z$87*conv_2026*Z$7</f>
        <v>0</v>
      </c>
      <c r="AA33" s="31">
        <f>Option2!AA$87*conv_2026*AA$7</f>
        <v>0</v>
      </c>
      <c r="AB33" s="31">
        <f>Option2!AB$87*conv_2026*AB$7</f>
        <v>0</v>
      </c>
      <c r="AC33" s="31">
        <f>Option2!AC$87*conv_2026*AC$7</f>
        <v>0</v>
      </c>
      <c r="AD33" s="31">
        <f>Option2!AD$87*conv_2026*AD$7</f>
        <v>0</v>
      </c>
      <c r="AE33" s="31">
        <f>Option2!AE$87*conv_2026*AE$7</f>
        <v>0</v>
      </c>
      <c r="AF33" s="31">
        <f>Option2!AF$87*conv_2026*AF$7</f>
        <v>0</v>
      </c>
      <c r="AG33" s="31">
        <f>Option2!AG$87*conv_2026*AG$7</f>
        <v>0</v>
      </c>
    </row>
    <row r="34" spans="1:33" s="2" customFormat="1" x14ac:dyDescent="0.2">
      <c r="A34" s="138" t="str">
        <f t="shared" si="7"/>
        <v>Option 2</v>
      </c>
      <c r="B34" s="138"/>
      <c r="C34" s="58" t="str">
        <f>Option2!C$88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659351948.03823864</v>
      </c>
      <c r="G34" s="229">
        <f t="shared" si="8"/>
        <v>46203</v>
      </c>
      <c r="H34" s="31"/>
      <c r="I34" s="31">
        <f>Option2!I$88*conv_2026*I$7</f>
        <v>0</v>
      </c>
      <c r="J34" s="31">
        <f>Option2!J$88*conv_2026*J$7</f>
        <v>8979731.6419820189</v>
      </c>
      <c r="K34" s="31">
        <f>Option2!K$88*conv_2026*K$7</f>
        <v>12481800.068279903</v>
      </c>
      <c r="L34" s="31">
        <f>Option2!L$88*conv_2026*L$7</f>
        <v>15398963.421772599</v>
      </c>
      <c r="M34" s="31">
        <f>Option2!M$88*conv_2026*M$7</f>
        <v>20098321.75319925</v>
      </c>
      <c r="N34" s="31">
        <f>Option2!N$88*conv_2026*N$7</f>
        <v>28585018.456571601</v>
      </c>
      <c r="O34" s="31">
        <f>Option2!O$88*conv_2026*O$7</f>
        <v>41152706.223747827</v>
      </c>
      <c r="P34" s="31">
        <f>Option2!P$88*conv_2026*P$7</f>
        <v>54636907.194877721</v>
      </c>
      <c r="Q34" s="31">
        <f>Option2!Q$88*conv_2026*Q$7</f>
        <v>68275204.692749515</v>
      </c>
      <c r="R34" s="31">
        <f>Option2!R$88*conv_2026*R$7</f>
        <v>68275204.692749515</v>
      </c>
      <c r="S34" s="31">
        <f>Option2!S$88*conv_2026*S$7</f>
        <v>68275204.692749515</v>
      </c>
      <c r="T34" s="31">
        <f>Option2!T$88*conv_2026*T$7</f>
        <v>68275204.692749515</v>
      </c>
      <c r="U34" s="31">
        <f>Option2!U$88*conv_2026*U$7</f>
        <v>68275204.692749515</v>
      </c>
      <c r="V34" s="31">
        <f>Option2!V$88*conv_2026*V$7</f>
        <v>68275204.692749515</v>
      </c>
      <c r="W34" s="31">
        <f>Option2!W$88*conv_2026*W$7</f>
        <v>68275204.692749515</v>
      </c>
      <c r="X34" s="31">
        <f>Option2!X$88*conv_2026*X$7</f>
        <v>68275204.692749515</v>
      </c>
      <c r="Y34" s="31">
        <f>Option2!Y$88*conv_2026*Y$7</f>
        <v>68275204.692749515</v>
      </c>
      <c r="Z34" s="31">
        <f>Option2!Z$88*conv_2026*Z$7</f>
        <v>68275204.692749515</v>
      </c>
      <c r="AA34" s="31">
        <f>Option2!AA$88*conv_2026*AA$7</f>
        <v>68275204.692749515</v>
      </c>
      <c r="AB34" s="31">
        <f>Option2!AB$88*conv_2026*AB$7</f>
        <v>68275204.692749515</v>
      </c>
      <c r="AC34" s="31">
        <f>Option2!AC$88*conv_2026*AC$7</f>
        <v>0</v>
      </c>
      <c r="AD34" s="31">
        <f>Option2!AD$88*conv_2026*AD$7</f>
        <v>0</v>
      </c>
      <c r="AE34" s="31">
        <f>Option2!AE$88*conv_2026*AE$7</f>
        <v>0</v>
      </c>
      <c r="AF34" s="31">
        <f>Option2!AF$88*conv_2026*AF$7</f>
        <v>0</v>
      </c>
      <c r="AG34" s="31">
        <f>Option2!AG$88*conv_2026*AG$7</f>
        <v>0</v>
      </c>
    </row>
    <row r="35" spans="1:33" s="2" customFormat="1" x14ac:dyDescent="0.2">
      <c r="A35" s="138" t="str">
        <f t="shared" si="7"/>
        <v>Option 2</v>
      </c>
      <c r="B35" s="138"/>
      <c r="C35" s="58" t="str">
        <f>Option2!C$89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9">
        <f t="shared" si="8"/>
        <v>46203</v>
      </c>
      <c r="H35" s="31"/>
      <c r="I35" s="31">
        <f>Option2!I$89*conv_2026*I$7</f>
        <v>0</v>
      </c>
      <c r="J35" s="31">
        <f>Option2!J$89*conv_2026*J$7</f>
        <v>0</v>
      </c>
      <c r="K35" s="31">
        <f>Option2!K$89*conv_2026*K$7</f>
        <v>0</v>
      </c>
      <c r="L35" s="31">
        <f>Option2!L$89*conv_2026*L$7</f>
        <v>0</v>
      </c>
      <c r="M35" s="31">
        <f>Option2!M$89*conv_2026*M$7</f>
        <v>0</v>
      </c>
      <c r="N35" s="31">
        <f>Option2!N$89*conv_2026*N$7</f>
        <v>0</v>
      </c>
      <c r="O35" s="31">
        <f>Option2!O$89*conv_2026*O$7</f>
        <v>0</v>
      </c>
      <c r="P35" s="31">
        <f>Option2!P$89*conv_2026*P$7</f>
        <v>0</v>
      </c>
      <c r="Q35" s="31">
        <f>Option2!Q$89*conv_2026*Q$7</f>
        <v>0</v>
      </c>
      <c r="R35" s="31">
        <f>Option2!R$89*conv_2026*R$7</f>
        <v>0</v>
      </c>
      <c r="S35" s="31">
        <f>Option2!S$89*conv_2026*S$7</f>
        <v>0</v>
      </c>
      <c r="T35" s="31">
        <f>Option2!T$89*conv_2026*T$7</f>
        <v>0</v>
      </c>
      <c r="U35" s="31">
        <f>Option2!U$89*conv_2026*U$7</f>
        <v>0</v>
      </c>
      <c r="V35" s="31">
        <f>Option2!V$89*conv_2026*V$7</f>
        <v>0</v>
      </c>
      <c r="W35" s="31">
        <f>Option2!W$89*conv_2026*W$7</f>
        <v>0</v>
      </c>
      <c r="X35" s="31">
        <f>Option2!X$89*conv_2026*X$7</f>
        <v>0</v>
      </c>
      <c r="Y35" s="31">
        <f>Option2!Y$89*conv_2026*Y$7</f>
        <v>0</v>
      </c>
      <c r="Z35" s="31">
        <f>Option2!Z$89*conv_2026*Z$7</f>
        <v>0</v>
      </c>
      <c r="AA35" s="31">
        <f>Option2!AA$89*conv_2026*AA$7</f>
        <v>0</v>
      </c>
      <c r="AB35" s="31">
        <f>Option2!AB$89*conv_2026*AB$7</f>
        <v>0</v>
      </c>
      <c r="AC35" s="31">
        <f>Option2!AC$89*conv_2026*AC$7</f>
        <v>0</v>
      </c>
      <c r="AD35" s="31">
        <f>Option2!AD$89*conv_2026*AD$7</f>
        <v>0</v>
      </c>
      <c r="AE35" s="31">
        <f>Option2!AE$89*conv_2026*AE$7</f>
        <v>0</v>
      </c>
      <c r="AF35" s="31">
        <f>Option2!AF$89*conv_2026*AF$7</f>
        <v>0</v>
      </c>
      <c r="AG35" s="31">
        <f>Option2!AG$89*conv_2026*AG$7</f>
        <v>0</v>
      </c>
    </row>
    <row r="36" spans="1:33" s="2" customFormat="1" x14ac:dyDescent="0.2">
      <c r="A36" s="138" t="str">
        <f t="shared" si="7"/>
        <v>Option 2</v>
      </c>
      <c r="B36" s="138"/>
      <c r="C36" s="125" t="str">
        <f>Option2!C91</f>
        <v>Net benefits</v>
      </c>
      <c r="D36" s="109" t="str">
        <f t="shared" si="6"/>
        <v>Option 2Net benefits</v>
      </c>
      <c r="E36" s="110"/>
      <c r="F36" s="146"/>
      <c r="G36" s="231">
        <f t="shared" si="8"/>
        <v>46203</v>
      </c>
      <c r="H36" s="52"/>
      <c r="I36" s="52">
        <f>SUM(I32:I35)</f>
        <v>0</v>
      </c>
      <c r="J36" s="52">
        <f t="shared" ref="J36:AG36" si="9">SUM(J32:J35)</f>
        <v>7658629.683556268</v>
      </c>
      <c r="K36" s="52">
        <f t="shared" si="9"/>
        <v>10261085.171184296</v>
      </c>
      <c r="L36" s="52">
        <f t="shared" si="9"/>
        <v>11667310.957879897</v>
      </c>
      <c r="M36" s="52">
        <f t="shared" si="9"/>
        <v>14483729.498114068</v>
      </c>
      <c r="N36" s="52">
        <f t="shared" si="9"/>
        <v>22319681.640976835</v>
      </c>
      <c r="O36" s="52">
        <f t="shared" si="9"/>
        <v>34887369.408153057</v>
      </c>
      <c r="P36" s="52">
        <f t="shared" si="9"/>
        <v>48371570.379282951</v>
      </c>
      <c r="Q36" s="52">
        <f t="shared" si="9"/>
        <v>62009867.877154753</v>
      </c>
      <c r="R36" s="52">
        <f t="shared" si="9"/>
        <v>62009867.877154753</v>
      </c>
      <c r="S36" s="52">
        <f t="shared" si="9"/>
        <v>61515180.18961399</v>
      </c>
      <c r="T36" s="52">
        <f t="shared" si="9"/>
        <v>61515180.18961399</v>
      </c>
      <c r="U36" s="52">
        <f t="shared" si="9"/>
        <v>61515180.18961399</v>
      </c>
      <c r="V36" s="52">
        <f t="shared" si="9"/>
        <v>61515180.18961399</v>
      </c>
      <c r="W36" s="52">
        <f t="shared" si="9"/>
        <v>61515180.18961399</v>
      </c>
      <c r="X36" s="52">
        <f t="shared" si="9"/>
        <v>61515180.18961399</v>
      </c>
      <c r="Y36" s="52">
        <f t="shared" si="9"/>
        <v>61515180.18961399</v>
      </c>
      <c r="Z36" s="52">
        <f t="shared" si="9"/>
        <v>61515180.18961399</v>
      </c>
      <c r="AA36" s="52">
        <f t="shared" si="9"/>
        <v>61515180.18961399</v>
      </c>
      <c r="AB36" s="52">
        <f t="shared" si="9"/>
        <v>61515180.18961399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8" t="str">
        <f t="shared" si="7"/>
        <v>Option 2</v>
      </c>
      <c r="B37" s="138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583163433.21168971</v>
      </c>
      <c r="G37" s="229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8" t="str">
        <f t="shared" si="7"/>
        <v>Option 2</v>
      </c>
      <c r="B38" s="138"/>
      <c r="C38" s="8" t="s">
        <v>189</v>
      </c>
      <c r="D38" s="38" t="str">
        <f t="shared" si="6"/>
        <v>Option 2PV of costs</v>
      </c>
      <c r="E38" s="1"/>
      <c r="F38" s="108">
        <f>SUM(F32:F33)</f>
        <v>-76188514.826549023</v>
      </c>
      <c r="G38" s="229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8" t="str">
        <f t="shared" si="7"/>
        <v>Option 2</v>
      </c>
      <c r="B39" s="138"/>
      <c r="C39" s="8" t="s">
        <v>190</v>
      </c>
      <c r="D39" s="38" t="str">
        <f t="shared" si="6"/>
        <v>Option 2PV of benefits</v>
      </c>
      <c r="E39" s="1"/>
      <c r="F39" s="108">
        <f>SUM(F34:F35)</f>
        <v>659351948.03823864</v>
      </c>
      <c r="G39" s="229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8"/>
      <c r="B40" s="138"/>
      <c r="C40" s="1"/>
      <c r="D40" s="38"/>
      <c r="E40" s="1"/>
      <c r="F40" s="108"/>
      <c r="G40" s="232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5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5" customFormat="1" x14ac:dyDescent="0.2">
      <c r="A42" s="273" t="str">
        <f>A43</f>
        <v>Option 3</v>
      </c>
      <c r="B42" s="273"/>
      <c r="C42" s="273" t="s">
        <v>124</v>
      </c>
      <c r="D42" s="274" t="str">
        <f>A42&amp;C42</f>
        <v>Option 3Energy at risk value</v>
      </c>
      <c r="F42" s="97">
        <f>SUMPRODUCT($H42:$AG42, $H$5:$AG$5)</f>
        <v>20136786.180583607</v>
      </c>
      <c r="G42" s="276">
        <f>output_dollars</f>
        <v>46203</v>
      </c>
      <c r="H42" s="277"/>
      <c r="I42" s="31">
        <f>Option3!I$29*conv_2026</f>
        <v>5971422.7870944589</v>
      </c>
      <c r="J42" s="31">
        <f>Option3!J$29*conv_2026</f>
        <v>1067551.7835831596</v>
      </c>
      <c r="K42" s="31">
        <f>Option3!K$29*conv_2026</f>
        <v>674111.66871271422</v>
      </c>
      <c r="L42" s="31">
        <f>Option3!L$29*conv_2026</f>
        <v>1007722.6382286763</v>
      </c>
      <c r="M42" s="31">
        <f>Option3!M$29*conv_2026</f>
        <v>485947.19019974413</v>
      </c>
      <c r="N42" s="31">
        <f>Option3!N$29*conv_2026</f>
        <v>317385.59860459453</v>
      </c>
      <c r="O42" s="31">
        <f>Option3!O$29*conv_2026</f>
        <v>593663.11189758219</v>
      </c>
      <c r="P42" s="31">
        <f>Option3!P$29*conv_2026</f>
        <v>1003878.1667400564</v>
      </c>
      <c r="Q42" s="31">
        <f>Option3!Q$29*conv_2026</f>
        <v>1003878.1667400564</v>
      </c>
      <c r="R42" s="31">
        <f>Option3!R$29*conv_2026</f>
        <v>1003878.1667400564</v>
      </c>
      <c r="S42" s="31">
        <f>Option3!S$29*conv_2026</f>
        <v>1003878.1667400564</v>
      </c>
      <c r="T42" s="31">
        <f>Option3!T$29*conv_2026</f>
        <v>1003878.1667400564</v>
      </c>
      <c r="U42" s="31">
        <f>Option3!U$29*conv_2026</f>
        <v>1003878.1667400564</v>
      </c>
      <c r="V42" s="31">
        <f>Option3!V$29*conv_2026</f>
        <v>1003878.1667400564</v>
      </c>
      <c r="W42" s="31">
        <f>Option3!W$29*conv_2026</f>
        <v>1003878.1667400564</v>
      </c>
      <c r="X42" s="31">
        <f>Option3!X$29*conv_2026</f>
        <v>1003878.1667400564</v>
      </c>
      <c r="Y42" s="31">
        <f>Option3!Y$29*conv_2026</f>
        <v>1003878.1667400564</v>
      </c>
      <c r="Z42" s="31">
        <f>Option3!Z$29*conv_2026</f>
        <v>1003878.1667400564</v>
      </c>
      <c r="AA42" s="31">
        <f>Option3!AA$29*conv_2026</f>
        <v>1003878.1667400564</v>
      </c>
      <c r="AB42" s="31">
        <f>Option3!AB$29*conv_2026</f>
        <v>1003878.1667400564</v>
      </c>
      <c r="AC42" s="31">
        <f>Option3!AC$29*conv_2026</f>
        <v>1003878.1667400564</v>
      </c>
      <c r="AD42" s="31">
        <f>Option3!AD$29*conv_2026</f>
        <v>1003878.1667400564</v>
      </c>
      <c r="AE42" s="31">
        <f>Option3!AE$29*conv_2026</f>
        <v>1003878.1667400564</v>
      </c>
      <c r="AF42" s="31">
        <f>Option3!AF$29*conv_2026</f>
        <v>1003878.1667400564</v>
      </c>
      <c r="AG42" s="31">
        <f>Option3!AG$29*conv_2026</f>
        <v>1003878.1667400564</v>
      </c>
    </row>
    <row r="43" spans="1:33" s="2" customFormat="1" x14ac:dyDescent="0.2">
      <c r="A43" s="138" t="str">
        <f>Data!B11</f>
        <v>Option 3</v>
      </c>
      <c r="B43" s="138"/>
      <c r="C43" s="58" t="str">
        <f>Option3!C$67</f>
        <v>Capital expenditure</v>
      </c>
      <c r="D43" s="38" t="str">
        <f>A43&amp;C43</f>
        <v>Option 3Capital expenditure</v>
      </c>
      <c r="E43" s="1"/>
      <c r="F43" s="97">
        <f>SUMPRODUCT($H43:$AG43, $H$5:$AG$5)</f>
        <v>-143021335.72838438</v>
      </c>
      <c r="G43" s="229">
        <f>output_dollars</f>
        <v>46203</v>
      </c>
      <c r="H43" s="31"/>
      <c r="I43" s="31">
        <f>SUM(Option3!I$68:I$71)*conv_2026*I$7</f>
        <v>-30987262.704963814</v>
      </c>
      <c r="J43" s="31">
        <f>SUM(Option3!J$68:J$71)*conv_2026*J$7</f>
        <v>-20971226.808559228</v>
      </c>
      <c r="K43" s="31">
        <f>SUM(Option3!K$68:K$71)*conv_2026*K$7</f>
        <v>-25566337.40262166</v>
      </c>
      <c r="L43" s="31">
        <f>SUM(Option3!L$68:L$71)*conv_2026*L$7</f>
        <v>-44814268.777336001</v>
      </c>
      <c r="M43" s="31">
        <f>SUM(Option3!M$68:M$71)*conv_2026*M$7</f>
        <v>-24618250.339166611</v>
      </c>
      <c r="N43" s="31">
        <f>SUM(Option3!N$68:N$71)*conv_2026*N$7</f>
        <v>0</v>
      </c>
      <c r="O43" s="31">
        <f>SUM(Option3!O$68:O$71)*conv_2026*O$7</f>
        <v>0</v>
      </c>
      <c r="P43" s="31">
        <f>SUM(Option3!P$68:P$71)*conv_2026*P$7</f>
        <v>0</v>
      </c>
      <c r="Q43" s="31">
        <f>SUM(Option3!Q$68:Q$71)*conv_2026*Q$7</f>
        <v>0</v>
      </c>
      <c r="R43" s="31">
        <f>SUM(Option3!R$68:R$71)*conv_2026*R$7</f>
        <v>-11603205.364257392</v>
      </c>
      <c r="S43" s="31">
        <f>SUM(Option3!S$68:S$71)*conv_2026*S$7</f>
        <v>0</v>
      </c>
      <c r="T43" s="31">
        <f>SUM(Option3!T$68:T$71)*conv_2026*T$7</f>
        <v>0</v>
      </c>
      <c r="U43" s="31">
        <f>SUM(Option3!U$68:U$71)*conv_2026*U$7</f>
        <v>0</v>
      </c>
      <c r="V43" s="31">
        <f>SUM(Option3!V$68:V$71)*conv_2026*V$7</f>
        <v>0</v>
      </c>
      <c r="W43" s="31">
        <f>SUM(Option3!W$68:W$71)*conv_2026*W$7</f>
        <v>0</v>
      </c>
      <c r="X43" s="31">
        <f>SUM(Option3!X$68:X$71)*conv_2026*X$7</f>
        <v>0</v>
      </c>
      <c r="Y43" s="31">
        <f>SUM(Option3!Y$68:Y$71)*conv_2026*Y$7</f>
        <v>0</v>
      </c>
      <c r="Z43" s="31">
        <f>SUM(Option3!Z$68:Z$71)*conv_2026*Z$7</f>
        <v>0</v>
      </c>
      <c r="AA43" s="31">
        <f>SUM(Option3!AA$68:AA$71)*conv_2026*AA$7</f>
        <v>0</v>
      </c>
      <c r="AB43" s="31">
        <f>SUM(Option3!AB$68:AB$71)*conv_2026*AB$7</f>
        <v>0</v>
      </c>
      <c r="AC43" s="31">
        <f>SUM(Option3!AC$68:AC$71)*conv_2026*AC$7</f>
        <v>0</v>
      </c>
      <c r="AD43" s="31">
        <f>SUM(Option3!AD$68:AD$71)*conv_2026*AD$7</f>
        <v>0</v>
      </c>
      <c r="AE43" s="31">
        <f>SUM(Option3!AE$68:AE$71)*conv_2026*AE$7</f>
        <v>0</v>
      </c>
      <c r="AF43" s="31">
        <f>SUM(Option3!AF$68:AF$71)*conv_2026*AF$7</f>
        <v>0</v>
      </c>
      <c r="AG43" s="31">
        <f>SUM(Option3!AG$68:AG$71)*conv_2026*AG$7</f>
        <v>0</v>
      </c>
    </row>
    <row r="44" spans="1:33" s="2" customFormat="1" x14ac:dyDescent="0.2">
      <c r="A44" s="138" t="str">
        <f t="shared" ref="A44:A53" si="10">A43</f>
        <v>Option 3</v>
      </c>
      <c r="B44" s="138"/>
      <c r="C44" s="58" t="str">
        <f>'Option1 (base case)'!C$37</f>
        <v>Total risk cost</v>
      </c>
      <c r="D44" s="38" t="str">
        <f>A44&amp;C44</f>
        <v>Option 3Total risk cost</v>
      </c>
      <c r="E44" s="1"/>
      <c r="F44" s="97">
        <f>SUMPRODUCT($H44:$AG44, $H$5:$AG$5)</f>
        <v>17819354.282288313</v>
      </c>
      <c r="G44" s="229">
        <f>output_dollars</f>
        <v>46203</v>
      </c>
      <c r="H44" s="31"/>
      <c r="I44" s="31">
        <f>Option3!I$37*conv_2026*I$7</f>
        <v>5971422.7870944589</v>
      </c>
      <c r="J44" s="31">
        <f>Option3!J$37*conv_2026*J$7</f>
        <v>1067551.7835831596</v>
      </c>
      <c r="K44" s="31">
        <f>Option3!K$37*conv_2026*K$7</f>
        <v>674111.66871271422</v>
      </c>
      <c r="L44" s="31">
        <f>Option3!L$37*conv_2026*L$7</f>
        <v>1007722.6382286763</v>
      </c>
      <c r="M44" s="31">
        <f>Option3!M$37*conv_2026*M$7</f>
        <v>485947.19019974413</v>
      </c>
      <c r="N44" s="31">
        <f>Option3!N$37*conv_2026*N$7</f>
        <v>317385.59860459453</v>
      </c>
      <c r="O44" s="31">
        <f>Option3!O$37*conv_2026*O$7</f>
        <v>593663.11189758219</v>
      </c>
      <c r="P44" s="31">
        <f>Option3!P$37*conv_2026*P$7</f>
        <v>1003878.1667400564</v>
      </c>
      <c r="Q44" s="31">
        <f>Option3!Q$37*conv_2026*Q$7</f>
        <v>1003878.1667400564</v>
      </c>
      <c r="R44" s="31">
        <f>Option3!R$37*conv_2026*R$7</f>
        <v>1003878.1667400564</v>
      </c>
      <c r="S44" s="31">
        <f>Option3!S$37*conv_2026*S$7</f>
        <v>1003878.1667400564</v>
      </c>
      <c r="T44" s="31">
        <f>Option3!T$37*conv_2026*T$7</f>
        <v>1003878.1667400564</v>
      </c>
      <c r="U44" s="31">
        <f>Option3!U$37*conv_2026*U$7</f>
        <v>1003878.1667400564</v>
      </c>
      <c r="V44" s="31">
        <f>Option3!V$37*conv_2026*V$7</f>
        <v>1003878.1667400564</v>
      </c>
      <c r="W44" s="31">
        <f>Option3!W$37*conv_2026*W$7</f>
        <v>1003878.1667400564</v>
      </c>
      <c r="X44" s="31">
        <f>Option3!X$37*conv_2026*X$7</f>
        <v>1003878.1667400564</v>
      </c>
      <c r="Y44" s="31">
        <f>Option3!Y$37*conv_2026*Y$7</f>
        <v>1003878.1667400564</v>
      </c>
      <c r="Z44" s="31">
        <f>Option3!Z$37*conv_2026*Z$7</f>
        <v>1003878.1667400564</v>
      </c>
      <c r="AA44" s="31">
        <f>Option3!AA$37*conv_2026*AA$7</f>
        <v>1003878.1667400564</v>
      </c>
      <c r="AB44" s="31">
        <f>Option3!AB$37*conv_2026*AB$7</f>
        <v>1003878.1667400564</v>
      </c>
      <c r="AC44" s="31">
        <f>Option3!AC$37*conv_2026*AC$7</f>
        <v>0</v>
      </c>
      <c r="AD44" s="31">
        <f>Option3!AD$37*conv_2026*AD$7</f>
        <v>0</v>
      </c>
      <c r="AE44" s="31">
        <f>Option3!AE$37*conv_2026*AE$7</f>
        <v>0</v>
      </c>
      <c r="AF44" s="31">
        <f>Option3!AF$37*conv_2026*AF$7</f>
        <v>0</v>
      </c>
      <c r="AG44" s="31">
        <f>Option3!AG$37*conv_2026*AG$7</f>
        <v>0</v>
      </c>
    </row>
    <row r="45" spans="1:33" s="2" customFormat="1" x14ac:dyDescent="0.2">
      <c r="A45" s="138" t="str">
        <f t="shared" si="10"/>
        <v>Option 3</v>
      </c>
      <c r="B45" s="138"/>
      <c r="C45" s="58"/>
      <c r="D45" s="38"/>
      <c r="E45" s="1"/>
      <c r="F45" s="97"/>
      <c r="G45" s="229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8" t="str">
        <f t="shared" si="10"/>
        <v>Option 3</v>
      </c>
      <c r="B46" s="138"/>
      <c r="C46" s="58" t="str">
        <f>Option3!C$86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-75463712.872017607</v>
      </c>
      <c r="G46" s="229">
        <f t="shared" ref="G46:G53" si="12">output_dollars</f>
        <v>46203</v>
      </c>
      <c r="H46" s="31"/>
      <c r="I46" s="31">
        <f>Option3!I$86*conv_2026*I$7</f>
        <v>0</v>
      </c>
      <c r="J46" s="31">
        <f>Option3!J$86*conv_2026*J$7</f>
        <v>-1321101.9584257514</v>
      </c>
      <c r="K46" s="31">
        <f>Option3!K$86*conv_2026*K$7</f>
        <v>-2215183.1514360704</v>
      </c>
      <c r="L46" s="31">
        <f>Option3!L$86*conv_2026*L$7</f>
        <v>-3305170.9549398152</v>
      </c>
      <c r="M46" s="31">
        <f>Option3!M$86*conv_2026*M$7</f>
        <v>-5215769.4744299781</v>
      </c>
      <c r="N46" s="31">
        <f>Option3!N$86*conv_2026*N$7</f>
        <v>-6265336.8094265787</v>
      </c>
      <c r="O46" s="31">
        <f>Option3!O$86*conv_2026*O$7</f>
        <v>-6265336.8094265787</v>
      </c>
      <c r="P46" s="31">
        <f>Option3!P$86*conv_2026*P$7</f>
        <v>-6265336.8094265787</v>
      </c>
      <c r="Q46" s="31">
        <f>Option3!Q$86*conv_2026*Q$7</f>
        <v>-6265336.8094265787</v>
      </c>
      <c r="R46" s="31">
        <f>Option3!R$86*conv_2026*R$7</f>
        <v>-6265336.8094265787</v>
      </c>
      <c r="S46" s="31">
        <f>Option3!S$86*conv_2026*S$7</f>
        <v>-6760024.496967339</v>
      </c>
      <c r="T46" s="31">
        <f>Option3!T$86*conv_2026*T$7</f>
        <v>-6760024.496967339</v>
      </c>
      <c r="U46" s="31">
        <f>Option3!U$86*conv_2026*U$7</f>
        <v>-6760024.496967339</v>
      </c>
      <c r="V46" s="31">
        <f>Option3!V$86*conv_2026*V$7</f>
        <v>-6760024.496967339</v>
      </c>
      <c r="W46" s="31">
        <f>Option3!W$86*conv_2026*W$7</f>
        <v>-6760024.496967339</v>
      </c>
      <c r="X46" s="31">
        <f>Option3!X$86*conv_2026*X$7</f>
        <v>-6760024.496967339</v>
      </c>
      <c r="Y46" s="31">
        <f>Option3!Y$86*conv_2026*Y$7</f>
        <v>-6760024.496967339</v>
      </c>
      <c r="Z46" s="31">
        <f>Option3!Z$86*conv_2026*Z$7</f>
        <v>-6760024.496967339</v>
      </c>
      <c r="AA46" s="31">
        <f>Option3!AA$86*conv_2026*AA$7</f>
        <v>-6760024.496967339</v>
      </c>
      <c r="AB46" s="31">
        <f>Option3!AB$86*conv_2026*AB$7</f>
        <v>-6760024.496967339</v>
      </c>
      <c r="AC46" s="31">
        <f>Option3!AC$86*conv_2026*AC$7</f>
        <v>0</v>
      </c>
      <c r="AD46" s="31">
        <f>Option3!AD$86*conv_2026*AD$7</f>
        <v>0</v>
      </c>
      <c r="AE46" s="31">
        <f>Option3!AE$86*conv_2026*AE$7</f>
        <v>0</v>
      </c>
      <c r="AF46" s="31">
        <f>Option3!AF$86*conv_2026*AF$7</f>
        <v>0</v>
      </c>
      <c r="AG46" s="31">
        <f>Option3!AG$86*conv_2026*AG$7</f>
        <v>0</v>
      </c>
    </row>
    <row r="47" spans="1:33" s="2" customFormat="1" x14ac:dyDescent="0.2">
      <c r="A47" s="138" t="str">
        <f t="shared" si="10"/>
        <v>Option 3</v>
      </c>
      <c r="B47" s="138"/>
      <c r="C47" s="58" t="str">
        <f>Option3!C$87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9">
        <f t="shared" si="12"/>
        <v>46203</v>
      </c>
      <c r="H47" s="31"/>
      <c r="I47" s="31">
        <f>Option3!I$87*conv_2026*I$7</f>
        <v>0</v>
      </c>
      <c r="J47" s="31">
        <f>Option3!J$87*conv_2026*J$7</f>
        <v>0</v>
      </c>
      <c r="K47" s="31">
        <f>Option3!K$87*conv_2026*K$7</f>
        <v>0</v>
      </c>
      <c r="L47" s="31">
        <f>Option3!L$87*conv_2026*L$7</f>
        <v>0</v>
      </c>
      <c r="M47" s="31">
        <f>Option3!M$87*conv_2026*M$7</f>
        <v>0</v>
      </c>
      <c r="N47" s="31">
        <f>Option3!N$87*conv_2026*N$7</f>
        <v>0</v>
      </c>
      <c r="O47" s="31">
        <f>Option3!O$87*conv_2026*O$7</f>
        <v>0</v>
      </c>
      <c r="P47" s="31">
        <f>Option3!P$87*conv_2026*P$7</f>
        <v>0</v>
      </c>
      <c r="Q47" s="31">
        <f>Option3!Q$87*conv_2026*Q$7</f>
        <v>0</v>
      </c>
      <c r="R47" s="31">
        <f>Option3!R$87*conv_2026*R$7</f>
        <v>0</v>
      </c>
      <c r="S47" s="31">
        <f>Option3!S$87*conv_2026*S$7</f>
        <v>0</v>
      </c>
      <c r="T47" s="31">
        <f>Option3!T$87*conv_2026*T$7</f>
        <v>0</v>
      </c>
      <c r="U47" s="31">
        <f>Option3!U$87*conv_2026*U$7</f>
        <v>0</v>
      </c>
      <c r="V47" s="31">
        <f>Option3!V$87*conv_2026*V$7</f>
        <v>0</v>
      </c>
      <c r="W47" s="31">
        <f>Option3!W$87*conv_2026*W$7</f>
        <v>0</v>
      </c>
      <c r="X47" s="31">
        <f>Option3!X$87*conv_2026*X$7</f>
        <v>0</v>
      </c>
      <c r="Y47" s="31">
        <f>Option3!Y$87*conv_2026*Y$7</f>
        <v>0</v>
      </c>
      <c r="Z47" s="31">
        <f>Option3!Z$87*conv_2026*Z$7</f>
        <v>0</v>
      </c>
      <c r="AA47" s="31">
        <f>Option3!AA$87*conv_2026*AA$7</f>
        <v>0</v>
      </c>
      <c r="AB47" s="31">
        <f>Option3!AB$87*conv_2026*AB$7</f>
        <v>0</v>
      </c>
      <c r="AC47" s="31">
        <f>Option3!AC$87*conv_2026*AC$7</f>
        <v>0</v>
      </c>
      <c r="AD47" s="31">
        <f>Option3!AD$87*conv_2026*AD$7</f>
        <v>0</v>
      </c>
      <c r="AE47" s="31">
        <f>Option3!AE$87*conv_2026*AE$7</f>
        <v>0</v>
      </c>
      <c r="AF47" s="31">
        <f>Option3!AF$87*conv_2026*AF$7</f>
        <v>0</v>
      </c>
      <c r="AG47" s="31">
        <f>Option3!AG$87*conv_2026*AG$7</f>
        <v>0</v>
      </c>
    </row>
    <row r="48" spans="1:33" s="2" customFormat="1" x14ac:dyDescent="0.2">
      <c r="A48" s="138" t="str">
        <f t="shared" si="10"/>
        <v>Option 3</v>
      </c>
      <c r="B48" s="138"/>
      <c r="C48" s="58" t="str">
        <f>Option3!C$88</f>
        <v>Risk mitigated</v>
      </c>
      <c r="D48" s="38" t="str">
        <f t="shared" si="11"/>
        <v>Option 3Risk mitigated</v>
      </c>
      <c r="E48" s="1"/>
      <c r="F48" s="97">
        <f>SUMPRODUCT($H48:$AG48, $H$5:$AG$5)</f>
        <v>658177338.3285898</v>
      </c>
      <c r="G48" s="229">
        <f t="shared" si="12"/>
        <v>46203</v>
      </c>
      <c r="H48" s="31"/>
      <c r="I48" s="31">
        <f>Option3!I$88*conv_2026*I$7</f>
        <v>0</v>
      </c>
      <c r="J48" s="31">
        <f>Option3!J$88*conv_2026*J$7</f>
        <v>8979817.7497455459</v>
      </c>
      <c r="K48" s="31">
        <f>Option3!K$88*conv_2026*K$7</f>
        <v>12482069.036676414</v>
      </c>
      <c r="L48" s="31">
        <f>Option3!L$88*conv_2026*L$7</f>
        <v>15399534.99980554</v>
      </c>
      <c r="M48" s="31">
        <f>Option3!M$88*conv_2026*M$7</f>
        <v>20548951.395403404</v>
      </c>
      <c r="N48" s="31">
        <f>Option3!N$88*conv_2026*N$7</f>
        <v>28598818.277189873</v>
      </c>
      <c r="O48" s="31">
        <f>Option3!O$88*conv_2026*O$7</f>
        <v>41103245.446800493</v>
      </c>
      <c r="P48" s="31">
        <f>Option3!P$88*conv_2026*P$7</f>
        <v>54450787.891528837</v>
      </c>
      <c r="Q48" s="31">
        <f>Option3!Q$88*conv_2026*Q$7</f>
        <v>68089085.389400631</v>
      </c>
      <c r="R48" s="31">
        <f>Option3!R$88*conv_2026*R$7</f>
        <v>68089085.389400631</v>
      </c>
      <c r="S48" s="31">
        <f>Option3!S$88*conv_2026*S$7</f>
        <v>68089085.389400631</v>
      </c>
      <c r="T48" s="31">
        <f>Option3!T$88*conv_2026*T$7</f>
        <v>68089085.389400631</v>
      </c>
      <c r="U48" s="31">
        <f>Option3!U$88*conv_2026*U$7</f>
        <v>68089085.389400631</v>
      </c>
      <c r="V48" s="31">
        <f>Option3!V$88*conv_2026*V$7</f>
        <v>68089085.389400631</v>
      </c>
      <c r="W48" s="31">
        <f>Option3!W$88*conv_2026*W$7</f>
        <v>68089085.389400631</v>
      </c>
      <c r="X48" s="31">
        <f>Option3!X$88*conv_2026*X$7</f>
        <v>68089085.389400631</v>
      </c>
      <c r="Y48" s="31">
        <f>Option3!Y$88*conv_2026*Y$7</f>
        <v>68089085.389400631</v>
      </c>
      <c r="Z48" s="31">
        <f>Option3!Z$88*conv_2026*Z$7</f>
        <v>68089085.389400631</v>
      </c>
      <c r="AA48" s="31">
        <f>Option3!AA$88*conv_2026*AA$7</f>
        <v>68089085.389400631</v>
      </c>
      <c r="AB48" s="31">
        <f>Option3!AB$88*conv_2026*AB$7</f>
        <v>68089085.389400631</v>
      </c>
      <c r="AC48" s="31">
        <f>Option3!AC$88*conv_2026*AC$7</f>
        <v>0</v>
      </c>
      <c r="AD48" s="31">
        <f>Option3!AD$88*conv_2026*AD$7</f>
        <v>0</v>
      </c>
      <c r="AE48" s="31">
        <f>Option3!AE$88*conv_2026*AE$7</f>
        <v>0</v>
      </c>
      <c r="AF48" s="31">
        <f>Option3!AF$88*conv_2026*AF$7</f>
        <v>0</v>
      </c>
      <c r="AG48" s="31">
        <f>Option3!AG$88*conv_2026*AG$7</f>
        <v>0</v>
      </c>
    </row>
    <row r="49" spans="1:33" s="2" customFormat="1" x14ac:dyDescent="0.2">
      <c r="A49" s="138" t="str">
        <f t="shared" si="10"/>
        <v>Option 3</v>
      </c>
      <c r="B49" s="138"/>
      <c r="C49" s="58" t="str">
        <f>Option3!C$89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9">
        <f t="shared" si="12"/>
        <v>46203</v>
      </c>
      <c r="H49" s="31"/>
      <c r="I49" s="31">
        <f>Option3!I$89*conv_2026*I$7</f>
        <v>0</v>
      </c>
      <c r="J49" s="31">
        <f>Option3!J$89*conv_2026*J$7</f>
        <v>0</v>
      </c>
      <c r="K49" s="31">
        <f>Option3!K$89*conv_2026*K$7</f>
        <v>0</v>
      </c>
      <c r="L49" s="31">
        <f>Option3!L$89*conv_2026*L$7</f>
        <v>0</v>
      </c>
      <c r="M49" s="31">
        <f>Option3!M$89*conv_2026*M$7</f>
        <v>0</v>
      </c>
      <c r="N49" s="31">
        <f>Option3!N$89*conv_2026*N$7</f>
        <v>0</v>
      </c>
      <c r="O49" s="31">
        <f>Option3!O$89*conv_2026*O$7</f>
        <v>0</v>
      </c>
      <c r="P49" s="31">
        <f>Option3!P$89*conv_2026*P$7</f>
        <v>0</v>
      </c>
      <c r="Q49" s="31">
        <f>Option3!Q$89*conv_2026*Q$7</f>
        <v>0</v>
      </c>
      <c r="R49" s="31">
        <f>Option3!R$89*conv_2026*R$7</f>
        <v>0</v>
      </c>
      <c r="S49" s="31">
        <f>Option3!S$89*conv_2026*S$7</f>
        <v>0</v>
      </c>
      <c r="T49" s="31">
        <f>Option3!T$89*conv_2026*T$7</f>
        <v>0</v>
      </c>
      <c r="U49" s="31">
        <f>Option3!U$89*conv_2026*U$7</f>
        <v>0</v>
      </c>
      <c r="V49" s="31">
        <f>Option3!V$89*conv_2026*V$7</f>
        <v>0</v>
      </c>
      <c r="W49" s="31">
        <f>Option3!W$89*conv_2026*W$7</f>
        <v>0</v>
      </c>
      <c r="X49" s="31">
        <f>Option3!X$89*conv_2026*X$7</f>
        <v>0</v>
      </c>
      <c r="Y49" s="31">
        <f>Option3!Y$89*conv_2026*Y$7</f>
        <v>0</v>
      </c>
      <c r="Z49" s="31">
        <f>Option3!Z$89*conv_2026*Z$7</f>
        <v>0</v>
      </c>
      <c r="AA49" s="31">
        <f>Option3!AA$89*conv_2026*AA$7</f>
        <v>0</v>
      </c>
      <c r="AB49" s="31">
        <f>Option3!AB$89*conv_2026*AB$7</f>
        <v>0</v>
      </c>
      <c r="AC49" s="31">
        <f>Option3!AC$89*conv_2026*AC$7</f>
        <v>0</v>
      </c>
      <c r="AD49" s="31">
        <f>Option3!AD$89*conv_2026*AD$7</f>
        <v>0</v>
      </c>
      <c r="AE49" s="31">
        <f>Option3!AE$89*conv_2026*AE$7</f>
        <v>0</v>
      </c>
      <c r="AF49" s="31">
        <f>Option3!AF$89*conv_2026*AF$7</f>
        <v>0</v>
      </c>
      <c r="AG49" s="31">
        <f>Option3!AG$89*conv_2026*AG$7</f>
        <v>0</v>
      </c>
    </row>
    <row r="50" spans="1:33" s="2" customFormat="1" x14ac:dyDescent="0.2">
      <c r="A50" s="138" t="str">
        <f t="shared" si="10"/>
        <v>Option 3</v>
      </c>
      <c r="B50" s="138"/>
      <c r="C50" s="125" t="str">
        <f>Option3!C91</f>
        <v>Net benefits</v>
      </c>
      <c r="D50" s="109" t="str">
        <f t="shared" si="11"/>
        <v>Option 3Net benefits</v>
      </c>
      <c r="E50" s="110"/>
      <c r="F50" s="146"/>
      <c r="G50" s="231">
        <f t="shared" si="12"/>
        <v>46203</v>
      </c>
      <c r="H50" s="52"/>
      <c r="I50" s="52">
        <f t="shared" ref="I50:AB50" si="13">SUM(I46:I49)</f>
        <v>0</v>
      </c>
      <c r="J50" s="52">
        <f t="shared" si="13"/>
        <v>7658715.791319795</v>
      </c>
      <c r="K50" s="52">
        <f t="shared" si="13"/>
        <v>10266885.885240344</v>
      </c>
      <c r="L50" s="52">
        <f t="shared" si="13"/>
        <v>12094364.044865724</v>
      </c>
      <c r="M50" s="52">
        <f t="shared" si="13"/>
        <v>15333181.920973426</v>
      </c>
      <c r="N50" s="52">
        <f t="shared" si="13"/>
        <v>22333481.467763294</v>
      </c>
      <c r="O50" s="52">
        <f t="shared" si="13"/>
        <v>34837908.637373917</v>
      </c>
      <c r="P50" s="52">
        <f t="shared" si="13"/>
        <v>48185451.082102261</v>
      </c>
      <c r="Q50" s="52">
        <f t="shared" si="13"/>
        <v>61823748.579974055</v>
      </c>
      <c r="R50" s="52">
        <f t="shared" si="13"/>
        <v>61823748.579974055</v>
      </c>
      <c r="S50" s="52">
        <f t="shared" si="13"/>
        <v>61329060.892433293</v>
      </c>
      <c r="T50" s="52">
        <f t="shared" si="13"/>
        <v>61329060.892433293</v>
      </c>
      <c r="U50" s="52">
        <f t="shared" si="13"/>
        <v>61329060.892433293</v>
      </c>
      <c r="V50" s="52">
        <f t="shared" si="13"/>
        <v>61329060.892433293</v>
      </c>
      <c r="W50" s="52">
        <f t="shared" si="13"/>
        <v>61329060.892433293</v>
      </c>
      <c r="X50" s="52">
        <f t="shared" si="13"/>
        <v>61329060.892433293</v>
      </c>
      <c r="Y50" s="52">
        <f t="shared" si="13"/>
        <v>61329060.892433293</v>
      </c>
      <c r="Z50" s="52">
        <f t="shared" si="13"/>
        <v>61329060.892433293</v>
      </c>
      <c r="AA50" s="52">
        <f t="shared" si="13"/>
        <v>61329060.892433293</v>
      </c>
      <c r="AB50" s="52">
        <f t="shared" si="13"/>
        <v>61329060.892433293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8" t="str">
        <f t="shared" si="10"/>
        <v>Option 3</v>
      </c>
      <c r="B51" s="138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582713625.45657206</v>
      </c>
      <c r="G51" s="229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8" t="str">
        <f t="shared" si="10"/>
        <v>Option 3</v>
      </c>
      <c r="B52" s="138"/>
      <c r="C52" s="8" t="s">
        <v>189</v>
      </c>
      <c r="D52" s="38" t="str">
        <f t="shared" si="11"/>
        <v>Option 3PV of costs</v>
      </c>
      <c r="E52" s="1"/>
      <c r="F52" s="108">
        <f>SUM(F46:F47)</f>
        <v>-75463712.872017607</v>
      </c>
      <c r="G52" s="229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8" t="str">
        <f t="shared" si="10"/>
        <v>Option 3</v>
      </c>
      <c r="B53" s="138"/>
      <c r="C53" s="8" t="s">
        <v>190</v>
      </c>
      <c r="D53" s="38" t="str">
        <f t="shared" si="11"/>
        <v>Option 3PV of benefits</v>
      </c>
      <c r="E53" s="1"/>
      <c r="F53" s="108">
        <f>SUM(F48:F49)</f>
        <v>658177338.3285898</v>
      </c>
      <c r="G53" s="229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8"/>
      <c r="B54" s="138"/>
      <c r="C54" s="1"/>
      <c r="D54" s="38"/>
      <c r="E54" s="1"/>
      <c r="F54" s="108"/>
      <c r="G54" s="232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5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5" customFormat="1" x14ac:dyDescent="0.2">
      <c r="A56" s="273" t="str">
        <f>A57</f>
        <v>Option 4</v>
      </c>
      <c r="B56" s="273"/>
      <c r="C56" s="273" t="s">
        <v>124</v>
      </c>
      <c r="D56" s="274" t="str">
        <f>A56&amp;C56</f>
        <v>Option 4Energy at risk value</v>
      </c>
      <c r="F56" s="97">
        <f>SUMPRODUCT($H56:$AG56, $H$5:$AG$5)</f>
        <v>60356344.060226016</v>
      </c>
      <c r="G56" s="276">
        <f>output_dollars</f>
        <v>46203</v>
      </c>
      <c r="H56" s="277"/>
      <c r="I56" s="31">
        <f>Option4!I$29*conv_2026</f>
        <v>5971422.7870944589</v>
      </c>
      <c r="J56" s="31">
        <f>Option4!J$29*conv_2026</f>
        <v>1067551.7835831596</v>
      </c>
      <c r="K56" s="31">
        <f>Option4!K$29*conv_2026</f>
        <v>2525569.3814298278</v>
      </c>
      <c r="L56" s="31">
        <f>Option4!L$29*conv_2026</f>
        <v>1076679.835106638</v>
      </c>
      <c r="M56" s="31">
        <f>Option4!M$29*conv_2026</f>
        <v>1083595.8838521875</v>
      </c>
      <c r="N56" s="31">
        <f>Option4!N$29*conv_2026</f>
        <v>1637478.0140204504</v>
      </c>
      <c r="O56" s="31">
        <f>Option4!O$29*conv_2026</f>
        <v>2788401.6714708908</v>
      </c>
      <c r="P56" s="31">
        <f>Option4!P$29*conv_2026</f>
        <v>4331901.7556472616</v>
      </c>
      <c r="Q56" s="31">
        <f>Option4!Q$29*conv_2026</f>
        <v>4331901.7556472616</v>
      </c>
      <c r="R56" s="31">
        <f>Option4!R$29*conv_2026</f>
        <v>4331901.7556472616</v>
      </c>
      <c r="S56" s="31">
        <f>Option4!S$29*conv_2026</f>
        <v>4331901.7556472616</v>
      </c>
      <c r="T56" s="31">
        <f>Option4!T$29*conv_2026</f>
        <v>4331901.7556472616</v>
      </c>
      <c r="U56" s="31">
        <f>Option4!U$29*conv_2026</f>
        <v>4331901.7556472616</v>
      </c>
      <c r="V56" s="31">
        <f>Option4!V$29*conv_2026</f>
        <v>4331901.7556472616</v>
      </c>
      <c r="W56" s="31">
        <f>Option4!W$29*conv_2026</f>
        <v>4331901.7556472616</v>
      </c>
      <c r="X56" s="31">
        <f>Option4!X$29*conv_2026</f>
        <v>4331901.7556472616</v>
      </c>
      <c r="Y56" s="31">
        <f>Option4!Y$29*conv_2026</f>
        <v>4331901.7556472616</v>
      </c>
      <c r="Z56" s="31">
        <f>Option4!Z$29*conv_2026</f>
        <v>4331901.7556472616</v>
      </c>
      <c r="AA56" s="31">
        <f>Option4!AA$29*conv_2026</f>
        <v>4331901.7556472616</v>
      </c>
      <c r="AB56" s="31">
        <f>Option4!AB$29*conv_2026</f>
        <v>4331901.7556472616</v>
      </c>
      <c r="AC56" s="31">
        <f>Option4!AC$29*conv_2026</f>
        <v>4331901.7556472616</v>
      </c>
      <c r="AD56" s="31">
        <f>Option4!AD$29*conv_2026</f>
        <v>4331901.7556472616</v>
      </c>
      <c r="AE56" s="31">
        <f>Option4!AE$29*conv_2026</f>
        <v>4331901.7556472616</v>
      </c>
      <c r="AF56" s="31">
        <f>Option4!AF$29*conv_2026</f>
        <v>4331901.7556472616</v>
      </c>
      <c r="AG56" s="31">
        <f>Option4!AG$29*conv_2026</f>
        <v>4331901.7556472616</v>
      </c>
    </row>
    <row r="57" spans="1:33" s="2" customFormat="1" x14ac:dyDescent="0.2">
      <c r="A57" s="138" t="str">
        <f>Data!B12</f>
        <v>Option 4</v>
      </c>
      <c r="B57" s="138"/>
      <c r="C57" s="58" t="str">
        <f>Option4!C$67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-117018719.12593871</v>
      </c>
      <c r="G57" s="229">
        <f>output_dollars</f>
        <v>46203</v>
      </c>
      <c r="H57" s="31"/>
      <c r="I57" s="31">
        <f>SUM(Option4!I$68:I$71)*conv_2026*I$7</f>
        <v>-21794677.924089633</v>
      </c>
      <c r="J57" s="31">
        <f>SUM(Option4!J$68:J$71)*conv_2026*J$7</f>
        <v>-25566337.40262166</v>
      </c>
      <c r="K57" s="31">
        <f>SUM(Option4!K$68:K$71)*conv_2026*K$7</f>
        <v>-44814268.777336001</v>
      </c>
      <c r="L57" s="31">
        <f>SUM(Option4!L$68:L$71)*conv_2026*L$7</f>
        <v>-24618250.339166611</v>
      </c>
      <c r="M57" s="31">
        <f>SUM(Option4!M$68:M$71)*conv_2026*M$7</f>
        <v>0</v>
      </c>
      <c r="N57" s="31">
        <f>SUM(Option4!N$68:N$71)*conv_2026*N$7</f>
        <v>0</v>
      </c>
      <c r="O57" s="31">
        <f>SUM(Option4!O$68:O$71)*conv_2026*O$7</f>
        <v>0</v>
      </c>
      <c r="P57" s="31">
        <f>SUM(Option4!P$68:P$71)*conv_2026*P$7</f>
        <v>0</v>
      </c>
      <c r="Q57" s="31">
        <f>SUM(Option4!Q$68:Q$71)*conv_2026*Q$7</f>
        <v>0</v>
      </c>
      <c r="R57" s="31">
        <f>SUM(Option4!R$68:R$71)*conv_2026*R$7</f>
        <v>-11603205.364257392</v>
      </c>
      <c r="S57" s="31">
        <f>SUM(Option4!S$68:S$71)*conv_2026*S$7</f>
        <v>0</v>
      </c>
      <c r="T57" s="31">
        <f>SUM(Option4!T$68:T$71)*conv_2026*T$7</f>
        <v>0</v>
      </c>
      <c r="U57" s="31">
        <f>SUM(Option4!U$68:U$71)*conv_2026*U$7</f>
        <v>0</v>
      </c>
      <c r="V57" s="31">
        <f>SUM(Option4!V$68:V$71)*conv_2026*V$7</f>
        <v>0</v>
      </c>
      <c r="W57" s="31">
        <f>SUM(Option4!W$68:W$71)*conv_2026*W$7</f>
        <v>0</v>
      </c>
      <c r="X57" s="31">
        <f>SUM(Option4!X$68:X$71)*conv_2026*X$7</f>
        <v>0</v>
      </c>
      <c r="Y57" s="31">
        <f>SUM(Option4!Y$68:Y$71)*conv_2026*Y$7</f>
        <v>0</v>
      </c>
      <c r="Z57" s="31">
        <f>SUM(Option4!Z$68:Z$71)*conv_2026*Z$7</f>
        <v>0</v>
      </c>
      <c r="AA57" s="31">
        <f>SUM(Option4!AA$68:AA$71)*conv_2026*AA$7</f>
        <v>0</v>
      </c>
      <c r="AB57" s="31">
        <f>SUM(Option4!AB$68:AB$71)*conv_2026*AB$7</f>
        <v>0</v>
      </c>
      <c r="AC57" s="31">
        <f>SUM(Option4!AC$68:AC$71)*conv_2026*AC$7</f>
        <v>0</v>
      </c>
      <c r="AD57" s="31">
        <f>SUM(Option4!AD$68:AD$71)*conv_2026*AD$7</f>
        <v>0</v>
      </c>
      <c r="AE57" s="31">
        <f>SUM(Option4!AE$68:AE$71)*conv_2026*AE$7</f>
        <v>0</v>
      </c>
      <c r="AF57" s="31">
        <f>SUM(Option4!AF$68:AF$71)*conv_2026*AF$7</f>
        <v>0</v>
      </c>
      <c r="AG57" s="31">
        <f>SUM(Option4!AG$68:AG$71)*conv_2026*AG$7</f>
        <v>0</v>
      </c>
    </row>
    <row r="58" spans="1:33" s="2" customFormat="1" x14ac:dyDescent="0.2">
      <c r="A58" s="138" t="str">
        <f t="shared" ref="A58:A67" si="15">A57</f>
        <v>Option 4</v>
      </c>
      <c r="B58" s="138"/>
      <c r="C58" s="58" t="str">
        <f>'Option1 (base case)'!C$37</f>
        <v>Total risk cost</v>
      </c>
      <c r="D58" s="38" t="str">
        <f t="shared" si="14"/>
        <v>Option 4Total risk cost</v>
      </c>
      <c r="E58" s="1"/>
      <c r="F58" s="97">
        <f>SUMPRODUCT($H58:$AG58, $H$5:$AG$5)</f>
        <v>50356238.826920532</v>
      </c>
      <c r="G58" s="229">
        <f>output_dollars</f>
        <v>46203</v>
      </c>
      <c r="H58" s="31"/>
      <c r="I58" s="31">
        <f>Option4!I$37*conv_2026*I$7</f>
        <v>5971422.7870944589</v>
      </c>
      <c r="J58" s="31">
        <f>Option4!J$37*conv_2026*J$7</f>
        <v>1067551.7835831596</v>
      </c>
      <c r="K58" s="31">
        <f>Option4!K$37*conv_2026*K$7</f>
        <v>2525569.3814298278</v>
      </c>
      <c r="L58" s="31">
        <f>Option4!L$37*conv_2026*L$7</f>
        <v>1076679.835106638</v>
      </c>
      <c r="M58" s="31">
        <f>Option4!M$37*conv_2026*M$7</f>
        <v>1083595.8838521875</v>
      </c>
      <c r="N58" s="31">
        <f>Option4!N$37*conv_2026*N$7</f>
        <v>1637478.0140204504</v>
      </c>
      <c r="O58" s="31">
        <f>Option4!O$37*conv_2026*O$7</f>
        <v>2788401.6714708908</v>
      </c>
      <c r="P58" s="31">
        <f>Option4!P$37*conv_2026*P$7</f>
        <v>4331901.7556472616</v>
      </c>
      <c r="Q58" s="31">
        <f>Option4!Q$37*conv_2026*Q$7</f>
        <v>4331901.7556472616</v>
      </c>
      <c r="R58" s="31">
        <f>Option4!R$37*conv_2026*R$7</f>
        <v>4331901.7556472616</v>
      </c>
      <c r="S58" s="31">
        <f>Option4!S$37*conv_2026*S$7</f>
        <v>4331901.7556472616</v>
      </c>
      <c r="T58" s="31">
        <f>Option4!T$37*conv_2026*T$7</f>
        <v>4331901.7556472616</v>
      </c>
      <c r="U58" s="31">
        <f>Option4!U$37*conv_2026*U$7</f>
        <v>4331901.7556472616</v>
      </c>
      <c r="V58" s="31">
        <f>Option4!V$37*conv_2026*V$7</f>
        <v>4331901.7556472616</v>
      </c>
      <c r="W58" s="31">
        <f>Option4!W$37*conv_2026*W$7</f>
        <v>4331901.7556472616</v>
      </c>
      <c r="X58" s="31">
        <f>Option4!X$37*conv_2026*X$7</f>
        <v>4331901.7556472616</v>
      </c>
      <c r="Y58" s="31">
        <f>Option4!Y$37*conv_2026*Y$7</f>
        <v>4331901.7556472616</v>
      </c>
      <c r="Z58" s="31">
        <f>Option4!Z$37*conv_2026*Z$7</f>
        <v>4331901.7556472616</v>
      </c>
      <c r="AA58" s="31">
        <f>Option4!AA$37*conv_2026*AA$7</f>
        <v>4331901.7556472616</v>
      </c>
      <c r="AB58" s="31">
        <f>Option4!AB$37*conv_2026*AB$7</f>
        <v>4331901.7556472616</v>
      </c>
      <c r="AC58" s="31">
        <f>Option4!AC$37*conv_2026*AC$7</f>
        <v>0</v>
      </c>
      <c r="AD58" s="31">
        <f>Option4!AD$37*conv_2026*AD$7</f>
        <v>0</v>
      </c>
      <c r="AE58" s="31">
        <f>Option4!AE$37*conv_2026*AE$7</f>
        <v>0</v>
      </c>
      <c r="AF58" s="31">
        <f>Option4!AF$37*conv_2026*AF$7</f>
        <v>0</v>
      </c>
      <c r="AG58" s="31">
        <f>Option4!AG$37*conv_2026*AG$7</f>
        <v>0</v>
      </c>
    </row>
    <row r="59" spans="1:33" s="2" customFormat="1" x14ac:dyDescent="0.2">
      <c r="A59" s="138" t="str">
        <f t="shared" si="15"/>
        <v>Option 4</v>
      </c>
      <c r="B59" s="138"/>
      <c r="C59" s="75"/>
      <c r="D59" s="38" t="str">
        <f t="shared" si="14"/>
        <v>Option 4</v>
      </c>
      <c r="E59" s="1"/>
      <c r="F59"/>
      <c r="G59" s="23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8" t="str">
        <f t="shared" si="15"/>
        <v>Option 4</v>
      </c>
      <c r="B60" s="138"/>
      <c r="C60" s="58" t="str">
        <f>Option4!C$86</f>
        <v>Annualised capex</v>
      </c>
      <c r="D60" s="38" t="str">
        <f t="shared" si="14"/>
        <v>Option 4Annualised capex</v>
      </c>
      <c r="E60" s="1"/>
      <c r="F60" s="97">
        <f>SUMPRODUCT($H60:$AG60, $H$5:$AG$5)</f>
        <v>-62575776.748095021</v>
      </c>
      <c r="G60" s="229">
        <f t="shared" ref="G60:G67" si="16">output_dollars</f>
        <v>46203</v>
      </c>
      <c r="H60" s="31"/>
      <c r="I60" s="31">
        <f>Option4!I$86*conv_2026*I$7</f>
        <v>0</v>
      </c>
      <c r="J60" s="31">
        <f>Option4!J$86*conv_2026*J$7</f>
        <v>-929187.96871209214</v>
      </c>
      <c r="K60" s="31">
        <f>Option4!K$86*conv_2026*K$7</f>
        <v>-2019175.7722158367</v>
      </c>
      <c r="L60" s="31">
        <f>Option4!L$86*conv_2026*L$7</f>
        <v>-3929774.2917059986</v>
      </c>
      <c r="M60" s="31">
        <f>Option4!M$86*conv_2026*M$7</f>
        <v>-4979341.6267025992</v>
      </c>
      <c r="N60" s="31">
        <f>Option4!N$86*conv_2026*N$7</f>
        <v>-4979341.6267025992</v>
      </c>
      <c r="O60" s="31">
        <f>Option4!O$86*conv_2026*O$7</f>
        <v>-4979341.6267025992</v>
      </c>
      <c r="P60" s="31">
        <f>Option4!P$86*conv_2026*P$7</f>
        <v>-4979341.6267025992</v>
      </c>
      <c r="Q60" s="31">
        <f>Option4!Q$86*conv_2026*Q$7</f>
        <v>-4979341.6267025992</v>
      </c>
      <c r="R60" s="31">
        <f>Option4!R$86*conv_2026*R$7</f>
        <v>-4979341.6267025992</v>
      </c>
      <c r="S60" s="31">
        <f>Option4!S$86*conv_2026*S$7</f>
        <v>-5474029.3142433614</v>
      </c>
      <c r="T60" s="31">
        <f>Option4!T$86*conv_2026*T$7</f>
        <v>-5474029.3142433614</v>
      </c>
      <c r="U60" s="31">
        <f>Option4!U$86*conv_2026*U$7</f>
        <v>-5474029.3142433614</v>
      </c>
      <c r="V60" s="31">
        <f>Option4!V$86*conv_2026*V$7</f>
        <v>-5474029.3142433614</v>
      </c>
      <c r="W60" s="31">
        <f>Option4!W$86*conv_2026*W$7</f>
        <v>-5474029.3142433614</v>
      </c>
      <c r="X60" s="31">
        <f>Option4!X$86*conv_2026*X$7</f>
        <v>-5474029.3142433614</v>
      </c>
      <c r="Y60" s="31">
        <f>Option4!Y$86*conv_2026*Y$7</f>
        <v>-5474029.3142433614</v>
      </c>
      <c r="Z60" s="31">
        <f>Option4!Z$86*conv_2026*Z$7</f>
        <v>-5474029.3142433614</v>
      </c>
      <c r="AA60" s="31">
        <f>Option4!AA$86*conv_2026*AA$7</f>
        <v>-5474029.3142433614</v>
      </c>
      <c r="AB60" s="31">
        <f>Option4!AB$86*conv_2026*AB$7</f>
        <v>-5474029.3142433614</v>
      </c>
      <c r="AC60" s="31">
        <f>Option4!AC$86*conv_2026*AC$7</f>
        <v>0</v>
      </c>
      <c r="AD60" s="31">
        <f>Option4!AD$86*conv_2026*AD$7</f>
        <v>0</v>
      </c>
      <c r="AE60" s="31">
        <f>Option4!AE$86*conv_2026*AE$7</f>
        <v>0</v>
      </c>
      <c r="AF60" s="31">
        <f>Option4!AF$86*conv_2026*AF$7</f>
        <v>0</v>
      </c>
      <c r="AG60" s="31">
        <f>Option4!AG$86*conv_2026*AG$7</f>
        <v>0</v>
      </c>
    </row>
    <row r="61" spans="1:33" s="2" customFormat="1" x14ac:dyDescent="0.2">
      <c r="A61" s="138" t="str">
        <f t="shared" si="15"/>
        <v>Option 4</v>
      </c>
      <c r="B61" s="138"/>
      <c r="C61" s="58" t="str">
        <f>Option4!C$87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9">
        <f t="shared" si="16"/>
        <v>46203</v>
      </c>
      <c r="H61" s="31"/>
      <c r="I61" s="31">
        <f>Option4!I$87*conv_2026*I$7</f>
        <v>0</v>
      </c>
      <c r="J61" s="31">
        <f>Option4!J$87*conv_2026*J$7</f>
        <v>0</v>
      </c>
      <c r="K61" s="31">
        <f>Option4!K$87*conv_2026*K$7</f>
        <v>0</v>
      </c>
      <c r="L61" s="31">
        <f>Option4!L$87*conv_2026*L$7</f>
        <v>0</v>
      </c>
      <c r="M61" s="31">
        <f>Option4!M$87*conv_2026*M$7</f>
        <v>0</v>
      </c>
      <c r="N61" s="31">
        <f>Option4!N$87*conv_2026*N$7</f>
        <v>0</v>
      </c>
      <c r="O61" s="31">
        <f>Option4!O$87*conv_2026*O$7</f>
        <v>0</v>
      </c>
      <c r="P61" s="31">
        <f>Option4!P$87*conv_2026*P$7</f>
        <v>0</v>
      </c>
      <c r="Q61" s="31">
        <f>Option4!Q$87*conv_2026*Q$7</f>
        <v>0</v>
      </c>
      <c r="R61" s="31">
        <f>Option4!R$87*conv_2026*R$7</f>
        <v>0</v>
      </c>
      <c r="S61" s="31">
        <f>Option4!S$87*conv_2026*S$7</f>
        <v>0</v>
      </c>
      <c r="T61" s="31">
        <f>Option4!T$87*conv_2026*T$7</f>
        <v>0</v>
      </c>
      <c r="U61" s="31">
        <f>Option4!U$87*conv_2026*U$7</f>
        <v>0</v>
      </c>
      <c r="V61" s="31">
        <f>Option4!V$87*conv_2026*V$7</f>
        <v>0</v>
      </c>
      <c r="W61" s="31">
        <f>Option4!W$87*conv_2026*W$7</f>
        <v>0</v>
      </c>
      <c r="X61" s="31">
        <f>Option4!X$87*conv_2026*X$7</f>
        <v>0</v>
      </c>
      <c r="Y61" s="31">
        <f>Option4!Y$87*conv_2026*Y$7</f>
        <v>0</v>
      </c>
      <c r="Z61" s="31">
        <f>Option4!Z$87*conv_2026*Z$7</f>
        <v>0</v>
      </c>
      <c r="AA61" s="31">
        <f>Option4!AA$87*conv_2026*AA$7</f>
        <v>0</v>
      </c>
      <c r="AB61" s="31">
        <f>Option4!AB$87*conv_2026*AB$7</f>
        <v>0</v>
      </c>
      <c r="AC61" s="31">
        <f>Option4!AC$87*conv_2026*AC$7</f>
        <v>0</v>
      </c>
      <c r="AD61" s="31">
        <f>Option4!AD$87*conv_2026*AD$7</f>
        <v>0</v>
      </c>
      <c r="AE61" s="31">
        <f>Option4!AE$87*conv_2026*AE$7</f>
        <v>0</v>
      </c>
      <c r="AF61" s="31">
        <f>Option4!AF$87*conv_2026*AF$7</f>
        <v>0</v>
      </c>
      <c r="AG61" s="31">
        <f>Option4!AG$87*conv_2026*AG$7</f>
        <v>0</v>
      </c>
    </row>
    <row r="62" spans="1:33" s="2" customFormat="1" x14ac:dyDescent="0.2">
      <c r="A62" s="138" t="str">
        <f t="shared" si="15"/>
        <v>Option 4</v>
      </c>
      <c r="B62" s="138"/>
      <c r="C62" s="58" t="str">
        <f>Option4!C$88</f>
        <v>Risk mitigated</v>
      </c>
      <c r="D62" s="38" t="str">
        <f t="shared" si="14"/>
        <v>Option 4Risk mitigated</v>
      </c>
      <c r="E62" s="1"/>
      <c r="F62" s="97">
        <f>SUMPRODUCT($H62:$AG62, $H$5:$AG$5)</f>
        <v>625640453.78395748</v>
      </c>
      <c r="G62" s="229">
        <f t="shared" si="16"/>
        <v>46203</v>
      </c>
      <c r="H62" s="31"/>
      <c r="I62" s="31">
        <f>Option4!I$88*conv_2026*I$7</f>
        <v>0</v>
      </c>
      <c r="J62" s="31">
        <f>Option4!J$88*conv_2026*J$7</f>
        <v>8979817.7497455459</v>
      </c>
      <c r="K62" s="31">
        <f>Option4!K$88*conv_2026*K$7</f>
        <v>10630611.3239593</v>
      </c>
      <c r="L62" s="31">
        <f>Option4!L$88*conv_2026*L$7</f>
        <v>15330577.802927578</v>
      </c>
      <c r="M62" s="31">
        <f>Option4!M$88*conv_2026*M$7</f>
        <v>19951302.701750956</v>
      </c>
      <c r="N62" s="31">
        <f>Option4!N$88*conv_2026*N$7</f>
        <v>27278725.861774016</v>
      </c>
      <c r="O62" s="31">
        <f>Option4!O$88*conv_2026*O$7</f>
        <v>38908506.887227185</v>
      </c>
      <c r="P62" s="31">
        <f>Option4!P$88*conv_2026*P$7</f>
        <v>51122764.302621625</v>
      </c>
      <c r="Q62" s="31">
        <f>Option4!Q$88*conv_2026*Q$7</f>
        <v>64761061.800493419</v>
      </c>
      <c r="R62" s="31">
        <f>Option4!R$88*conv_2026*R$7</f>
        <v>64761061.800493419</v>
      </c>
      <c r="S62" s="31">
        <f>Option4!S$88*conv_2026*S$7</f>
        <v>64761061.800493419</v>
      </c>
      <c r="T62" s="31">
        <f>Option4!T$88*conv_2026*T$7</f>
        <v>64761061.800493419</v>
      </c>
      <c r="U62" s="31">
        <f>Option4!U$88*conv_2026*U$7</f>
        <v>64761061.800493419</v>
      </c>
      <c r="V62" s="31">
        <f>Option4!V$88*conv_2026*V$7</f>
        <v>64761061.800493419</v>
      </c>
      <c r="W62" s="31">
        <f>Option4!W$88*conv_2026*W$7</f>
        <v>64761061.800493419</v>
      </c>
      <c r="X62" s="31">
        <f>Option4!X$88*conv_2026*X$7</f>
        <v>64761061.800493419</v>
      </c>
      <c r="Y62" s="31">
        <f>Option4!Y$88*conv_2026*Y$7</f>
        <v>64761061.800493419</v>
      </c>
      <c r="Z62" s="31">
        <f>Option4!Z$88*conv_2026*Z$7</f>
        <v>64761061.800493419</v>
      </c>
      <c r="AA62" s="31">
        <f>Option4!AA$88*conv_2026*AA$7</f>
        <v>64761061.800493419</v>
      </c>
      <c r="AB62" s="31">
        <f>Option4!AB$88*conv_2026*AB$7</f>
        <v>64761061.800493419</v>
      </c>
      <c r="AC62" s="31">
        <f>Option4!AC$88*conv_2026*AC$7</f>
        <v>0</v>
      </c>
      <c r="AD62" s="31">
        <f>Option4!AD$88*conv_2026*AD$7</f>
        <v>0</v>
      </c>
      <c r="AE62" s="31">
        <f>Option4!AE$88*conv_2026*AE$7</f>
        <v>0</v>
      </c>
      <c r="AF62" s="31">
        <f>Option4!AF$88*conv_2026*AF$7</f>
        <v>0</v>
      </c>
      <c r="AG62" s="31">
        <f>Option4!AG$88*conv_2026*AG$7</f>
        <v>0</v>
      </c>
    </row>
    <row r="63" spans="1:33" s="2" customFormat="1" x14ac:dyDescent="0.2">
      <c r="A63" s="138" t="str">
        <f t="shared" si="15"/>
        <v>Option 4</v>
      </c>
      <c r="B63" s="138"/>
      <c r="C63" s="58" t="str">
        <f>Option4!C$89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9">
        <f t="shared" si="16"/>
        <v>46203</v>
      </c>
      <c r="H63" s="31"/>
      <c r="I63" s="31">
        <f>Option4!I$89*conv_2026*I$7</f>
        <v>0</v>
      </c>
      <c r="J63" s="31">
        <f>Option4!J$89*conv_2026*J$7</f>
        <v>0</v>
      </c>
      <c r="K63" s="31">
        <f>Option4!K$89*conv_2026*K$7</f>
        <v>0</v>
      </c>
      <c r="L63" s="31">
        <f>Option4!L$89*conv_2026*L$7</f>
        <v>0</v>
      </c>
      <c r="M63" s="31">
        <f>Option4!M$89*conv_2026*M$7</f>
        <v>0</v>
      </c>
      <c r="N63" s="31">
        <f>Option4!N$89*conv_2026*N$7</f>
        <v>0</v>
      </c>
      <c r="O63" s="31">
        <f>Option4!O$89*conv_2026*O$7</f>
        <v>0</v>
      </c>
      <c r="P63" s="31">
        <f>Option4!P$89*conv_2026*P$7</f>
        <v>0</v>
      </c>
      <c r="Q63" s="31">
        <f>Option4!Q$89*conv_2026*Q$7</f>
        <v>0</v>
      </c>
      <c r="R63" s="31">
        <f>Option4!R$89*conv_2026*R$7</f>
        <v>0</v>
      </c>
      <c r="S63" s="31">
        <f>Option4!S$89*conv_2026*S$7</f>
        <v>0</v>
      </c>
      <c r="T63" s="31">
        <f>Option4!T$89*conv_2026*T$7</f>
        <v>0</v>
      </c>
      <c r="U63" s="31">
        <f>Option4!U$89*conv_2026*U$7</f>
        <v>0</v>
      </c>
      <c r="V63" s="31">
        <f>Option4!V$89*conv_2026*V$7</f>
        <v>0</v>
      </c>
      <c r="W63" s="31">
        <f>Option4!W$89*conv_2026*W$7</f>
        <v>0</v>
      </c>
      <c r="X63" s="31">
        <f>Option4!X$89*conv_2026*X$7</f>
        <v>0</v>
      </c>
      <c r="Y63" s="31">
        <f>Option4!Y$89*conv_2026*Y$7</f>
        <v>0</v>
      </c>
      <c r="Z63" s="31">
        <f>Option4!Z$89*conv_2026*Z$7</f>
        <v>0</v>
      </c>
      <c r="AA63" s="31">
        <f>Option4!AA$89*conv_2026*AA$7</f>
        <v>0</v>
      </c>
      <c r="AB63" s="31">
        <f>Option4!AB$89*conv_2026*AB$7</f>
        <v>0</v>
      </c>
      <c r="AC63" s="31">
        <f>Option4!AC$89*conv_2026*AC$7</f>
        <v>0</v>
      </c>
      <c r="AD63" s="31">
        <f>Option4!AD$89*conv_2026*AD$7</f>
        <v>0</v>
      </c>
      <c r="AE63" s="31">
        <f>Option4!AE$89*conv_2026*AE$7</f>
        <v>0</v>
      </c>
      <c r="AF63" s="31">
        <f>Option4!AF$89*conv_2026*AF$7</f>
        <v>0</v>
      </c>
      <c r="AG63" s="31">
        <f>Option4!AG$89*conv_2026*AG$7</f>
        <v>0</v>
      </c>
    </row>
    <row r="64" spans="1:33" s="2" customFormat="1" x14ac:dyDescent="0.2">
      <c r="A64" s="138" t="str">
        <f t="shared" si="15"/>
        <v>Option 4</v>
      </c>
      <c r="B64" s="138"/>
      <c r="C64" s="125" t="str">
        <f>Option4!C91</f>
        <v>Net benefits</v>
      </c>
      <c r="D64" s="109" t="str">
        <f t="shared" si="14"/>
        <v>Option 4Net benefits</v>
      </c>
      <c r="E64" s="110"/>
      <c r="F64" s="146"/>
      <c r="G64" s="231">
        <f t="shared" si="16"/>
        <v>46203</v>
      </c>
      <c r="H64" s="52"/>
      <c r="I64" s="52">
        <f t="shared" ref="I64:AB64" si="17">SUM(I60:I63)</f>
        <v>0</v>
      </c>
      <c r="J64" s="52">
        <f t="shared" si="17"/>
        <v>8050629.7810334535</v>
      </c>
      <c r="K64" s="52">
        <f t="shared" si="17"/>
        <v>8611435.5517434627</v>
      </c>
      <c r="L64" s="52">
        <f t="shared" si="17"/>
        <v>11400803.51122158</v>
      </c>
      <c r="M64" s="52">
        <f t="shared" si="17"/>
        <v>14971961.075048357</v>
      </c>
      <c r="N64" s="52">
        <f t="shared" si="17"/>
        <v>22299384.235071417</v>
      </c>
      <c r="O64" s="52">
        <f t="shared" si="17"/>
        <v>33929165.260524586</v>
      </c>
      <c r="P64" s="52">
        <f t="shared" si="17"/>
        <v>46143422.675919026</v>
      </c>
      <c r="Q64" s="52">
        <f t="shared" si="17"/>
        <v>59781720.17379082</v>
      </c>
      <c r="R64" s="52">
        <f t="shared" si="17"/>
        <v>59781720.17379082</v>
      </c>
      <c r="S64" s="52">
        <f t="shared" si="17"/>
        <v>59287032.486250058</v>
      </c>
      <c r="T64" s="52">
        <f t="shared" si="17"/>
        <v>59287032.486250058</v>
      </c>
      <c r="U64" s="52">
        <f t="shared" si="17"/>
        <v>59287032.486250058</v>
      </c>
      <c r="V64" s="52">
        <f t="shared" si="17"/>
        <v>59287032.486250058</v>
      </c>
      <c r="W64" s="52">
        <f t="shared" si="17"/>
        <v>59287032.486250058</v>
      </c>
      <c r="X64" s="52">
        <f t="shared" si="17"/>
        <v>59287032.486250058</v>
      </c>
      <c r="Y64" s="52">
        <f t="shared" si="17"/>
        <v>59287032.486250058</v>
      </c>
      <c r="Z64" s="52">
        <f t="shared" si="17"/>
        <v>59287032.486250058</v>
      </c>
      <c r="AA64" s="52">
        <f t="shared" si="17"/>
        <v>59287032.486250058</v>
      </c>
      <c r="AB64" s="52">
        <f t="shared" si="17"/>
        <v>59287032.486250058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8" t="str">
        <f t="shared" si="15"/>
        <v>Option 4</v>
      </c>
      <c r="B65" s="138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563064677.03586245</v>
      </c>
      <c r="G65" s="229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8" t="str">
        <f t="shared" si="15"/>
        <v>Option 4</v>
      </c>
      <c r="B66" s="138"/>
      <c r="C66" s="8" t="s">
        <v>189</v>
      </c>
      <c r="D66" s="38" t="str">
        <f t="shared" si="14"/>
        <v>Option 4PV of costs</v>
      </c>
      <c r="E66" s="1"/>
      <c r="F66" s="108">
        <f>SUM(F60:F61)</f>
        <v>-62575776.748095021</v>
      </c>
      <c r="G66" s="229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8" t="str">
        <f t="shared" si="15"/>
        <v>Option 4</v>
      </c>
      <c r="B67" s="138"/>
      <c r="C67" s="8" t="s">
        <v>190</v>
      </c>
      <c r="D67" s="38" t="str">
        <f t="shared" si="14"/>
        <v>Option 4PV of benefits</v>
      </c>
      <c r="E67" s="1"/>
      <c r="F67" s="108">
        <f>SUM(F62:F63)</f>
        <v>625640453.78395748</v>
      </c>
      <c r="G67" s="229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8"/>
      <c r="B68" s="138"/>
      <c r="C68" s="1"/>
      <c r="D68" s="38"/>
      <c r="E68" s="1"/>
      <c r="F68" s="108"/>
      <c r="G68" s="232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5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5" customFormat="1" x14ac:dyDescent="0.2">
      <c r="A70" s="273" t="str">
        <f>A71</f>
        <v>Option 5</v>
      </c>
      <c r="B70" s="273"/>
      <c r="C70" s="273" t="s">
        <v>124</v>
      </c>
      <c r="D70" s="274" t="str">
        <f t="shared" si="18"/>
        <v>Option 5Energy at risk value</v>
      </c>
      <c r="F70" s="97">
        <f>SUMPRODUCT($H70:$AG70, $H$5:$AG$5)</f>
        <v>76642424.949172929</v>
      </c>
      <c r="G70" s="276">
        <f>output_dollars</f>
        <v>46203</v>
      </c>
      <c r="H70" s="277"/>
      <c r="I70" s="31">
        <f>Option5!I$29*conv_2026</f>
        <v>5971422.7870944589</v>
      </c>
      <c r="J70" s="31">
        <f>Option5!J$29*conv_2026</f>
        <v>1067551.7835831596</v>
      </c>
      <c r="K70" s="31">
        <f>Option5!K$29*conv_2026</f>
        <v>674111.66871271422</v>
      </c>
      <c r="L70" s="31">
        <f>Option5!L$29*conv_2026</f>
        <v>1007722.6382286763</v>
      </c>
      <c r="M70" s="31">
        <f>Option5!M$29*conv_2026</f>
        <v>854854.61339410546</v>
      </c>
      <c r="N70" s="31">
        <f>Option5!N$29*conv_2026</f>
        <v>1723363.2556233534</v>
      </c>
      <c r="O70" s="31">
        <f>Option5!O$29*conv_2026</f>
        <v>3649833.8787786458</v>
      </c>
      <c r="P70" s="31">
        <f>Option5!P$29*conv_2026</f>
        <v>5989473.1120506907</v>
      </c>
      <c r="Q70" s="31">
        <f>Option5!Q$29*conv_2026</f>
        <v>5989473.1120506907</v>
      </c>
      <c r="R70" s="31">
        <f>Option5!R$29*conv_2026</f>
        <v>5989473.1120506907</v>
      </c>
      <c r="S70" s="31">
        <f>Option5!S$29*conv_2026</f>
        <v>5989473.1120506907</v>
      </c>
      <c r="T70" s="31">
        <f>Option5!T$29*conv_2026</f>
        <v>5989473.1120506907</v>
      </c>
      <c r="U70" s="31">
        <f>Option5!U$29*conv_2026</f>
        <v>5989473.1120506907</v>
      </c>
      <c r="V70" s="31">
        <f>Option5!V$29*conv_2026</f>
        <v>5989473.1120506907</v>
      </c>
      <c r="W70" s="31">
        <f>Option5!W$29*conv_2026</f>
        <v>5989473.1120506907</v>
      </c>
      <c r="X70" s="31">
        <f>Option5!X$29*conv_2026</f>
        <v>5989473.1120506907</v>
      </c>
      <c r="Y70" s="31">
        <f>Option5!Y$29*conv_2026</f>
        <v>5989473.1120506907</v>
      </c>
      <c r="Z70" s="31">
        <f>Option5!Z$29*conv_2026</f>
        <v>5989473.1120506907</v>
      </c>
      <c r="AA70" s="31">
        <f>Option5!AA$29*conv_2026</f>
        <v>5989473.1120506907</v>
      </c>
      <c r="AB70" s="31">
        <f>Option5!AB$29*conv_2026</f>
        <v>5989473.1120506907</v>
      </c>
      <c r="AC70" s="31">
        <f>Option5!AC$29*conv_2026</f>
        <v>5989473.1120506907</v>
      </c>
      <c r="AD70" s="31">
        <f>Option5!AD$29*conv_2026</f>
        <v>5989473.1120506907</v>
      </c>
      <c r="AE70" s="31">
        <f>Option5!AE$29*conv_2026</f>
        <v>5989473.1120506907</v>
      </c>
      <c r="AF70" s="31">
        <f>Option5!AF$29*conv_2026</f>
        <v>5989473.1120506907</v>
      </c>
      <c r="AG70" s="31">
        <f>Option5!AG$29*conv_2026</f>
        <v>5989473.1120506907</v>
      </c>
    </row>
    <row r="71" spans="1:33" s="2" customFormat="1" x14ac:dyDescent="0.2">
      <c r="A71" s="138" t="str">
        <f>Data!B13</f>
        <v>Option 5</v>
      </c>
      <c r="B71" s="138"/>
      <c r="C71" s="58" t="str">
        <f>Option5!C$67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-107476316.88608776</v>
      </c>
      <c r="G71" s="229">
        <f>output_dollars</f>
        <v>46203</v>
      </c>
      <c r="H71" s="31"/>
      <c r="I71" s="31">
        <f>SUM(Option5!I$68:I$71)*conv_2026*I$7</f>
        <v>-30987262.704963814</v>
      </c>
      <c r="J71" s="31">
        <f>SUM(Option5!J$68:J$71)*conv_2026*J$7</f>
        <v>-21184445.769388035</v>
      </c>
      <c r="K71" s="31">
        <f>SUM(Option5!K$68:K$71)*conv_2026*K$7</f>
        <v>-32859331.388793301</v>
      </c>
      <c r="L71" s="31">
        <f>SUM(Option5!L$68:L$71)*conv_2026*L$7</f>
        <v>-30169447.675851576</v>
      </c>
      <c r="M71" s="31">
        <f>SUM(Option5!M$68:M$71)*conv_2026*M$7</f>
        <v>0</v>
      </c>
      <c r="N71" s="31">
        <f>SUM(Option5!N$68:N$71)*conv_2026*N$7</f>
        <v>0</v>
      </c>
      <c r="O71" s="31">
        <f>SUM(Option5!O$68:O$71)*conv_2026*O$7</f>
        <v>0</v>
      </c>
      <c r="P71" s="31">
        <f>SUM(Option5!P$68:P$71)*conv_2026*P$7</f>
        <v>0</v>
      </c>
      <c r="Q71" s="31">
        <f>SUM(Option5!Q$68:Q$71)*conv_2026*Q$7</f>
        <v>0</v>
      </c>
      <c r="R71" s="31">
        <f>SUM(Option5!R$68:R$71)*conv_2026*R$7</f>
        <v>0</v>
      </c>
      <c r="S71" s="31">
        <f>SUM(Option5!S$68:S$71)*conv_2026*S$7</f>
        <v>0</v>
      </c>
      <c r="T71" s="31">
        <f>SUM(Option5!T$68:T$71)*conv_2026*T$7</f>
        <v>0</v>
      </c>
      <c r="U71" s="31">
        <f>SUM(Option5!U$68:U$71)*conv_2026*U$7</f>
        <v>0</v>
      </c>
      <c r="V71" s="31">
        <f>SUM(Option5!V$68:V$71)*conv_2026*V$7</f>
        <v>0</v>
      </c>
      <c r="W71" s="31">
        <f>SUM(Option5!W$68:W$71)*conv_2026*W$7</f>
        <v>0</v>
      </c>
      <c r="X71" s="31">
        <f>SUM(Option5!X$68:X$71)*conv_2026*X$7</f>
        <v>0</v>
      </c>
      <c r="Y71" s="31">
        <f>SUM(Option5!Y$68:Y$71)*conv_2026*Y$7</f>
        <v>0</v>
      </c>
      <c r="Z71" s="31">
        <f>SUM(Option5!Z$68:Z$71)*conv_2026*Z$7</f>
        <v>0</v>
      </c>
      <c r="AA71" s="31">
        <f>SUM(Option5!AA$68:AA$71)*conv_2026*AA$7</f>
        <v>0</v>
      </c>
      <c r="AB71" s="31">
        <f>SUM(Option5!AB$68:AB$71)*conv_2026*AB$7</f>
        <v>0</v>
      </c>
      <c r="AC71" s="31">
        <f>SUM(Option5!AC$68:AC$71)*conv_2026*AC$7</f>
        <v>0</v>
      </c>
      <c r="AD71" s="31">
        <f>SUM(Option5!AD$68:AD$71)*conv_2026*AD$7</f>
        <v>0</v>
      </c>
      <c r="AE71" s="31">
        <f>SUM(Option5!AE$68:AE$71)*conv_2026*AE$7</f>
        <v>0</v>
      </c>
      <c r="AF71" s="31">
        <f>SUM(Option5!AF$68:AF$71)*conv_2026*AF$7</f>
        <v>0</v>
      </c>
      <c r="AG71" s="31">
        <f>SUM(Option5!AG$68:AG$71)*conv_2026*AG$7</f>
        <v>0</v>
      </c>
    </row>
    <row r="72" spans="1:33" s="2" customFormat="1" x14ac:dyDescent="0.2">
      <c r="A72" s="138" t="str">
        <f t="shared" ref="A72:A81" si="19">A71</f>
        <v>Option 5</v>
      </c>
      <c r="B72" s="138"/>
      <c r="C72" s="58" t="str">
        <f>'Option1 (base case)'!C$37</f>
        <v>Total risk cost</v>
      </c>
      <c r="D72" s="38" t="str">
        <f t="shared" si="18"/>
        <v>Option 5Total risk cost</v>
      </c>
      <c r="E72" s="1"/>
      <c r="F72" s="97">
        <f>SUMPRODUCT($H72:$AG72, $H$5:$AG$5)</f>
        <v>62815850.665839218</v>
      </c>
      <c r="G72" s="229">
        <f>output_dollars</f>
        <v>46203</v>
      </c>
      <c r="H72" s="31"/>
      <c r="I72" s="31">
        <f>Option5!I$37*conv_2026*I$7</f>
        <v>5971422.7870944589</v>
      </c>
      <c r="J72" s="31">
        <f>Option5!J$37*conv_2026*J$7</f>
        <v>1067551.7835831596</v>
      </c>
      <c r="K72" s="31">
        <f>Option5!K$37*conv_2026*K$7</f>
        <v>674111.66871271422</v>
      </c>
      <c r="L72" s="31">
        <f>Option5!L$37*conv_2026*L$7</f>
        <v>1007722.6382286763</v>
      </c>
      <c r="M72" s="31">
        <f>Option5!M$37*conv_2026*M$7</f>
        <v>854854.61339410546</v>
      </c>
      <c r="N72" s="31">
        <f>Option5!N$37*conv_2026*N$7</f>
        <v>1723363.2556233534</v>
      </c>
      <c r="O72" s="31">
        <f>Option5!O$37*conv_2026*O$7</f>
        <v>3649833.8787786458</v>
      </c>
      <c r="P72" s="31">
        <f>Option5!P$37*conv_2026*P$7</f>
        <v>5989473.1120506907</v>
      </c>
      <c r="Q72" s="31">
        <f>Option5!Q$37*conv_2026*Q$7</f>
        <v>5989473.1120506907</v>
      </c>
      <c r="R72" s="31">
        <f>Option5!R$37*conv_2026*R$7</f>
        <v>5989473.1120506907</v>
      </c>
      <c r="S72" s="31">
        <f>Option5!S$37*conv_2026*S$7</f>
        <v>5989473.1120506907</v>
      </c>
      <c r="T72" s="31">
        <f>Option5!T$37*conv_2026*T$7</f>
        <v>5989473.1120506907</v>
      </c>
      <c r="U72" s="31">
        <f>Option5!U$37*conv_2026*U$7</f>
        <v>5989473.1120506907</v>
      </c>
      <c r="V72" s="31">
        <f>Option5!V$37*conv_2026*V$7</f>
        <v>5989473.1120506907</v>
      </c>
      <c r="W72" s="31">
        <f>Option5!W$37*conv_2026*W$7</f>
        <v>5989473.1120506907</v>
      </c>
      <c r="X72" s="31">
        <f>Option5!X$37*conv_2026*X$7</f>
        <v>5989473.1120506907</v>
      </c>
      <c r="Y72" s="31">
        <f>Option5!Y$37*conv_2026*Y$7</f>
        <v>5989473.1120506907</v>
      </c>
      <c r="Z72" s="31">
        <f>Option5!Z$37*conv_2026*Z$7</f>
        <v>5989473.1120506907</v>
      </c>
      <c r="AA72" s="31">
        <f>Option5!AA$37*conv_2026*AA$7</f>
        <v>5989473.1120506907</v>
      </c>
      <c r="AB72" s="31">
        <f>Option5!AB$37*conv_2026*AB$7</f>
        <v>5989473.1120506907</v>
      </c>
      <c r="AC72" s="31">
        <f>Option5!AC$37*conv_2026*AC$7</f>
        <v>0</v>
      </c>
      <c r="AD72" s="31">
        <f>Option5!AD$37*conv_2026*AD$7</f>
        <v>0</v>
      </c>
      <c r="AE72" s="31">
        <f>Option5!AE$37*conv_2026*AE$7</f>
        <v>0</v>
      </c>
      <c r="AF72" s="31">
        <f>Option5!AF$37*conv_2026*AF$7</f>
        <v>0</v>
      </c>
      <c r="AG72" s="31">
        <f>Option5!AG$37*conv_2026*AG$7</f>
        <v>0</v>
      </c>
    </row>
    <row r="73" spans="1:33" s="2" customFormat="1" x14ac:dyDescent="0.2">
      <c r="A73" s="138" t="str">
        <f t="shared" si="19"/>
        <v>Option 5</v>
      </c>
      <c r="B73" s="138"/>
      <c r="C73" s="75"/>
      <c r="D73" s="38" t="str">
        <f t="shared" si="18"/>
        <v>Option 5</v>
      </c>
      <c r="E73" s="1"/>
      <c r="F73"/>
      <c r="G73" s="23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8" t="str">
        <f t="shared" si="19"/>
        <v>Option 5</v>
      </c>
      <c r="B74" s="138"/>
      <c r="C74" s="58" t="str">
        <f>Option5!C$86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-59170738.791948177</v>
      </c>
      <c r="G74" s="229">
        <f t="shared" ref="G74:G81" si="20">output_dollars</f>
        <v>46203</v>
      </c>
      <c r="H74" s="31"/>
      <c r="I74" s="31">
        <f>Option5!I$86*conv_2026*I$7</f>
        <v>0</v>
      </c>
      <c r="J74" s="31">
        <f>Option5!J$86*conv_2026*J$7</f>
        <v>-1321101.9584257514</v>
      </c>
      <c r="K74" s="31">
        <f>Option5!K$86*conv_2026*K$7</f>
        <v>-2224273.4666861272</v>
      </c>
      <c r="L74" s="31">
        <f>Option5!L$86*conv_2026*L$7</f>
        <v>-3625188.6576668941</v>
      </c>
      <c r="M74" s="31">
        <f>Option5!M$86*conv_2026*M$7</f>
        <v>-4911424.127662316</v>
      </c>
      <c r="N74" s="31">
        <f>Option5!N$86*conv_2026*N$7</f>
        <v>-4911424.127662316</v>
      </c>
      <c r="O74" s="31">
        <f>Option5!O$86*conv_2026*O$7</f>
        <v>-4911424.127662316</v>
      </c>
      <c r="P74" s="31">
        <f>Option5!P$86*conv_2026*P$7</f>
        <v>-4911424.127662316</v>
      </c>
      <c r="Q74" s="31">
        <f>Option5!Q$86*conv_2026*Q$7</f>
        <v>-4911424.127662316</v>
      </c>
      <c r="R74" s="31">
        <f>Option5!R$86*conv_2026*R$7</f>
        <v>-4911424.127662316</v>
      </c>
      <c r="S74" s="31">
        <f>Option5!S$86*conv_2026*S$7</f>
        <v>-4911424.127662316</v>
      </c>
      <c r="T74" s="31">
        <f>Option5!T$86*conv_2026*T$7</f>
        <v>-4911424.127662316</v>
      </c>
      <c r="U74" s="31">
        <f>Option5!U$86*conv_2026*U$7</f>
        <v>-4911424.127662316</v>
      </c>
      <c r="V74" s="31">
        <f>Option5!V$86*conv_2026*V$7</f>
        <v>-4911424.127662316</v>
      </c>
      <c r="W74" s="31">
        <f>Option5!W$86*conv_2026*W$7</f>
        <v>-4911424.127662316</v>
      </c>
      <c r="X74" s="31">
        <f>Option5!X$86*conv_2026*X$7</f>
        <v>-4911424.127662316</v>
      </c>
      <c r="Y74" s="31">
        <f>Option5!Y$86*conv_2026*Y$7</f>
        <v>-4911424.127662316</v>
      </c>
      <c r="Z74" s="31">
        <f>Option5!Z$86*conv_2026*Z$7</f>
        <v>-4911424.127662316</v>
      </c>
      <c r="AA74" s="31">
        <f>Option5!AA$86*conv_2026*AA$7</f>
        <v>-4911424.127662316</v>
      </c>
      <c r="AB74" s="31">
        <f>Option5!AB$86*conv_2026*AB$7</f>
        <v>-4911424.127662316</v>
      </c>
      <c r="AC74" s="31">
        <f>Option5!AC$86*conv_2026*AC$7</f>
        <v>0</v>
      </c>
      <c r="AD74" s="31">
        <f>Option5!AD$86*conv_2026*AD$7</f>
        <v>0</v>
      </c>
      <c r="AE74" s="31">
        <f>Option5!AE$86*conv_2026*AE$7</f>
        <v>0</v>
      </c>
      <c r="AF74" s="31">
        <f>Option5!AF$86*conv_2026*AF$7</f>
        <v>0</v>
      </c>
      <c r="AG74" s="31">
        <f>Option5!AG$86*conv_2026*AG$7</f>
        <v>0</v>
      </c>
    </row>
    <row r="75" spans="1:33" s="2" customFormat="1" x14ac:dyDescent="0.2">
      <c r="A75" s="138" t="str">
        <f t="shared" si="19"/>
        <v>Option 5</v>
      </c>
      <c r="B75" s="138"/>
      <c r="C75" s="58" t="str">
        <f>Option5!C$87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9">
        <f t="shared" si="20"/>
        <v>46203</v>
      </c>
      <c r="H75" s="31"/>
      <c r="I75" s="31">
        <f>Option5!I$87*conv_2026*I$7</f>
        <v>0</v>
      </c>
      <c r="J75" s="31">
        <f>Option5!J$87*conv_2026*J$7</f>
        <v>0</v>
      </c>
      <c r="K75" s="31">
        <f>Option5!K$87*conv_2026*K$7</f>
        <v>0</v>
      </c>
      <c r="L75" s="31">
        <f>Option5!L$87*conv_2026*L$7</f>
        <v>0</v>
      </c>
      <c r="M75" s="31">
        <f>Option5!M$87*conv_2026*M$7</f>
        <v>0</v>
      </c>
      <c r="N75" s="31">
        <f>Option5!N$87*conv_2026*N$7</f>
        <v>0</v>
      </c>
      <c r="O75" s="31">
        <f>Option5!O$87*conv_2026*O$7</f>
        <v>0</v>
      </c>
      <c r="P75" s="31">
        <f>Option5!P$87*conv_2026*P$7</f>
        <v>0</v>
      </c>
      <c r="Q75" s="31">
        <f>Option5!Q$87*conv_2026*Q$7</f>
        <v>0</v>
      </c>
      <c r="R75" s="31">
        <f>Option5!R$87*conv_2026*R$7</f>
        <v>0</v>
      </c>
      <c r="S75" s="31">
        <f>Option5!S$87*conv_2026*S$7</f>
        <v>0</v>
      </c>
      <c r="T75" s="31">
        <f>Option5!T$87*conv_2026*T$7</f>
        <v>0</v>
      </c>
      <c r="U75" s="31">
        <f>Option5!U$87*conv_2026*U$7</f>
        <v>0</v>
      </c>
      <c r="V75" s="31">
        <f>Option5!V$87*conv_2026*V$7</f>
        <v>0</v>
      </c>
      <c r="W75" s="31">
        <f>Option5!W$87*conv_2026*W$7</f>
        <v>0</v>
      </c>
      <c r="X75" s="31">
        <f>Option5!X$87*conv_2026*X$7</f>
        <v>0</v>
      </c>
      <c r="Y75" s="31">
        <f>Option5!Y$87*conv_2026*Y$7</f>
        <v>0</v>
      </c>
      <c r="Z75" s="31">
        <f>Option5!Z$87*conv_2026*Z$7</f>
        <v>0</v>
      </c>
      <c r="AA75" s="31">
        <f>Option5!AA$87*conv_2026*AA$7</f>
        <v>0</v>
      </c>
      <c r="AB75" s="31">
        <f>Option5!AB$87*conv_2026*AB$7</f>
        <v>0</v>
      </c>
      <c r="AC75" s="31">
        <f>Option5!AC$87*conv_2026*AC$7</f>
        <v>0</v>
      </c>
      <c r="AD75" s="31">
        <f>Option5!AD$87*conv_2026*AD$7</f>
        <v>0</v>
      </c>
      <c r="AE75" s="31">
        <f>Option5!AE$87*conv_2026*AE$7</f>
        <v>0</v>
      </c>
      <c r="AF75" s="31">
        <f>Option5!AF$87*conv_2026*AF$7</f>
        <v>0</v>
      </c>
      <c r="AG75" s="31">
        <f>Option5!AG$87*conv_2026*AG$7</f>
        <v>0</v>
      </c>
    </row>
    <row r="76" spans="1:33" s="2" customFormat="1" x14ac:dyDescent="0.2">
      <c r="A76" s="138" t="str">
        <f t="shared" si="19"/>
        <v>Option 5</v>
      </c>
      <c r="B76" s="138"/>
      <c r="C76" s="58" t="str">
        <f>Option5!C$88</f>
        <v>Risk mitigated</v>
      </c>
      <c r="D76" s="38" t="str">
        <f t="shared" si="18"/>
        <v>Option 5Risk mitigated</v>
      </c>
      <c r="E76" s="1"/>
      <c r="F76" s="97">
        <f>SUMPRODUCT($H76:$AG76, $H$5:$AG$5)</f>
        <v>613180841.9450388</v>
      </c>
      <c r="G76" s="229">
        <f t="shared" si="20"/>
        <v>46203</v>
      </c>
      <c r="H76" s="31"/>
      <c r="I76" s="31">
        <f>Option5!I$88*conv_2026*I$7</f>
        <v>0</v>
      </c>
      <c r="J76" s="31">
        <f>Option5!J$88*conv_2026*J$7</f>
        <v>8979817.7497455459</v>
      </c>
      <c r="K76" s="31">
        <f>Option5!K$88*conv_2026*K$7</f>
        <v>12482069.036676414</v>
      </c>
      <c r="L76" s="31">
        <f>Option5!L$88*conv_2026*L$7</f>
        <v>15399534.99980554</v>
      </c>
      <c r="M76" s="31">
        <f>Option5!M$88*conv_2026*M$7</f>
        <v>20180043.972209036</v>
      </c>
      <c r="N76" s="31">
        <f>Option5!N$88*conv_2026*N$7</f>
        <v>27192840.620171115</v>
      </c>
      <c r="O76" s="31">
        <f>Option5!O$88*conv_2026*O$7</f>
        <v>38047074.679919422</v>
      </c>
      <c r="P76" s="31">
        <f>Option5!P$88*conv_2026*P$7</f>
        <v>49465192.9462182</v>
      </c>
      <c r="Q76" s="31">
        <f>Option5!Q$88*conv_2026*Q$7</f>
        <v>63103490.444089986</v>
      </c>
      <c r="R76" s="31">
        <f>Option5!R$88*conv_2026*R$7</f>
        <v>63103490.444089986</v>
      </c>
      <c r="S76" s="31">
        <f>Option5!S$88*conv_2026*S$7</f>
        <v>63103490.444089986</v>
      </c>
      <c r="T76" s="31">
        <f>Option5!T$88*conv_2026*T$7</f>
        <v>63103490.444089986</v>
      </c>
      <c r="U76" s="31">
        <f>Option5!U$88*conv_2026*U$7</f>
        <v>63103490.444089986</v>
      </c>
      <c r="V76" s="31">
        <f>Option5!V$88*conv_2026*V$7</f>
        <v>63103490.444089986</v>
      </c>
      <c r="W76" s="31">
        <f>Option5!W$88*conv_2026*W$7</f>
        <v>63103490.444089986</v>
      </c>
      <c r="X76" s="31">
        <f>Option5!X$88*conv_2026*X$7</f>
        <v>63103490.444089986</v>
      </c>
      <c r="Y76" s="31">
        <f>Option5!Y$88*conv_2026*Y$7</f>
        <v>63103490.444089986</v>
      </c>
      <c r="Z76" s="31">
        <f>Option5!Z$88*conv_2026*Z$7</f>
        <v>63103490.444089986</v>
      </c>
      <c r="AA76" s="31">
        <f>Option5!AA$88*conv_2026*AA$7</f>
        <v>63103490.444089986</v>
      </c>
      <c r="AB76" s="31">
        <f>Option5!AB$88*conv_2026*AB$7</f>
        <v>63103490.444089986</v>
      </c>
      <c r="AC76" s="31">
        <f>Option5!AC$88*conv_2026*AC$7</f>
        <v>0</v>
      </c>
      <c r="AD76" s="31">
        <f>Option5!AD$88*conv_2026*AD$7</f>
        <v>0</v>
      </c>
      <c r="AE76" s="31">
        <f>Option5!AE$88*conv_2026*AE$7</f>
        <v>0</v>
      </c>
      <c r="AF76" s="31">
        <f>Option5!AF$88*conv_2026*AF$7</f>
        <v>0</v>
      </c>
      <c r="AG76" s="31">
        <f>Option5!AG$88*conv_2026*AG$7</f>
        <v>0</v>
      </c>
    </row>
    <row r="77" spans="1:33" s="2" customFormat="1" x14ac:dyDescent="0.2">
      <c r="A77" s="138" t="str">
        <f t="shared" si="19"/>
        <v>Option 5</v>
      </c>
      <c r="B77" s="138"/>
      <c r="C77" s="58" t="str">
        <f>Option5!C$89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9">
        <f t="shared" si="20"/>
        <v>46203</v>
      </c>
      <c r="H77" s="31"/>
      <c r="I77" s="31">
        <f>Option5!I$89*conv_2026*I$7</f>
        <v>0</v>
      </c>
      <c r="J77" s="31">
        <f>Option5!J$89*conv_2026*J$7</f>
        <v>0</v>
      </c>
      <c r="K77" s="31">
        <f>Option5!K$89*conv_2026*K$7</f>
        <v>0</v>
      </c>
      <c r="L77" s="31">
        <f>Option5!L$89*conv_2026*L$7</f>
        <v>0</v>
      </c>
      <c r="M77" s="31">
        <f>Option5!M$89*conv_2026*M$7</f>
        <v>0</v>
      </c>
      <c r="N77" s="31">
        <f>Option5!N$89*conv_2026*N$7</f>
        <v>0</v>
      </c>
      <c r="O77" s="31">
        <f>Option5!O$89*conv_2026*O$7</f>
        <v>0</v>
      </c>
      <c r="P77" s="31">
        <f>Option5!P$89*conv_2026*P$7</f>
        <v>0</v>
      </c>
      <c r="Q77" s="31">
        <f>Option5!Q$89*conv_2026*Q$7</f>
        <v>0</v>
      </c>
      <c r="R77" s="31">
        <f>Option5!R$89*conv_2026*R$7</f>
        <v>0</v>
      </c>
      <c r="S77" s="31">
        <f>Option5!S$89*conv_2026*S$7</f>
        <v>0</v>
      </c>
      <c r="T77" s="31">
        <f>Option5!T$89*conv_2026*T$7</f>
        <v>0</v>
      </c>
      <c r="U77" s="31">
        <f>Option5!U$89*conv_2026*U$7</f>
        <v>0</v>
      </c>
      <c r="V77" s="31">
        <f>Option5!V$89*conv_2026*V$7</f>
        <v>0</v>
      </c>
      <c r="W77" s="31">
        <f>Option5!W$89*conv_2026*W$7</f>
        <v>0</v>
      </c>
      <c r="X77" s="31">
        <f>Option5!X$89*conv_2026*X$7</f>
        <v>0</v>
      </c>
      <c r="Y77" s="31">
        <f>Option5!Y$89*conv_2026*Y$7</f>
        <v>0</v>
      </c>
      <c r="Z77" s="31">
        <f>Option5!Z$89*conv_2026*Z$7</f>
        <v>0</v>
      </c>
      <c r="AA77" s="31">
        <f>Option5!AA$89*conv_2026*AA$7</f>
        <v>0</v>
      </c>
      <c r="AB77" s="31">
        <f>Option5!AB$89*conv_2026*AB$7</f>
        <v>0</v>
      </c>
      <c r="AC77" s="31">
        <f>Option5!AC$89*conv_2026*AC$7</f>
        <v>0</v>
      </c>
      <c r="AD77" s="31">
        <f>Option5!AD$89*conv_2026*AD$7</f>
        <v>0</v>
      </c>
      <c r="AE77" s="31">
        <f>Option5!AE$89*conv_2026*AE$7</f>
        <v>0</v>
      </c>
      <c r="AF77" s="31">
        <f>Option5!AF$89*conv_2026*AF$7</f>
        <v>0</v>
      </c>
      <c r="AG77" s="31">
        <f>Option5!AG$89*conv_2026*AG$7</f>
        <v>0</v>
      </c>
    </row>
    <row r="78" spans="1:33" s="2" customFormat="1" x14ac:dyDescent="0.2">
      <c r="A78" s="138" t="str">
        <f t="shared" si="19"/>
        <v>Option 5</v>
      </c>
      <c r="B78" s="138"/>
      <c r="C78" s="125" t="str">
        <f>Option5!C91</f>
        <v>Net benefits</v>
      </c>
      <c r="D78" s="109" t="str">
        <f t="shared" si="18"/>
        <v>Option 5Net benefits</v>
      </c>
      <c r="E78" s="110"/>
      <c r="F78" s="146"/>
      <c r="G78" s="231">
        <f t="shared" si="20"/>
        <v>46203</v>
      </c>
      <c r="H78" s="52"/>
      <c r="I78" s="52">
        <f t="shared" ref="I78:AB78" si="21">SUM(I74:I77)</f>
        <v>0</v>
      </c>
      <c r="J78" s="52">
        <f t="shared" si="21"/>
        <v>7658715.791319795</v>
      </c>
      <c r="K78" s="52">
        <f t="shared" si="21"/>
        <v>10257795.569990287</v>
      </c>
      <c r="L78" s="52">
        <f t="shared" si="21"/>
        <v>11774346.342138646</v>
      </c>
      <c r="M78" s="52">
        <f t="shared" si="21"/>
        <v>15268619.84454672</v>
      </c>
      <c r="N78" s="52">
        <f t="shared" si="21"/>
        <v>22281416.492508799</v>
      </c>
      <c r="O78" s="52">
        <f t="shared" si="21"/>
        <v>33135650.552257106</v>
      </c>
      <c r="P78" s="52">
        <f t="shared" si="21"/>
        <v>44553768.818555884</v>
      </c>
      <c r="Q78" s="52">
        <f t="shared" si="21"/>
        <v>58192066.31642767</v>
      </c>
      <c r="R78" s="52">
        <f t="shared" si="21"/>
        <v>58192066.31642767</v>
      </c>
      <c r="S78" s="52">
        <f t="shared" si="21"/>
        <v>58192066.31642767</v>
      </c>
      <c r="T78" s="52">
        <f t="shared" si="21"/>
        <v>58192066.31642767</v>
      </c>
      <c r="U78" s="52">
        <f t="shared" si="21"/>
        <v>58192066.31642767</v>
      </c>
      <c r="V78" s="52">
        <f t="shared" si="21"/>
        <v>58192066.31642767</v>
      </c>
      <c r="W78" s="52">
        <f t="shared" si="21"/>
        <v>58192066.31642767</v>
      </c>
      <c r="X78" s="52">
        <f t="shared" si="21"/>
        <v>58192066.31642767</v>
      </c>
      <c r="Y78" s="52">
        <f t="shared" si="21"/>
        <v>58192066.31642767</v>
      </c>
      <c r="Z78" s="52">
        <f t="shared" si="21"/>
        <v>58192066.31642767</v>
      </c>
      <c r="AA78" s="52">
        <f t="shared" si="21"/>
        <v>58192066.31642767</v>
      </c>
      <c r="AB78" s="52">
        <f t="shared" si="21"/>
        <v>58192066.31642767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8" t="str">
        <f t="shared" si="19"/>
        <v>Option 5</v>
      </c>
      <c r="B79" s="138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554010103.15309072</v>
      </c>
      <c r="G79" s="229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8" t="str">
        <f t="shared" si="19"/>
        <v>Option 5</v>
      </c>
      <c r="B80" s="138"/>
      <c r="C80" s="8" t="s">
        <v>189</v>
      </c>
      <c r="D80" s="38" t="str">
        <f t="shared" si="18"/>
        <v>Option 5PV of costs</v>
      </c>
      <c r="E80" s="1"/>
      <c r="F80" s="108">
        <f>SUM(F74:F75)</f>
        <v>-59170738.791948177</v>
      </c>
      <c r="G80" s="229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8" t="str">
        <f t="shared" si="19"/>
        <v>Option 5</v>
      </c>
      <c r="B81" s="138"/>
      <c r="C81" s="8" t="s">
        <v>190</v>
      </c>
      <c r="D81" s="38" t="str">
        <f t="shared" si="18"/>
        <v>Option 5PV of benefits</v>
      </c>
      <c r="E81" s="1"/>
      <c r="F81" s="108">
        <f>SUM(F76:F77)</f>
        <v>613180841.9450388</v>
      </c>
      <c r="G81" s="229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5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3"/>
    </row>
    <row r="84" spans="1:33" ht="12" x14ac:dyDescent="0.2">
      <c r="E84" s="84"/>
      <c r="G84" s="233"/>
    </row>
    <row r="85" spans="1:33" ht="12" x14ac:dyDescent="0.2">
      <c r="E85" s="84"/>
      <c r="G85" s="233"/>
    </row>
    <row r="86" spans="1:33" ht="12" x14ac:dyDescent="0.2">
      <c r="E86" s="84"/>
      <c r="G86" s="233"/>
    </row>
    <row r="87" spans="1:33" ht="12" x14ac:dyDescent="0.2">
      <c r="E87" s="10"/>
      <c r="G87" s="233"/>
    </row>
    <row r="88" spans="1:33" ht="15" x14ac:dyDescent="0.25">
      <c r="A88" s="206" t="s">
        <v>202</v>
      </c>
      <c r="B88" s="54"/>
      <c r="C88" s="19"/>
      <c r="D88" s="19"/>
      <c r="E88" s="83"/>
      <c r="F88" s="19"/>
      <c r="G88" s="227"/>
      <c r="H88" s="227"/>
      <c r="I88" s="203" t="str">
        <f>"FY"&amp;RIGHT(I$9,2)</f>
        <v>FY27</v>
      </c>
      <c r="J88" s="203" t="str">
        <f t="shared" ref="J88:AG88" si="22">"FY"&amp;RIGHT(J$9,2)</f>
        <v>FY28</v>
      </c>
      <c r="K88" s="203" t="str">
        <f t="shared" si="22"/>
        <v>FY29</v>
      </c>
      <c r="L88" s="203" t="str">
        <f t="shared" si="22"/>
        <v>FY30</v>
      </c>
      <c r="M88" s="203" t="str">
        <f t="shared" si="22"/>
        <v>FY31</v>
      </c>
      <c r="N88" s="203" t="str">
        <f t="shared" si="22"/>
        <v>FY32</v>
      </c>
      <c r="O88" s="203" t="str">
        <f t="shared" si="22"/>
        <v>FY33</v>
      </c>
      <c r="P88" s="203" t="str">
        <f t="shared" si="22"/>
        <v>FY34</v>
      </c>
      <c r="Q88" s="203" t="str">
        <f t="shared" si="22"/>
        <v>FY35</v>
      </c>
      <c r="R88" s="203" t="str">
        <f t="shared" si="22"/>
        <v>FY36</v>
      </c>
      <c r="S88" s="203" t="str">
        <f t="shared" si="22"/>
        <v>FY37</v>
      </c>
      <c r="T88" s="203" t="str">
        <f t="shared" si="22"/>
        <v>FY38</v>
      </c>
      <c r="U88" s="203" t="str">
        <f t="shared" si="22"/>
        <v>FY39</v>
      </c>
      <c r="V88" s="203" t="str">
        <f t="shared" si="22"/>
        <v>FY40</v>
      </c>
      <c r="W88" s="203" t="str">
        <f t="shared" si="22"/>
        <v>FY41</v>
      </c>
      <c r="X88" s="203" t="str">
        <f t="shared" si="22"/>
        <v>FY42</v>
      </c>
      <c r="Y88" s="203" t="str">
        <f t="shared" si="22"/>
        <v>FY43</v>
      </c>
      <c r="Z88" s="203" t="str">
        <f t="shared" si="22"/>
        <v>FY44</v>
      </c>
      <c r="AA88" s="203" t="str">
        <f t="shared" si="22"/>
        <v>FY45</v>
      </c>
      <c r="AB88" s="203" t="str">
        <f t="shared" si="22"/>
        <v>FY46</v>
      </c>
      <c r="AC88" s="203" t="str">
        <f t="shared" si="22"/>
        <v>FY47</v>
      </c>
      <c r="AD88" s="203" t="str">
        <f t="shared" si="22"/>
        <v>FY48</v>
      </c>
      <c r="AE88" s="203" t="str">
        <f t="shared" si="22"/>
        <v>FY49</v>
      </c>
      <c r="AF88" s="203" t="str">
        <f t="shared" si="22"/>
        <v>FY50</v>
      </c>
      <c r="AG88" s="203" t="str">
        <f t="shared" si="22"/>
        <v>FY51</v>
      </c>
    </row>
    <row r="89" spans="1:33" ht="12" x14ac:dyDescent="0.2">
      <c r="E89" s="84"/>
      <c r="G89" s="233"/>
    </row>
    <row r="90" spans="1:33" ht="12" x14ac:dyDescent="0.2">
      <c r="E90" s="84"/>
    </row>
    <row r="91" spans="1:33" x14ac:dyDescent="0.2">
      <c r="A91" s="202" t="str">
        <f>Summary!$C$26</f>
        <v>Option 2</v>
      </c>
      <c r="B91" s="142"/>
      <c r="C91" s="200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302" cm="1">
        <f t="array" ref="I91">MAX($D91*INDEX(I$15:W$81, MATCH($A91&amp;$C91, $D$15:$D$81,0),))/mill_conv</f>
        <v>6.7600245031355266</v>
      </c>
      <c r="J91" s="302" cm="1">
        <f t="array" ref="J91">MAX($D91*INDEX(J$15:X$81, MATCH($A91&amp;$C91, $D$15:$D$81,0),))/mill_conv</f>
        <v>6.7600245031355266</v>
      </c>
      <c r="K91" s="302" cm="1">
        <f t="array" ref="K91">MAX($D91*INDEX(K$15:Y$81, MATCH($A91&amp;$C91, $D$15:$D$81,0),))/mill_conv</f>
        <v>6.7600245031355266</v>
      </c>
      <c r="L91" s="302" cm="1">
        <f t="array" ref="L91">MAX($D91*INDEX(L$15:Z$81, MATCH($A91&amp;$C91, $D$15:$D$81,0),))/mill_conv</f>
        <v>6.7600245031355266</v>
      </c>
      <c r="M91" s="302" cm="1">
        <f t="array" ref="M91">MAX($D91*INDEX(M$15:AA$81, MATCH($A91&amp;$C91, $D$15:$D$81,0),))/mill_conv</f>
        <v>6.7600245031355266</v>
      </c>
      <c r="N91" s="302" cm="1">
        <f t="array" ref="N91">MAX($D91*INDEX(N$15:AB$81, MATCH($A91&amp;$C91, $D$15:$D$81,0),))/mill_conv</f>
        <v>6.7600245031355266</v>
      </c>
      <c r="O91" s="302" cm="1">
        <f t="array" ref="O91">MAX($D91*INDEX(O$15:AC$81, MATCH($A91&amp;$C91, $D$15:$D$81,0),))/mill_conv</f>
        <v>6.7600245031355266</v>
      </c>
      <c r="P91" s="302" cm="1">
        <f t="array" ref="P91">MAX($D91*INDEX(P$15:AD$81, MATCH($A91&amp;$C91, $D$15:$D$81,0),))/mill_conv</f>
        <v>6.7600245031355266</v>
      </c>
      <c r="Q91" s="302" cm="1">
        <f t="array" ref="Q91">MAX($D91*INDEX(Q$15:AE$81, MATCH($A91&amp;$C91, $D$15:$D$81,0),))/mill_conv</f>
        <v>6.7600245031355266</v>
      </c>
      <c r="R91" s="302" cm="1">
        <f t="array" ref="R91">MAX($D91*INDEX(R$15:AF$81, MATCH($A91&amp;$C91, $D$15:$D$81,0),))/mill_conv</f>
        <v>6.7600245031355266</v>
      </c>
      <c r="S91" s="302" cm="1">
        <f t="array" ref="S91">MAX($D91*INDEX(S$15:AG$81, MATCH($A91&amp;$C91, $D$15:$D$81,0),))/mill_conv</f>
        <v>6.7600245031355266</v>
      </c>
      <c r="T91" s="302" cm="1">
        <f t="array" ref="T91">MAX($D91*INDEX(T$15:AH$81, MATCH($A91&amp;$C91, $D$15:$D$81,0),))/mill_conv</f>
        <v>6.7600245031355266</v>
      </c>
      <c r="U91" s="302" cm="1">
        <f t="array" ref="U91">MAX($D91*INDEX(U$15:AI$81, MATCH($A91&amp;$C91, $D$15:$D$81,0),))/mill_conv</f>
        <v>6.7600245031355266</v>
      </c>
      <c r="V91" s="302" cm="1">
        <f t="array" ref="V91">MAX($D91*INDEX(V$15:AJ$81, MATCH($A91&amp;$C91, $D$15:$D$81,0),))/mill_conv</f>
        <v>6.7600245031355266</v>
      </c>
      <c r="W91" s="302" cm="1">
        <f t="array" ref="W91">MAX($D91*INDEX(W$15:AK$81, MATCH($A91&amp;$C91, $D$15:$D$81,0),))/mill_conv</f>
        <v>6.7600245031355266</v>
      </c>
      <c r="X91" s="302" cm="1">
        <f t="array" ref="X91">MAX($D91*INDEX(X$15:AL$81, MATCH($A91&amp;$C91, $D$15:$D$81,0),))/mill_conv</f>
        <v>6.7600245031355266</v>
      </c>
      <c r="Y91" s="302" cm="1">
        <f t="array" ref="Y91">MAX($D91*INDEX(Y$15:AM$81, MATCH($A91&amp;$C91, $D$15:$D$81,0),))/mill_conv</f>
        <v>6.7600245031355266</v>
      </c>
      <c r="Z91" s="302" cm="1">
        <f t="array" ref="Z91">MAX($D91*INDEX(Z$15:AN$81, MATCH($A91&amp;$C91, $D$15:$D$81,0),))/mill_conv</f>
        <v>6.7600245031355266</v>
      </c>
      <c r="AA91" s="302" cm="1">
        <f t="array" ref="AA91">MAX($D91*INDEX(AA$15:AO$81, MATCH($A91&amp;$C91, $D$15:$D$81,0),))/mill_conv</f>
        <v>6.7600245031355266</v>
      </c>
      <c r="AB91" s="302" cm="1">
        <f t="array" ref="AB91">MAX($D91*INDEX(AB$15:AP$81, MATCH($A91&amp;$C91, $D$15:$D$81,0),))/mill_conv</f>
        <v>6.7600245031355266</v>
      </c>
      <c r="AC91" s="302" cm="1">
        <f t="array" ref="AC91">MAX($D91*INDEX(AC$15:AQ$81, MATCH($A91&amp;$C91, $D$15:$D$81,0),))/mill_conv</f>
        <v>0</v>
      </c>
      <c r="AD91" s="302" cm="1">
        <f t="array" ref="AD91">MAX($D91*INDEX(AD$15:AR$81, MATCH($A91&amp;$C91, $D$15:$D$81,0),))/mill_conv</f>
        <v>0</v>
      </c>
      <c r="AE91" s="302" cm="1">
        <f t="array" ref="AE91">MAX($D91*INDEX(AE$15:AS$81, MATCH($A91&amp;$C91, $D$15:$D$81,0),))/mill_conv</f>
        <v>0</v>
      </c>
      <c r="AF91" s="302" cm="1">
        <f t="array" ref="AF91">MAX($D91*INDEX(AF$15:AT$81, MATCH($A91&amp;$C91, $D$15:$D$81,0),))/mill_conv</f>
        <v>0</v>
      </c>
      <c r="AG91" s="302" cm="1">
        <f t="array" ref="AG91">MAX($D91*INDEX(AG$15:AU$81, MATCH($A91&amp;$C91, $D$15:$D$81,0),))/mill_conv</f>
        <v>0</v>
      </c>
    </row>
    <row r="92" spans="1:33" x14ac:dyDescent="0.2">
      <c r="A92" s="201" t="str">
        <f>A16</f>
        <v>Option 1 (base case)</v>
      </c>
      <c r="B92" s="142"/>
      <c r="C92" s="201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302">
        <f t="shared" ref="I92:R92" si="23">$D92*INDEX(I$15:I$81, MATCH($A92&amp;$C92, $D$15:$D$81,0))/mill_conv</f>
        <v>5.9714227870944585</v>
      </c>
      <c r="J92" s="302">
        <f t="shared" si="23"/>
        <v>10.047369533328707</v>
      </c>
      <c r="K92" s="302">
        <f t="shared" si="23"/>
        <v>13.156180705389129</v>
      </c>
      <c r="L92" s="302">
        <f t="shared" si="23"/>
        <v>16.407257638034217</v>
      </c>
      <c r="M92" s="302">
        <f t="shared" si="23"/>
        <v>21.034898585603145</v>
      </c>
      <c r="N92" s="302">
        <f t="shared" si="23"/>
        <v>28.916203875794466</v>
      </c>
      <c r="O92" s="302">
        <f t="shared" si="23"/>
        <v>41.69690855869807</v>
      </c>
      <c r="P92" s="302">
        <f t="shared" si="23"/>
        <v>55.454666058268892</v>
      </c>
      <c r="Q92" s="302">
        <f t="shared" si="23"/>
        <v>69.092963556140674</v>
      </c>
      <c r="R92" s="302">
        <f t="shared" si="23"/>
        <v>69.092963556140674</v>
      </c>
      <c r="S92" s="302">
        <f t="shared" ref="S92:AG92" si="24">$D92*INDEX(S$15:S$81, MATCH($A92&amp;$C92, $D$15:$D$81,0))/mill_conv</f>
        <v>69.092963556140674</v>
      </c>
      <c r="T92" s="302">
        <f t="shared" si="24"/>
        <v>69.092963556140674</v>
      </c>
      <c r="U92" s="302">
        <f t="shared" si="24"/>
        <v>69.092963556140674</v>
      </c>
      <c r="V92" s="302">
        <f t="shared" si="24"/>
        <v>69.092963556140674</v>
      </c>
      <c r="W92" s="302">
        <f t="shared" si="24"/>
        <v>69.092963556140674</v>
      </c>
      <c r="X92" s="302">
        <f t="shared" si="24"/>
        <v>69.092963556140674</v>
      </c>
      <c r="Y92" s="302">
        <f t="shared" si="24"/>
        <v>69.092963556140674</v>
      </c>
      <c r="Z92" s="302">
        <f t="shared" si="24"/>
        <v>69.092963556140674</v>
      </c>
      <c r="AA92" s="302">
        <f t="shared" si="24"/>
        <v>69.092963556140674</v>
      </c>
      <c r="AB92" s="302">
        <f t="shared" si="24"/>
        <v>69.092963556140674</v>
      </c>
      <c r="AC92" s="302">
        <f t="shared" si="24"/>
        <v>69.092963556140674</v>
      </c>
      <c r="AD92" s="302">
        <f t="shared" si="24"/>
        <v>69.092963556140674</v>
      </c>
      <c r="AE92" s="302">
        <f t="shared" si="24"/>
        <v>69.092963556140674</v>
      </c>
      <c r="AF92" s="302">
        <f t="shared" si="24"/>
        <v>69.092963556140674</v>
      </c>
      <c r="AG92" s="302">
        <f t="shared" si="24"/>
        <v>69.092963556140674</v>
      </c>
    </row>
    <row r="93" spans="1:33" ht="12" x14ac:dyDescent="0.2">
      <c r="E93" s="84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9" t="str">
        <f>I88</f>
        <v>FY27</v>
      </c>
      <c r="J97" s="299" t="str">
        <f t="shared" ref="J97:AG97" si="25">J88</f>
        <v>FY28</v>
      </c>
      <c r="K97" s="299" t="str">
        <f t="shared" si="25"/>
        <v>FY29</v>
      </c>
      <c r="L97" s="299" t="str">
        <f t="shared" si="25"/>
        <v>FY30</v>
      </c>
      <c r="M97" s="299" t="str">
        <f t="shared" si="25"/>
        <v>FY31</v>
      </c>
      <c r="N97" s="299" t="str">
        <f t="shared" si="25"/>
        <v>FY32</v>
      </c>
      <c r="O97" s="299" t="str">
        <f t="shared" si="25"/>
        <v>FY33</v>
      </c>
      <c r="P97" s="299" t="str">
        <f t="shared" si="25"/>
        <v>FY34</v>
      </c>
      <c r="Q97" s="299" t="str">
        <f t="shared" si="25"/>
        <v>FY35</v>
      </c>
      <c r="R97" s="299" t="str">
        <f t="shared" si="25"/>
        <v>FY36</v>
      </c>
      <c r="S97" s="299" t="str">
        <f t="shared" si="25"/>
        <v>FY37</v>
      </c>
      <c r="T97" s="299" t="str">
        <f t="shared" si="25"/>
        <v>FY38</v>
      </c>
      <c r="U97" s="299" t="str">
        <f t="shared" si="25"/>
        <v>FY39</v>
      </c>
      <c r="V97" s="299" t="str">
        <f t="shared" si="25"/>
        <v>FY40</v>
      </c>
      <c r="W97" s="299" t="str">
        <f t="shared" si="25"/>
        <v>FY41</v>
      </c>
      <c r="X97" s="299" t="str">
        <f t="shared" si="25"/>
        <v>FY42</v>
      </c>
      <c r="Y97" s="299" t="str">
        <f t="shared" si="25"/>
        <v>FY43</v>
      </c>
      <c r="Z97" s="299" t="str">
        <f t="shared" si="25"/>
        <v>FY44</v>
      </c>
      <c r="AA97" s="299" t="str">
        <f t="shared" si="25"/>
        <v>FY45</v>
      </c>
      <c r="AB97" s="299" t="str">
        <f t="shared" si="25"/>
        <v>FY46</v>
      </c>
      <c r="AC97" s="299" t="str">
        <f t="shared" si="25"/>
        <v>FY47</v>
      </c>
      <c r="AD97" s="299" t="str">
        <f t="shared" si="25"/>
        <v>FY48</v>
      </c>
      <c r="AE97" s="299" t="str">
        <f t="shared" si="25"/>
        <v>FY49</v>
      </c>
      <c r="AF97" s="299" t="str">
        <f t="shared" si="25"/>
        <v>FY50</v>
      </c>
      <c r="AG97" s="299" t="str">
        <f t="shared" si="25"/>
        <v>FY51</v>
      </c>
    </row>
    <row r="98" spans="1:33" x14ac:dyDescent="0.2">
      <c r="A98" s="202" t="s">
        <v>234</v>
      </c>
      <c r="B98" s="142"/>
      <c r="C98" s="200" t="s">
        <v>123</v>
      </c>
      <c r="D98" s="194">
        <f>MAX(H98:AG98)</f>
        <v>1458.511651189528</v>
      </c>
      <c r="E98" s="298"/>
      <c r="F98" s="118"/>
      <c r="G98" s="119"/>
      <c r="H98" s="119" t="str">
        <f>A98&amp;" "&amp;LOWER(C98)</f>
        <v>Energy at risk energy at risk (weighted)</v>
      </c>
      <c r="I98" s="119">
        <f>INDEX('Option1 (base case)'!I$14:I$91, MATCH($C98, 'Option1 (base case)'!$C$14:$C$91,0))</f>
        <v>126.05320803874913</v>
      </c>
      <c r="J98" s="119">
        <f>INDEX('Option1 (base case)'!J$14:J$91, MATCH($C98, 'Option1 (base case)'!$C$14:$C$91,0))</f>
        <v>212.09403641022726</v>
      </c>
      <c r="K98" s="119">
        <f>INDEX('Option1 (base case)'!K$14:K$91, MATCH($C98, 'Option1 (base case)'!$C$14:$C$91,0))</f>
        <v>277.71920404562707</v>
      </c>
      <c r="L98" s="119">
        <f>INDEX('Option1 (base case)'!L$14:L$91, MATCH($C98, 'Option1 (base case)'!$C$14:$C$91,0))</f>
        <v>346.34751785827069</v>
      </c>
      <c r="M98" s="119">
        <f>INDEX('Option1 (base case)'!M$14:M$91, MATCH($C98, 'Option1 (base case)'!$C$14:$C$91,0))</f>
        <v>444.03428496396634</v>
      </c>
      <c r="N98" s="119">
        <f>INDEX('Option1 (base case)'!N$14:N$91, MATCH($C98, 'Option1 (base case)'!$C$14:$C$91,0))</f>
        <v>610.40398457868321</v>
      </c>
      <c r="O98" s="119">
        <f>INDEX('Option1 (base case)'!O$14:O$91, MATCH($C98, 'Option1 (base case)'!$C$14:$C$91,0))</f>
        <v>880.19711156304106</v>
      </c>
      <c r="P98" s="119">
        <f>INDEX('Option1 (base case)'!P$14:P$91, MATCH($C98, 'Option1 (base case)'!$C$14:$C$91,0))</f>
        <v>1170.6152464149334</v>
      </c>
      <c r="Q98" s="119">
        <f>INDEX('Option1 (base case)'!Q$14:Q$91, MATCH($C98, 'Option1 (base case)'!$C$14:$C$91,0))</f>
        <v>1458.511651189528</v>
      </c>
      <c r="R98" s="119">
        <f>INDEX('Option1 (base case)'!R$14:R$91, MATCH($C98, 'Option1 (base case)'!$C$14:$C$91,0))</f>
        <v>1458.511651189528</v>
      </c>
      <c r="S98" s="119">
        <f>INDEX('Option1 (base case)'!S$14:S$91, MATCH($C98, 'Option1 (base case)'!$C$14:$C$91,0))</f>
        <v>1458.511651189528</v>
      </c>
      <c r="T98" s="119">
        <f>INDEX('Option1 (base case)'!T$14:T$91, MATCH($C98, 'Option1 (base case)'!$C$14:$C$91,0))</f>
        <v>1458.511651189528</v>
      </c>
      <c r="U98" s="119">
        <f>INDEX('Option1 (base case)'!U$14:U$91, MATCH($C98, 'Option1 (base case)'!$C$14:$C$91,0))</f>
        <v>1458.511651189528</v>
      </c>
      <c r="V98" s="119">
        <f>INDEX('Option1 (base case)'!V$14:V$91, MATCH($C98, 'Option1 (base case)'!$C$14:$C$91,0))</f>
        <v>1458.511651189528</v>
      </c>
      <c r="W98" s="119">
        <f>INDEX('Option1 (base case)'!W$14:W$91, MATCH($C98, 'Option1 (base case)'!$C$14:$C$91,0))</f>
        <v>1458.511651189528</v>
      </c>
      <c r="X98" s="119">
        <f>INDEX('Option1 (base case)'!X$14:X$91, MATCH($C98, 'Option1 (base case)'!$C$14:$C$91,0))</f>
        <v>1458.511651189528</v>
      </c>
      <c r="Y98" s="119">
        <f>INDEX('Option1 (base case)'!Y$14:Y$91, MATCH($C98, 'Option1 (base case)'!$C$14:$C$91,0))</f>
        <v>1458.511651189528</v>
      </c>
      <c r="Z98" s="119">
        <f>INDEX('Option1 (base case)'!Z$14:Z$91, MATCH($C98, 'Option1 (base case)'!$C$14:$C$91,0))</f>
        <v>1458.511651189528</v>
      </c>
      <c r="AA98" s="119">
        <f>INDEX('Option1 (base case)'!AA$14:AA$91, MATCH($C98, 'Option1 (base case)'!$C$14:$C$91,0))</f>
        <v>1458.511651189528</v>
      </c>
      <c r="AB98" s="119">
        <f>INDEX('Option1 (base case)'!AB$14:AB$91, MATCH($C98, 'Option1 (base case)'!$C$14:$C$91,0))</f>
        <v>1458.511651189528</v>
      </c>
      <c r="AC98" s="119">
        <f>INDEX('Option1 (base case)'!AC$14:AC$91, MATCH($C98, 'Option1 (base case)'!$C$14:$C$91,0))</f>
        <v>1458.511651189528</v>
      </c>
      <c r="AD98" s="119">
        <f>INDEX('Option1 (base case)'!AD$14:AD$91, MATCH($C98, 'Option1 (base case)'!$C$14:$C$91,0))</f>
        <v>1458.511651189528</v>
      </c>
      <c r="AE98" s="119">
        <f>INDEX('Option1 (base case)'!AE$14:AE$91, MATCH($C98, 'Option1 (base case)'!$C$14:$C$91,0))</f>
        <v>1458.511651189528</v>
      </c>
      <c r="AF98" s="119">
        <f>INDEX('Option1 (base case)'!AF$14:AF$91, MATCH($C98, 'Option1 (base case)'!$C$14:$C$91,0))</f>
        <v>1458.511651189528</v>
      </c>
      <c r="AG98" s="119">
        <f>INDEX('Option1 (base case)'!AG$14:AG$91, MATCH($C98, 'Option1 (base case)'!$C$14:$C$91,0))</f>
        <v>1458.511651189528</v>
      </c>
    </row>
    <row r="99" spans="1:33" x14ac:dyDescent="0.2">
      <c r="A99" s="201" t="str">
        <f>A23</f>
        <v>Option 1 (base case)</v>
      </c>
      <c r="B99" s="142"/>
      <c r="C99" s="201" t="s">
        <v>124</v>
      </c>
      <c r="D99" s="194">
        <f>MAX(H99:AG99)</f>
        <v>62.083006944533452</v>
      </c>
      <c r="E99" s="298"/>
      <c r="H99" s="119" t="str">
        <f>A99&amp;" risk cost"</f>
        <v>Option 1 (base case) risk cost</v>
      </c>
      <c r="I99" s="119">
        <f>INDEX('Option1 (base case)'!I$14:I$91, MATCH($C99, 'Option1 (base case)'!$C$14:$C$91,0))/10^6</f>
        <v>5.365580853377395</v>
      </c>
      <c r="J99" s="119">
        <f>INDEX('Option1 (base case)'!J$14:J$91, MATCH($C99, 'Option1 (base case)'!$C$14:$C$91,0))/10^6</f>
        <v>9.027994753837735</v>
      </c>
      <c r="K99" s="119">
        <f>INDEX('Option1 (base case)'!K$14:K$91, MATCH($C99, 'Option1 (base case)'!$C$14:$C$91,0))/10^6</f>
        <v>11.821395639406161</v>
      </c>
      <c r="L99" s="119">
        <f>INDEX('Option1 (base case)'!L$14:L$91, MATCH($C99, 'Option1 (base case)'!$C$14:$C$91,0))/10^6</f>
        <v>14.742628445155152</v>
      </c>
      <c r="M99" s="119">
        <f>INDEX('Option1 (base case)'!M$14:M$91, MATCH($C99, 'Option1 (base case)'!$C$14:$C$91,0))/10^6</f>
        <v>18.90076337377619</v>
      </c>
      <c r="N99" s="119">
        <f>INDEX('Option1 (base case)'!N$14:N$91, MATCH($C99, 'Option1 (base case)'!$C$14:$C$91,0))/10^6</f>
        <v>25.982456007576232</v>
      </c>
      <c r="O99" s="119">
        <f>INDEX('Option1 (base case)'!O$14:O$91, MATCH($C99, 'Option1 (base case)'!$C$14:$C$91,0))/10^6</f>
        <v>37.466470250792405</v>
      </c>
      <c r="P99" s="119">
        <f>INDEX('Option1 (base case)'!P$14:P$91, MATCH($C99, 'Option1 (base case)'!$C$14:$C$91,0))/10^6</f>
        <v>49.828408578898056</v>
      </c>
      <c r="Q99" s="119">
        <f>INDEX('Option1 (base case)'!Q$14:Q$91, MATCH($C99, 'Option1 (base case)'!$C$14:$C$91,0))/10^6</f>
        <v>62.083006944533452</v>
      </c>
      <c r="R99" s="119">
        <f>INDEX('Option1 (base case)'!R$14:R$91, MATCH($C99, 'Option1 (base case)'!$C$14:$C$91,0))/10^6</f>
        <v>62.083006944533452</v>
      </c>
      <c r="S99" s="119">
        <f>INDEX('Option1 (base case)'!S$14:S$91, MATCH($C99, 'Option1 (base case)'!$C$14:$C$91,0))/10^6</f>
        <v>62.083006944533452</v>
      </c>
      <c r="T99" s="119">
        <f>INDEX('Option1 (base case)'!T$14:T$91, MATCH($C99, 'Option1 (base case)'!$C$14:$C$91,0))/10^6</f>
        <v>62.083006944533452</v>
      </c>
      <c r="U99" s="119">
        <f>INDEX('Option1 (base case)'!U$14:U$91, MATCH($C99, 'Option1 (base case)'!$C$14:$C$91,0))/10^6</f>
        <v>62.083006944533452</v>
      </c>
      <c r="V99" s="119">
        <f>INDEX('Option1 (base case)'!V$14:V$91, MATCH($C99, 'Option1 (base case)'!$C$14:$C$91,0))/10^6</f>
        <v>62.083006944533452</v>
      </c>
      <c r="W99" s="119">
        <f>INDEX('Option1 (base case)'!W$14:W$91, MATCH($C99, 'Option1 (base case)'!$C$14:$C$91,0))/10^6</f>
        <v>62.083006944533452</v>
      </c>
      <c r="X99" s="119">
        <f>INDEX('Option1 (base case)'!X$14:X$91, MATCH($C99, 'Option1 (base case)'!$C$14:$C$91,0))/10^6</f>
        <v>62.083006944533452</v>
      </c>
      <c r="Y99" s="119">
        <f>INDEX('Option1 (base case)'!Y$14:Y$91, MATCH($C99, 'Option1 (base case)'!$C$14:$C$91,0))/10^6</f>
        <v>62.083006944533452</v>
      </c>
      <c r="Z99" s="119">
        <f>INDEX('Option1 (base case)'!Z$14:Z$91, MATCH($C99, 'Option1 (base case)'!$C$14:$C$91,0))/10^6</f>
        <v>62.083006944533452</v>
      </c>
      <c r="AA99" s="119">
        <f>INDEX('Option1 (base case)'!AA$14:AA$91, MATCH($C99, 'Option1 (base case)'!$C$14:$C$91,0))/10^6</f>
        <v>62.083006944533452</v>
      </c>
      <c r="AB99" s="119">
        <f>INDEX('Option1 (base case)'!AB$14:AB$91, MATCH($C99, 'Option1 (base case)'!$C$14:$C$91,0))/10^6</f>
        <v>62.083006944533452</v>
      </c>
      <c r="AC99" s="119">
        <f>INDEX('Option1 (base case)'!AC$14:AC$91, MATCH($C99, 'Option1 (base case)'!$C$14:$C$91,0))/10^6</f>
        <v>62.083006944533452</v>
      </c>
      <c r="AD99" s="119">
        <f>INDEX('Option1 (base case)'!AD$14:AD$91, MATCH($C99, 'Option1 (base case)'!$C$14:$C$91,0))/10^6</f>
        <v>62.083006944533452</v>
      </c>
      <c r="AE99" s="119">
        <f>INDEX('Option1 (base case)'!AE$14:AE$91, MATCH($C99, 'Option1 (base case)'!$C$14:$C$91,0))/10^6</f>
        <v>62.083006944533452</v>
      </c>
      <c r="AF99" s="119">
        <f>INDEX('Option1 (base case)'!AF$14:AF$91, MATCH($C99, 'Option1 (base case)'!$C$14:$C$91,0))/10^6</f>
        <v>62.083006944533452</v>
      </c>
      <c r="AG99" s="119">
        <f>INDEX('Option1 (base case)'!AG$14:AG$91, MATCH($C99, 'Option1 (base case)'!$C$14:$C$91,0))/10^6</f>
        <v>62.083006944533452</v>
      </c>
    </row>
    <row r="100" spans="1:33" ht="12" x14ac:dyDescent="0.2">
      <c r="E100" s="10"/>
    </row>
    <row r="101" spans="1:33" s="300" customFormat="1" ht="12" x14ac:dyDescent="0.2"/>
    <row r="102" spans="1:33" ht="12" x14ac:dyDescent="0.2">
      <c r="E102" s="10"/>
    </row>
    <row r="103" spans="1:33" ht="12" x14ac:dyDescent="0.2">
      <c r="E103" s="10"/>
      <c r="I103" s="300"/>
    </row>
    <row r="104" spans="1:33" ht="12" x14ac:dyDescent="0.2">
      <c r="E104" s="10"/>
      <c r="H104" s="153"/>
    </row>
    <row r="105" spans="1:33" ht="12" x14ac:dyDescent="0.2">
      <c r="E105" s="10"/>
      <c r="H105" s="153"/>
    </row>
    <row r="106" spans="1:33" ht="12" x14ac:dyDescent="0.2">
      <c r="D106" s="194"/>
      <c r="E106" s="10"/>
    </row>
    <row r="107" spans="1:33" ht="12" x14ac:dyDescent="0.2">
      <c r="D107" s="194"/>
      <c r="E107" s="10"/>
    </row>
    <row r="108" spans="1:33" ht="12" x14ac:dyDescent="0.2">
      <c r="D108" s="194"/>
      <c r="E108" s="84"/>
    </row>
    <row r="109" spans="1:33" ht="12" x14ac:dyDescent="0.2">
      <c r="C109" s="124"/>
      <c r="D109" s="194"/>
      <c r="E109" s="194"/>
    </row>
    <row r="110" spans="1:33" ht="12" x14ac:dyDescent="0.2">
      <c r="D110" s="194"/>
      <c r="E110" s="84"/>
    </row>
    <row r="111" spans="1:33" ht="12" x14ac:dyDescent="0.2">
      <c r="D111" s="194"/>
      <c r="E111" s="84"/>
    </row>
    <row r="112" spans="1:33" ht="12" x14ac:dyDescent="0.2">
      <c r="D112" s="194"/>
      <c r="E112" s="84"/>
    </row>
    <row r="113" spans="4:5" ht="12" x14ac:dyDescent="0.2">
      <c r="D113" s="194"/>
      <c r="E113" s="84"/>
    </row>
    <row r="114" spans="4:5" ht="12" x14ac:dyDescent="0.2">
      <c r="D114" s="194"/>
      <c r="E114" s="84"/>
    </row>
    <row r="115" spans="4:5" ht="12" x14ac:dyDescent="0.2">
      <c r="D115" s="194"/>
      <c r="E115" s="84"/>
    </row>
    <row r="116" spans="4:5" ht="12" x14ac:dyDescent="0.2">
      <c r="D116" s="194"/>
      <c r="E116" s="84"/>
    </row>
    <row r="117" spans="4:5" ht="12" x14ac:dyDescent="0.2">
      <c r="D117" s="194"/>
      <c r="E117" s="84"/>
    </row>
    <row r="118" spans="4:5" ht="12" x14ac:dyDescent="0.2">
      <c r="D118" s="194"/>
      <c r="E118" s="84"/>
    </row>
    <row r="119" spans="4:5" ht="12" x14ac:dyDescent="0.2">
      <c r="D119" s="194"/>
      <c r="E119" s="84"/>
    </row>
    <row r="120" spans="4:5" ht="12" x14ac:dyDescent="0.2">
      <c r="D120" s="194"/>
      <c r="E120" s="84"/>
    </row>
    <row r="121" spans="4:5" ht="12" x14ac:dyDescent="0.2">
      <c r="D121" s="194"/>
      <c r="E121" s="84"/>
    </row>
    <row r="122" spans="4:5" ht="12" x14ac:dyDescent="0.2">
      <c r="D122" s="194"/>
      <c r="E122" s="84"/>
    </row>
    <row r="123" spans="4:5" ht="12" x14ac:dyDescent="0.2">
      <c r="D123" s="194"/>
      <c r="E123" s="84"/>
    </row>
    <row r="124" spans="4:5" ht="12" x14ac:dyDescent="0.2">
      <c r="D124" s="194"/>
      <c r="E124" s="84"/>
    </row>
    <row r="125" spans="4:5" ht="12" x14ac:dyDescent="0.2">
      <c r="D125" s="194"/>
      <c r="E125" s="84"/>
    </row>
    <row r="126" spans="4:5" ht="12" x14ac:dyDescent="0.2">
      <c r="D126" s="194"/>
      <c r="E126" s="84"/>
    </row>
    <row r="127" spans="4:5" ht="12" x14ac:dyDescent="0.2">
      <c r="D127" s="194"/>
      <c r="E127" s="84"/>
    </row>
    <row r="128" spans="4:5" ht="12" x14ac:dyDescent="0.2">
      <c r="D128" s="194"/>
      <c r="E128" s="84"/>
    </row>
    <row r="129" spans="4:5" ht="12" x14ac:dyDescent="0.2">
      <c r="D129" s="194"/>
      <c r="E129" s="84"/>
    </row>
    <row r="130" spans="4:5" ht="12" x14ac:dyDescent="0.2">
      <c r="D130" s="194"/>
      <c r="E130" s="84"/>
    </row>
    <row r="131" spans="4:5" ht="12" x14ac:dyDescent="0.2">
      <c r="D131" s="194"/>
      <c r="E131" s="84"/>
    </row>
    <row r="132" spans="4:5" ht="12" x14ac:dyDescent="0.2">
      <c r="D132" s="194"/>
      <c r="E132" s="84"/>
    </row>
    <row r="133" spans="4:5" ht="12" x14ac:dyDescent="0.2">
      <c r="D133" s="194"/>
      <c r="E133" s="84"/>
    </row>
    <row r="134" spans="4:5" ht="12" x14ac:dyDescent="0.2">
      <c r="D134" s="194"/>
      <c r="E134" s="84"/>
    </row>
    <row r="135" spans="4:5" ht="12" x14ac:dyDescent="0.2">
      <c r="D135" s="194"/>
      <c r="E135" s="84"/>
    </row>
    <row r="136" spans="4:5" ht="12" x14ac:dyDescent="0.2">
      <c r="D136" s="194"/>
      <c r="E136" s="84"/>
    </row>
    <row r="137" spans="4:5" ht="12" x14ac:dyDescent="0.2">
      <c r="D137" s="194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Melton &amp; Wyndham Transformation Capacity Project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7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92">
        <f>Consol!H5</f>
        <v>0</v>
      </c>
      <c r="I5" s="192">
        <f>Consol!I5</f>
        <v>0.98294637436598087</v>
      </c>
      <c r="J5" s="192">
        <f>Consol!J5</f>
        <v>0.94970664189949849</v>
      </c>
      <c r="K5" s="192">
        <f>Consol!K5</f>
        <v>0.91759095835700344</v>
      </c>
      <c r="L5" s="192">
        <f>Consol!L5</f>
        <v>0.88656131242222558</v>
      </c>
      <c r="M5" s="192">
        <f>Consol!M5</f>
        <v>0.85658097818572532</v>
      </c>
      <c r="N5" s="192">
        <f>Consol!N5</f>
        <v>0.8276144716770294</v>
      </c>
      <c r="O5" s="192">
        <f>Consol!O5</f>
        <v>0.79962750886669509</v>
      </c>
      <c r="P5" s="192">
        <f>Consol!P5</f>
        <v>0.77258696508859437</v>
      </c>
      <c r="Q5" s="192">
        <f>Consol!Q5</f>
        <v>0.74646083583439071</v>
      </c>
      <c r="R5" s="192">
        <f>Consol!R5</f>
        <v>0.72121819887380756</v>
      </c>
      <c r="S5" s="192">
        <f>Consol!S5</f>
        <v>0.69682917765585273</v>
      </c>
      <c r="T5" s="192">
        <f>Consol!T5</f>
        <v>0.67326490594768384</v>
      </c>
      <c r="U5" s="192">
        <f>Consol!U5</f>
        <v>0.6504974936692598</v>
      </c>
      <c r="V5" s="192">
        <f>Consol!V5</f>
        <v>0.62849999388334288</v>
      </c>
      <c r="W5" s="192">
        <f>Consol!W5</f>
        <v>0.60724637090178057</v>
      </c>
      <c r="X5" s="192">
        <f>Consol!X5</f>
        <v>0.58671146947031949</v>
      </c>
      <c r="Y5" s="192">
        <f>Consol!Y5</f>
        <v>0.56687098499547783</v>
      </c>
      <c r="Z5" s="192">
        <f>Consol!Z5</f>
        <v>0.54770143477823952</v>
      </c>
      <c r="AA5" s="192">
        <f>Consol!AA5</f>
        <v>0.52918013022052135</v>
      </c>
      <c r="AB5" s="192">
        <f>Consol!AB5</f>
        <v>0.5112851499715183</v>
      </c>
      <c r="AC5" s="192">
        <f>Consol!AC5</f>
        <v>0.4939953139821433</v>
      </c>
      <c r="AD5" s="192">
        <f>Consol!AD5</f>
        <v>0.47729015843685346</v>
      </c>
      <c r="AE5" s="192">
        <f>Consol!AE5</f>
        <v>0.46114991153319179</v>
      </c>
      <c r="AF5" s="192">
        <f>Consol!AF5</f>
        <v>0.4455554700803786</v>
      </c>
      <c r="AG5" s="192">
        <f>Consol!AG5</f>
        <v>0.43048837688925473</v>
      </c>
    </row>
    <row r="6" spans="1:33" s="2" customFormat="1" hidden="1" outlineLevel="1" x14ac:dyDescent="0.2">
      <c r="A6" s="193" t="str">
        <f>'Option1 (base case)'!A6</f>
        <v>Count</v>
      </c>
      <c r="B6" s="116"/>
      <c r="D6" s="117"/>
      <c r="E6" s="116"/>
      <c r="F6" s="116"/>
      <c r="G6" s="101"/>
      <c r="H6" s="193">
        <f>Consol!H6</f>
        <v>0</v>
      </c>
      <c r="I6" s="193">
        <f>Consol!I6</f>
        <v>1</v>
      </c>
      <c r="J6" s="193">
        <f>Consol!J6</f>
        <v>2</v>
      </c>
      <c r="K6" s="193">
        <f>Consol!K6</f>
        <v>3</v>
      </c>
      <c r="L6" s="193">
        <f>Consol!L6</f>
        <v>4</v>
      </c>
      <c r="M6" s="193">
        <f>Consol!M6</f>
        <v>5</v>
      </c>
      <c r="N6" s="193">
        <f>Consol!N6</f>
        <v>6</v>
      </c>
      <c r="O6" s="193">
        <f>Consol!O6</f>
        <v>7</v>
      </c>
      <c r="P6" s="193">
        <f>Consol!P6</f>
        <v>8</v>
      </c>
      <c r="Q6" s="193">
        <f>Consol!Q6</f>
        <v>9</v>
      </c>
      <c r="R6" s="193">
        <f>Consol!R6</f>
        <v>10</v>
      </c>
      <c r="S6" s="193">
        <f>Consol!S6</f>
        <v>11</v>
      </c>
      <c r="T6" s="193">
        <f>Consol!T6</f>
        <v>12</v>
      </c>
      <c r="U6" s="193">
        <f>Consol!U6</f>
        <v>13</v>
      </c>
      <c r="V6" s="193">
        <f>Consol!V6</f>
        <v>14</v>
      </c>
      <c r="W6" s="193">
        <f>Consol!W6</f>
        <v>15</v>
      </c>
      <c r="X6" s="193">
        <f>Consol!X6</f>
        <v>16</v>
      </c>
      <c r="Y6" s="193">
        <f>Consol!Y6</f>
        <v>17</v>
      </c>
      <c r="Z6" s="193">
        <f>Consol!Z6</f>
        <v>18</v>
      </c>
      <c r="AA6" s="193">
        <f>Consol!AA6</f>
        <v>19</v>
      </c>
      <c r="AB6" s="193">
        <f>Consol!AB6</f>
        <v>20</v>
      </c>
      <c r="AC6" s="193">
        <f>Consol!AC6</f>
        <v>21</v>
      </c>
      <c r="AD6" s="193">
        <f>Consol!AD6</f>
        <v>22</v>
      </c>
      <c r="AE6" s="193">
        <f>Consol!AE6</f>
        <v>23</v>
      </c>
      <c r="AF6" s="193">
        <f>Consol!AF6</f>
        <v>24</v>
      </c>
      <c r="AG6" s="193">
        <f>Consol!AG6</f>
        <v>25</v>
      </c>
    </row>
    <row r="7" spans="1:33" s="2" customFormat="1" collapsed="1" x14ac:dyDescent="0.2">
      <c r="A7" s="116" t="s">
        <v>195</v>
      </c>
      <c r="B7" s="116"/>
      <c r="D7" s="117"/>
      <c r="E7" s="116"/>
      <c r="F7" s="116"/>
      <c r="G7" s="101"/>
      <c r="H7" s="260" t="b">
        <f>Consol!H7</f>
        <v>1</v>
      </c>
      <c r="I7" s="260" t="b">
        <f>Consol!I7</f>
        <v>1</v>
      </c>
      <c r="J7" s="260" t="b">
        <f>Consol!J7</f>
        <v>1</v>
      </c>
      <c r="K7" s="260" t="b">
        <f>Consol!K7</f>
        <v>1</v>
      </c>
      <c r="L7" s="260" t="b">
        <f>Consol!L7</f>
        <v>1</v>
      </c>
      <c r="M7" s="260" t="b">
        <f>Consol!M7</f>
        <v>1</v>
      </c>
      <c r="N7" s="260" t="b">
        <f>Consol!N7</f>
        <v>1</v>
      </c>
      <c r="O7" s="260" t="b">
        <f>Consol!O7</f>
        <v>1</v>
      </c>
      <c r="P7" s="260" t="b">
        <f>Consol!P7</f>
        <v>1</v>
      </c>
      <c r="Q7" s="260" t="b">
        <f>Consol!Q7</f>
        <v>1</v>
      </c>
      <c r="R7" s="260" t="b">
        <f>Consol!R7</f>
        <v>1</v>
      </c>
      <c r="S7" s="260" t="b">
        <f>Consol!S7</f>
        <v>1</v>
      </c>
      <c r="T7" s="260" t="b">
        <f>Consol!T7</f>
        <v>1</v>
      </c>
      <c r="U7" s="260" t="b">
        <f>Consol!U7</f>
        <v>1</v>
      </c>
      <c r="V7" s="260" t="b">
        <f>Consol!V7</f>
        <v>1</v>
      </c>
      <c r="W7" s="260" t="b">
        <f>Consol!W7</f>
        <v>1</v>
      </c>
      <c r="X7" s="260" t="b">
        <f>Consol!X7</f>
        <v>1</v>
      </c>
      <c r="Y7" s="260" t="b">
        <f>Consol!Y7</f>
        <v>1</v>
      </c>
      <c r="Z7" s="260" t="b">
        <f>Consol!Z7</f>
        <v>1</v>
      </c>
      <c r="AA7" s="260" t="b">
        <f>Consol!AA7</f>
        <v>1</v>
      </c>
      <c r="AB7" s="260" t="b">
        <f>Consol!AB7</f>
        <v>1</v>
      </c>
      <c r="AC7" s="260" t="b">
        <f>Consol!AC7</f>
        <v>0</v>
      </c>
      <c r="AD7" s="260" t="b">
        <f>Consol!AD7</f>
        <v>0</v>
      </c>
      <c r="AE7" s="260" t="b">
        <f>Consol!AE7</f>
        <v>0</v>
      </c>
      <c r="AF7" s="260" t="b">
        <f>Consol!AF7</f>
        <v>0</v>
      </c>
      <c r="AG7" s="260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6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50"/>
      <c r="B12" s="250"/>
      <c r="C12" s="250"/>
      <c r="D12" s="250"/>
      <c r="E12" s="250"/>
      <c r="F12" s="250"/>
      <c r="G12" s="25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61515180.18961399</v>
      </c>
      <c r="AA12" s="31">
        <f>Consol!AB36</f>
        <v>61515180.18961399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1"/>
    </row>
    <row r="13" spans="1:33" s="7" customFormat="1" x14ac:dyDescent="0.2">
      <c r="A13" s="250"/>
      <c r="B13" s="250"/>
      <c r="C13" s="250"/>
      <c r="D13" s="250"/>
      <c r="E13" s="250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1:33" s="7" customFormat="1" x14ac:dyDescent="0.2">
      <c r="A14" s="258" t="s">
        <v>142</v>
      </c>
      <c r="B14" s="258" t="s">
        <v>119</v>
      </c>
      <c r="C14" s="258" t="s">
        <v>188</v>
      </c>
      <c r="D14" s="258" t="str">
        <f>A14&amp;B14</f>
        <v>OPTION 1 (base case)NPV</v>
      </c>
      <c r="E14" s="259"/>
      <c r="F14" s="31">
        <f>SUMPRODUCT($H14:$AG14, $H$5:$AG$5)</f>
        <v>0</v>
      </c>
      <c r="G14" s="251"/>
      <c r="H14" s="31">
        <f>'Option1 (base case)'!I91*conv_2026</f>
        <v>0</v>
      </c>
      <c r="I14" s="31">
        <f>'Option1 (base case)'!J91*conv_2026</f>
        <v>0</v>
      </c>
      <c r="J14" s="31">
        <f>'Option1 (base case)'!K91*conv_2026</f>
        <v>0</v>
      </c>
      <c r="K14" s="31">
        <f>'Option1 (base case)'!L91*conv_2026</f>
        <v>0</v>
      </c>
      <c r="L14" s="31">
        <f>'Option1 (base case)'!M91*conv_2026</f>
        <v>0</v>
      </c>
      <c r="M14" s="31">
        <f>'Option1 (base case)'!N91*conv_2026</f>
        <v>0</v>
      </c>
      <c r="N14" s="31">
        <f>'Option1 (base case)'!O91*conv_2026</f>
        <v>0</v>
      </c>
      <c r="O14" s="31">
        <f>'Option1 (base case)'!P91*conv_2026</f>
        <v>0</v>
      </c>
      <c r="P14" s="31">
        <f>'Option1 (base case)'!Q91*conv_2026</f>
        <v>0</v>
      </c>
      <c r="Q14" s="31">
        <f>'Option1 (base case)'!R91*conv_2026</f>
        <v>0</v>
      </c>
      <c r="R14" s="31">
        <f>'Option1 (base case)'!S91*conv_2026</f>
        <v>0</v>
      </c>
      <c r="S14" s="31">
        <f>'Option1 (base case)'!T91*conv_2026</f>
        <v>0</v>
      </c>
      <c r="T14" s="31">
        <f>'Option1 (base case)'!U91*conv_2026</f>
        <v>0</v>
      </c>
      <c r="U14" s="31">
        <f>'Option1 (base case)'!V91*conv_2026</f>
        <v>0</v>
      </c>
      <c r="V14" s="31">
        <f>'Option1 (base case)'!W91*conv_2026</f>
        <v>0</v>
      </c>
      <c r="W14" s="31">
        <f>'Option1 (base case)'!X91*conv_2026</f>
        <v>0</v>
      </c>
      <c r="X14" s="31">
        <f>'Option1 (base case)'!Y91*conv_2026</f>
        <v>0</v>
      </c>
      <c r="Y14" s="31">
        <f>'Option1 (base case)'!Z91*conv_2026</f>
        <v>0</v>
      </c>
      <c r="Z14" s="31">
        <f>'Option1 (base case)'!AA91*conv_2026</f>
        <v>0</v>
      </c>
      <c r="AA14" s="31">
        <f>'Option1 (base case)'!AB91*conv_2026</f>
        <v>0</v>
      </c>
      <c r="AB14" s="31">
        <f>'Option1 (base case)'!AC91*conv_2026</f>
        <v>0</v>
      </c>
      <c r="AC14" s="31">
        <f>'Option1 (base case)'!AD91*conv_2026</f>
        <v>0</v>
      </c>
      <c r="AD14" s="31">
        <f>'Option1 (base case)'!AE91*conv_2026</f>
        <v>0</v>
      </c>
      <c r="AE14" s="31">
        <f>'Option1 (base case)'!AF91*conv_2026</f>
        <v>0</v>
      </c>
      <c r="AF14" s="31">
        <f>'Option1 (base case)'!AG91*conv_2026</f>
        <v>0</v>
      </c>
      <c r="AG14" s="31">
        <f>'Option1 (base case)'!AH91*conv_2026</f>
        <v>0</v>
      </c>
    </row>
    <row r="15" spans="1:33" s="7" customFormat="1" x14ac:dyDescent="0.2">
      <c r="A15" s="250"/>
      <c r="B15" s="250"/>
      <c r="C15" s="250"/>
      <c r="D15" s="250"/>
      <c r="E15" s="250"/>
      <c r="F15" s="250"/>
      <c r="G15" s="25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8" t="s">
        <v>142</v>
      </c>
      <c r="B16" s="258" t="str">
        <f>'Option1 (base case)'!A114</f>
        <v>sens1</v>
      </c>
      <c r="C16" s="258" t="str">
        <f>'Option1 (base case)'!C114</f>
        <v>Capex 10% higher</v>
      </c>
      <c r="D16" s="258" t="str">
        <f t="shared" ref="D16:D23" si="0">A16&amp;B16</f>
        <v>OPTION 1 (base case)sens1</v>
      </c>
      <c r="E16" s="259"/>
      <c r="F16" s="31">
        <f>SUMPRODUCT($H16:$AG16, $H$5:$AG$5)</f>
        <v>0</v>
      </c>
      <c r="G16" s="251"/>
      <c r="H16" s="31">
        <f>(INDEX('Option1 (base case)'!H$110:H$121, MATCH($D16, 'Option1 (base case)'!$G$110:$G$121,0)))*conv_2026*H$7</f>
        <v>0</v>
      </c>
      <c r="I16" s="31">
        <f>(INDEX('Option1 (base case)'!I$110:I$121, MATCH($D16, 'Option1 (base case)'!$G$110:$G$121,0)))*conv_2026*I$7</f>
        <v>0</v>
      </c>
      <c r="J16" s="31">
        <f>(INDEX('Option1 (base case)'!J$110:J$121, MATCH($D16, 'Option1 (base case)'!$G$110:$G$121,0)))*conv_2026*J$7</f>
        <v>0</v>
      </c>
      <c r="K16" s="31">
        <f>(INDEX('Option1 (base case)'!K$110:K$121, MATCH($D16, 'Option1 (base case)'!$G$110:$G$121,0)))*conv_2026*K$7</f>
        <v>0</v>
      </c>
      <c r="L16" s="31">
        <f>(INDEX('Option1 (base case)'!L$110:L$121, MATCH($D16, 'Option1 (base case)'!$G$110:$G$121,0)))*conv_2026*L$7</f>
        <v>0</v>
      </c>
      <c r="M16" s="31">
        <f>(INDEX('Option1 (base case)'!M$110:M$121, MATCH($D16, 'Option1 (base case)'!$G$110:$G$121,0)))*conv_2026*M$7</f>
        <v>0</v>
      </c>
      <c r="N16" s="31">
        <f>(INDEX('Option1 (base case)'!N$110:N$121, MATCH($D16, 'Option1 (base case)'!$G$110:$G$121,0)))*conv_2026*N$7</f>
        <v>0</v>
      </c>
      <c r="O16" s="31">
        <f>(INDEX('Option1 (base case)'!O$110:O$121, MATCH($D16, 'Option1 (base case)'!$G$110:$G$121,0)))*conv_2026*O$7</f>
        <v>0</v>
      </c>
      <c r="P16" s="31">
        <f>(INDEX('Option1 (base case)'!P$110:P$121, MATCH($D16, 'Option1 (base case)'!$G$110:$G$121,0)))*conv_2026*P$7</f>
        <v>0</v>
      </c>
      <c r="Q16" s="31">
        <f>(INDEX('Option1 (base case)'!Q$110:Q$121, MATCH($D16, 'Option1 (base case)'!$G$110:$G$121,0)))*conv_2026*Q$7</f>
        <v>0</v>
      </c>
      <c r="R16" s="31">
        <f>(INDEX('Option1 (base case)'!R$110:R$121, MATCH($D16, 'Option1 (base case)'!$G$110:$G$121,0)))*conv_2026*R$7</f>
        <v>0</v>
      </c>
      <c r="S16" s="31">
        <f>(INDEX('Option1 (base case)'!S$110:S$121, MATCH($D16, 'Option1 (base case)'!$G$110:$G$121,0)))*conv_2026*S$7</f>
        <v>0</v>
      </c>
      <c r="T16" s="31">
        <f>(INDEX('Option1 (base case)'!T$110:T$121, MATCH($D16, 'Option1 (base case)'!$G$110:$G$121,0)))*conv_2026*T$7</f>
        <v>0</v>
      </c>
      <c r="U16" s="31">
        <f>(INDEX('Option1 (base case)'!U$110:U$121, MATCH($D16, 'Option1 (base case)'!$G$110:$G$121,0)))*conv_2026*U$7</f>
        <v>0</v>
      </c>
      <c r="V16" s="31">
        <f>(INDEX('Option1 (base case)'!V$110:V$121, MATCH($D16, 'Option1 (base case)'!$G$110:$G$121,0)))*conv_2026*V$7</f>
        <v>0</v>
      </c>
      <c r="W16" s="31">
        <f>(INDEX('Option1 (base case)'!W$110:W$121, MATCH($D16, 'Option1 (base case)'!$G$110:$G$121,0)))*conv_2026*W$7</f>
        <v>0</v>
      </c>
      <c r="X16" s="31">
        <f>(INDEX('Option1 (base case)'!X$110:X$121, MATCH($D16, 'Option1 (base case)'!$G$110:$G$121,0)))*conv_2026*X$7</f>
        <v>0</v>
      </c>
      <c r="Y16" s="31">
        <f>(INDEX('Option1 (base case)'!Y$110:Y$121, MATCH($D16, 'Option1 (base case)'!$G$110:$G$121,0)))*conv_2026*Y$7</f>
        <v>0</v>
      </c>
      <c r="Z16" s="31">
        <f>(INDEX('Option1 (base case)'!Z$110:Z$121, MATCH($D16, 'Option1 (base case)'!$G$110:$G$121,0)))*conv_2026*Z$7</f>
        <v>0</v>
      </c>
      <c r="AA16" s="31">
        <f>(INDEX('Option1 (base case)'!AA$110:AA$121, MATCH($D16, 'Option1 (base case)'!$G$110:$G$121,0)))*conv_2026*AA$7</f>
        <v>0</v>
      </c>
      <c r="AB16" s="31">
        <f>(INDEX('Option1 (base case)'!AB$110:AB$121, MATCH($D16, 'Option1 (base case)'!$G$110:$G$121,0)))*conv_2026*AB$7</f>
        <v>0</v>
      </c>
      <c r="AC16" s="31">
        <f>(INDEX('Option1 (base case)'!AC$110:AC$121, MATCH($D16, 'Option1 (base case)'!$G$110:$G$121,0)))*conv_2026*AC$7</f>
        <v>0</v>
      </c>
      <c r="AD16" s="31">
        <f>(INDEX('Option1 (base case)'!AD$110:AD$121, MATCH($D16, 'Option1 (base case)'!$G$110:$G$121,0)))*conv_2026*AD$7</f>
        <v>0</v>
      </c>
      <c r="AE16" s="31">
        <f>(INDEX('Option1 (base case)'!AE$110:AE$121, MATCH($D16, 'Option1 (base case)'!$G$110:$G$121,0)))*conv_2026*AE$7</f>
        <v>0</v>
      </c>
      <c r="AF16" s="31">
        <f>(INDEX('Option1 (base case)'!AF$110:AF$121, MATCH($D16, 'Option1 (base case)'!$G$110:$G$121,0)))*conv_2026*AF$7</f>
        <v>0</v>
      </c>
      <c r="AG16" s="31">
        <f>(INDEX('Option1 (base case)'!AG$110:AG$121, MATCH($D16, 'Option1 (base case)'!$G$110:$G$121,0)))*conv_2026*AG$7</f>
        <v>0</v>
      </c>
    </row>
    <row r="17" spans="1:35" s="7" customFormat="1" x14ac:dyDescent="0.2">
      <c r="A17" s="258" t="s">
        <v>142</v>
      </c>
      <c r="B17" s="258" t="str">
        <f>'Option1 (base case)'!A115</f>
        <v>sens2</v>
      </c>
      <c r="C17" s="258" t="str">
        <f>'Option1 (base case)'!C115</f>
        <v>Capex 10% lower</v>
      </c>
      <c r="D17" s="258" t="str">
        <f t="shared" si="0"/>
        <v>OPTION 1 (base case)sens2</v>
      </c>
      <c r="E17" s="259"/>
      <c r="F17" s="31">
        <f t="shared" ref="F17:F23" si="1">SUMPRODUCT($H17:$AG17, $H$5:$AG$5)</f>
        <v>0</v>
      </c>
      <c r="G17" s="258"/>
      <c r="H17" s="31">
        <f>(INDEX('Option1 (base case)'!H$110:H$121, MATCH($D17, 'Option1 (base case)'!$G$110:$G$121,0)))*conv_2026*H$7</f>
        <v>0</v>
      </c>
      <c r="I17" s="31">
        <f>(INDEX('Option1 (base case)'!I$110:I$121, MATCH($D17, 'Option1 (base case)'!$G$110:$G$121,0)))*conv_2026*I$7</f>
        <v>0</v>
      </c>
      <c r="J17" s="31">
        <f>(INDEX('Option1 (base case)'!J$110:J$121, MATCH($D17, 'Option1 (base case)'!$G$110:$G$121,0)))*conv_2026*J$7</f>
        <v>0</v>
      </c>
      <c r="K17" s="31">
        <f>(INDEX('Option1 (base case)'!K$110:K$121, MATCH($D17, 'Option1 (base case)'!$G$110:$G$121,0)))*conv_2026*K$7</f>
        <v>0</v>
      </c>
      <c r="L17" s="31">
        <f>(INDEX('Option1 (base case)'!L$110:L$121, MATCH($D17, 'Option1 (base case)'!$G$110:$G$121,0)))*conv_2026*L$7</f>
        <v>0</v>
      </c>
      <c r="M17" s="31">
        <f>(INDEX('Option1 (base case)'!M$110:M$121, MATCH($D17, 'Option1 (base case)'!$G$110:$G$121,0)))*conv_2026*M$7</f>
        <v>0</v>
      </c>
      <c r="N17" s="31">
        <f>(INDEX('Option1 (base case)'!N$110:N$121, MATCH($D17, 'Option1 (base case)'!$G$110:$G$121,0)))*conv_2026*N$7</f>
        <v>0</v>
      </c>
      <c r="O17" s="31">
        <f>(INDEX('Option1 (base case)'!O$110:O$121, MATCH($D17, 'Option1 (base case)'!$G$110:$G$121,0)))*conv_2026*O$7</f>
        <v>0</v>
      </c>
      <c r="P17" s="31">
        <f>(INDEX('Option1 (base case)'!P$110:P$121, MATCH($D17, 'Option1 (base case)'!$G$110:$G$121,0)))*conv_2026*P$7</f>
        <v>0</v>
      </c>
      <c r="Q17" s="31">
        <f>(INDEX('Option1 (base case)'!Q$110:Q$121, MATCH($D17, 'Option1 (base case)'!$G$110:$G$121,0)))*conv_2026*Q$7</f>
        <v>0</v>
      </c>
      <c r="R17" s="31">
        <f>(INDEX('Option1 (base case)'!R$110:R$121, MATCH($D17, 'Option1 (base case)'!$G$110:$G$121,0)))*conv_2026*R$7</f>
        <v>0</v>
      </c>
      <c r="S17" s="31">
        <f>(INDEX('Option1 (base case)'!S$110:S$121, MATCH($D17, 'Option1 (base case)'!$G$110:$G$121,0)))*conv_2026*S$7</f>
        <v>0</v>
      </c>
      <c r="T17" s="31">
        <f>(INDEX('Option1 (base case)'!T$110:T$121, MATCH($D17, 'Option1 (base case)'!$G$110:$G$121,0)))*conv_2026*T$7</f>
        <v>0</v>
      </c>
      <c r="U17" s="31">
        <f>(INDEX('Option1 (base case)'!U$110:U$121, MATCH($D17, 'Option1 (base case)'!$G$110:$G$121,0)))*conv_2026*U$7</f>
        <v>0</v>
      </c>
      <c r="V17" s="31">
        <f>(INDEX('Option1 (base case)'!V$110:V$121, MATCH($D17, 'Option1 (base case)'!$G$110:$G$121,0)))*conv_2026*V$7</f>
        <v>0</v>
      </c>
      <c r="W17" s="31">
        <f>(INDEX('Option1 (base case)'!W$110:W$121, MATCH($D17, 'Option1 (base case)'!$G$110:$G$121,0)))*conv_2026*W$7</f>
        <v>0</v>
      </c>
      <c r="X17" s="31">
        <f>(INDEX('Option1 (base case)'!X$110:X$121, MATCH($D17, 'Option1 (base case)'!$G$110:$G$121,0)))*conv_2026*X$7</f>
        <v>0</v>
      </c>
      <c r="Y17" s="31">
        <f>(INDEX('Option1 (base case)'!Y$110:Y$121, MATCH($D17, 'Option1 (base case)'!$G$110:$G$121,0)))*conv_2026*Y$7</f>
        <v>0</v>
      </c>
      <c r="Z17" s="31">
        <f>(INDEX('Option1 (base case)'!Z$110:Z$121, MATCH($D17, 'Option1 (base case)'!$G$110:$G$121,0)))*conv_2026*Z$7</f>
        <v>0</v>
      </c>
      <c r="AA17" s="31">
        <f>(INDEX('Option1 (base case)'!AA$110:AA$121, MATCH($D17, 'Option1 (base case)'!$G$110:$G$121,0)))*conv_2026*AA$7</f>
        <v>0</v>
      </c>
      <c r="AB17" s="31">
        <f>(INDEX('Option1 (base case)'!AB$110:AB$121, MATCH($D17, 'Option1 (base case)'!$G$110:$G$121,0)))*conv_2026*AB$7</f>
        <v>0</v>
      </c>
      <c r="AC17" s="31">
        <f>(INDEX('Option1 (base case)'!AC$110:AC$121, MATCH($D17, 'Option1 (base case)'!$G$110:$G$121,0)))*conv_2026*AC$7</f>
        <v>0</v>
      </c>
      <c r="AD17" s="31">
        <f>(INDEX('Option1 (base case)'!AD$110:AD$121, MATCH($D17, 'Option1 (base case)'!$G$110:$G$121,0)))*conv_2026*AD$7</f>
        <v>0</v>
      </c>
      <c r="AE17" s="31">
        <f>(INDEX('Option1 (base case)'!AE$110:AE$121, MATCH($D17, 'Option1 (base case)'!$G$110:$G$121,0)))*conv_2026*AE$7</f>
        <v>0</v>
      </c>
      <c r="AF17" s="31">
        <f>(INDEX('Option1 (base case)'!AF$110:AF$121, MATCH($D17, 'Option1 (base case)'!$G$110:$G$121,0)))*conv_2026*AF$7</f>
        <v>0</v>
      </c>
      <c r="AG17" s="31">
        <f>(INDEX('Option1 (base case)'!AG$110:AG$121, MATCH($D17, 'Option1 (base case)'!$G$110:$G$121,0)))*conv_2026*AG$7</f>
        <v>0</v>
      </c>
      <c r="AH17" s="8"/>
      <c r="AI17" s="8"/>
    </row>
    <row r="18" spans="1:35" s="7" customFormat="1" x14ac:dyDescent="0.2">
      <c r="A18" s="258" t="s">
        <v>142</v>
      </c>
      <c r="B18" s="258" t="str">
        <f>'Option1 (base case)'!A116</f>
        <v>sens3</v>
      </c>
      <c r="C18" s="258" t="str">
        <f>'Option1 (base case)'!C116</f>
        <v>Total benefits 10% higher</v>
      </c>
      <c r="D18" s="258" t="str">
        <f t="shared" si="0"/>
        <v>OPTION 1 (base case)sens3</v>
      </c>
      <c r="E18" s="259"/>
      <c r="F18" s="31">
        <f t="shared" si="1"/>
        <v>0</v>
      </c>
      <c r="G18" s="8"/>
      <c r="H18" s="31">
        <f>(INDEX('Option1 (base case)'!H$110:H$121, MATCH($D18, 'Option1 (base case)'!$G$110:$G$121,0)))*conv_2026*H$7</f>
        <v>0</v>
      </c>
      <c r="I18" s="31">
        <f>(INDEX('Option1 (base case)'!I$110:I$121, MATCH($D18, 'Option1 (base case)'!$G$110:$G$121,0)))*conv_2026*I$7</f>
        <v>0</v>
      </c>
      <c r="J18" s="31">
        <f>(INDEX('Option1 (base case)'!J$110:J$121, MATCH($D18, 'Option1 (base case)'!$G$110:$G$121,0)))*conv_2026*J$7</f>
        <v>0</v>
      </c>
      <c r="K18" s="31">
        <f>(INDEX('Option1 (base case)'!K$110:K$121, MATCH($D18, 'Option1 (base case)'!$G$110:$G$121,0)))*conv_2026*K$7</f>
        <v>0</v>
      </c>
      <c r="L18" s="31">
        <f>(INDEX('Option1 (base case)'!L$110:L$121, MATCH($D18, 'Option1 (base case)'!$G$110:$G$121,0)))*conv_2026*L$7</f>
        <v>0</v>
      </c>
      <c r="M18" s="31">
        <f>(INDEX('Option1 (base case)'!M$110:M$121, MATCH($D18, 'Option1 (base case)'!$G$110:$G$121,0)))*conv_2026*M$7</f>
        <v>0</v>
      </c>
      <c r="N18" s="31">
        <f>(INDEX('Option1 (base case)'!N$110:N$121, MATCH($D18, 'Option1 (base case)'!$G$110:$G$121,0)))*conv_2026*N$7</f>
        <v>0</v>
      </c>
      <c r="O18" s="31">
        <f>(INDEX('Option1 (base case)'!O$110:O$121, MATCH($D18, 'Option1 (base case)'!$G$110:$G$121,0)))*conv_2026*O$7</f>
        <v>0</v>
      </c>
      <c r="P18" s="31">
        <f>(INDEX('Option1 (base case)'!P$110:P$121, MATCH($D18, 'Option1 (base case)'!$G$110:$G$121,0)))*conv_2026*P$7</f>
        <v>0</v>
      </c>
      <c r="Q18" s="31">
        <f>(INDEX('Option1 (base case)'!Q$110:Q$121, MATCH($D18, 'Option1 (base case)'!$G$110:$G$121,0)))*conv_2026*Q$7</f>
        <v>0</v>
      </c>
      <c r="R18" s="31">
        <f>(INDEX('Option1 (base case)'!R$110:R$121, MATCH($D18, 'Option1 (base case)'!$G$110:$G$121,0)))*conv_2026*R$7</f>
        <v>0</v>
      </c>
      <c r="S18" s="31">
        <f>(INDEX('Option1 (base case)'!S$110:S$121, MATCH($D18, 'Option1 (base case)'!$G$110:$G$121,0)))*conv_2026*S$7</f>
        <v>0</v>
      </c>
      <c r="T18" s="31">
        <f>(INDEX('Option1 (base case)'!T$110:T$121, MATCH($D18, 'Option1 (base case)'!$G$110:$G$121,0)))*conv_2026*T$7</f>
        <v>0</v>
      </c>
      <c r="U18" s="31">
        <f>(INDEX('Option1 (base case)'!U$110:U$121, MATCH($D18, 'Option1 (base case)'!$G$110:$G$121,0)))*conv_2026*U$7</f>
        <v>0</v>
      </c>
      <c r="V18" s="31">
        <f>(INDEX('Option1 (base case)'!V$110:V$121, MATCH($D18, 'Option1 (base case)'!$G$110:$G$121,0)))*conv_2026*V$7</f>
        <v>0</v>
      </c>
      <c r="W18" s="31">
        <f>(INDEX('Option1 (base case)'!W$110:W$121, MATCH($D18, 'Option1 (base case)'!$G$110:$G$121,0)))*conv_2026*W$7</f>
        <v>0</v>
      </c>
      <c r="X18" s="31">
        <f>(INDEX('Option1 (base case)'!X$110:X$121, MATCH($D18, 'Option1 (base case)'!$G$110:$G$121,0)))*conv_2026*X$7</f>
        <v>0</v>
      </c>
      <c r="Y18" s="31">
        <f>(INDEX('Option1 (base case)'!Y$110:Y$121, MATCH($D18, 'Option1 (base case)'!$G$110:$G$121,0)))*conv_2026*Y$7</f>
        <v>0</v>
      </c>
      <c r="Z18" s="31">
        <f>(INDEX('Option1 (base case)'!Z$110:Z$121, MATCH($D18, 'Option1 (base case)'!$G$110:$G$121,0)))*conv_2026*Z$7</f>
        <v>0</v>
      </c>
      <c r="AA18" s="31">
        <f>(INDEX('Option1 (base case)'!AA$110:AA$121, MATCH($D18, 'Option1 (base case)'!$G$110:$G$121,0)))*conv_2026*AA$7</f>
        <v>0</v>
      </c>
      <c r="AB18" s="31">
        <f>(INDEX('Option1 (base case)'!AB$110:AB$121, MATCH($D18, 'Option1 (base case)'!$G$110:$G$121,0)))*conv_2026*AB$7</f>
        <v>0</v>
      </c>
      <c r="AC18" s="31">
        <f>(INDEX('Option1 (base case)'!AC$110:AC$121, MATCH($D18, 'Option1 (base case)'!$G$110:$G$121,0)))*conv_2026*AC$7</f>
        <v>0</v>
      </c>
      <c r="AD18" s="31">
        <f>(INDEX('Option1 (base case)'!AD$110:AD$121, MATCH($D18, 'Option1 (base case)'!$G$110:$G$121,0)))*conv_2026*AD$7</f>
        <v>0</v>
      </c>
      <c r="AE18" s="31">
        <f>(INDEX('Option1 (base case)'!AE$110:AE$121, MATCH($D18, 'Option1 (base case)'!$G$110:$G$121,0)))*conv_2026*AE$7</f>
        <v>0</v>
      </c>
      <c r="AF18" s="31">
        <f>(INDEX('Option1 (base case)'!AF$110:AF$121, MATCH($D18, 'Option1 (base case)'!$G$110:$G$121,0)))*conv_2026*AF$7</f>
        <v>0</v>
      </c>
      <c r="AG18" s="31">
        <f>(INDEX('Option1 (base case)'!AG$110:AG$121, MATCH($D18, 'Option1 (base case)'!$G$110:$G$121,0)))*conv_2026*AG$7</f>
        <v>0</v>
      </c>
      <c r="AH18" s="8"/>
      <c r="AI18" s="8"/>
    </row>
    <row r="19" spans="1:35" s="7" customFormat="1" x14ac:dyDescent="0.2">
      <c r="A19" s="258" t="s">
        <v>142</v>
      </c>
      <c r="B19" s="258" t="str">
        <f>'Option1 (base case)'!A117</f>
        <v>sens4</v>
      </c>
      <c r="C19" s="258" t="str">
        <f>'Option1 (base case)'!C117</f>
        <v>Total benefits 10% lower</v>
      </c>
      <c r="D19" s="258" t="str">
        <f t="shared" si="0"/>
        <v>OPTION 1 (base case)sens4</v>
      </c>
      <c r="E19" s="259"/>
      <c r="F19" s="31">
        <f t="shared" si="1"/>
        <v>0</v>
      </c>
      <c r="G19" s="8"/>
      <c r="H19" s="31">
        <f>(INDEX('Option1 (base case)'!H$110:H$121, MATCH($D19, 'Option1 (base case)'!$G$110:$G$121,0)))*conv_2026*H$7</f>
        <v>0</v>
      </c>
      <c r="I19" s="31">
        <f>(INDEX('Option1 (base case)'!I$110:I$121, MATCH($D19, 'Option1 (base case)'!$G$110:$G$121,0)))*conv_2026*I$7</f>
        <v>0</v>
      </c>
      <c r="J19" s="31">
        <f>(INDEX('Option1 (base case)'!J$110:J$121, MATCH($D19, 'Option1 (base case)'!$G$110:$G$121,0)))*conv_2026*J$7</f>
        <v>0</v>
      </c>
      <c r="K19" s="31">
        <f>(INDEX('Option1 (base case)'!K$110:K$121, MATCH($D19, 'Option1 (base case)'!$G$110:$G$121,0)))*conv_2026*K$7</f>
        <v>0</v>
      </c>
      <c r="L19" s="31">
        <f>(INDEX('Option1 (base case)'!L$110:L$121, MATCH($D19, 'Option1 (base case)'!$G$110:$G$121,0)))*conv_2026*L$7</f>
        <v>0</v>
      </c>
      <c r="M19" s="31">
        <f>(INDEX('Option1 (base case)'!M$110:M$121, MATCH($D19, 'Option1 (base case)'!$G$110:$G$121,0)))*conv_2026*M$7</f>
        <v>0</v>
      </c>
      <c r="N19" s="31">
        <f>(INDEX('Option1 (base case)'!N$110:N$121, MATCH($D19, 'Option1 (base case)'!$G$110:$G$121,0)))*conv_2026*N$7</f>
        <v>0</v>
      </c>
      <c r="O19" s="31">
        <f>(INDEX('Option1 (base case)'!O$110:O$121, MATCH($D19, 'Option1 (base case)'!$G$110:$G$121,0)))*conv_2026*O$7</f>
        <v>0</v>
      </c>
      <c r="P19" s="31">
        <f>(INDEX('Option1 (base case)'!P$110:P$121, MATCH($D19, 'Option1 (base case)'!$G$110:$G$121,0)))*conv_2026*P$7</f>
        <v>0</v>
      </c>
      <c r="Q19" s="31">
        <f>(INDEX('Option1 (base case)'!Q$110:Q$121, MATCH($D19, 'Option1 (base case)'!$G$110:$G$121,0)))*conv_2026*Q$7</f>
        <v>0</v>
      </c>
      <c r="R19" s="31">
        <f>(INDEX('Option1 (base case)'!R$110:R$121, MATCH($D19, 'Option1 (base case)'!$G$110:$G$121,0)))*conv_2026*R$7</f>
        <v>0</v>
      </c>
      <c r="S19" s="31">
        <f>(INDEX('Option1 (base case)'!S$110:S$121, MATCH($D19, 'Option1 (base case)'!$G$110:$G$121,0)))*conv_2026*S$7</f>
        <v>0</v>
      </c>
      <c r="T19" s="31">
        <f>(INDEX('Option1 (base case)'!T$110:T$121, MATCH($D19, 'Option1 (base case)'!$G$110:$G$121,0)))*conv_2026*T$7</f>
        <v>0</v>
      </c>
      <c r="U19" s="31">
        <f>(INDEX('Option1 (base case)'!U$110:U$121, MATCH($D19, 'Option1 (base case)'!$G$110:$G$121,0)))*conv_2026*U$7</f>
        <v>0</v>
      </c>
      <c r="V19" s="31">
        <f>(INDEX('Option1 (base case)'!V$110:V$121, MATCH($D19, 'Option1 (base case)'!$G$110:$G$121,0)))*conv_2026*V$7</f>
        <v>0</v>
      </c>
      <c r="W19" s="31">
        <f>(INDEX('Option1 (base case)'!W$110:W$121, MATCH($D19, 'Option1 (base case)'!$G$110:$G$121,0)))*conv_2026*W$7</f>
        <v>0</v>
      </c>
      <c r="X19" s="31">
        <f>(INDEX('Option1 (base case)'!X$110:X$121, MATCH($D19, 'Option1 (base case)'!$G$110:$G$121,0)))*conv_2026*X$7</f>
        <v>0</v>
      </c>
      <c r="Y19" s="31">
        <f>(INDEX('Option1 (base case)'!Y$110:Y$121, MATCH($D19, 'Option1 (base case)'!$G$110:$G$121,0)))*conv_2026*Y$7</f>
        <v>0</v>
      </c>
      <c r="Z19" s="31">
        <f>(INDEX('Option1 (base case)'!Z$110:Z$121, MATCH($D19, 'Option1 (base case)'!$G$110:$G$121,0)))*conv_2026*Z$7</f>
        <v>0</v>
      </c>
      <c r="AA19" s="31">
        <f>(INDEX('Option1 (base case)'!AA$110:AA$121, MATCH($D19, 'Option1 (base case)'!$G$110:$G$121,0)))*conv_2026*AA$7</f>
        <v>0</v>
      </c>
      <c r="AB19" s="31">
        <f>(INDEX('Option1 (base case)'!AB$110:AB$121, MATCH($D19, 'Option1 (base case)'!$G$110:$G$121,0)))*conv_2026*AB$7</f>
        <v>0</v>
      </c>
      <c r="AC19" s="31">
        <f>(INDEX('Option1 (base case)'!AC$110:AC$121, MATCH($D19, 'Option1 (base case)'!$G$110:$G$121,0)))*conv_2026*AC$7</f>
        <v>0</v>
      </c>
      <c r="AD19" s="31">
        <f>(INDEX('Option1 (base case)'!AD$110:AD$121, MATCH($D19, 'Option1 (base case)'!$G$110:$G$121,0)))*conv_2026*AD$7</f>
        <v>0</v>
      </c>
      <c r="AE19" s="31">
        <f>(INDEX('Option1 (base case)'!AE$110:AE$121, MATCH($D19, 'Option1 (base case)'!$G$110:$G$121,0)))*conv_2026*AE$7</f>
        <v>0</v>
      </c>
      <c r="AF19" s="31">
        <f>(INDEX('Option1 (base case)'!AF$110:AF$121, MATCH($D19, 'Option1 (base case)'!$G$110:$G$121,0)))*conv_2026*AF$7</f>
        <v>0</v>
      </c>
      <c r="AG19" s="31">
        <f>(INDEX('Option1 (base case)'!AG$110:AG$121, MATCH($D19, 'Option1 (base case)'!$G$110:$G$121,0)))*conv_2026*AG$7</f>
        <v>0</v>
      </c>
      <c r="AH19" s="8"/>
      <c r="AI19" s="8"/>
    </row>
    <row r="20" spans="1:35" s="7" customFormat="1" x14ac:dyDescent="0.2">
      <c r="A20" s="258" t="s">
        <v>142</v>
      </c>
      <c r="B20" s="258" t="str">
        <f>'Option1 (base case)'!A118</f>
        <v>sens5</v>
      </c>
      <c r="C20" s="258" t="str">
        <f>'Option1 (base case)'!C118</f>
        <v>Capex 10% higher &amp; Total benefits 10% lower</v>
      </c>
      <c r="D20" s="258" t="str">
        <f t="shared" si="0"/>
        <v>OPTION 1 (base case)sens5</v>
      </c>
      <c r="E20" s="259"/>
      <c r="F20" s="31">
        <f t="shared" si="1"/>
        <v>0</v>
      </c>
      <c r="G20" s="8"/>
      <c r="H20" s="31">
        <f>(INDEX('Option1 (base case)'!H$110:H$121, MATCH($D20, 'Option1 (base case)'!$G$110:$G$121,0)))*conv_2026*H$7</f>
        <v>0</v>
      </c>
      <c r="I20" s="31">
        <f>(INDEX('Option1 (base case)'!I$110:I$121, MATCH($D20, 'Option1 (base case)'!$G$110:$G$121,0)))*conv_2026*I$7</f>
        <v>0</v>
      </c>
      <c r="J20" s="31">
        <f>(INDEX('Option1 (base case)'!J$110:J$121, MATCH($D20, 'Option1 (base case)'!$G$110:$G$121,0)))*conv_2026*J$7</f>
        <v>0</v>
      </c>
      <c r="K20" s="31">
        <f>(INDEX('Option1 (base case)'!K$110:K$121, MATCH($D20, 'Option1 (base case)'!$G$110:$G$121,0)))*conv_2026*K$7</f>
        <v>0</v>
      </c>
      <c r="L20" s="31">
        <f>(INDEX('Option1 (base case)'!L$110:L$121, MATCH($D20, 'Option1 (base case)'!$G$110:$G$121,0)))*conv_2026*L$7</f>
        <v>0</v>
      </c>
      <c r="M20" s="31">
        <f>(INDEX('Option1 (base case)'!M$110:M$121, MATCH($D20, 'Option1 (base case)'!$G$110:$G$121,0)))*conv_2026*M$7</f>
        <v>0</v>
      </c>
      <c r="N20" s="31">
        <f>(INDEX('Option1 (base case)'!N$110:N$121, MATCH($D20, 'Option1 (base case)'!$G$110:$G$121,0)))*conv_2026*N$7</f>
        <v>0</v>
      </c>
      <c r="O20" s="31">
        <f>(INDEX('Option1 (base case)'!O$110:O$121, MATCH($D20, 'Option1 (base case)'!$G$110:$G$121,0)))*conv_2026*O$7</f>
        <v>0</v>
      </c>
      <c r="P20" s="31">
        <f>(INDEX('Option1 (base case)'!P$110:P$121, MATCH($D20, 'Option1 (base case)'!$G$110:$G$121,0)))*conv_2026*P$7</f>
        <v>0</v>
      </c>
      <c r="Q20" s="31">
        <f>(INDEX('Option1 (base case)'!Q$110:Q$121, MATCH($D20, 'Option1 (base case)'!$G$110:$G$121,0)))*conv_2026*Q$7</f>
        <v>0</v>
      </c>
      <c r="R20" s="31">
        <f>(INDEX('Option1 (base case)'!R$110:R$121, MATCH($D20, 'Option1 (base case)'!$G$110:$G$121,0)))*conv_2026*R$7</f>
        <v>0</v>
      </c>
      <c r="S20" s="31">
        <f>(INDEX('Option1 (base case)'!S$110:S$121, MATCH($D20, 'Option1 (base case)'!$G$110:$G$121,0)))*conv_2026*S$7</f>
        <v>0</v>
      </c>
      <c r="T20" s="31">
        <f>(INDEX('Option1 (base case)'!T$110:T$121, MATCH($D20, 'Option1 (base case)'!$G$110:$G$121,0)))*conv_2026*T$7</f>
        <v>0</v>
      </c>
      <c r="U20" s="31">
        <f>(INDEX('Option1 (base case)'!U$110:U$121, MATCH($D20, 'Option1 (base case)'!$G$110:$G$121,0)))*conv_2026*U$7</f>
        <v>0</v>
      </c>
      <c r="V20" s="31">
        <f>(INDEX('Option1 (base case)'!V$110:V$121, MATCH($D20, 'Option1 (base case)'!$G$110:$G$121,0)))*conv_2026*V$7</f>
        <v>0</v>
      </c>
      <c r="W20" s="31">
        <f>(INDEX('Option1 (base case)'!W$110:W$121, MATCH($D20, 'Option1 (base case)'!$G$110:$G$121,0)))*conv_2026*W$7</f>
        <v>0</v>
      </c>
      <c r="X20" s="31">
        <f>(INDEX('Option1 (base case)'!X$110:X$121, MATCH($D20, 'Option1 (base case)'!$G$110:$G$121,0)))*conv_2026*X$7</f>
        <v>0</v>
      </c>
      <c r="Y20" s="31">
        <f>(INDEX('Option1 (base case)'!Y$110:Y$121, MATCH($D20, 'Option1 (base case)'!$G$110:$G$121,0)))*conv_2026*Y$7</f>
        <v>0</v>
      </c>
      <c r="Z20" s="31">
        <f>(INDEX('Option1 (base case)'!Z$110:Z$121, MATCH($D20, 'Option1 (base case)'!$G$110:$G$121,0)))*conv_2026*Z$7</f>
        <v>0</v>
      </c>
      <c r="AA20" s="31">
        <f>(INDEX('Option1 (base case)'!AA$110:AA$121, MATCH($D20, 'Option1 (base case)'!$G$110:$G$121,0)))*conv_2026*AA$7</f>
        <v>0</v>
      </c>
      <c r="AB20" s="31">
        <f>(INDEX('Option1 (base case)'!AB$110:AB$121, MATCH($D20, 'Option1 (base case)'!$G$110:$G$121,0)))*conv_2026*AB$7</f>
        <v>0</v>
      </c>
      <c r="AC20" s="31">
        <f>(INDEX('Option1 (base case)'!AC$110:AC$121, MATCH($D20, 'Option1 (base case)'!$G$110:$G$121,0)))*conv_2026*AC$7</f>
        <v>0</v>
      </c>
      <c r="AD20" s="31">
        <f>(INDEX('Option1 (base case)'!AD$110:AD$121, MATCH($D20, 'Option1 (base case)'!$G$110:$G$121,0)))*conv_2026*AD$7</f>
        <v>0</v>
      </c>
      <c r="AE20" s="31">
        <f>(INDEX('Option1 (base case)'!AE$110:AE$121, MATCH($D20, 'Option1 (base case)'!$G$110:$G$121,0)))*conv_2026*AE$7</f>
        <v>0</v>
      </c>
      <c r="AF20" s="31">
        <f>(INDEX('Option1 (base case)'!AF$110:AF$121, MATCH($D20, 'Option1 (base case)'!$G$110:$G$121,0)))*conv_2026*AF$7</f>
        <v>0</v>
      </c>
      <c r="AG20" s="31">
        <f>(INDEX('Option1 (base case)'!AG$110:AG$121, MATCH($D20, 'Option1 (base case)'!$G$110:$G$121,0)))*conv_2026*AG$7</f>
        <v>0</v>
      </c>
      <c r="AH20" s="8"/>
      <c r="AI20" s="8"/>
    </row>
    <row r="21" spans="1:35" s="7" customFormat="1" x14ac:dyDescent="0.2">
      <c r="A21" s="258" t="s">
        <v>142</v>
      </c>
      <c r="B21" s="258" t="str">
        <f>'Option1 (base case)'!A119</f>
        <v>sens</v>
      </c>
      <c r="C21" s="258">
        <f>'Option1 (base case)'!C119</f>
        <v>0</v>
      </c>
      <c r="D21" s="258" t="str">
        <f t="shared" si="0"/>
        <v>OPTION 1 (base case)sens</v>
      </c>
      <c r="E21" s="259"/>
      <c r="F21" s="31">
        <f t="shared" si="1"/>
        <v>0</v>
      </c>
      <c r="G21" s="8"/>
      <c r="H21" s="31">
        <f>(INDEX('Option1 (base case)'!H$110:H$121, MATCH($D21, 'Option1 (base case)'!$G$110:$G$121,0)))*conv_2026*H$7</f>
        <v>0</v>
      </c>
      <c r="I21" s="31">
        <f>(INDEX('Option1 (base case)'!I$110:I$121, MATCH($D21, 'Option1 (base case)'!$G$110:$G$121,0)))*conv_2026*I$7</f>
        <v>0</v>
      </c>
      <c r="J21" s="31">
        <f>(INDEX('Option1 (base case)'!J$110:J$121, MATCH($D21, 'Option1 (base case)'!$G$110:$G$121,0)))*conv_2026*J$7</f>
        <v>0</v>
      </c>
      <c r="K21" s="31">
        <f>(INDEX('Option1 (base case)'!K$110:K$121, MATCH($D21, 'Option1 (base case)'!$G$110:$G$121,0)))*conv_2026*K$7</f>
        <v>0</v>
      </c>
      <c r="L21" s="31">
        <f>(INDEX('Option1 (base case)'!L$110:L$121, MATCH($D21, 'Option1 (base case)'!$G$110:$G$121,0)))*conv_2026*L$7</f>
        <v>0</v>
      </c>
      <c r="M21" s="31">
        <f>(INDEX('Option1 (base case)'!M$110:M$121, MATCH($D21, 'Option1 (base case)'!$G$110:$G$121,0)))*conv_2026*M$7</f>
        <v>0</v>
      </c>
      <c r="N21" s="31">
        <f>(INDEX('Option1 (base case)'!N$110:N$121, MATCH($D21, 'Option1 (base case)'!$G$110:$G$121,0)))*conv_2026*N$7</f>
        <v>0</v>
      </c>
      <c r="O21" s="31">
        <f>(INDEX('Option1 (base case)'!O$110:O$121, MATCH($D21, 'Option1 (base case)'!$G$110:$G$121,0)))*conv_2026*O$7</f>
        <v>0</v>
      </c>
      <c r="P21" s="31">
        <f>(INDEX('Option1 (base case)'!P$110:P$121, MATCH($D21, 'Option1 (base case)'!$G$110:$G$121,0)))*conv_2026*P$7</f>
        <v>0</v>
      </c>
      <c r="Q21" s="31">
        <f>(INDEX('Option1 (base case)'!Q$110:Q$121, MATCH($D21, 'Option1 (base case)'!$G$110:$G$121,0)))*conv_2026*Q$7</f>
        <v>0</v>
      </c>
      <c r="R21" s="31">
        <f>(INDEX('Option1 (base case)'!R$110:R$121, MATCH($D21, 'Option1 (base case)'!$G$110:$G$121,0)))*conv_2026*R$7</f>
        <v>0</v>
      </c>
      <c r="S21" s="31">
        <f>(INDEX('Option1 (base case)'!S$110:S$121, MATCH($D21, 'Option1 (base case)'!$G$110:$G$121,0)))*conv_2026*S$7</f>
        <v>0</v>
      </c>
      <c r="T21" s="31">
        <f>(INDEX('Option1 (base case)'!T$110:T$121, MATCH($D21, 'Option1 (base case)'!$G$110:$G$121,0)))*conv_2026*T$7</f>
        <v>0</v>
      </c>
      <c r="U21" s="31">
        <f>(INDEX('Option1 (base case)'!U$110:U$121, MATCH($D21, 'Option1 (base case)'!$G$110:$G$121,0)))*conv_2026*U$7</f>
        <v>0</v>
      </c>
      <c r="V21" s="31">
        <f>(INDEX('Option1 (base case)'!V$110:V$121, MATCH($D21, 'Option1 (base case)'!$G$110:$G$121,0)))*conv_2026*V$7</f>
        <v>0</v>
      </c>
      <c r="W21" s="31">
        <f>(INDEX('Option1 (base case)'!W$110:W$121, MATCH($D21, 'Option1 (base case)'!$G$110:$G$121,0)))*conv_2026*W$7</f>
        <v>0</v>
      </c>
      <c r="X21" s="31">
        <f>(INDEX('Option1 (base case)'!X$110:X$121, MATCH($D21, 'Option1 (base case)'!$G$110:$G$121,0)))*conv_2026*X$7</f>
        <v>0</v>
      </c>
      <c r="Y21" s="31">
        <f>(INDEX('Option1 (base case)'!Y$110:Y$121, MATCH($D21, 'Option1 (base case)'!$G$110:$G$121,0)))*conv_2026*Y$7</f>
        <v>0</v>
      </c>
      <c r="Z21" s="31">
        <f>(INDEX('Option1 (base case)'!Z$110:Z$121, MATCH($D21, 'Option1 (base case)'!$G$110:$G$121,0)))*conv_2026*Z$7</f>
        <v>0</v>
      </c>
      <c r="AA21" s="31">
        <f>(INDEX('Option1 (base case)'!AA$110:AA$121, MATCH($D21, 'Option1 (base case)'!$G$110:$G$121,0)))*conv_2026*AA$7</f>
        <v>0</v>
      </c>
      <c r="AB21" s="31">
        <f>(INDEX('Option1 (base case)'!AB$110:AB$121, MATCH($D21, 'Option1 (base case)'!$G$110:$G$121,0)))*conv_2026*AB$7</f>
        <v>0</v>
      </c>
      <c r="AC21" s="31">
        <f>(INDEX('Option1 (base case)'!AC$110:AC$121, MATCH($D21, 'Option1 (base case)'!$G$110:$G$121,0)))*conv_2026*AC$7</f>
        <v>0</v>
      </c>
      <c r="AD21" s="31">
        <f>(INDEX('Option1 (base case)'!AD$110:AD$121, MATCH($D21, 'Option1 (base case)'!$G$110:$G$121,0)))*conv_2026*AD$7</f>
        <v>0</v>
      </c>
      <c r="AE21" s="31">
        <f>(INDEX('Option1 (base case)'!AE$110:AE$121, MATCH($D21, 'Option1 (base case)'!$G$110:$G$121,0)))*conv_2026*AE$7</f>
        <v>0</v>
      </c>
      <c r="AF21" s="31">
        <f>(INDEX('Option1 (base case)'!AF$110:AF$121, MATCH($D21, 'Option1 (base case)'!$G$110:$G$121,0)))*conv_2026*AF$7</f>
        <v>0</v>
      </c>
      <c r="AG21" s="31">
        <f>(INDEX('Option1 (base case)'!AG$110:AG$121, MATCH($D21, 'Option1 (base case)'!$G$110:$G$121,0)))*conv_2026*AG$7</f>
        <v>0</v>
      </c>
      <c r="AH21" s="8"/>
      <c r="AI21" s="8"/>
    </row>
    <row r="22" spans="1:35" s="7" customFormat="1" x14ac:dyDescent="0.2">
      <c r="A22" s="258" t="s">
        <v>142</v>
      </c>
      <c r="B22" s="258" t="str">
        <f>'Option1 (base case)'!A120</f>
        <v>sens</v>
      </c>
      <c r="C22" s="258">
        <f>'Option1 (base case)'!C120</f>
        <v>0</v>
      </c>
      <c r="D22" s="258" t="str">
        <f t="shared" si="0"/>
        <v>OPTION 1 (base case)sens</v>
      </c>
      <c r="E22" s="259"/>
      <c r="F22" s="31">
        <f t="shared" si="1"/>
        <v>0</v>
      </c>
      <c r="G22" s="8"/>
      <c r="H22" s="31">
        <f>(INDEX('Option1 (base case)'!H$110:H$121, MATCH($D22, 'Option1 (base case)'!$G$110:$G$121,0)))*conv_2026*H$7</f>
        <v>0</v>
      </c>
      <c r="I22" s="31">
        <f>(INDEX('Option1 (base case)'!I$110:I$121, MATCH($D22, 'Option1 (base case)'!$G$110:$G$121,0)))*conv_2026*I$7</f>
        <v>0</v>
      </c>
      <c r="J22" s="31">
        <f>(INDEX('Option1 (base case)'!J$110:J$121, MATCH($D22, 'Option1 (base case)'!$G$110:$G$121,0)))*conv_2026*J$7</f>
        <v>0</v>
      </c>
      <c r="K22" s="31">
        <f>(INDEX('Option1 (base case)'!K$110:K$121, MATCH($D22, 'Option1 (base case)'!$G$110:$G$121,0)))*conv_2026*K$7</f>
        <v>0</v>
      </c>
      <c r="L22" s="31">
        <f>(INDEX('Option1 (base case)'!L$110:L$121, MATCH($D22, 'Option1 (base case)'!$G$110:$G$121,0)))*conv_2026*L$7</f>
        <v>0</v>
      </c>
      <c r="M22" s="31">
        <f>(INDEX('Option1 (base case)'!M$110:M$121, MATCH($D22, 'Option1 (base case)'!$G$110:$G$121,0)))*conv_2026*M$7</f>
        <v>0</v>
      </c>
      <c r="N22" s="31">
        <f>(INDEX('Option1 (base case)'!N$110:N$121, MATCH($D22, 'Option1 (base case)'!$G$110:$G$121,0)))*conv_2026*N$7</f>
        <v>0</v>
      </c>
      <c r="O22" s="31">
        <f>(INDEX('Option1 (base case)'!O$110:O$121, MATCH($D22, 'Option1 (base case)'!$G$110:$G$121,0)))*conv_2026*O$7</f>
        <v>0</v>
      </c>
      <c r="P22" s="31">
        <f>(INDEX('Option1 (base case)'!P$110:P$121, MATCH($D22, 'Option1 (base case)'!$G$110:$G$121,0)))*conv_2026*P$7</f>
        <v>0</v>
      </c>
      <c r="Q22" s="31">
        <f>(INDEX('Option1 (base case)'!Q$110:Q$121, MATCH($D22, 'Option1 (base case)'!$G$110:$G$121,0)))*conv_2026*Q$7</f>
        <v>0</v>
      </c>
      <c r="R22" s="31">
        <f>(INDEX('Option1 (base case)'!R$110:R$121, MATCH($D22, 'Option1 (base case)'!$G$110:$G$121,0)))*conv_2026*R$7</f>
        <v>0</v>
      </c>
      <c r="S22" s="31">
        <f>(INDEX('Option1 (base case)'!S$110:S$121, MATCH($D22, 'Option1 (base case)'!$G$110:$G$121,0)))*conv_2026*S$7</f>
        <v>0</v>
      </c>
      <c r="T22" s="31">
        <f>(INDEX('Option1 (base case)'!T$110:T$121, MATCH($D22, 'Option1 (base case)'!$G$110:$G$121,0)))*conv_2026*T$7</f>
        <v>0</v>
      </c>
      <c r="U22" s="31">
        <f>(INDEX('Option1 (base case)'!U$110:U$121, MATCH($D22, 'Option1 (base case)'!$G$110:$G$121,0)))*conv_2026*U$7</f>
        <v>0</v>
      </c>
      <c r="V22" s="31">
        <f>(INDEX('Option1 (base case)'!V$110:V$121, MATCH($D22, 'Option1 (base case)'!$G$110:$G$121,0)))*conv_2026*V$7</f>
        <v>0</v>
      </c>
      <c r="W22" s="31">
        <f>(INDEX('Option1 (base case)'!W$110:W$121, MATCH($D22, 'Option1 (base case)'!$G$110:$G$121,0)))*conv_2026*W$7</f>
        <v>0</v>
      </c>
      <c r="X22" s="31">
        <f>(INDEX('Option1 (base case)'!X$110:X$121, MATCH($D22, 'Option1 (base case)'!$G$110:$G$121,0)))*conv_2026*X$7</f>
        <v>0</v>
      </c>
      <c r="Y22" s="31">
        <f>(INDEX('Option1 (base case)'!Y$110:Y$121, MATCH($D22, 'Option1 (base case)'!$G$110:$G$121,0)))*conv_2026*Y$7</f>
        <v>0</v>
      </c>
      <c r="Z22" s="31">
        <f>(INDEX('Option1 (base case)'!Z$110:Z$121, MATCH($D22, 'Option1 (base case)'!$G$110:$G$121,0)))*conv_2026*Z$7</f>
        <v>0</v>
      </c>
      <c r="AA22" s="31">
        <f>(INDEX('Option1 (base case)'!AA$110:AA$121, MATCH($D22, 'Option1 (base case)'!$G$110:$G$121,0)))*conv_2026*AA$7</f>
        <v>0</v>
      </c>
      <c r="AB22" s="31">
        <f>(INDEX('Option1 (base case)'!AB$110:AB$121, MATCH($D22, 'Option1 (base case)'!$G$110:$G$121,0)))*conv_2026*AB$7</f>
        <v>0</v>
      </c>
      <c r="AC22" s="31">
        <f>(INDEX('Option1 (base case)'!AC$110:AC$121, MATCH($D22, 'Option1 (base case)'!$G$110:$G$121,0)))*conv_2026*AC$7</f>
        <v>0</v>
      </c>
      <c r="AD22" s="31">
        <f>(INDEX('Option1 (base case)'!AD$110:AD$121, MATCH($D22, 'Option1 (base case)'!$G$110:$G$121,0)))*conv_2026*AD$7</f>
        <v>0</v>
      </c>
      <c r="AE22" s="31">
        <f>(INDEX('Option1 (base case)'!AE$110:AE$121, MATCH($D22, 'Option1 (base case)'!$G$110:$G$121,0)))*conv_2026*AE$7</f>
        <v>0</v>
      </c>
      <c r="AF22" s="31">
        <f>(INDEX('Option1 (base case)'!AF$110:AF$121, MATCH($D22, 'Option1 (base case)'!$G$110:$G$121,0)))*conv_2026*AF$7</f>
        <v>0</v>
      </c>
      <c r="AG22" s="31">
        <f>(INDEX('Option1 (base case)'!AG$110:AG$121, MATCH($D22, 'Option1 (base case)'!$G$110:$G$121,0)))*conv_2026*AG$7</f>
        <v>0</v>
      </c>
      <c r="AH22" s="8"/>
      <c r="AI22" s="8"/>
    </row>
    <row r="23" spans="1:35" s="7" customFormat="1" x14ac:dyDescent="0.2">
      <c r="A23" s="258" t="s">
        <v>142</v>
      </c>
      <c r="B23" s="258" t="str">
        <f>'Option1 (base case)'!A121</f>
        <v>sens</v>
      </c>
      <c r="C23" s="258">
        <f>'Option1 (base case)'!C121</f>
        <v>0</v>
      </c>
      <c r="D23" s="258" t="str">
        <f t="shared" si="0"/>
        <v>OPTION 1 (base case)sens</v>
      </c>
      <c r="E23" s="259"/>
      <c r="F23" s="31">
        <f t="shared" si="1"/>
        <v>0</v>
      </c>
      <c r="G23" s="8"/>
      <c r="H23" s="31">
        <f>(INDEX('Option1 (base case)'!H$110:H$121, MATCH($D23, 'Option1 (base case)'!$G$110:$G$121,0)))*conv_2026*H$7</f>
        <v>0</v>
      </c>
      <c r="I23" s="31">
        <f>(INDEX('Option1 (base case)'!I$110:I$121, MATCH($D23, 'Option1 (base case)'!$G$110:$G$121,0)))*conv_2026*I$7</f>
        <v>0</v>
      </c>
      <c r="J23" s="31">
        <f>(INDEX('Option1 (base case)'!J$110:J$121, MATCH($D23, 'Option1 (base case)'!$G$110:$G$121,0)))*conv_2026*J$7</f>
        <v>0</v>
      </c>
      <c r="K23" s="31">
        <f>(INDEX('Option1 (base case)'!K$110:K$121, MATCH($D23, 'Option1 (base case)'!$G$110:$G$121,0)))*conv_2026*K$7</f>
        <v>0</v>
      </c>
      <c r="L23" s="31">
        <f>(INDEX('Option1 (base case)'!L$110:L$121, MATCH($D23, 'Option1 (base case)'!$G$110:$G$121,0)))*conv_2026*L$7</f>
        <v>0</v>
      </c>
      <c r="M23" s="31">
        <f>(INDEX('Option1 (base case)'!M$110:M$121, MATCH($D23, 'Option1 (base case)'!$G$110:$G$121,0)))*conv_2026*M$7</f>
        <v>0</v>
      </c>
      <c r="N23" s="31">
        <f>(INDEX('Option1 (base case)'!N$110:N$121, MATCH($D23, 'Option1 (base case)'!$G$110:$G$121,0)))*conv_2026*N$7</f>
        <v>0</v>
      </c>
      <c r="O23" s="31">
        <f>(INDEX('Option1 (base case)'!O$110:O$121, MATCH($D23, 'Option1 (base case)'!$G$110:$G$121,0)))*conv_2026*O$7</f>
        <v>0</v>
      </c>
      <c r="P23" s="31">
        <f>(INDEX('Option1 (base case)'!P$110:P$121, MATCH($D23, 'Option1 (base case)'!$G$110:$G$121,0)))*conv_2026*P$7</f>
        <v>0</v>
      </c>
      <c r="Q23" s="31">
        <f>(INDEX('Option1 (base case)'!Q$110:Q$121, MATCH($D23, 'Option1 (base case)'!$G$110:$G$121,0)))*conv_2026*Q$7</f>
        <v>0</v>
      </c>
      <c r="R23" s="31">
        <f>(INDEX('Option1 (base case)'!R$110:R$121, MATCH($D23, 'Option1 (base case)'!$G$110:$G$121,0)))*conv_2026*R$7</f>
        <v>0</v>
      </c>
      <c r="S23" s="31">
        <f>(INDEX('Option1 (base case)'!S$110:S$121, MATCH($D23, 'Option1 (base case)'!$G$110:$G$121,0)))*conv_2026*S$7</f>
        <v>0</v>
      </c>
      <c r="T23" s="31">
        <f>(INDEX('Option1 (base case)'!T$110:T$121, MATCH($D23, 'Option1 (base case)'!$G$110:$G$121,0)))*conv_2026*T$7</f>
        <v>0</v>
      </c>
      <c r="U23" s="31">
        <f>(INDEX('Option1 (base case)'!U$110:U$121, MATCH($D23, 'Option1 (base case)'!$G$110:$G$121,0)))*conv_2026*U$7</f>
        <v>0</v>
      </c>
      <c r="V23" s="31">
        <f>(INDEX('Option1 (base case)'!V$110:V$121, MATCH($D23, 'Option1 (base case)'!$G$110:$G$121,0)))*conv_2026*V$7</f>
        <v>0</v>
      </c>
      <c r="W23" s="31">
        <f>(INDEX('Option1 (base case)'!W$110:W$121, MATCH($D23, 'Option1 (base case)'!$G$110:$G$121,0)))*conv_2026*W$7</f>
        <v>0</v>
      </c>
      <c r="X23" s="31">
        <f>(INDEX('Option1 (base case)'!X$110:X$121, MATCH($D23, 'Option1 (base case)'!$G$110:$G$121,0)))*conv_2026*X$7</f>
        <v>0</v>
      </c>
      <c r="Y23" s="31">
        <f>(INDEX('Option1 (base case)'!Y$110:Y$121, MATCH($D23, 'Option1 (base case)'!$G$110:$G$121,0)))*conv_2026*Y$7</f>
        <v>0</v>
      </c>
      <c r="Z23" s="31">
        <f>(INDEX('Option1 (base case)'!Z$110:Z$121, MATCH($D23, 'Option1 (base case)'!$G$110:$G$121,0)))*conv_2026*Z$7</f>
        <v>0</v>
      </c>
      <c r="AA23" s="31">
        <f>(INDEX('Option1 (base case)'!AA$110:AA$121, MATCH($D23, 'Option1 (base case)'!$G$110:$G$121,0)))*conv_2026*AA$7</f>
        <v>0</v>
      </c>
      <c r="AB23" s="31">
        <f>(INDEX('Option1 (base case)'!AB$110:AB$121, MATCH($D23, 'Option1 (base case)'!$G$110:$G$121,0)))*conv_2026*AB$7</f>
        <v>0</v>
      </c>
      <c r="AC23" s="31">
        <f>(INDEX('Option1 (base case)'!AC$110:AC$121, MATCH($D23, 'Option1 (base case)'!$G$110:$G$121,0)))*conv_2026*AC$7</f>
        <v>0</v>
      </c>
      <c r="AD23" s="31">
        <f>(INDEX('Option1 (base case)'!AD$110:AD$121, MATCH($D23, 'Option1 (base case)'!$G$110:$G$121,0)))*conv_2026*AD$7</f>
        <v>0</v>
      </c>
      <c r="AE23" s="31">
        <f>(INDEX('Option1 (base case)'!AE$110:AE$121, MATCH($D23, 'Option1 (base case)'!$G$110:$G$121,0)))*conv_2026*AE$7</f>
        <v>0</v>
      </c>
      <c r="AF23" s="31">
        <f>(INDEX('Option1 (base case)'!AF$110:AF$121, MATCH($D23, 'Option1 (base case)'!$G$110:$G$121,0)))*conv_2026*AF$7</f>
        <v>0</v>
      </c>
      <c r="AG23" s="31">
        <f>(INDEX('Option1 (base case)'!AG$110:AG$121, MATCH($D23, 'Option1 (base case)'!$G$110:$G$121,0)))*conv_2026*AG$7</f>
        <v>0</v>
      </c>
      <c r="AH23" s="8"/>
      <c r="AI23" s="8"/>
    </row>
    <row r="24" spans="1:35" s="7" customFormat="1" x14ac:dyDescent="0.2">
      <c r="A24" s="250"/>
      <c r="B24" s="250"/>
      <c r="C24" s="250"/>
      <c r="D24" s="250"/>
      <c r="E24" s="250"/>
      <c r="F24" s="250"/>
      <c r="G24" s="25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50"/>
      <c r="B25" s="250"/>
      <c r="C25" s="250"/>
      <c r="D25" s="250"/>
      <c r="E25" s="250"/>
      <c r="F25" s="250"/>
      <c r="G25" s="25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50"/>
      <c r="B26" s="250"/>
      <c r="C26" s="250"/>
      <c r="D26" s="250"/>
      <c r="E26" s="250"/>
      <c r="F26" s="250"/>
      <c r="G26" s="25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50"/>
      <c r="B27" s="250"/>
      <c r="C27" s="250"/>
      <c r="D27" s="250"/>
      <c r="E27" s="250"/>
      <c r="F27" s="250"/>
      <c r="G27" s="25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8" t="s">
        <v>131</v>
      </c>
      <c r="B28" s="258" t="s">
        <v>119</v>
      </c>
      <c r="C28" s="258" t="s">
        <v>188</v>
      </c>
      <c r="D28" s="258" t="str">
        <f>A28&amp;B28</f>
        <v>Option 2NPV</v>
      </c>
      <c r="E28" s="259"/>
      <c r="F28" s="31">
        <f>SUMPRODUCT($H28:$AG28, $H$5:$AG$5)</f>
        <v>583163433.21168971</v>
      </c>
      <c r="G28" s="251"/>
      <c r="H28" s="31">
        <f>(INDEX(Option2!H$110:H$121, MATCH($D28, Option2!$G$110:$G$121,0)))*conv_2026*H$7</f>
        <v>0</v>
      </c>
      <c r="I28" s="31">
        <f>(INDEX(Option2!I$110:I$121, MATCH($D28, Option2!$G$110:$G$121,0)))*conv_2026*I$7</f>
        <v>0</v>
      </c>
      <c r="J28" s="31">
        <f>(INDEX(Option2!J$110:J$121, MATCH($D28, Option2!$G$110:$G$121,0)))*conv_2026*J$7</f>
        <v>7658629.6835562671</v>
      </c>
      <c r="K28" s="31">
        <f>(INDEX(Option2!K$110:K$121, MATCH($D28, Option2!$G$110:$G$121,0)))*conv_2026*K$7</f>
        <v>10261085.171184298</v>
      </c>
      <c r="L28" s="31">
        <f>(INDEX(Option2!L$110:L$121, MATCH($D28, Option2!$G$110:$G$121,0)))*conv_2026*L$7</f>
        <v>11667310.957879895</v>
      </c>
      <c r="M28" s="31">
        <f>(INDEX(Option2!M$110:M$121, MATCH($D28, Option2!$G$110:$G$121,0)))*conv_2026*M$7</f>
        <v>14483729.498114068</v>
      </c>
      <c r="N28" s="31">
        <f>(INDEX(Option2!N$110:N$121, MATCH($D28, Option2!$G$110:$G$121,0)))*conv_2026*N$7</f>
        <v>22319681.640976839</v>
      </c>
      <c r="O28" s="31">
        <f>(INDEX(Option2!O$110:O$121, MATCH($D28, Option2!$G$110:$G$121,0)))*conv_2026*O$7</f>
        <v>34887369.408153057</v>
      </c>
      <c r="P28" s="31">
        <f>(INDEX(Option2!P$110:P$121, MATCH($D28, Option2!$G$110:$G$121,0)))*conv_2026*P$7</f>
        <v>48371570.379282959</v>
      </c>
      <c r="Q28" s="31">
        <f>(INDEX(Option2!Q$110:Q$121, MATCH($D28, Option2!$G$110:$G$121,0)))*conv_2026*Q$7</f>
        <v>62009867.877154745</v>
      </c>
      <c r="R28" s="31">
        <f>(INDEX(Option2!R$110:R$121, MATCH($D28, Option2!$G$110:$G$121,0)))*conv_2026*R$7</f>
        <v>62009867.877154745</v>
      </c>
      <c r="S28" s="31">
        <f>(INDEX(Option2!S$110:S$121, MATCH($D28, Option2!$G$110:$G$121,0)))*conv_2026*S$7</f>
        <v>61515180.18961399</v>
      </c>
      <c r="T28" s="31">
        <f>(INDEX(Option2!T$110:T$121, MATCH($D28, Option2!$G$110:$G$121,0)))*conv_2026*T$7</f>
        <v>61515180.18961399</v>
      </c>
      <c r="U28" s="31">
        <f>(INDEX(Option2!U$110:U$121, MATCH($D28, Option2!$G$110:$G$121,0)))*conv_2026*U$7</f>
        <v>61515180.18961399</v>
      </c>
      <c r="V28" s="31">
        <f>(INDEX(Option2!V$110:V$121, MATCH($D28, Option2!$G$110:$G$121,0)))*conv_2026*V$7</f>
        <v>61515180.18961399</v>
      </c>
      <c r="W28" s="31">
        <f>(INDEX(Option2!W$110:W$121, MATCH($D28, Option2!$G$110:$G$121,0)))*conv_2026*W$7</f>
        <v>61515180.18961399</v>
      </c>
      <c r="X28" s="31">
        <f>(INDEX(Option2!X$110:X$121, MATCH($D28, Option2!$G$110:$G$121,0)))*conv_2026*X$7</f>
        <v>61515180.18961399</v>
      </c>
      <c r="Y28" s="31">
        <f>(INDEX(Option2!Y$110:Y$121, MATCH($D28, Option2!$G$110:$G$121,0)))*conv_2026*Y$7</f>
        <v>61515180.18961399</v>
      </c>
      <c r="Z28" s="31">
        <f>(INDEX(Option2!Z$110:Z$121, MATCH($D28, Option2!$G$110:$G$121,0)))*conv_2026*Z$7</f>
        <v>61515180.18961399</v>
      </c>
      <c r="AA28" s="31">
        <f>(INDEX(Option2!AA$110:AA$121, MATCH($D28, Option2!$G$110:$G$121,0)))*conv_2026*AA$7</f>
        <v>61515180.18961399</v>
      </c>
      <c r="AB28" s="31">
        <f>(INDEX(Option2!AB$110:AB$121, MATCH($D28, Option2!$G$110:$G$121,0)))*conv_2026*AB$7</f>
        <v>61515180.18961399</v>
      </c>
      <c r="AC28" s="31">
        <f>(INDEX(Option2!AC$110:AC$121, MATCH($D28, Option2!$G$110:$G$121,0)))*conv_2026*AC$7</f>
        <v>0</v>
      </c>
      <c r="AD28" s="31">
        <f>(INDEX(Option2!AD$110:AD$121, MATCH($D28, Option2!$G$110:$G$121,0)))*conv_2026*AD$7</f>
        <v>0</v>
      </c>
      <c r="AE28" s="31">
        <f>(INDEX(Option2!AE$110:AE$121, MATCH($D28, Option2!$G$110:$G$121,0)))*conv_2026*AE$7</f>
        <v>0</v>
      </c>
      <c r="AF28" s="31">
        <f>(INDEX(Option2!AF$110:AF$121, MATCH($D28, Option2!$G$110:$G$121,0)))*conv_2026*AF$7</f>
        <v>0</v>
      </c>
      <c r="AG28" s="31">
        <f>(INDEX(Option2!AG$110:AG$121, MATCH($D28, Option2!$G$110:$G$121,0)))*conv_2026*AG$7</f>
        <v>0</v>
      </c>
    </row>
    <row r="29" spans="1:35" s="7" customFormat="1" x14ac:dyDescent="0.2">
      <c r="A29" s="250"/>
      <c r="B29" s="250"/>
      <c r="C29" s="250"/>
      <c r="D29" s="250"/>
      <c r="E29" s="250"/>
      <c r="F29" s="25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</row>
    <row r="30" spans="1:35" s="7" customFormat="1" x14ac:dyDescent="0.2">
      <c r="A30" s="258" t="s">
        <v>131</v>
      </c>
      <c r="B30" s="258" t="str">
        <f>Option2!A114</f>
        <v>sens1</v>
      </c>
      <c r="C30" s="258" t="str">
        <f>Option2!C114</f>
        <v>Capex 10% higher</v>
      </c>
      <c r="D30" s="258" t="str">
        <f t="shared" ref="D30:D37" si="2">A30&amp;B30</f>
        <v>Option 2sens1</v>
      </c>
      <c r="E30" s="259"/>
      <c r="F30" s="31">
        <f>SUMPRODUCT($H30:$AG30, $H$5:$AG$5)</f>
        <v>575544581.72903478</v>
      </c>
      <c r="G30" s="251"/>
      <c r="H30" s="31">
        <f>IF($B30=0,0, (INDEX(Option2!H$110:H$121, MATCH($D30, Option2!$G$110:$G$121,0)))*conv_2026*H$7)</f>
        <v>0</v>
      </c>
      <c r="I30" s="31">
        <f>IF($B30=0,0, (INDEX(Option2!I$110:I$121, MATCH($D30, Option2!$G$110:$G$121,0)))*conv_2026*I$7)</f>
        <v>0</v>
      </c>
      <c r="J30" s="31">
        <f>IF($B30=0,0, (INDEX(Option2!J$110:J$121, MATCH($D30, Option2!$G$110:$G$121,0)))*conv_2026*J$7)</f>
        <v>7526519.4877136918</v>
      </c>
      <c r="K30" s="31">
        <f>IF($B30=0,0, (INDEX(Option2!K$110:K$121, MATCH($D30, Option2!$G$110:$G$121,0)))*conv_2026*K$7)</f>
        <v>10039013.681474736</v>
      </c>
      <c r="L30" s="31">
        <f>IF($B30=0,0, (INDEX(Option2!L$110:L$121, MATCH($D30, Option2!$G$110:$G$121,0)))*conv_2026*L$7)</f>
        <v>11294145.711490626</v>
      </c>
      <c r="M30" s="31">
        <f>IF($B30=0,0, (INDEX(Option2!M$110:M$121, MATCH($D30, Option2!$G$110:$G$121,0)))*conv_2026*M$7)</f>
        <v>13922270.27260555</v>
      </c>
      <c r="N30" s="31">
        <f>IF($B30=0,0, (INDEX(Option2!N$110:N$121, MATCH($D30, Option2!$G$110:$G$121,0)))*conv_2026*N$7)</f>
        <v>21693147.959417362</v>
      </c>
      <c r="O30" s="31">
        <f>IF($B30=0,0, (INDEX(Option2!O$110:O$121, MATCH($D30, Option2!$G$110:$G$121,0)))*conv_2026*O$7)</f>
        <v>34260835.726593584</v>
      </c>
      <c r="P30" s="31">
        <f>IF($B30=0,0, (INDEX(Option2!P$110:P$121, MATCH($D30, Option2!$G$110:$G$121,0)))*conv_2026*P$7)</f>
        <v>47745036.697723478</v>
      </c>
      <c r="Q30" s="31">
        <f>IF($B30=0,0, (INDEX(Option2!Q$110:Q$121, MATCH($D30, Option2!$G$110:$G$121,0)))*conv_2026*Q$7)</f>
        <v>61383334.195595272</v>
      </c>
      <c r="R30" s="31">
        <f>IF($B30=0,0, (INDEX(Option2!R$110:R$121, MATCH($D30, Option2!$G$110:$G$121,0)))*conv_2026*R$7)</f>
        <v>61383334.195595272</v>
      </c>
      <c r="S30" s="31">
        <f>IF($B30=0,0, (INDEX(Option2!S$110:S$121, MATCH($D30, Option2!$G$110:$G$121,0)))*conv_2026*S$7)</f>
        <v>60839177.73930043</v>
      </c>
      <c r="T30" s="31">
        <f>IF($B30=0,0, (INDEX(Option2!T$110:T$121, MATCH($D30, Option2!$G$110:$G$121,0)))*conv_2026*T$7)</f>
        <v>60839177.73930043</v>
      </c>
      <c r="U30" s="31">
        <f>IF($B30=0,0, (INDEX(Option2!U$110:U$121, MATCH($D30, Option2!$G$110:$G$121,0)))*conv_2026*U$7)</f>
        <v>60839177.73930043</v>
      </c>
      <c r="V30" s="31">
        <f>IF($B30=0,0, (INDEX(Option2!V$110:V$121, MATCH($D30, Option2!$G$110:$G$121,0)))*conv_2026*V$7)</f>
        <v>60839177.73930043</v>
      </c>
      <c r="W30" s="31">
        <f>IF($B30=0,0, (INDEX(Option2!W$110:W$121, MATCH($D30, Option2!$G$110:$G$121,0)))*conv_2026*W$7)</f>
        <v>60839177.73930043</v>
      </c>
      <c r="X30" s="31">
        <f>IF($B30=0,0, (INDEX(Option2!X$110:X$121, MATCH($D30, Option2!$G$110:$G$121,0)))*conv_2026*X$7)</f>
        <v>60839177.73930043</v>
      </c>
      <c r="Y30" s="31">
        <f>IF($B30=0,0, (INDEX(Option2!Y$110:Y$121, MATCH($D30, Option2!$G$110:$G$121,0)))*conv_2026*Y$7)</f>
        <v>60839177.73930043</v>
      </c>
      <c r="Z30" s="31">
        <f>IF($B30=0,0, (INDEX(Option2!Z$110:Z$121, MATCH($D30, Option2!$G$110:$G$121,0)))*conv_2026*Z$7)</f>
        <v>60839177.73930043</v>
      </c>
      <c r="AA30" s="31">
        <f>IF($B30=0,0, (INDEX(Option2!AA$110:AA$121, MATCH($D30, Option2!$G$110:$G$121,0)))*conv_2026*AA$7)</f>
        <v>60839177.73930043</v>
      </c>
      <c r="AB30" s="31">
        <f>IF($B30=0,0, (INDEX(Option2!AB$110:AB$121, MATCH($D30, Option2!$G$110:$G$121,0)))*conv_2026*AB$7)</f>
        <v>60839177.73930043</v>
      </c>
      <c r="AC30" s="31">
        <f>IF($B30=0,0, (INDEX(Option2!AC$110:AC$121, MATCH($D30, Option2!$G$110:$G$121,0)))*conv_2026*AC$7)</f>
        <v>0</v>
      </c>
      <c r="AD30" s="31">
        <f>IF($B30=0,0, (INDEX(Option2!AD$110:AD$121, MATCH($D30, Option2!$G$110:$G$121,0)))*conv_2026*AD$7)</f>
        <v>0</v>
      </c>
      <c r="AE30" s="31">
        <f>IF($B30=0,0, (INDEX(Option2!AE$110:AE$121, MATCH($D30, Option2!$G$110:$G$121,0)))*conv_2026*AE$7)</f>
        <v>0</v>
      </c>
      <c r="AF30" s="31">
        <f>IF($B30=0,0, (INDEX(Option2!AF$110:AF$121, MATCH($D30, Option2!$G$110:$G$121,0)))*conv_2026*AF$7)</f>
        <v>0</v>
      </c>
      <c r="AG30" s="31">
        <f>IF($B30=0,0, (INDEX(Option2!AG$110:AG$121, MATCH($D30, Option2!$G$110:$G$121,0)))*conv_2026*AG$7)</f>
        <v>0</v>
      </c>
    </row>
    <row r="31" spans="1:35" s="8" customFormat="1" x14ac:dyDescent="0.2">
      <c r="A31" s="258" t="s">
        <v>131</v>
      </c>
      <c r="B31" s="258" t="str">
        <f>Option2!A115</f>
        <v>sens2</v>
      </c>
      <c r="C31" s="258" t="str">
        <f>Option2!C115</f>
        <v>Capex 10% lower</v>
      </c>
      <c r="D31" s="258" t="str">
        <f t="shared" si="2"/>
        <v>Option 2sens2</v>
      </c>
      <c r="E31" s="259"/>
      <c r="F31" s="31">
        <f t="shared" ref="F31:F37" si="3">SUMPRODUCT($H31:$AG31, $H$5:$AG$5)</f>
        <v>590782284.69434452</v>
      </c>
      <c r="G31" s="258"/>
      <c r="H31" s="31">
        <f>IF($B31=0,0, (INDEX(Option2!H$110:H$121, MATCH($D31, Option2!$G$110:$G$121,0)))*conv_2026*H$7)</f>
        <v>0</v>
      </c>
      <c r="I31" s="31">
        <f>IF($B31=0,0, (INDEX(Option2!I$110:I$121, MATCH($D31, Option2!$G$110:$G$121,0)))*conv_2026*I$7)</f>
        <v>0</v>
      </c>
      <c r="J31" s="31">
        <f>IF($B31=0,0, (INDEX(Option2!J$110:J$121, MATCH($D31, Option2!$G$110:$G$121,0)))*conv_2026*J$7)</f>
        <v>7790739.8793988433</v>
      </c>
      <c r="K31" s="31">
        <f>IF($B31=0,0, (INDEX(Option2!K$110:K$121, MATCH($D31, Option2!$G$110:$G$121,0)))*conv_2026*K$7)</f>
        <v>10483156.660893857</v>
      </c>
      <c r="L31" s="31">
        <f>IF($B31=0,0, (INDEX(Option2!L$110:L$121, MATCH($D31, Option2!$G$110:$G$121,0)))*conv_2026*L$7)</f>
        <v>12040476.204269167</v>
      </c>
      <c r="M31" s="31">
        <f>IF($B31=0,0, (INDEX(Option2!M$110:M$121, MATCH($D31, Option2!$G$110:$G$121,0)))*conv_2026*M$7)</f>
        <v>15045188.723622587</v>
      </c>
      <c r="N31" s="31">
        <f>IF($B31=0,0, (INDEX(Option2!N$110:N$121, MATCH($D31, Option2!$G$110:$G$121,0)))*conv_2026*N$7)</f>
        <v>22946215.322536312</v>
      </c>
      <c r="O31" s="31">
        <f>IF($B31=0,0, (INDEX(Option2!O$110:O$121, MATCH($D31, Option2!$G$110:$G$121,0)))*conv_2026*O$7)</f>
        <v>35513903.089712538</v>
      </c>
      <c r="P31" s="31">
        <f>IF($B31=0,0, (INDEX(Option2!P$110:P$121, MATCH($D31, Option2!$G$110:$G$121,0)))*conv_2026*P$7)</f>
        <v>48998104.06084244</v>
      </c>
      <c r="Q31" s="31">
        <f>IF($B31=0,0, (INDEX(Option2!Q$110:Q$121, MATCH($D31, Option2!$G$110:$G$121,0)))*conv_2026*Q$7)</f>
        <v>62636401.558714226</v>
      </c>
      <c r="R31" s="31">
        <f>IF($B31=0,0, (INDEX(Option2!R$110:R$121, MATCH($D31, Option2!$G$110:$G$121,0)))*conv_2026*R$7)</f>
        <v>62636401.558714226</v>
      </c>
      <c r="S31" s="31">
        <f>IF($B31=0,0, (INDEX(Option2!S$110:S$121, MATCH($D31, Option2!$G$110:$G$121,0)))*conv_2026*S$7)</f>
        <v>62191182.639927544</v>
      </c>
      <c r="T31" s="31">
        <f>IF($B31=0,0, (INDEX(Option2!T$110:T$121, MATCH($D31, Option2!$G$110:$G$121,0)))*conv_2026*T$7)</f>
        <v>62191182.639927544</v>
      </c>
      <c r="U31" s="31">
        <f>IF($B31=0,0, (INDEX(Option2!U$110:U$121, MATCH($D31, Option2!$G$110:$G$121,0)))*conv_2026*U$7)</f>
        <v>62191182.639927544</v>
      </c>
      <c r="V31" s="31">
        <f>IF($B31=0,0, (INDEX(Option2!V$110:V$121, MATCH($D31, Option2!$G$110:$G$121,0)))*conv_2026*V$7)</f>
        <v>62191182.639927544</v>
      </c>
      <c r="W31" s="31">
        <f>IF($B31=0,0, (INDEX(Option2!W$110:W$121, MATCH($D31, Option2!$G$110:$G$121,0)))*conv_2026*W$7)</f>
        <v>62191182.639927544</v>
      </c>
      <c r="X31" s="31">
        <f>IF($B31=0,0, (INDEX(Option2!X$110:X$121, MATCH($D31, Option2!$G$110:$G$121,0)))*conv_2026*X$7)</f>
        <v>62191182.639927544</v>
      </c>
      <c r="Y31" s="31">
        <f>IF($B31=0,0, (INDEX(Option2!Y$110:Y$121, MATCH($D31, Option2!$G$110:$G$121,0)))*conv_2026*Y$7)</f>
        <v>62191182.639927544</v>
      </c>
      <c r="Z31" s="31">
        <f>IF($B31=0,0, (INDEX(Option2!Z$110:Z$121, MATCH($D31, Option2!$G$110:$G$121,0)))*conv_2026*Z$7)</f>
        <v>62191182.639927544</v>
      </c>
      <c r="AA31" s="31">
        <f>IF($B31=0,0, (INDEX(Option2!AA$110:AA$121, MATCH($D31, Option2!$G$110:$G$121,0)))*conv_2026*AA$7)</f>
        <v>62191182.639927544</v>
      </c>
      <c r="AB31" s="31">
        <f>IF($B31=0,0, (INDEX(Option2!AB$110:AB$121, MATCH($D31, Option2!$G$110:$G$121,0)))*conv_2026*AB$7)</f>
        <v>62191182.639927544</v>
      </c>
      <c r="AC31" s="31">
        <f>IF($B31=0,0, (INDEX(Option2!AC$110:AC$121, MATCH($D31, Option2!$G$110:$G$121,0)))*conv_2026*AC$7)</f>
        <v>0</v>
      </c>
      <c r="AD31" s="31">
        <f>IF($B31=0,0, (INDEX(Option2!AD$110:AD$121, MATCH($D31, Option2!$G$110:$G$121,0)))*conv_2026*AD$7)</f>
        <v>0</v>
      </c>
      <c r="AE31" s="31">
        <f>IF($B31=0,0, (INDEX(Option2!AE$110:AE$121, MATCH($D31, Option2!$G$110:$G$121,0)))*conv_2026*AE$7)</f>
        <v>0</v>
      </c>
      <c r="AF31" s="31">
        <f>IF($B31=0,0, (INDEX(Option2!AF$110:AF$121, MATCH($D31, Option2!$G$110:$G$121,0)))*conv_2026*AF$7)</f>
        <v>0</v>
      </c>
      <c r="AG31" s="31">
        <f>IF($B31=0,0, (INDEX(Option2!AG$110:AG$121, MATCH($D31, Option2!$G$110:$G$121,0)))*conv_2026*AG$7)</f>
        <v>0</v>
      </c>
    </row>
    <row r="32" spans="1:35" s="8" customFormat="1" x14ac:dyDescent="0.2">
      <c r="A32" s="258" t="s">
        <v>131</v>
      </c>
      <c r="B32" s="258" t="str">
        <f>Option2!A116</f>
        <v>sens3</v>
      </c>
      <c r="C32" s="258" t="str">
        <f>Option2!C116</f>
        <v>Total benefits 10% higher</v>
      </c>
      <c r="D32" s="258" t="str">
        <f t="shared" si="2"/>
        <v>Option 2sens3</v>
      </c>
      <c r="E32" s="259"/>
      <c r="F32" s="31">
        <f t="shared" si="3"/>
        <v>649098628.01551342</v>
      </c>
      <c r="H32" s="31">
        <f>IF($B32=0,0, (INDEX(Option2!H$110:H$121, MATCH($D32, Option2!$G$110:$G$121,0)))*conv_2026*H$7)</f>
        <v>0</v>
      </c>
      <c r="I32" s="31">
        <f>IF($B32=0,0, (INDEX(Option2!I$110:I$121, MATCH($D32, Option2!$G$110:$G$121,0)))*conv_2026*I$7)</f>
        <v>0</v>
      </c>
      <c r="J32" s="31">
        <f>IF($B32=0,0, (INDEX(Option2!J$110:J$121, MATCH($D32, Option2!$G$110:$G$121,0)))*conv_2026*J$7)</f>
        <v>8556602.8477544691</v>
      </c>
      <c r="K32" s="31">
        <f>IF($B32=0,0, (INDEX(Option2!K$110:K$121, MATCH($D32, Option2!$G$110:$G$121,0)))*conv_2026*K$7)</f>
        <v>11509265.178012287</v>
      </c>
      <c r="L32" s="31">
        <f>IF($B32=0,0, (INDEX(Option2!L$110:L$121, MATCH($D32, Option2!$G$110:$G$121,0)))*conv_2026*L$7)</f>
        <v>13207207.300057156</v>
      </c>
      <c r="M32" s="31">
        <f>IF($B32=0,0, (INDEX(Option2!M$110:M$121, MATCH($D32, Option2!$G$110:$G$121,0)))*conv_2026*M$7)</f>
        <v>16493561.673433995</v>
      </c>
      <c r="N32" s="31">
        <f>IF($B32=0,0, (INDEX(Option2!N$110:N$121, MATCH($D32, Option2!$G$110:$G$121,0)))*conv_2026*N$7)</f>
        <v>25178183.486633997</v>
      </c>
      <c r="O32" s="31">
        <f>IF($B32=0,0, (INDEX(Option2!O$110:O$121, MATCH($D32, Option2!$G$110:$G$121,0)))*conv_2026*O$7)</f>
        <v>39002640.030527838</v>
      </c>
      <c r="P32" s="31">
        <f>IF($B32=0,0, (INDEX(Option2!P$110:P$121, MATCH($D32, Option2!$G$110:$G$121,0)))*conv_2026*P$7)</f>
        <v>53835261.09877073</v>
      </c>
      <c r="Q32" s="31">
        <f>IF($B32=0,0, (INDEX(Option2!Q$110:Q$121, MATCH($D32, Option2!$G$110:$G$121,0)))*conv_2026*Q$7)</f>
        <v>68837388.346429706</v>
      </c>
      <c r="R32" s="31">
        <f>IF($B32=0,0, (INDEX(Option2!R$110:R$121, MATCH($D32, Option2!$G$110:$G$121,0)))*conv_2026*R$7)</f>
        <v>68837388.346429706</v>
      </c>
      <c r="S32" s="31">
        <f>IF($B32=0,0, (INDEX(Option2!S$110:S$121, MATCH($D32, Option2!$G$110:$G$121,0)))*conv_2026*S$7)</f>
        <v>68342700.658888936</v>
      </c>
      <c r="T32" s="31">
        <f>IF($B32=0,0, (INDEX(Option2!T$110:T$121, MATCH($D32, Option2!$G$110:$G$121,0)))*conv_2026*T$7)</f>
        <v>68342700.658888936</v>
      </c>
      <c r="U32" s="31">
        <f>IF($B32=0,0, (INDEX(Option2!U$110:U$121, MATCH($D32, Option2!$G$110:$G$121,0)))*conv_2026*U$7)</f>
        <v>68342700.658888936</v>
      </c>
      <c r="V32" s="31">
        <f>IF($B32=0,0, (INDEX(Option2!V$110:V$121, MATCH($D32, Option2!$G$110:$G$121,0)))*conv_2026*V$7)</f>
        <v>68342700.658888936</v>
      </c>
      <c r="W32" s="31">
        <f>IF($B32=0,0, (INDEX(Option2!W$110:W$121, MATCH($D32, Option2!$G$110:$G$121,0)))*conv_2026*W$7)</f>
        <v>68342700.658888936</v>
      </c>
      <c r="X32" s="31">
        <f>IF($B32=0,0, (INDEX(Option2!X$110:X$121, MATCH($D32, Option2!$G$110:$G$121,0)))*conv_2026*X$7)</f>
        <v>68342700.658888936</v>
      </c>
      <c r="Y32" s="31">
        <f>IF($B32=0,0, (INDEX(Option2!Y$110:Y$121, MATCH($D32, Option2!$G$110:$G$121,0)))*conv_2026*Y$7)</f>
        <v>68342700.658888936</v>
      </c>
      <c r="Z32" s="31">
        <f>IF($B32=0,0, (INDEX(Option2!Z$110:Z$121, MATCH($D32, Option2!$G$110:$G$121,0)))*conv_2026*Z$7)</f>
        <v>68342700.658888936</v>
      </c>
      <c r="AA32" s="31">
        <f>IF($B32=0,0, (INDEX(Option2!AA$110:AA$121, MATCH($D32, Option2!$G$110:$G$121,0)))*conv_2026*AA$7)</f>
        <v>68342700.658888936</v>
      </c>
      <c r="AB32" s="31">
        <f>IF($B32=0,0, (INDEX(Option2!AB$110:AB$121, MATCH($D32, Option2!$G$110:$G$121,0)))*conv_2026*AB$7)</f>
        <v>68342700.658888936</v>
      </c>
      <c r="AC32" s="31">
        <f>IF($B32=0,0, (INDEX(Option2!AC$110:AC$121, MATCH($D32, Option2!$G$110:$G$121,0)))*conv_2026*AC$7)</f>
        <v>0</v>
      </c>
      <c r="AD32" s="31">
        <f>IF($B32=0,0, (INDEX(Option2!AD$110:AD$121, MATCH($D32, Option2!$G$110:$G$121,0)))*conv_2026*AD$7)</f>
        <v>0</v>
      </c>
      <c r="AE32" s="31">
        <f>IF($B32=0,0, (INDEX(Option2!AE$110:AE$121, MATCH($D32, Option2!$G$110:$G$121,0)))*conv_2026*AE$7)</f>
        <v>0</v>
      </c>
      <c r="AF32" s="31">
        <f>IF($B32=0,0, (INDEX(Option2!AF$110:AF$121, MATCH($D32, Option2!$G$110:$G$121,0)))*conv_2026*AF$7)</f>
        <v>0</v>
      </c>
      <c r="AG32" s="31">
        <f>IF($B32=0,0, (INDEX(Option2!AG$110:AG$121, MATCH($D32, Option2!$G$110:$G$121,0)))*conv_2026*AG$7)</f>
        <v>0</v>
      </c>
    </row>
    <row r="33" spans="1:35" s="8" customFormat="1" x14ac:dyDescent="0.2">
      <c r="A33" s="258" t="s">
        <v>131</v>
      </c>
      <c r="B33" s="258" t="str">
        <f>Option2!A117</f>
        <v>sens4</v>
      </c>
      <c r="C33" s="258" t="str">
        <f>Option2!C117</f>
        <v>Total benefits 10% lower</v>
      </c>
      <c r="D33" s="258" t="str">
        <f t="shared" si="2"/>
        <v>Option 2sens4</v>
      </c>
      <c r="E33" s="259"/>
      <c r="F33" s="31">
        <f t="shared" si="3"/>
        <v>517228238.4078657</v>
      </c>
      <c r="H33" s="31">
        <f>IF($B33=0,0, (INDEX(Option2!H$110:H$121, MATCH($D33, Option2!$G$110:$G$121,0)))*conv_2026*H$7)</f>
        <v>0</v>
      </c>
      <c r="I33" s="31">
        <f>IF($B33=0,0, (INDEX(Option2!I$110:I$121, MATCH($D33, Option2!$G$110:$G$121,0)))*conv_2026*I$7)</f>
        <v>0</v>
      </c>
      <c r="J33" s="31">
        <f>IF($B33=0,0, (INDEX(Option2!J$110:J$121, MATCH($D33, Option2!$G$110:$G$121,0)))*conv_2026*J$7)</f>
        <v>6760656.519358065</v>
      </c>
      <c r="K33" s="31">
        <f>IF($B33=0,0, (INDEX(Option2!K$110:K$121, MATCH($D33, Option2!$G$110:$G$121,0)))*conv_2026*K$7)</f>
        <v>9012905.1643563081</v>
      </c>
      <c r="L33" s="31">
        <f>IF($B33=0,0, (INDEX(Option2!L$110:L$121, MATCH($D33, Option2!$G$110:$G$121,0)))*conv_2026*L$7)</f>
        <v>10127414.615702637</v>
      </c>
      <c r="M33" s="31">
        <f>IF($B33=0,0, (INDEX(Option2!M$110:M$121, MATCH($D33, Option2!$G$110:$G$121,0)))*conv_2026*M$7)</f>
        <v>12473897.322794143</v>
      </c>
      <c r="N33" s="31">
        <f>IF($B33=0,0, (INDEX(Option2!N$110:N$121, MATCH($D33, Option2!$G$110:$G$121,0)))*conv_2026*N$7)</f>
        <v>19461179.795319676</v>
      </c>
      <c r="O33" s="31">
        <f>IF($B33=0,0, (INDEX(Option2!O$110:O$121, MATCH($D33, Option2!$G$110:$G$121,0)))*conv_2026*O$7)</f>
        <v>30772098.785778277</v>
      </c>
      <c r="P33" s="31">
        <f>IF($B33=0,0, (INDEX(Option2!P$110:P$121, MATCH($D33, Option2!$G$110:$G$121,0)))*conv_2026*P$7)</f>
        <v>42907879.659795187</v>
      </c>
      <c r="Q33" s="31">
        <f>IF($B33=0,0, (INDEX(Option2!Q$110:Q$121, MATCH($D33, Option2!$G$110:$G$121,0)))*conv_2026*Q$7)</f>
        <v>55182347.407879792</v>
      </c>
      <c r="R33" s="31">
        <f>IF($B33=0,0, (INDEX(Option2!R$110:R$121, MATCH($D33, Option2!$G$110:$G$121,0)))*conv_2026*R$7)</f>
        <v>55182347.407879792</v>
      </c>
      <c r="S33" s="31">
        <f>IF($B33=0,0, (INDEX(Option2!S$110:S$121, MATCH($D33, Option2!$G$110:$G$121,0)))*conv_2026*S$7)</f>
        <v>54687659.720339037</v>
      </c>
      <c r="T33" s="31">
        <f>IF($B33=0,0, (INDEX(Option2!T$110:T$121, MATCH($D33, Option2!$G$110:$G$121,0)))*conv_2026*T$7)</f>
        <v>54687659.720339037</v>
      </c>
      <c r="U33" s="31">
        <f>IF($B33=0,0, (INDEX(Option2!U$110:U$121, MATCH($D33, Option2!$G$110:$G$121,0)))*conv_2026*U$7)</f>
        <v>54687659.720339037</v>
      </c>
      <c r="V33" s="31">
        <f>IF($B33=0,0, (INDEX(Option2!V$110:V$121, MATCH($D33, Option2!$G$110:$G$121,0)))*conv_2026*V$7)</f>
        <v>54687659.720339037</v>
      </c>
      <c r="W33" s="31">
        <f>IF($B33=0,0, (INDEX(Option2!W$110:W$121, MATCH($D33, Option2!$G$110:$G$121,0)))*conv_2026*W$7)</f>
        <v>54687659.720339037</v>
      </c>
      <c r="X33" s="31">
        <f>IF($B33=0,0, (INDEX(Option2!X$110:X$121, MATCH($D33, Option2!$G$110:$G$121,0)))*conv_2026*X$7)</f>
        <v>54687659.720339037</v>
      </c>
      <c r="Y33" s="31">
        <f>IF($B33=0,0, (INDEX(Option2!Y$110:Y$121, MATCH($D33, Option2!$G$110:$G$121,0)))*conv_2026*Y$7)</f>
        <v>54687659.720339037</v>
      </c>
      <c r="Z33" s="31">
        <f>IF($B33=0,0, (INDEX(Option2!Z$110:Z$121, MATCH($D33, Option2!$G$110:$G$121,0)))*conv_2026*Z$7)</f>
        <v>54687659.720339037</v>
      </c>
      <c r="AA33" s="31">
        <f>IF($B33=0,0, (INDEX(Option2!AA$110:AA$121, MATCH($D33, Option2!$G$110:$G$121,0)))*conv_2026*AA$7)</f>
        <v>54687659.720339037</v>
      </c>
      <c r="AB33" s="31">
        <f>IF($B33=0,0, (INDEX(Option2!AB$110:AB$121, MATCH($D33, Option2!$G$110:$G$121,0)))*conv_2026*AB$7)</f>
        <v>54687659.720339037</v>
      </c>
      <c r="AC33" s="31">
        <f>IF($B33=0,0, (INDEX(Option2!AC$110:AC$121, MATCH($D33, Option2!$G$110:$G$121,0)))*conv_2026*AC$7)</f>
        <v>0</v>
      </c>
      <c r="AD33" s="31">
        <f>IF($B33=0,0, (INDEX(Option2!AD$110:AD$121, MATCH($D33, Option2!$G$110:$G$121,0)))*conv_2026*AD$7)</f>
        <v>0</v>
      </c>
      <c r="AE33" s="31">
        <f>IF($B33=0,0, (INDEX(Option2!AE$110:AE$121, MATCH($D33, Option2!$G$110:$G$121,0)))*conv_2026*AE$7)</f>
        <v>0</v>
      </c>
      <c r="AF33" s="31">
        <f>IF($B33=0,0, (INDEX(Option2!AF$110:AF$121, MATCH($D33, Option2!$G$110:$G$121,0)))*conv_2026*AF$7)</f>
        <v>0</v>
      </c>
      <c r="AG33" s="31">
        <f>IF($B33=0,0, (INDEX(Option2!AG$110:AG$121, MATCH($D33, Option2!$G$110:$G$121,0)))*conv_2026*AG$7)</f>
        <v>0</v>
      </c>
    </row>
    <row r="34" spans="1:35" s="8" customFormat="1" x14ac:dyDescent="0.2">
      <c r="A34" s="258" t="s">
        <v>131</v>
      </c>
      <c r="B34" s="258" t="str">
        <f>Option2!A118</f>
        <v>sens5</v>
      </c>
      <c r="C34" s="258" t="str">
        <f>Option2!C118</f>
        <v>Capex 10% higher &amp; Total benefits 10% lower</v>
      </c>
      <c r="D34" s="258" t="str">
        <f t="shared" si="2"/>
        <v>Option 2sens5</v>
      </c>
      <c r="E34" s="259"/>
      <c r="F34" s="31">
        <f t="shared" si="3"/>
        <v>509609386.92521083</v>
      </c>
      <c r="H34" s="31">
        <f>IF($B34=0,0, (INDEX(Option2!H$110:H$121, MATCH($D34, Option2!$G$110:$G$121,0)))*conv_2026*H$7)</f>
        <v>0</v>
      </c>
      <c r="I34" s="31">
        <f>IF($B34=0,0, (INDEX(Option2!I$110:I$121, MATCH($D34, Option2!$G$110:$G$121,0)))*conv_2026*I$7)</f>
        <v>0</v>
      </c>
      <c r="J34" s="31">
        <f>IF($B34=0,0, (INDEX(Option2!J$110:J$121, MATCH($D34, Option2!$G$110:$G$121,0)))*conv_2026*J$7)</f>
        <v>6628546.3235154906</v>
      </c>
      <c r="K34" s="31">
        <f>IF($B34=0,0, (INDEX(Option2!K$110:K$121, MATCH($D34, Option2!$G$110:$G$121,0)))*conv_2026*K$7)</f>
        <v>8790833.6746467464</v>
      </c>
      <c r="L34" s="31">
        <f>IF($B34=0,0, (INDEX(Option2!L$110:L$121, MATCH($D34, Option2!$G$110:$G$121,0)))*conv_2026*L$7)</f>
        <v>9754249.3693133648</v>
      </c>
      <c r="M34" s="31">
        <f>IF($B34=0,0, (INDEX(Option2!M$110:M$121, MATCH($D34, Option2!$G$110:$G$121,0)))*conv_2026*M$7)</f>
        <v>11912438.097285625</v>
      </c>
      <c r="N34" s="31">
        <f>IF($B34=0,0, (INDEX(Option2!N$110:N$121, MATCH($D34, Option2!$G$110:$G$121,0)))*conv_2026*N$7)</f>
        <v>18834646.113760203</v>
      </c>
      <c r="O34" s="31">
        <f>IF($B34=0,0, (INDEX(Option2!O$110:O$121, MATCH($D34, Option2!$G$110:$G$121,0)))*conv_2026*O$7)</f>
        <v>30145565.1042188</v>
      </c>
      <c r="P34" s="31">
        <f>IF($B34=0,0, (INDEX(Option2!P$110:P$121, MATCH($D34, Option2!$G$110:$G$121,0)))*conv_2026*P$7)</f>
        <v>42281345.978235707</v>
      </c>
      <c r="Q34" s="31">
        <f>IF($B34=0,0, (INDEX(Option2!Q$110:Q$121, MATCH($D34, Option2!$G$110:$G$121,0)))*conv_2026*Q$7)</f>
        <v>54555813.726320326</v>
      </c>
      <c r="R34" s="31">
        <f>IF($B34=0,0, (INDEX(Option2!R$110:R$121, MATCH($D34, Option2!$G$110:$G$121,0)))*conv_2026*R$7)</f>
        <v>54555813.726320326</v>
      </c>
      <c r="S34" s="31">
        <f>IF($B34=0,0, (INDEX(Option2!S$110:S$121, MATCH($D34, Option2!$G$110:$G$121,0)))*conv_2026*S$7)</f>
        <v>54011657.270025477</v>
      </c>
      <c r="T34" s="31">
        <f>IF($B34=0,0, (INDEX(Option2!T$110:T$121, MATCH($D34, Option2!$G$110:$G$121,0)))*conv_2026*T$7)</f>
        <v>54011657.270025477</v>
      </c>
      <c r="U34" s="31">
        <f>IF($B34=0,0, (INDEX(Option2!U$110:U$121, MATCH($D34, Option2!$G$110:$G$121,0)))*conv_2026*U$7)</f>
        <v>54011657.270025477</v>
      </c>
      <c r="V34" s="31">
        <f>IF($B34=0,0, (INDEX(Option2!V$110:V$121, MATCH($D34, Option2!$G$110:$G$121,0)))*conv_2026*V$7)</f>
        <v>54011657.270025477</v>
      </c>
      <c r="W34" s="31">
        <f>IF($B34=0,0, (INDEX(Option2!W$110:W$121, MATCH($D34, Option2!$G$110:$G$121,0)))*conv_2026*W$7)</f>
        <v>54011657.270025477</v>
      </c>
      <c r="X34" s="31">
        <f>IF($B34=0,0, (INDEX(Option2!X$110:X$121, MATCH($D34, Option2!$G$110:$G$121,0)))*conv_2026*X$7)</f>
        <v>54011657.270025477</v>
      </c>
      <c r="Y34" s="31">
        <f>IF($B34=0,0, (INDEX(Option2!Y$110:Y$121, MATCH($D34, Option2!$G$110:$G$121,0)))*conv_2026*Y$7)</f>
        <v>54011657.270025477</v>
      </c>
      <c r="Z34" s="31">
        <f>IF($B34=0,0, (INDEX(Option2!Z$110:Z$121, MATCH($D34, Option2!$G$110:$G$121,0)))*conv_2026*Z$7)</f>
        <v>54011657.270025477</v>
      </c>
      <c r="AA34" s="31">
        <f>IF($B34=0,0, (INDEX(Option2!AA$110:AA$121, MATCH($D34, Option2!$G$110:$G$121,0)))*conv_2026*AA$7)</f>
        <v>54011657.270025477</v>
      </c>
      <c r="AB34" s="31">
        <f>IF($B34=0,0, (INDEX(Option2!AB$110:AB$121, MATCH($D34, Option2!$G$110:$G$121,0)))*conv_2026*AB$7)</f>
        <v>54011657.270025477</v>
      </c>
      <c r="AC34" s="31">
        <f>IF($B34=0,0, (INDEX(Option2!AC$110:AC$121, MATCH($D34, Option2!$G$110:$G$121,0)))*conv_2026*AC$7)</f>
        <v>0</v>
      </c>
      <c r="AD34" s="31">
        <f>IF($B34=0,0, (INDEX(Option2!AD$110:AD$121, MATCH($D34, Option2!$G$110:$G$121,0)))*conv_2026*AD$7)</f>
        <v>0</v>
      </c>
      <c r="AE34" s="31">
        <f>IF($B34=0,0, (INDEX(Option2!AE$110:AE$121, MATCH($D34, Option2!$G$110:$G$121,0)))*conv_2026*AE$7)</f>
        <v>0</v>
      </c>
      <c r="AF34" s="31">
        <f>IF($B34=0,0, (INDEX(Option2!AF$110:AF$121, MATCH($D34, Option2!$G$110:$G$121,0)))*conv_2026*AF$7)</f>
        <v>0</v>
      </c>
      <c r="AG34" s="31">
        <f>IF($B34=0,0, (INDEX(Option2!AG$110:AG$121, MATCH($D34, Option2!$G$110:$G$121,0)))*conv_2026*AG$7)</f>
        <v>0</v>
      </c>
    </row>
    <row r="35" spans="1:35" s="8" customFormat="1" x14ac:dyDescent="0.2">
      <c r="A35" s="258" t="s">
        <v>131</v>
      </c>
      <c r="B35" s="258" t="str">
        <f>Option2!A119</f>
        <v>sens</v>
      </c>
      <c r="C35" s="258">
        <f>Option2!C119</f>
        <v>0</v>
      </c>
      <c r="D35" s="258" t="str">
        <f t="shared" si="2"/>
        <v>Option 2sens</v>
      </c>
      <c r="E35" s="259"/>
      <c r="F35" s="31">
        <f t="shared" si="3"/>
        <v>583163433.21168971</v>
      </c>
      <c r="H35" s="31">
        <f>IF($B35=0,0, (INDEX(Option2!H$110:H$121, MATCH($D35, Option2!$G$110:$G$121,0)))*conv_2026*H$7)</f>
        <v>0</v>
      </c>
      <c r="I35" s="31">
        <f>IF($B35=0,0, (INDEX(Option2!I$110:I$121, MATCH($D35, Option2!$G$110:$G$121,0)))*conv_2026*I$7)</f>
        <v>0</v>
      </c>
      <c r="J35" s="31">
        <f>IF($B35=0,0, (INDEX(Option2!J$110:J$121, MATCH($D35, Option2!$G$110:$G$121,0)))*conv_2026*J$7)</f>
        <v>7658629.6835562671</v>
      </c>
      <c r="K35" s="31">
        <f>IF($B35=0,0, (INDEX(Option2!K$110:K$121, MATCH($D35, Option2!$G$110:$G$121,0)))*conv_2026*K$7)</f>
        <v>10261085.171184298</v>
      </c>
      <c r="L35" s="31">
        <f>IF($B35=0,0, (INDEX(Option2!L$110:L$121, MATCH($D35, Option2!$G$110:$G$121,0)))*conv_2026*L$7)</f>
        <v>11667310.957879895</v>
      </c>
      <c r="M35" s="31">
        <f>IF($B35=0,0, (INDEX(Option2!M$110:M$121, MATCH($D35, Option2!$G$110:$G$121,0)))*conv_2026*M$7)</f>
        <v>14483729.498114068</v>
      </c>
      <c r="N35" s="31">
        <f>IF($B35=0,0, (INDEX(Option2!N$110:N$121, MATCH($D35, Option2!$G$110:$G$121,0)))*conv_2026*N$7)</f>
        <v>22319681.640976839</v>
      </c>
      <c r="O35" s="31">
        <f>IF($B35=0,0, (INDEX(Option2!O$110:O$121, MATCH($D35, Option2!$G$110:$G$121,0)))*conv_2026*O$7)</f>
        <v>34887369.408153057</v>
      </c>
      <c r="P35" s="31">
        <f>IF($B35=0,0, (INDEX(Option2!P$110:P$121, MATCH($D35, Option2!$G$110:$G$121,0)))*conv_2026*P$7)</f>
        <v>48371570.379282959</v>
      </c>
      <c r="Q35" s="31">
        <f>IF($B35=0,0, (INDEX(Option2!Q$110:Q$121, MATCH($D35, Option2!$G$110:$G$121,0)))*conv_2026*Q$7)</f>
        <v>62009867.877154745</v>
      </c>
      <c r="R35" s="31">
        <f>IF($B35=0,0, (INDEX(Option2!R$110:R$121, MATCH($D35, Option2!$G$110:$G$121,0)))*conv_2026*R$7)</f>
        <v>62009867.877154745</v>
      </c>
      <c r="S35" s="31">
        <f>IF($B35=0,0, (INDEX(Option2!S$110:S$121, MATCH($D35, Option2!$G$110:$G$121,0)))*conv_2026*S$7)</f>
        <v>61515180.18961399</v>
      </c>
      <c r="T35" s="31">
        <f>IF($B35=0,0, (INDEX(Option2!T$110:T$121, MATCH($D35, Option2!$G$110:$G$121,0)))*conv_2026*T$7)</f>
        <v>61515180.18961399</v>
      </c>
      <c r="U35" s="31">
        <f>IF($B35=0,0, (INDEX(Option2!U$110:U$121, MATCH($D35, Option2!$G$110:$G$121,0)))*conv_2026*U$7)</f>
        <v>61515180.18961399</v>
      </c>
      <c r="V35" s="31">
        <f>IF($B35=0,0, (INDEX(Option2!V$110:V$121, MATCH($D35, Option2!$G$110:$G$121,0)))*conv_2026*V$7)</f>
        <v>61515180.18961399</v>
      </c>
      <c r="W35" s="31">
        <f>IF($B35=0,0, (INDEX(Option2!W$110:W$121, MATCH($D35, Option2!$G$110:$G$121,0)))*conv_2026*W$7)</f>
        <v>61515180.18961399</v>
      </c>
      <c r="X35" s="31">
        <f>IF($B35=0,0, (INDEX(Option2!X$110:X$121, MATCH($D35, Option2!$G$110:$G$121,0)))*conv_2026*X$7)</f>
        <v>61515180.18961399</v>
      </c>
      <c r="Y35" s="31">
        <f>IF($B35=0,0, (INDEX(Option2!Y$110:Y$121, MATCH($D35, Option2!$G$110:$G$121,0)))*conv_2026*Y$7)</f>
        <v>61515180.18961399</v>
      </c>
      <c r="Z35" s="31">
        <f>IF($B35=0,0, (INDEX(Option2!Z$110:Z$121, MATCH($D35, Option2!$G$110:$G$121,0)))*conv_2026*Z$7)</f>
        <v>61515180.18961399</v>
      </c>
      <c r="AA35" s="31">
        <f>IF($B35=0,0, (INDEX(Option2!AA$110:AA$121, MATCH($D35, Option2!$G$110:$G$121,0)))*conv_2026*AA$7)</f>
        <v>61515180.18961399</v>
      </c>
      <c r="AB35" s="31">
        <f>IF($B35=0,0, (INDEX(Option2!AB$110:AB$121, MATCH($D35, Option2!$G$110:$G$121,0)))*conv_2026*AB$7)</f>
        <v>61515180.18961399</v>
      </c>
      <c r="AC35" s="31">
        <f>IF($B35=0,0, (INDEX(Option2!AC$110:AC$121, MATCH($D35, Option2!$G$110:$G$121,0)))*conv_2026*AC$7)</f>
        <v>0</v>
      </c>
      <c r="AD35" s="31">
        <f>IF($B35=0,0, (INDEX(Option2!AD$110:AD$121, MATCH($D35, Option2!$G$110:$G$121,0)))*conv_2026*AD$7)</f>
        <v>0</v>
      </c>
      <c r="AE35" s="31">
        <f>IF($B35=0,0, (INDEX(Option2!AE$110:AE$121, MATCH($D35, Option2!$G$110:$G$121,0)))*conv_2026*AE$7)</f>
        <v>0</v>
      </c>
      <c r="AF35" s="31">
        <f>IF($B35=0,0, (INDEX(Option2!AF$110:AF$121, MATCH($D35, Option2!$G$110:$G$121,0)))*conv_2026*AF$7)</f>
        <v>0</v>
      </c>
      <c r="AG35" s="31">
        <f>IF($B35=0,0, (INDEX(Option2!AG$110:AG$121, MATCH($D35, Option2!$G$110:$G$121,0)))*conv_2026*AG$7)</f>
        <v>0</v>
      </c>
    </row>
    <row r="36" spans="1:35" s="8" customFormat="1" x14ac:dyDescent="0.2">
      <c r="A36" s="258" t="s">
        <v>131</v>
      </c>
      <c r="B36" s="258" t="str">
        <f>Option2!A120</f>
        <v>sens</v>
      </c>
      <c r="C36" s="258">
        <f>Option2!C120</f>
        <v>0</v>
      </c>
      <c r="D36" s="258" t="str">
        <f t="shared" si="2"/>
        <v>Option 2sens</v>
      </c>
      <c r="E36" s="259"/>
      <c r="F36" s="31">
        <f t="shared" si="3"/>
        <v>583163433.21168971</v>
      </c>
      <c r="H36" s="31">
        <f>IF($B36=0,0, (INDEX(Option2!H$110:H$121, MATCH($D36, Option2!$G$110:$G$121,0)))*conv_2026*H$7)</f>
        <v>0</v>
      </c>
      <c r="I36" s="31">
        <f>IF($B36=0,0, (INDEX(Option2!I$110:I$121, MATCH($D36, Option2!$G$110:$G$121,0)))*conv_2026*I$7)</f>
        <v>0</v>
      </c>
      <c r="J36" s="31">
        <f>IF($B36=0,0, (INDEX(Option2!J$110:J$121, MATCH($D36, Option2!$G$110:$G$121,0)))*conv_2026*J$7)</f>
        <v>7658629.6835562671</v>
      </c>
      <c r="K36" s="31">
        <f>IF($B36=0,0, (INDEX(Option2!K$110:K$121, MATCH($D36, Option2!$G$110:$G$121,0)))*conv_2026*K$7)</f>
        <v>10261085.171184298</v>
      </c>
      <c r="L36" s="31">
        <f>IF($B36=0,0, (INDEX(Option2!L$110:L$121, MATCH($D36, Option2!$G$110:$G$121,0)))*conv_2026*L$7)</f>
        <v>11667310.957879895</v>
      </c>
      <c r="M36" s="31">
        <f>IF($B36=0,0, (INDEX(Option2!M$110:M$121, MATCH($D36, Option2!$G$110:$G$121,0)))*conv_2026*M$7)</f>
        <v>14483729.498114068</v>
      </c>
      <c r="N36" s="31">
        <f>IF($B36=0,0, (INDEX(Option2!N$110:N$121, MATCH($D36, Option2!$G$110:$G$121,0)))*conv_2026*N$7)</f>
        <v>22319681.640976839</v>
      </c>
      <c r="O36" s="31">
        <f>IF($B36=0,0, (INDEX(Option2!O$110:O$121, MATCH($D36, Option2!$G$110:$G$121,0)))*conv_2026*O$7)</f>
        <v>34887369.408153057</v>
      </c>
      <c r="P36" s="31">
        <f>IF($B36=0,0, (INDEX(Option2!P$110:P$121, MATCH($D36, Option2!$G$110:$G$121,0)))*conv_2026*P$7)</f>
        <v>48371570.379282959</v>
      </c>
      <c r="Q36" s="31">
        <f>IF($B36=0,0, (INDEX(Option2!Q$110:Q$121, MATCH($D36, Option2!$G$110:$G$121,0)))*conv_2026*Q$7)</f>
        <v>62009867.877154745</v>
      </c>
      <c r="R36" s="31">
        <f>IF($B36=0,0, (INDEX(Option2!R$110:R$121, MATCH($D36, Option2!$G$110:$G$121,0)))*conv_2026*R$7)</f>
        <v>62009867.877154745</v>
      </c>
      <c r="S36" s="31">
        <f>IF($B36=0,0, (INDEX(Option2!S$110:S$121, MATCH($D36, Option2!$G$110:$G$121,0)))*conv_2026*S$7)</f>
        <v>61515180.18961399</v>
      </c>
      <c r="T36" s="31">
        <f>IF($B36=0,0, (INDEX(Option2!T$110:T$121, MATCH($D36, Option2!$G$110:$G$121,0)))*conv_2026*T$7)</f>
        <v>61515180.18961399</v>
      </c>
      <c r="U36" s="31">
        <f>IF($B36=0,0, (INDEX(Option2!U$110:U$121, MATCH($D36, Option2!$G$110:$G$121,0)))*conv_2026*U$7)</f>
        <v>61515180.18961399</v>
      </c>
      <c r="V36" s="31">
        <f>IF($B36=0,0, (INDEX(Option2!V$110:V$121, MATCH($D36, Option2!$G$110:$G$121,0)))*conv_2026*V$7)</f>
        <v>61515180.18961399</v>
      </c>
      <c r="W36" s="31">
        <f>IF($B36=0,0, (INDEX(Option2!W$110:W$121, MATCH($D36, Option2!$G$110:$G$121,0)))*conv_2026*W$7)</f>
        <v>61515180.18961399</v>
      </c>
      <c r="X36" s="31">
        <f>IF($B36=0,0, (INDEX(Option2!X$110:X$121, MATCH($D36, Option2!$G$110:$G$121,0)))*conv_2026*X$7)</f>
        <v>61515180.18961399</v>
      </c>
      <c r="Y36" s="31">
        <f>IF($B36=0,0, (INDEX(Option2!Y$110:Y$121, MATCH($D36, Option2!$G$110:$G$121,0)))*conv_2026*Y$7)</f>
        <v>61515180.18961399</v>
      </c>
      <c r="Z36" s="31">
        <f>IF($B36=0,0, (INDEX(Option2!Z$110:Z$121, MATCH($D36, Option2!$G$110:$G$121,0)))*conv_2026*Z$7)</f>
        <v>61515180.18961399</v>
      </c>
      <c r="AA36" s="31">
        <f>IF($B36=0,0, (INDEX(Option2!AA$110:AA$121, MATCH($D36, Option2!$G$110:$G$121,0)))*conv_2026*AA$7)</f>
        <v>61515180.18961399</v>
      </c>
      <c r="AB36" s="31">
        <f>IF($B36=0,0, (INDEX(Option2!AB$110:AB$121, MATCH($D36, Option2!$G$110:$G$121,0)))*conv_2026*AB$7)</f>
        <v>61515180.18961399</v>
      </c>
      <c r="AC36" s="31">
        <f>IF($B36=0,0, (INDEX(Option2!AC$110:AC$121, MATCH($D36, Option2!$G$110:$G$121,0)))*conv_2026*AC$7)</f>
        <v>0</v>
      </c>
      <c r="AD36" s="31">
        <f>IF($B36=0,0, (INDEX(Option2!AD$110:AD$121, MATCH($D36, Option2!$G$110:$G$121,0)))*conv_2026*AD$7)</f>
        <v>0</v>
      </c>
      <c r="AE36" s="31">
        <f>IF($B36=0,0, (INDEX(Option2!AE$110:AE$121, MATCH($D36, Option2!$G$110:$G$121,0)))*conv_2026*AE$7)</f>
        <v>0</v>
      </c>
      <c r="AF36" s="31">
        <f>IF($B36=0,0, (INDEX(Option2!AF$110:AF$121, MATCH($D36, Option2!$G$110:$G$121,0)))*conv_2026*AF$7)</f>
        <v>0</v>
      </c>
      <c r="AG36" s="31">
        <f>IF($B36=0,0, (INDEX(Option2!AG$110:AG$121, MATCH($D36, Option2!$G$110:$G$121,0)))*conv_2026*AG$7)</f>
        <v>0</v>
      </c>
    </row>
    <row r="37" spans="1:35" s="8" customFormat="1" x14ac:dyDescent="0.2">
      <c r="A37" s="258" t="s">
        <v>131</v>
      </c>
      <c r="B37" s="258" t="str">
        <f>Option2!A121</f>
        <v>sens</v>
      </c>
      <c r="C37" s="258">
        <f>Option2!C121</f>
        <v>0</v>
      </c>
      <c r="D37" s="258" t="str">
        <f t="shared" si="2"/>
        <v>Option 2sens</v>
      </c>
      <c r="E37" s="259"/>
      <c r="F37" s="31">
        <f t="shared" si="3"/>
        <v>583163433.21168971</v>
      </c>
      <c r="H37" s="31">
        <f>IF($B37=0,0, (INDEX(Option2!H$110:H$121, MATCH($D37, Option2!$G$110:$G$121,0)))*conv_2026*H$7)</f>
        <v>0</v>
      </c>
      <c r="I37" s="31">
        <f>IF($B37=0,0, (INDEX(Option2!I$110:I$121, MATCH($D37, Option2!$G$110:$G$121,0)))*conv_2026*I$7)</f>
        <v>0</v>
      </c>
      <c r="J37" s="31">
        <f>IF($B37=0,0, (INDEX(Option2!J$110:J$121, MATCH($D37, Option2!$G$110:$G$121,0)))*conv_2026*J$7)</f>
        <v>7658629.6835562671</v>
      </c>
      <c r="K37" s="31">
        <f>IF($B37=0,0, (INDEX(Option2!K$110:K$121, MATCH($D37, Option2!$G$110:$G$121,0)))*conv_2026*K$7)</f>
        <v>10261085.171184298</v>
      </c>
      <c r="L37" s="31">
        <f>IF($B37=0,0, (INDEX(Option2!L$110:L$121, MATCH($D37, Option2!$G$110:$G$121,0)))*conv_2026*L$7)</f>
        <v>11667310.957879895</v>
      </c>
      <c r="M37" s="31">
        <f>IF($B37=0,0, (INDEX(Option2!M$110:M$121, MATCH($D37, Option2!$G$110:$G$121,0)))*conv_2026*M$7)</f>
        <v>14483729.498114068</v>
      </c>
      <c r="N37" s="31">
        <f>IF($B37=0,0, (INDEX(Option2!N$110:N$121, MATCH($D37, Option2!$G$110:$G$121,0)))*conv_2026*N$7)</f>
        <v>22319681.640976839</v>
      </c>
      <c r="O37" s="31">
        <f>IF($B37=0,0, (INDEX(Option2!O$110:O$121, MATCH($D37, Option2!$G$110:$G$121,0)))*conv_2026*O$7)</f>
        <v>34887369.408153057</v>
      </c>
      <c r="P37" s="31">
        <f>IF($B37=0,0, (INDEX(Option2!P$110:P$121, MATCH($D37, Option2!$G$110:$G$121,0)))*conv_2026*P$7)</f>
        <v>48371570.379282959</v>
      </c>
      <c r="Q37" s="31">
        <f>IF($B37=0,0, (INDEX(Option2!Q$110:Q$121, MATCH($D37, Option2!$G$110:$G$121,0)))*conv_2026*Q$7)</f>
        <v>62009867.877154745</v>
      </c>
      <c r="R37" s="31">
        <f>IF($B37=0,0, (INDEX(Option2!R$110:R$121, MATCH($D37, Option2!$G$110:$G$121,0)))*conv_2026*R$7)</f>
        <v>62009867.877154745</v>
      </c>
      <c r="S37" s="31">
        <f>IF($B37=0,0, (INDEX(Option2!S$110:S$121, MATCH($D37, Option2!$G$110:$G$121,0)))*conv_2026*S$7)</f>
        <v>61515180.18961399</v>
      </c>
      <c r="T37" s="31">
        <f>IF($B37=0,0, (INDEX(Option2!T$110:T$121, MATCH($D37, Option2!$G$110:$G$121,0)))*conv_2026*T$7)</f>
        <v>61515180.18961399</v>
      </c>
      <c r="U37" s="31">
        <f>IF($B37=0,0, (INDEX(Option2!U$110:U$121, MATCH($D37, Option2!$G$110:$G$121,0)))*conv_2026*U$7)</f>
        <v>61515180.18961399</v>
      </c>
      <c r="V37" s="31">
        <f>IF($B37=0,0, (INDEX(Option2!V$110:V$121, MATCH($D37, Option2!$G$110:$G$121,0)))*conv_2026*V$7)</f>
        <v>61515180.18961399</v>
      </c>
      <c r="W37" s="31">
        <f>IF($B37=0,0, (INDEX(Option2!W$110:W$121, MATCH($D37, Option2!$G$110:$G$121,0)))*conv_2026*W$7)</f>
        <v>61515180.18961399</v>
      </c>
      <c r="X37" s="31">
        <f>IF($B37=0,0, (INDEX(Option2!X$110:X$121, MATCH($D37, Option2!$G$110:$G$121,0)))*conv_2026*X$7)</f>
        <v>61515180.18961399</v>
      </c>
      <c r="Y37" s="31">
        <f>IF($B37=0,0, (INDEX(Option2!Y$110:Y$121, MATCH($D37, Option2!$G$110:$G$121,0)))*conv_2026*Y$7)</f>
        <v>61515180.18961399</v>
      </c>
      <c r="Z37" s="31">
        <f>IF($B37=0,0, (INDEX(Option2!Z$110:Z$121, MATCH($D37, Option2!$G$110:$G$121,0)))*conv_2026*Z$7)</f>
        <v>61515180.18961399</v>
      </c>
      <c r="AA37" s="31">
        <f>IF($B37=0,0, (INDEX(Option2!AA$110:AA$121, MATCH($D37, Option2!$G$110:$G$121,0)))*conv_2026*AA$7)</f>
        <v>61515180.18961399</v>
      </c>
      <c r="AB37" s="31">
        <f>IF($B37=0,0, (INDEX(Option2!AB$110:AB$121, MATCH($D37, Option2!$G$110:$G$121,0)))*conv_2026*AB$7)</f>
        <v>61515180.18961399</v>
      </c>
      <c r="AC37" s="31">
        <f>IF($B37=0,0, (INDEX(Option2!AC$110:AC$121, MATCH($D37, Option2!$G$110:$G$121,0)))*conv_2026*AC$7)</f>
        <v>0</v>
      </c>
      <c r="AD37" s="31">
        <f>IF($B37=0,0, (INDEX(Option2!AD$110:AD$121, MATCH($D37, Option2!$G$110:$G$121,0)))*conv_2026*AD$7)</f>
        <v>0</v>
      </c>
      <c r="AE37" s="31">
        <f>IF($B37=0,0, (INDEX(Option2!AE$110:AE$121, MATCH($D37, Option2!$G$110:$G$121,0)))*conv_2026*AE$7)</f>
        <v>0</v>
      </c>
      <c r="AF37" s="31">
        <f>IF($B37=0,0, (INDEX(Option2!AF$110:AF$121, MATCH($D37, Option2!$G$110:$G$121,0)))*conv_2026*AF$7)</f>
        <v>0</v>
      </c>
      <c r="AG37" s="31">
        <f>IF($B37=0,0, (INDEX(Option2!AG$110:AG$121, MATCH($D37, Option2!$G$110:$G$121,0)))*conv_2026*AG$7)</f>
        <v>0</v>
      </c>
    </row>
    <row r="38" spans="1:35" s="8" customFormat="1" x14ac:dyDescent="0.2">
      <c r="A38" s="258"/>
      <c r="B38" s="258"/>
      <c r="C38" s="258"/>
      <c r="D38" s="258"/>
      <c r="E38" s="258"/>
      <c r="F38" s="31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spans="1:35" s="8" customFormat="1" x14ac:dyDescent="0.2">
      <c r="A39" s="258"/>
      <c r="B39" s="258"/>
      <c r="C39" s="258"/>
      <c r="D39" s="258"/>
      <c r="E39" s="258"/>
      <c r="F39" s="31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spans="1:35" s="8" customFormat="1" x14ac:dyDescent="0.2">
      <c r="A40" s="258"/>
      <c r="B40" s="258"/>
      <c r="C40" s="258"/>
      <c r="D40" s="258"/>
      <c r="E40" s="258"/>
      <c r="F40" s="31"/>
      <c r="H40" s="31">
        <f>Consol!H50</f>
        <v>0</v>
      </c>
      <c r="I40" s="31">
        <f>Consol!I50</f>
        <v>0</v>
      </c>
      <c r="J40" s="31">
        <f>Consol!J50</f>
        <v>7658715.791319795</v>
      </c>
      <c r="K40" s="31">
        <f>Consol!K50</f>
        <v>10266885.885240344</v>
      </c>
      <c r="L40" s="31">
        <f>Consol!L50</f>
        <v>12094364.044865724</v>
      </c>
      <c r="M40" s="31">
        <f>Consol!M50</f>
        <v>15333181.920973426</v>
      </c>
      <c r="N40" s="31">
        <f>Consol!N50</f>
        <v>22333481.467763294</v>
      </c>
      <c r="O40" s="31">
        <f>Consol!O50</f>
        <v>34837908.637373917</v>
      </c>
      <c r="P40" s="31">
        <f>Consol!P50</f>
        <v>48185451.082102261</v>
      </c>
      <c r="Q40" s="31">
        <f>Consol!Q50</f>
        <v>61823748.579974055</v>
      </c>
      <c r="R40" s="31">
        <f>Consol!R50</f>
        <v>61823748.579974055</v>
      </c>
      <c r="S40" s="31">
        <f>Consol!S50</f>
        <v>61329060.892433293</v>
      </c>
      <c r="T40" s="31">
        <f>Consol!T50</f>
        <v>61329060.892433293</v>
      </c>
      <c r="U40" s="31">
        <f>Consol!U50</f>
        <v>61329060.892433293</v>
      </c>
      <c r="V40" s="31">
        <f>Consol!V50</f>
        <v>61329060.892433293</v>
      </c>
      <c r="W40" s="31">
        <f>Consol!W50</f>
        <v>61329060.892433293</v>
      </c>
      <c r="X40" s="31">
        <f>Consol!X50</f>
        <v>61329060.892433293</v>
      </c>
      <c r="Y40" s="31">
        <f>Consol!Y50</f>
        <v>61329060.892433293</v>
      </c>
      <c r="Z40" s="31">
        <f>Consol!Z50</f>
        <v>61329060.892433293</v>
      </c>
      <c r="AA40" s="31">
        <f>Consol!AA50</f>
        <v>61329060.892433293</v>
      </c>
      <c r="AB40" s="31">
        <f>Consol!AB50</f>
        <v>61329060.892433293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8"/>
      <c r="B41" s="258"/>
      <c r="C41" s="258"/>
      <c r="D41" s="258"/>
      <c r="E41" s="258"/>
      <c r="F41" s="31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spans="1:35" s="8" customFormat="1" x14ac:dyDescent="0.2">
      <c r="A42" s="258" t="s">
        <v>132</v>
      </c>
      <c r="B42" s="258" t="s">
        <v>119</v>
      </c>
      <c r="C42" s="258" t="s">
        <v>188</v>
      </c>
      <c r="D42" s="258" t="str">
        <f>A42&amp;B42</f>
        <v>Option 3NPV</v>
      </c>
      <c r="E42" s="259"/>
      <c r="F42" s="31">
        <f t="shared" ref="F42:F51" si="4">SUMPRODUCT($H42:$AG42, $H$5:$AG$5)</f>
        <v>582713625.45657206</v>
      </c>
      <c r="G42" s="251"/>
      <c r="H42" s="31">
        <f>(INDEX(Option3!H$110:H$121, MATCH($D42, Option3!$G$110:$G$121,0)))*conv_2026*H$7</f>
        <v>0</v>
      </c>
      <c r="I42" s="31">
        <f>(INDEX(Option3!I$110:I$121, MATCH($D42, Option3!$G$110:$G$121,0)))*conv_2026*I$7</f>
        <v>0</v>
      </c>
      <c r="J42" s="31">
        <f>(INDEX(Option3!J$110:J$121, MATCH($D42, Option3!$G$110:$G$121,0)))*conv_2026*J$7</f>
        <v>7658715.791319795</v>
      </c>
      <c r="K42" s="31">
        <f>(INDEX(Option3!K$110:K$121, MATCH($D42, Option3!$G$110:$G$121,0)))*conv_2026*K$7</f>
        <v>10266885.885240344</v>
      </c>
      <c r="L42" s="31">
        <f>(INDEX(Option3!L$110:L$121, MATCH($D42, Option3!$G$110:$G$121,0)))*conv_2026*L$7</f>
        <v>12094364.044865726</v>
      </c>
      <c r="M42" s="31">
        <f>(INDEX(Option3!M$110:M$121, MATCH($D42, Option3!$G$110:$G$121,0)))*conv_2026*M$7</f>
        <v>15333181.920973426</v>
      </c>
      <c r="N42" s="31">
        <f>(INDEX(Option3!N$110:N$121, MATCH($D42, Option3!$G$110:$G$121,0)))*conv_2026*N$7</f>
        <v>22333481.467763297</v>
      </c>
      <c r="O42" s="31">
        <f>(INDEX(Option3!O$110:O$121, MATCH($D42, Option3!$G$110:$G$121,0)))*conv_2026*O$7</f>
        <v>34837908.637373917</v>
      </c>
      <c r="P42" s="31">
        <f>(INDEX(Option3!P$110:P$121, MATCH($D42, Option3!$G$110:$G$121,0)))*conv_2026*P$7</f>
        <v>48185451.082102261</v>
      </c>
      <c r="Q42" s="31">
        <f>(INDEX(Option3!Q$110:Q$121, MATCH($D42, Option3!$G$110:$G$121,0)))*conv_2026*Q$7</f>
        <v>61823748.579974055</v>
      </c>
      <c r="R42" s="31">
        <f>(INDEX(Option3!R$110:R$121, MATCH($D42, Option3!$G$110:$G$121,0)))*conv_2026*R$7</f>
        <v>61823748.579974055</v>
      </c>
      <c r="S42" s="31">
        <f>(INDEX(Option3!S$110:S$121, MATCH($D42, Option3!$G$110:$G$121,0)))*conv_2026*S$7</f>
        <v>61329060.892433293</v>
      </c>
      <c r="T42" s="31">
        <f>(INDEX(Option3!T$110:T$121, MATCH($D42, Option3!$G$110:$G$121,0)))*conv_2026*T$7</f>
        <v>61329060.892433293</v>
      </c>
      <c r="U42" s="31">
        <f>(INDEX(Option3!U$110:U$121, MATCH($D42, Option3!$G$110:$G$121,0)))*conv_2026*U$7</f>
        <v>61329060.892433293</v>
      </c>
      <c r="V42" s="31">
        <f>(INDEX(Option3!V$110:V$121, MATCH($D42, Option3!$G$110:$G$121,0)))*conv_2026*V$7</f>
        <v>61329060.892433293</v>
      </c>
      <c r="W42" s="31">
        <f>(INDEX(Option3!W$110:W$121, MATCH($D42, Option3!$G$110:$G$121,0)))*conv_2026*W$7</f>
        <v>61329060.892433293</v>
      </c>
      <c r="X42" s="31">
        <f>(INDEX(Option3!X$110:X$121, MATCH($D42, Option3!$G$110:$G$121,0)))*conv_2026*X$7</f>
        <v>61329060.892433293</v>
      </c>
      <c r="Y42" s="31">
        <f>(INDEX(Option3!Y$110:Y$121, MATCH($D42, Option3!$G$110:$G$121,0)))*conv_2026*Y$7</f>
        <v>61329060.892433293</v>
      </c>
      <c r="Z42" s="31">
        <f>(INDEX(Option3!Z$110:Z$121, MATCH($D42, Option3!$G$110:$G$121,0)))*conv_2026*Z$7</f>
        <v>61329060.892433293</v>
      </c>
      <c r="AA42" s="31">
        <f>(INDEX(Option3!AA$110:AA$121, MATCH($D42, Option3!$G$110:$G$121,0)))*conv_2026*AA$7</f>
        <v>61329060.892433293</v>
      </c>
      <c r="AB42" s="31">
        <f>(INDEX(Option3!AB$110:AB$121, MATCH($D42, Option3!$G$110:$G$121,0)))*conv_2026*AB$7</f>
        <v>61329060.892433293</v>
      </c>
      <c r="AC42" s="31">
        <f>(INDEX(Option3!AC$110:AC$121, MATCH($D42, Option3!$G$110:$G$121,0)))*conv_2026*AC$7</f>
        <v>0</v>
      </c>
      <c r="AD42" s="31">
        <f>(INDEX(Option3!AD$110:AD$121, MATCH($D42, Option3!$G$110:$G$121,0)))*conv_2026*AD$7</f>
        <v>0</v>
      </c>
      <c r="AE42" s="31">
        <f>(INDEX(Option3!AE$110:AE$121, MATCH($D42, Option3!$G$110:$G$121,0)))*conv_2026*AE$7</f>
        <v>0</v>
      </c>
      <c r="AF42" s="31">
        <f>(INDEX(Option3!AF$110:AF$121, MATCH($D42, Option3!$G$110:$G$121,0)))*conv_2026*AF$7</f>
        <v>0</v>
      </c>
      <c r="AG42" s="31">
        <f>(INDEX(Option3!AG$110:AG$121, MATCH($D42, Option3!$G$110:$G$121,0)))*conv_2026*AG$7</f>
        <v>0</v>
      </c>
      <c r="AH42" s="7"/>
      <c r="AI42" s="7"/>
    </row>
    <row r="43" spans="1:35" s="8" customFormat="1" x14ac:dyDescent="0.2">
      <c r="A43" s="250"/>
      <c r="B43" s="250"/>
      <c r="C43" s="250"/>
      <c r="D43" s="250"/>
      <c r="E43" s="250"/>
      <c r="F43" s="250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7"/>
      <c r="AI43" s="7"/>
    </row>
    <row r="44" spans="1:35" s="8" customFormat="1" x14ac:dyDescent="0.2">
      <c r="A44" s="258" t="s">
        <v>132</v>
      </c>
      <c r="B44" s="258" t="str">
        <f>Option3!A114</f>
        <v>sens1</v>
      </c>
      <c r="C44" s="258" t="str">
        <f>Option3!C114</f>
        <v>Capex 10% higher</v>
      </c>
      <c r="D44" s="258" t="str">
        <f t="shared" ref="D44:D51" si="5">A44&amp;B44</f>
        <v>Option 3sens1</v>
      </c>
      <c r="E44" s="259"/>
      <c r="F44" s="31">
        <f t="shared" si="4"/>
        <v>575167254.16937029</v>
      </c>
      <c r="G44" s="251"/>
      <c r="H44" s="31">
        <f>(INDEX(Option3!H$110:H$121, MATCH($D44, Option3!$G$110:$G$121,0)))*conv_2026*H$7</f>
        <v>0</v>
      </c>
      <c r="I44" s="31">
        <f>(INDEX(Option3!I$110:I$121, MATCH($D44, Option3!$G$110:$G$121,0)))*conv_2026*I$7</f>
        <v>0</v>
      </c>
      <c r="J44" s="31">
        <f>(INDEX(Option3!J$110:J$121, MATCH($D44, Option3!$G$110:$G$121,0)))*conv_2026*J$7</f>
        <v>7526605.5954772197</v>
      </c>
      <c r="K44" s="31">
        <f>(INDEX(Option3!K$110:K$121, MATCH($D44, Option3!$G$110:$G$121,0)))*conv_2026*K$7</f>
        <v>10045367.570096737</v>
      </c>
      <c r="L44" s="31">
        <f>(INDEX(Option3!L$110:L$121, MATCH($D44, Option3!$G$110:$G$121,0)))*conv_2026*L$7</f>
        <v>11763846.949371744</v>
      </c>
      <c r="M44" s="31">
        <f>(INDEX(Option3!M$110:M$121, MATCH($D44, Option3!$G$110:$G$121,0)))*conv_2026*M$7</f>
        <v>14811604.973530428</v>
      </c>
      <c r="N44" s="31">
        <f>(INDEX(Option3!N$110:N$121, MATCH($D44, Option3!$G$110:$G$121,0)))*conv_2026*N$7</f>
        <v>21706947.786820639</v>
      </c>
      <c r="O44" s="31">
        <f>(INDEX(Option3!O$110:O$121, MATCH($D44, Option3!$G$110:$G$121,0)))*conv_2026*O$7</f>
        <v>34211374.956431255</v>
      </c>
      <c r="P44" s="31">
        <f>(INDEX(Option3!P$110:P$121, MATCH($D44, Option3!$G$110:$G$121,0)))*conv_2026*P$7</f>
        <v>47558917.401159607</v>
      </c>
      <c r="Q44" s="31">
        <f>(INDEX(Option3!Q$110:Q$121, MATCH($D44, Option3!$G$110:$G$121,0)))*conv_2026*Q$7</f>
        <v>61197214.899031393</v>
      </c>
      <c r="R44" s="31">
        <f>(INDEX(Option3!R$110:R$121, MATCH($D44, Option3!$G$110:$G$121,0)))*conv_2026*R$7</f>
        <v>61197214.899031393</v>
      </c>
      <c r="S44" s="31">
        <f>(INDEX(Option3!S$110:S$121, MATCH($D44, Option3!$G$110:$G$121,0)))*conv_2026*S$7</f>
        <v>60653058.442736559</v>
      </c>
      <c r="T44" s="31">
        <f>(INDEX(Option3!T$110:T$121, MATCH($D44, Option3!$G$110:$G$121,0)))*conv_2026*T$7</f>
        <v>60653058.442736559</v>
      </c>
      <c r="U44" s="31">
        <f>(INDEX(Option3!U$110:U$121, MATCH($D44, Option3!$G$110:$G$121,0)))*conv_2026*U$7</f>
        <v>60653058.442736559</v>
      </c>
      <c r="V44" s="31">
        <f>(INDEX(Option3!V$110:V$121, MATCH($D44, Option3!$G$110:$G$121,0)))*conv_2026*V$7</f>
        <v>60653058.442736559</v>
      </c>
      <c r="W44" s="31">
        <f>(INDEX(Option3!W$110:W$121, MATCH($D44, Option3!$G$110:$G$121,0)))*conv_2026*W$7</f>
        <v>60653058.442736559</v>
      </c>
      <c r="X44" s="31">
        <f>(INDEX(Option3!X$110:X$121, MATCH($D44, Option3!$G$110:$G$121,0)))*conv_2026*X$7</f>
        <v>60653058.442736559</v>
      </c>
      <c r="Y44" s="31">
        <f>(INDEX(Option3!Y$110:Y$121, MATCH($D44, Option3!$G$110:$G$121,0)))*conv_2026*Y$7</f>
        <v>60653058.442736559</v>
      </c>
      <c r="Z44" s="31">
        <f>(INDEX(Option3!Z$110:Z$121, MATCH($D44, Option3!$G$110:$G$121,0)))*conv_2026*Z$7</f>
        <v>60653058.442736559</v>
      </c>
      <c r="AA44" s="31">
        <f>(INDEX(Option3!AA$110:AA$121, MATCH($D44, Option3!$G$110:$G$121,0)))*conv_2026*AA$7</f>
        <v>60653058.442736559</v>
      </c>
      <c r="AB44" s="31">
        <f>(INDEX(Option3!AB$110:AB$121, MATCH($D44, Option3!$G$110:$G$121,0)))*conv_2026*AB$7</f>
        <v>60653058.442736559</v>
      </c>
      <c r="AC44" s="31">
        <f>(INDEX(Option3!AC$110:AC$121, MATCH($D44, Option3!$G$110:$G$121,0)))*conv_2026*AC$7</f>
        <v>0</v>
      </c>
      <c r="AD44" s="31">
        <f>(INDEX(Option3!AD$110:AD$121, MATCH($D44, Option3!$G$110:$G$121,0)))*conv_2026*AD$7</f>
        <v>0</v>
      </c>
      <c r="AE44" s="31">
        <f>(INDEX(Option3!AE$110:AE$121, MATCH($D44, Option3!$G$110:$G$121,0)))*conv_2026*AE$7</f>
        <v>0</v>
      </c>
      <c r="AF44" s="31">
        <f>(INDEX(Option3!AF$110:AF$121, MATCH($D44, Option3!$G$110:$G$121,0)))*conv_2026*AF$7</f>
        <v>0</v>
      </c>
      <c r="AG44" s="31">
        <f>(INDEX(Option3!AG$110:AG$121, MATCH($D44, Option3!$G$110:$G$121,0)))*conv_2026*AG$7</f>
        <v>0</v>
      </c>
      <c r="AH44" s="7"/>
      <c r="AI44" s="7"/>
    </row>
    <row r="45" spans="1:35" s="8" customFormat="1" x14ac:dyDescent="0.2">
      <c r="A45" s="258" t="s">
        <v>132</v>
      </c>
      <c r="B45" s="258" t="str">
        <f>Option3!A115</f>
        <v>sens2</v>
      </c>
      <c r="C45" s="258" t="str">
        <f>Option3!C115</f>
        <v>Capex 10% lower</v>
      </c>
      <c r="D45" s="258" t="str">
        <f t="shared" si="5"/>
        <v>Option 3sens2</v>
      </c>
      <c r="E45" s="259"/>
      <c r="F45" s="31">
        <f t="shared" si="4"/>
        <v>590259996.74377394</v>
      </c>
      <c r="G45" s="258"/>
      <c r="H45" s="31">
        <f>(INDEX(Option3!H$110:H$121, MATCH($D45, Option3!$G$110:$G$121,0)))*conv_2026*H$7</f>
        <v>0</v>
      </c>
      <c r="I45" s="31">
        <f>(INDEX(Option3!I$110:I$121, MATCH($D45, Option3!$G$110:$G$121,0)))*conv_2026*I$7</f>
        <v>0</v>
      </c>
      <c r="J45" s="31">
        <f>(INDEX(Option3!J$110:J$121, MATCH($D45, Option3!$G$110:$G$121,0)))*conv_2026*J$7</f>
        <v>7790825.9871623702</v>
      </c>
      <c r="K45" s="31">
        <f>(INDEX(Option3!K$110:K$121, MATCH($D45, Option3!$G$110:$G$121,0)))*conv_2026*K$7</f>
        <v>10488404.200383952</v>
      </c>
      <c r="L45" s="31">
        <f>(INDEX(Option3!L$110:L$121, MATCH($D45, Option3!$G$110:$G$121,0)))*conv_2026*L$7</f>
        <v>12424881.140359707</v>
      </c>
      <c r="M45" s="31">
        <f>(INDEX(Option3!M$110:M$121, MATCH($D45, Option3!$G$110:$G$121,0)))*conv_2026*M$7</f>
        <v>15854758.868416423</v>
      </c>
      <c r="N45" s="31">
        <f>(INDEX(Option3!N$110:N$121, MATCH($D45, Option3!$G$110:$G$121,0)))*conv_2026*N$7</f>
        <v>22960015.148705952</v>
      </c>
      <c r="O45" s="31">
        <f>(INDEX(Option3!O$110:O$121, MATCH($D45, Option3!$G$110:$G$121,0)))*conv_2026*O$7</f>
        <v>35464442.318316571</v>
      </c>
      <c r="P45" s="31">
        <f>(INDEX(Option3!P$110:P$121, MATCH($D45, Option3!$G$110:$G$121,0)))*conv_2026*P$7</f>
        <v>48811984.763044916</v>
      </c>
      <c r="Q45" s="31">
        <f>(INDEX(Option3!Q$110:Q$121, MATCH($D45, Option3!$G$110:$G$121,0)))*conv_2026*Q$7</f>
        <v>62450282.26091671</v>
      </c>
      <c r="R45" s="31">
        <f>(INDEX(Option3!R$110:R$121, MATCH($D45, Option3!$G$110:$G$121,0)))*conv_2026*R$7</f>
        <v>62450282.26091671</v>
      </c>
      <c r="S45" s="31">
        <f>(INDEX(Option3!S$110:S$121, MATCH($D45, Option3!$G$110:$G$121,0)))*conv_2026*S$7</f>
        <v>62005063.342130028</v>
      </c>
      <c r="T45" s="31">
        <f>(INDEX(Option3!T$110:T$121, MATCH($D45, Option3!$G$110:$G$121,0)))*conv_2026*T$7</f>
        <v>62005063.342130028</v>
      </c>
      <c r="U45" s="31">
        <f>(INDEX(Option3!U$110:U$121, MATCH($D45, Option3!$G$110:$G$121,0)))*conv_2026*U$7</f>
        <v>62005063.342130028</v>
      </c>
      <c r="V45" s="31">
        <f>(INDEX(Option3!V$110:V$121, MATCH($D45, Option3!$G$110:$G$121,0)))*conv_2026*V$7</f>
        <v>62005063.342130028</v>
      </c>
      <c r="W45" s="31">
        <f>(INDEX(Option3!W$110:W$121, MATCH($D45, Option3!$G$110:$G$121,0)))*conv_2026*W$7</f>
        <v>62005063.342130028</v>
      </c>
      <c r="X45" s="31">
        <f>(INDEX(Option3!X$110:X$121, MATCH($D45, Option3!$G$110:$G$121,0)))*conv_2026*X$7</f>
        <v>62005063.342130028</v>
      </c>
      <c r="Y45" s="31">
        <f>(INDEX(Option3!Y$110:Y$121, MATCH($D45, Option3!$G$110:$G$121,0)))*conv_2026*Y$7</f>
        <v>62005063.342130028</v>
      </c>
      <c r="Z45" s="31">
        <f>(INDEX(Option3!Z$110:Z$121, MATCH($D45, Option3!$G$110:$G$121,0)))*conv_2026*Z$7</f>
        <v>62005063.342130028</v>
      </c>
      <c r="AA45" s="31">
        <f>(INDEX(Option3!AA$110:AA$121, MATCH($D45, Option3!$G$110:$G$121,0)))*conv_2026*AA$7</f>
        <v>62005063.342130028</v>
      </c>
      <c r="AB45" s="31">
        <f>(INDEX(Option3!AB$110:AB$121, MATCH($D45, Option3!$G$110:$G$121,0)))*conv_2026*AB$7</f>
        <v>62005063.342130028</v>
      </c>
      <c r="AC45" s="31">
        <f>(INDEX(Option3!AC$110:AC$121, MATCH($D45, Option3!$G$110:$G$121,0)))*conv_2026*AC$7</f>
        <v>0</v>
      </c>
      <c r="AD45" s="31">
        <f>(INDEX(Option3!AD$110:AD$121, MATCH($D45, Option3!$G$110:$G$121,0)))*conv_2026*AD$7</f>
        <v>0</v>
      </c>
      <c r="AE45" s="31">
        <f>(INDEX(Option3!AE$110:AE$121, MATCH($D45, Option3!$G$110:$G$121,0)))*conv_2026*AE$7</f>
        <v>0</v>
      </c>
      <c r="AF45" s="31">
        <f>(INDEX(Option3!AF$110:AF$121, MATCH($D45, Option3!$G$110:$G$121,0)))*conv_2026*AF$7</f>
        <v>0</v>
      </c>
      <c r="AG45" s="31">
        <f>(INDEX(Option3!AG$110:AG$121, MATCH($D45, Option3!$G$110:$G$121,0)))*conv_2026*AG$7</f>
        <v>0</v>
      </c>
    </row>
    <row r="46" spans="1:35" s="8" customFormat="1" x14ac:dyDescent="0.2">
      <c r="A46" s="258" t="s">
        <v>132</v>
      </c>
      <c r="B46" s="258" t="str">
        <f>Option3!A116</f>
        <v>sens3</v>
      </c>
      <c r="C46" s="258" t="str">
        <f>Option3!C116</f>
        <v>Total benefits 10% higher</v>
      </c>
      <c r="D46" s="258" t="str">
        <f t="shared" si="5"/>
        <v>Option 3sens3</v>
      </c>
      <c r="E46" s="259"/>
      <c r="F46" s="31">
        <f t="shared" si="4"/>
        <v>648531359.2894311</v>
      </c>
      <c r="H46" s="31">
        <f>(INDEX(Option3!H$110:H$121, MATCH($D46, Option3!$G$110:$G$121,0)))*conv_2026*H$7</f>
        <v>0</v>
      </c>
      <c r="I46" s="31">
        <f>(INDEX(Option3!I$110:I$121, MATCH($D46, Option3!$G$110:$G$121,0)))*conv_2026*I$7</f>
        <v>0</v>
      </c>
      <c r="J46" s="31">
        <f>(INDEX(Option3!J$110:J$121, MATCH($D46, Option3!$G$110:$G$121,0)))*conv_2026*J$7</f>
        <v>8556697.5662943497</v>
      </c>
      <c r="K46" s="31">
        <f>(INDEX(Option3!K$110:K$121, MATCH($D46, Option3!$G$110:$G$121,0)))*conv_2026*K$7</f>
        <v>11515092.788907986</v>
      </c>
      <c r="L46" s="31">
        <f>(INDEX(Option3!L$110:L$121, MATCH($D46, Option3!$G$110:$G$121,0)))*conv_2026*L$7</f>
        <v>13634317.544846278</v>
      </c>
      <c r="M46" s="31">
        <f>(INDEX(Option3!M$110:M$121, MATCH($D46, Option3!$G$110:$G$121,0)))*conv_2026*M$7</f>
        <v>17388077.060513768</v>
      </c>
      <c r="N46" s="31">
        <f>(INDEX(Option3!N$110:N$121, MATCH($D46, Option3!$G$110:$G$121,0)))*conv_2026*N$7</f>
        <v>25193363.295482282</v>
      </c>
      <c r="O46" s="31">
        <f>(INDEX(Option3!O$110:O$121, MATCH($D46, Option3!$G$110:$G$121,0)))*conv_2026*O$7</f>
        <v>38948233.182053961</v>
      </c>
      <c r="P46" s="31">
        <f>(INDEX(Option3!P$110:P$121, MATCH($D46, Option3!$G$110:$G$121,0)))*conv_2026*P$7</f>
        <v>53630529.871255144</v>
      </c>
      <c r="Q46" s="31">
        <f>(INDEX(Option3!Q$110:Q$121, MATCH($D46, Option3!$G$110:$G$121,0)))*conv_2026*Q$7</f>
        <v>68632657.118914112</v>
      </c>
      <c r="R46" s="31">
        <f>(INDEX(Option3!R$110:R$121, MATCH($D46, Option3!$G$110:$G$121,0)))*conv_2026*R$7</f>
        <v>68632657.118914112</v>
      </c>
      <c r="S46" s="31">
        <f>(INDEX(Option3!S$110:S$121, MATCH($D46, Option3!$G$110:$G$121,0)))*conv_2026*S$7</f>
        <v>68137969.431373358</v>
      </c>
      <c r="T46" s="31">
        <f>(INDEX(Option3!T$110:T$121, MATCH($D46, Option3!$G$110:$G$121,0)))*conv_2026*T$7</f>
        <v>68137969.431373358</v>
      </c>
      <c r="U46" s="31">
        <f>(INDEX(Option3!U$110:U$121, MATCH($D46, Option3!$G$110:$G$121,0)))*conv_2026*U$7</f>
        <v>68137969.431373358</v>
      </c>
      <c r="V46" s="31">
        <f>(INDEX(Option3!V$110:V$121, MATCH($D46, Option3!$G$110:$G$121,0)))*conv_2026*V$7</f>
        <v>68137969.431373358</v>
      </c>
      <c r="W46" s="31">
        <f>(INDEX(Option3!W$110:W$121, MATCH($D46, Option3!$G$110:$G$121,0)))*conv_2026*W$7</f>
        <v>68137969.431373358</v>
      </c>
      <c r="X46" s="31">
        <f>(INDEX(Option3!X$110:X$121, MATCH($D46, Option3!$G$110:$G$121,0)))*conv_2026*X$7</f>
        <v>68137969.431373358</v>
      </c>
      <c r="Y46" s="31">
        <f>(INDEX(Option3!Y$110:Y$121, MATCH($D46, Option3!$G$110:$G$121,0)))*conv_2026*Y$7</f>
        <v>68137969.431373358</v>
      </c>
      <c r="Z46" s="31">
        <f>(INDEX(Option3!Z$110:Z$121, MATCH($D46, Option3!$G$110:$G$121,0)))*conv_2026*Z$7</f>
        <v>68137969.431373358</v>
      </c>
      <c r="AA46" s="31">
        <f>(INDEX(Option3!AA$110:AA$121, MATCH($D46, Option3!$G$110:$G$121,0)))*conv_2026*AA$7</f>
        <v>68137969.431373358</v>
      </c>
      <c r="AB46" s="31">
        <f>(INDEX(Option3!AB$110:AB$121, MATCH($D46, Option3!$G$110:$G$121,0)))*conv_2026*AB$7</f>
        <v>68137969.431373358</v>
      </c>
      <c r="AC46" s="31">
        <f>(INDEX(Option3!AC$110:AC$121, MATCH($D46, Option3!$G$110:$G$121,0)))*conv_2026*AC$7</f>
        <v>0</v>
      </c>
      <c r="AD46" s="31">
        <f>(INDEX(Option3!AD$110:AD$121, MATCH($D46, Option3!$G$110:$G$121,0)))*conv_2026*AD$7</f>
        <v>0</v>
      </c>
      <c r="AE46" s="31">
        <f>(INDEX(Option3!AE$110:AE$121, MATCH($D46, Option3!$G$110:$G$121,0)))*conv_2026*AE$7</f>
        <v>0</v>
      </c>
      <c r="AF46" s="31">
        <f>(INDEX(Option3!AF$110:AF$121, MATCH($D46, Option3!$G$110:$G$121,0)))*conv_2026*AF$7</f>
        <v>0</v>
      </c>
      <c r="AG46" s="31">
        <f>(INDEX(Option3!AG$110:AG$121, MATCH($D46, Option3!$G$110:$G$121,0)))*conv_2026*AG$7</f>
        <v>0</v>
      </c>
    </row>
    <row r="47" spans="1:35" s="8" customFormat="1" x14ac:dyDescent="0.2">
      <c r="A47" s="258" t="s">
        <v>132</v>
      </c>
      <c r="B47" s="258" t="str">
        <f>Option3!A117</f>
        <v>sens4</v>
      </c>
      <c r="C47" s="258" t="str">
        <f>Option3!C117</f>
        <v>Total benefits 10% lower</v>
      </c>
      <c r="D47" s="258" t="str">
        <f t="shared" si="5"/>
        <v>Option 3sens4</v>
      </c>
      <c r="E47" s="259"/>
      <c r="F47" s="31">
        <f t="shared" si="4"/>
        <v>516895891.62371314</v>
      </c>
      <c r="H47" s="31">
        <f>(INDEX(Option3!H$110:H$121, MATCH($D47, Option3!$G$110:$G$121,0)))*conv_2026*H$7</f>
        <v>0</v>
      </c>
      <c r="I47" s="31">
        <f>(INDEX(Option3!I$110:I$121, MATCH($D47, Option3!$G$110:$G$121,0)))*conv_2026*I$7</f>
        <v>0</v>
      </c>
      <c r="J47" s="31">
        <f>(INDEX(Option3!J$110:J$121, MATCH($D47, Option3!$G$110:$G$121,0)))*conv_2026*J$7</f>
        <v>6760734.0163452411</v>
      </c>
      <c r="K47" s="31">
        <f>(INDEX(Option3!K$110:K$121, MATCH($D47, Option3!$G$110:$G$121,0)))*conv_2026*K$7</f>
        <v>9018678.9815727025</v>
      </c>
      <c r="L47" s="31">
        <f>(INDEX(Option3!L$110:L$121, MATCH($D47, Option3!$G$110:$G$121,0)))*conv_2026*L$7</f>
        <v>10554410.544885172</v>
      </c>
      <c r="M47" s="31">
        <f>(INDEX(Option3!M$110:M$121, MATCH($D47, Option3!$G$110:$G$121,0)))*conv_2026*M$7</f>
        <v>13278286.781433085</v>
      </c>
      <c r="N47" s="31">
        <f>(INDEX(Option3!N$110:N$121, MATCH($D47, Option3!$G$110:$G$121,0)))*conv_2026*N$7</f>
        <v>19473599.640044309</v>
      </c>
      <c r="O47" s="31">
        <f>(INDEX(Option3!O$110:O$121, MATCH($D47, Option3!$G$110:$G$121,0)))*conv_2026*O$7</f>
        <v>30727584.092693865</v>
      </c>
      <c r="P47" s="31">
        <f>(INDEX(Option3!P$110:P$121, MATCH($D47, Option3!$G$110:$G$121,0)))*conv_2026*P$7</f>
        <v>42740372.292949378</v>
      </c>
      <c r="Q47" s="31">
        <f>(INDEX(Option3!Q$110:Q$121, MATCH($D47, Option3!$G$110:$G$121,0)))*conv_2026*Q$7</f>
        <v>55014840.041033991</v>
      </c>
      <c r="R47" s="31">
        <f>(INDEX(Option3!R$110:R$121, MATCH($D47, Option3!$G$110:$G$121,0)))*conv_2026*R$7</f>
        <v>55014840.041033991</v>
      </c>
      <c r="S47" s="31">
        <f>(INDEX(Option3!S$110:S$121, MATCH($D47, Option3!$G$110:$G$121,0)))*conv_2026*S$7</f>
        <v>54520152.353493229</v>
      </c>
      <c r="T47" s="31">
        <f>(INDEX(Option3!T$110:T$121, MATCH($D47, Option3!$G$110:$G$121,0)))*conv_2026*T$7</f>
        <v>54520152.353493229</v>
      </c>
      <c r="U47" s="31">
        <f>(INDEX(Option3!U$110:U$121, MATCH($D47, Option3!$G$110:$G$121,0)))*conv_2026*U$7</f>
        <v>54520152.353493229</v>
      </c>
      <c r="V47" s="31">
        <f>(INDEX(Option3!V$110:V$121, MATCH($D47, Option3!$G$110:$G$121,0)))*conv_2026*V$7</f>
        <v>54520152.353493229</v>
      </c>
      <c r="W47" s="31">
        <f>(INDEX(Option3!W$110:W$121, MATCH($D47, Option3!$G$110:$G$121,0)))*conv_2026*W$7</f>
        <v>54520152.353493229</v>
      </c>
      <c r="X47" s="31">
        <f>(INDEX(Option3!X$110:X$121, MATCH($D47, Option3!$G$110:$G$121,0)))*conv_2026*X$7</f>
        <v>54520152.353493229</v>
      </c>
      <c r="Y47" s="31">
        <f>(INDEX(Option3!Y$110:Y$121, MATCH($D47, Option3!$G$110:$G$121,0)))*conv_2026*Y$7</f>
        <v>54520152.353493229</v>
      </c>
      <c r="Z47" s="31">
        <f>(INDEX(Option3!Z$110:Z$121, MATCH($D47, Option3!$G$110:$G$121,0)))*conv_2026*Z$7</f>
        <v>54520152.353493229</v>
      </c>
      <c r="AA47" s="31">
        <f>(INDEX(Option3!AA$110:AA$121, MATCH($D47, Option3!$G$110:$G$121,0)))*conv_2026*AA$7</f>
        <v>54520152.353493229</v>
      </c>
      <c r="AB47" s="31">
        <f>(INDEX(Option3!AB$110:AB$121, MATCH($D47, Option3!$G$110:$G$121,0)))*conv_2026*AB$7</f>
        <v>54520152.353493229</v>
      </c>
      <c r="AC47" s="31">
        <f>(INDEX(Option3!AC$110:AC$121, MATCH($D47, Option3!$G$110:$G$121,0)))*conv_2026*AC$7</f>
        <v>0</v>
      </c>
      <c r="AD47" s="31">
        <f>(INDEX(Option3!AD$110:AD$121, MATCH($D47, Option3!$G$110:$G$121,0)))*conv_2026*AD$7</f>
        <v>0</v>
      </c>
      <c r="AE47" s="31">
        <f>(INDEX(Option3!AE$110:AE$121, MATCH($D47, Option3!$G$110:$G$121,0)))*conv_2026*AE$7</f>
        <v>0</v>
      </c>
      <c r="AF47" s="31">
        <f>(INDEX(Option3!AF$110:AF$121, MATCH($D47, Option3!$G$110:$G$121,0)))*conv_2026*AF$7</f>
        <v>0</v>
      </c>
      <c r="AG47" s="31">
        <f>(INDEX(Option3!AG$110:AG$121, MATCH($D47, Option3!$G$110:$G$121,0)))*conv_2026*AG$7</f>
        <v>0</v>
      </c>
    </row>
    <row r="48" spans="1:35" s="8" customFormat="1" x14ac:dyDescent="0.2">
      <c r="A48" s="258" t="s">
        <v>132</v>
      </c>
      <c r="B48" s="258" t="str">
        <f>Option3!A118</f>
        <v>sens5</v>
      </c>
      <c r="C48" s="258" t="str">
        <f>Option3!C118</f>
        <v>Capex 10% higher &amp; Total benefits 10% lower</v>
      </c>
      <c r="D48" s="258" t="str">
        <f t="shared" si="5"/>
        <v>Option 3sens5</v>
      </c>
      <c r="E48" s="259"/>
      <c r="F48" s="31">
        <f t="shared" si="4"/>
        <v>509349520.33651143</v>
      </c>
      <c r="H48" s="31">
        <f>(INDEX(Option3!H$110:H$121, MATCH($D48, Option3!$G$110:$G$121,0)))*conv_2026*H$7</f>
        <v>0</v>
      </c>
      <c r="I48" s="31">
        <f>(INDEX(Option3!I$110:I$121, MATCH($D48, Option3!$G$110:$G$121,0)))*conv_2026*I$7</f>
        <v>0</v>
      </c>
      <c r="J48" s="31">
        <f>(INDEX(Option3!J$110:J$121, MATCH($D48, Option3!$G$110:$G$121,0)))*conv_2026*J$7</f>
        <v>6628623.8205026658</v>
      </c>
      <c r="K48" s="31">
        <f>(INDEX(Option3!K$110:K$121, MATCH($D48, Option3!$G$110:$G$121,0)))*conv_2026*K$7</f>
        <v>8797160.666429095</v>
      </c>
      <c r="L48" s="31">
        <f>(INDEX(Option3!L$110:L$121, MATCH($D48, Option3!$G$110:$G$121,0)))*conv_2026*L$7</f>
        <v>10223893.44939119</v>
      </c>
      <c r="M48" s="31">
        <f>(INDEX(Option3!M$110:M$121, MATCH($D48, Option3!$G$110:$G$121,0)))*conv_2026*M$7</f>
        <v>12756709.833990088</v>
      </c>
      <c r="N48" s="31">
        <f>(INDEX(Option3!N$110:N$121, MATCH($D48, Option3!$G$110:$G$121,0)))*conv_2026*N$7</f>
        <v>18847065.959101647</v>
      </c>
      <c r="O48" s="31">
        <f>(INDEX(Option3!O$110:O$121, MATCH($D48, Option3!$G$110:$G$121,0)))*conv_2026*O$7</f>
        <v>30101050.411751211</v>
      </c>
      <c r="P48" s="31">
        <f>(INDEX(Option3!P$110:P$121, MATCH($D48, Option3!$G$110:$G$121,0)))*conv_2026*P$7</f>
        <v>42113838.612006716</v>
      </c>
      <c r="Q48" s="31">
        <f>(INDEX(Option3!Q$110:Q$121, MATCH($D48, Option3!$G$110:$G$121,0)))*conv_2026*Q$7</f>
        <v>54388306.360091329</v>
      </c>
      <c r="R48" s="31">
        <f>(INDEX(Option3!R$110:R$121, MATCH($D48, Option3!$G$110:$G$121,0)))*conv_2026*R$7</f>
        <v>54388306.360091329</v>
      </c>
      <c r="S48" s="31">
        <f>(INDEX(Option3!S$110:S$121, MATCH($D48, Option3!$G$110:$G$121,0)))*conv_2026*S$7</f>
        <v>53844149.903796494</v>
      </c>
      <c r="T48" s="31">
        <f>(INDEX(Option3!T$110:T$121, MATCH($D48, Option3!$G$110:$G$121,0)))*conv_2026*T$7</f>
        <v>53844149.903796494</v>
      </c>
      <c r="U48" s="31">
        <f>(INDEX(Option3!U$110:U$121, MATCH($D48, Option3!$G$110:$G$121,0)))*conv_2026*U$7</f>
        <v>53844149.903796494</v>
      </c>
      <c r="V48" s="31">
        <f>(INDEX(Option3!V$110:V$121, MATCH($D48, Option3!$G$110:$G$121,0)))*conv_2026*V$7</f>
        <v>53844149.903796494</v>
      </c>
      <c r="W48" s="31">
        <f>(INDEX(Option3!W$110:W$121, MATCH($D48, Option3!$G$110:$G$121,0)))*conv_2026*W$7</f>
        <v>53844149.903796494</v>
      </c>
      <c r="X48" s="31">
        <f>(INDEX(Option3!X$110:X$121, MATCH($D48, Option3!$G$110:$G$121,0)))*conv_2026*X$7</f>
        <v>53844149.903796494</v>
      </c>
      <c r="Y48" s="31">
        <f>(INDEX(Option3!Y$110:Y$121, MATCH($D48, Option3!$G$110:$G$121,0)))*conv_2026*Y$7</f>
        <v>53844149.903796494</v>
      </c>
      <c r="Z48" s="31">
        <f>(INDEX(Option3!Z$110:Z$121, MATCH($D48, Option3!$G$110:$G$121,0)))*conv_2026*Z$7</f>
        <v>53844149.903796494</v>
      </c>
      <c r="AA48" s="31">
        <f>(INDEX(Option3!AA$110:AA$121, MATCH($D48, Option3!$G$110:$G$121,0)))*conv_2026*AA$7</f>
        <v>53844149.903796494</v>
      </c>
      <c r="AB48" s="31">
        <f>(INDEX(Option3!AB$110:AB$121, MATCH($D48, Option3!$G$110:$G$121,0)))*conv_2026*AB$7</f>
        <v>53844149.903796494</v>
      </c>
      <c r="AC48" s="31">
        <f>(INDEX(Option3!AC$110:AC$121, MATCH($D48, Option3!$G$110:$G$121,0)))*conv_2026*AC$7</f>
        <v>0</v>
      </c>
      <c r="AD48" s="31">
        <f>(INDEX(Option3!AD$110:AD$121, MATCH($D48, Option3!$G$110:$G$121,0)))*conv_2026*AD$7</f>
        <v>0</v>
      </c>
      <c r="AE48" s="31">
        <f>(INDEX(Option3!AE$110:AE$121, MATCH($D48, Option3!$G$110:$G$121,0)))*conv_2026*AE$7</f>
        <v>0</v>
      </c>
      <c r="AF48" s="31">
        <f>(INDEX(Option3!AF$110:AF$121, MATCH($D48, Option3!$G$110:$G$121,0)))*conv_2026*AF$7</f>
        <v>0</v>
      </c>
      <c r="AG48" s="31">
        <f>(INDEX(Option3!AG$110:AG$121, MATCH($D48, Option3!$G$110:$G$121,0)))*conv_2026*AG$7</f>
        <v>0</v>
      </c>
    </row>
    <row r="49" spans="1:35" s="8" customFormat="1" x14ac:dyDescent="0.2">
      <c r="A49" s="258" t="s">
        <v>132</v>
      </c>
      <c r="B49" s="258" t="str">
        <f>Option3!A119</f>
        <v>sens</v>
      </c>
      <c r="C49" s="258">
        <f>Option3!C119</f>
        <v>0</v>
      </c>
      <c r="D49" s="258" t="str">
        <f t="shared" si="5"/>
        <v>Option 3sens</v>
      </c>
      <c r="E49" s="259"/>
      <c r="F49" s="31">
        <f t="shared" si="4"/>
        <v>582713625.45657206</v>
      </c>
      <c r="H49" s="31">
        <f>(INDEX(Option3!H$110:H$121, MATCH($D49, Option3!$G$110:$G$121,0)))*conv_2026*H$7</f>
        <v>0</v>
      </c>
      <c r="I49" s="31">
        <f>(INDEX(Option3!I$110:I$121, MATCH($D49, Option3!$G$110:$G$121,0)))*conv_2026*I$7</f>
        <v>0</v>
      </c>
      <c r="J49" s="31">
        <f>(INDEX(Option3!J$110:J$121, MATCH($D49, Option3!$G$110:$G$121,0)))*conv_2026*J$7</f>
        <v>7658715.791319795</v>
      </c>
      <c r="K49" s="31">
        <f>(INDEX(Option3!K$110:K$121, MATCH($D49, Option3!$G$110:$G$121,0)))*conv_2026*K$7</f>
        <v>10266885.885240344</v>
      </c>
      <c r="L49" s="31">
        <f>(INDEX(Option3!L$110:L$121, MATCH($D49, Option3!$G$110:$G$121,0)))*conv_2026*L$7</f>
        <v>12094364.044865726</v>
      </c>
      <c r="M49" s="31">
        <f>(INDEX(Option3!M$110:M$121, MATCH($D49, Option3!$G$110:$G$121,0)))*conv_2026*M$7</f>
        <v>15333181.920973426</v>
      </c>
      <c r="N49" s="31">
        <f>(INDEX(Option3!N$110:N$121, MATCH($D49, Option3!$G$110:$G$121,0)))*conv_2026*N$7</f>
        <v>22333481.467763297</v>
      </c>
      <c r="O49" s="31">
        <f>(INDEX(Option3!O$110:O$121, MATCH($D49, Option3!$G$110:$G$121,0)))*conv_2026*O$7</f>
        <v>34837908.637373917</v>
      </c>
      <c r="P49" s="31">
        <f>(INDEX(Option3!P$110:P$121, MATCH($D49, Option3!$G$110:$G$121,0)))*conv_2026*P$7</f>
        <v>48185451.082102261</v>
      </c>
      <c r="Q49" s="31">
        <f>(INDEX(Option3!Q$110:Q$121, MATCH($D49, Option3!$G$110:$G$121,0)))*conv_2026*Q$7</f>
        <v>61823748.579974055</v>
      </c>
      <c r="R49" s="31">
        <f>(INDEX(Option3!R$110:R$121, MATCH($D49, Option3!$G$110:$G$121,0)))*conv_2026*R$7</f>
        <v>61823748.579974055</v>
      </c>
      <c r="S49" s="31">
        <f>(INDEX(Option3!S$110:S$121, MATCH($D49, Option3!$G$110:$G$121,0)))*conv_2026*S$7</f>
        <v>61329060.892433293</v>
      </c>
      <c r="T49" s="31">
        <f>(INDEX(Option3!T$110:T$121, MATCH($D49, Option3!$G$110:$G$121,0)))*conv_2026*T$7</f>
        <v>61329060.892433293</v>
      </c>
      <c r="U49" s="31">
        <f>(INDEX(Option3!U$110:U$121, MATCH($D49, Option3!$G$110:$G$121,0)))*conv_2026*U$7</f>
        <v>61329060.892433293</v>
      </c>
      <c r="V49" s="31">
        <f>(INDEX(Option3!V$110:V$121, MATCH($D49, Option3!$G$110:$G$121,0)))*conv_2026*V$7</f>
        <v>61329060.892433293</v>
      </c>
      <c r="W49" s="31">
        <f>(INDEX(Option3!W$110:W$121, MATCH($D49, Option3!$G$110:$G$121,0)))*conv_2026*W$7</f>
        <v>61329060.892433293</v>
      </c>
      <c r="X49" s="31">
        <f>(INDEX(Option3!X$110:X$121, MATCH($D49, Option3!$G$110:$G$121,0)))*conv_2026*X$7</f>
        <v>61329060.892433293</v>
      </c>
      <c r="Y49" s="31">
        <f>(INDEX(Option3!Y$110:Y$121, MATCH($D49, Option3!$G$110:$G$121,0)))*conv_2026*Y$7</f>
        <v>61329060.892433293</v>
      </c>
      <c r="Z49" s="31">
        <f>(INDEX(Option3!Z$110:Z$121, MATCH($D49, Option3!$G$110:$G$121,0)))*conv_2026*Z$7</f>
        <v>61329060.892433293</v>
      </c>
      <c r="AA49" s="31">
        <f>(INDEX(Option3!AA$110:AA$121, MATCH($D49, Option3!$G$110:$G$121,0)))*conv_2026*AA$7</f>
        <v>61329060.892433293</v>
      </c>
      <c r="AB49" s="31">
        <f>(INDEX(Option3!AB$110:AB$121, MATCH($D49, Option3!$G$110:$G$121,0)))*conv_2026*AB$7</f>
        <v>61329060.892433293</v>
      </c>
      <c r="AC49" s="31">
        <f>(INDEX(Option3!AC$110:AC$121, MATCH($D49, Option3!$G$110:$G$121,0)))*conv_2026*AC$7</f>
        <v>0</v>
      </c>
      <c r="AD49" s="31">
        <f>(INDEX(Option3!AD$110:AD$121, MATCH($D49, Option3!$G$110:$G$121,0)))*conv_2026*AD$7</f>
        <v>0</v>
      </c>
      <c r="AE49" s="31">
        <f>(INDEX(Option3!AE$110:AE$121, MATCH($D49, Option3!$G$110:$G$121,0)))*conv_2026*AE$7</f>
        <v>0</v>
      </c>
      <c r="AF49" s="31">
        <f>(INDEX(Option3!AF$110:AF$121, MATCH($D49, Option3!$G$110:$G$121,0)))*conv_2026*AF$7</f>
        <v>0</v>
      </c>
      <c r="AG49" s="31">
        <f>(INDEX(Option3!AG$110:AG$121, MATCH($D49, Option3!$G$110:$G$121,0)))*conv_2026*AG$7</f>
        <v>0</v>
      </c>
    </row>
    <row r="50" spans="1:35" s="8" customFormat="1" x14ac:dyDescent="0.2">
      <c r="A50" s="258" t="s">
        <v>132</v>
      </c>
      <c r="B50" s="258" t="str">
        <f>Option3!A120</f>
        <v>sens</v>
      </c>
      <c r="C50" s="258">
        <f>Option3!C120</f>
        <v>0</v>
      </c>
      <c r="D50" s="258" t="str">
        <f t="shared" si="5"/>
        <v>Option 3sens</v>
      </c>
      <c r="E50" s="259"/>
      <c r="F50" s="31">
        <f t="shared" si="4"/>
        <v>582713625.45657206</v>
      </c>
      <c r="H50" s="31">
        <f>(INDEX(Option3!H$110:H$121, MATCH($D50, Option3!$G$110:$G$121,0)))*conv_2026*H$7</f>
        <v>0</v>
      </c>
      <c r="I50" s="31">
        <f>(INDEX(Option3!I$110:I$121, MATCH($D50, Option3!$G$110:$G$121,0)))*conv_2026*I$7</f>
        <v>0</v>
      </c>
      <c r="J50" s="31">
        <f>(INDEX(Option3!J$110:J$121, MATCH($D50, Option3!$G$110:$G$121,0)))*conv_2026*J$7</f>
        <v>7658715.791319795</v>
      </c>
      <c r="K50" s="31">
        <f>(INDEX(Option3!K$110:K$121, MATCH($D50, Option3!$G$110:$G$121,0)))*conv_2026*K$7</f>
        <v>10266885.885240344</v>
      </c>
      <c r="L50" s="31">
        <f>(INDEX(Option3!L$110:L$121, MATCH($D50, Option3!$G$110:$G$121,0)))*conv_2026*L$7</f>
        <v>12094364.044865726</v>
      </c>
      <c r="M50" s="31">
        <f>(INDEX(Option3!M$110:M$121, MATCH($D50, Option3!$G$110:$G$121,0)))*conv_2026*M$7</f>
        <v>15333181.920973426</v>
      </c>
      <c r="N50" s="31">
        <f>(INDEX(Option3!N$110:N$121, MATCH($D50, Option3!$G$110:$G$121,0)))*conv_2026*N$7</f>
        <v>22333481.467763297</v>
      </c>
      <c r="O50" s="31">
        <f>(INDEX(Option3!O$110:O$121, MATCH($D50, Option3!$G$110:$G$121,0)))*conv_2026*O$7</f>
        <v>34837908.637373917</v>
      </c>
      <c r="P50" s="31">
        <f>(INDEX(Option3!P$110:P$121, MATCH($D50, Option3!$G$110:$G$121,0)))*conv_2026*P$7</f>
        <v>48185451.082102261</v>
      </c>
      <c r="Q50" s="31">
        <f>(INDEX(Option3!Q$110:Q$121, MATCH($D50, Option3!$G$110:$G$121,0)))*conv_2026*Q$7</f>
        <v>61823748.579974055</v>
      </c>
      <c r="R50" s="31">
        <f>(INDEX(Option3!R$110:R$121, MATCH($D50, Option3!$G$110:$G$121,0)))*conv_2026*R$7</f>
        <v>61823748.579974055</v>
      </c>
      <c r="S50" s="31">
        <f>(INDEX(Option3!S$110:S$121, MATCH($D50, Option3!$G$110:$G$121,0)))*conv_2026*S$7</f>
        <v>61329060.892433293</v>
      </c>
      <c r="T50" s="31">
        <f>(INDEX(Option3!T$110:T$121, MATCH($D50, Option3!$G$110:$G$121,0)))*conv_2026*T$7</f>
        <v>61329060.892433293</v>
      </c>
      <c r="U50" s="31">
        <f>(INDEX(Option3!U$110:U$121, MATCH($D50, Option3!$G$110:$G$121,0)))*conv_2026*U$7</f>
        <v>61329060.892433293</v>
      </c>
      <c r="V50" s="31">
        <f>(INDEX(Option3!V$110:V$121, MATCH($D50, Option3!$G$110:$G$121,0)))*conv_2026*V$7</f>
        <v>61329060.892433293</v>
      </c>
      <c r="W50" s="31">
        <f>(INDEX(Option3!W$110:W$121, MATCH($D50, Option3!$G$110:$G$121,0)))*conv_2026*W$7</f>
        <v>61329060.892433293</v>
      </c>
      <c r="X50" s="31">
        <f>(INDEX(Option3!X$110:X$121, MATCH($D50, Option3!$G$110:$G$121,0)))*conv_2026*X$7</f>
        <v>61329060.892433293</v>
      </c>
      <c r="Y50" s="31">
        <f>(INDEX(Option3!Y$110:Y$121, MATCH($D50, Option3!$G$110:$G$121,0)))*conv_2026*Y$7</f>
        <v>61329060.892433293</v>
      </c>
      <c r="Z50" s="31">
        <f>(INDEX(Option3!Z$110:Z$121, MATCH($D50, Option3!$G$110:$G$121,0)))*conv_2026*Z$7</f>
        <v>61329060.892433293</v>
      </c>
      <c r="AA50" s="31">
        <f>(INDEX(Option3!AA$110:AA$121, MATCH($D50, Option3!$G$110:$G$121,0)))*conv_2026*AA$7</f>
        <v>61329060.892433293</v>
      </c>
      <c r="AB50" s="31">
        <f>(INDEX(Option3!AB$110:AB$121, MATCH($D50, Option3!$G$110:$G$121,0)))*conv_2026*AB$7</f>
        <v>61329060.892433293</v>
      </c>
      <c r="AC50" s="31">
        <f>(INDEX(Option3!AC$110:AC$121, MATCH($D50, Option3!$G$110:$G$121,0)))*conv_2026*AC$7</f>
        <v>0</v>
      </c>
      <c r="AD50" s="31">
        <f>(INDEX(Option3!AD$110:AD$121, MATCH($D50, Option3!$G$110:$G$121,0)))*conv_2026*AD$7</f>
        <v>0</v>
      </c>
      <c r="AE50" s="31">
        <f>(INDEX(Option3!AE$110:AE$121, MATCH($D50, Option3!$G$110:$G$121,0)))*conv_2026*AE$7</f>
        <v>0</v>
      </c>
      <c r="AF50" s="31">
        <f>(INDEX(Option3!AF$110:AF$121, MATCH($D50, Option3!$G$110:$G$121,0)))*conv_2026*AF$7</f>
        <v>0</v>
      </c>
      <c r="AG50" s="31">
        <f>(INDEX(Option3!AG$110:AG$121, MATCH($D50, Option3!$G$110:$G$121,0)))*conv_2026*AG$7</f>
        <v>0</v>
      </c>
    </row>
    <row r="51" spans="1:35" s="8" customFormat="1" x14ac:dyDescent="0.2">
      <c r="A51" s="258" t="s">
        <v>132</v>
      </c>
      <c r="B51" s="258" t="str">
        <f>Option3!A121</f>
        <v>sens</v>
      </c>
      <c r="C51" s="258">
        <f>Option3!C121</f>
        <v>0</v>
      </c>
      <c r="D51" s="258" t="str">
        <f t="shared" si="5"/>
        <v>Option 3sens</v>
      </c>
      <c r="E51" s="259"/>
      <c r="F51" s="31">
        <f t="shared" si="4"/>
        <v>582713625.45657206</v>
      </c>
      <c r="H51" s="31">
        <f>(INDEX(Option3!H$110:H$121, MATCH($D51, Option3!$G$110:$G$121,0)))*conv_2026*H$7</f>
        <v>0</v>
      </c>
      <c r="I51" s="31">
        <f>(INDEX(Option3!I$110:I$121, MATCH($D51, Option3!$G$110:$G$121,0)))*conv_2026*I$7</f>
        <v>0</v>
      </c>
      <c r="J51" s="31">
        <f>(INDEX(Option3!J$110:J$121, MATCH($D51, Option3!$G$110:$G$121,0)))*conv_2026*J$7</f>
        <v>7658715.791319795</v>
      </c>
      <c r="K51" s="31">
        <f>(INDEX(Option3!K$110:K$121, MATCH($D51, Option3!$G$110:$G$121,0)))*conv_2026*K$7</f>
        <v>10266885.885240344</v>
      </c>
      <c r="L51" s="31">
        <f>(INDEX(Option3!L$110:L$121, MATCH($D51, Option3!$G$110:$G$121,0)))*conv_2026*L$7</f>
        <v>12094364.044865726</v>
      </c>
      <c r="M51" s="31">
        <f>(INDEX(Option3!M$110:M$121, MATCH($D51, Option3!$G$110:$G$121,0)))*conv_2026*M$7</f>
        <v>15333181.920973426</v>
      </c>
      <c r="N51" s="31">
        <f>(INDEX(Option3!N$110:N$121, MATCH($D51, Option3!$G$110:$G$121,0)))*conv_2026*N$7</f>
        <v>22333481.467763297</v>
      </c>
      <c r="O51" s="31">
        <f>(INDEX(Option3!O$110:O$121, MATCH($D51, Option3!$G$110:$G$121,0)))*conv_2026*O$7</f>
        <v>34837908.637373917</v>
      </c>
      <c r="P51" s="31">
        <f>(INDEX(Option3!P$110:P$121, MATCH($D51, Option3!$G$110:$G$121,0)))*conv_2026*P$7</f>
        <v>48185451.082102261</v>
      </c>
      <c r="Q51" s="31">
        <f>(INDEX(Option3!Q$110:Q$121, MATCH($D51, Option3!$G$110:$G$121,0)))*conv_2026*Q$7</f>
        <v>61823748.579974055</v>
      </c>
      <c r="R51" s="31">
        <f>(INDEX(Option3!R$110:R$121, MATCH($D51, Option3!$G$110:$G$121,0)))*conv_2026*R$7</f>
        <v>61823748.579974055</v>
      </c>
      <c r="S51" s="31">
        <f>(INDEX(Option3!S$110:S$121, MATCH($D51, Option3!$G$110:$G$121,0)))*conv_2026*S$7</f>
        <v>61329060.892433293</v>
      </c>
      <c r="T51" s="31">
        <f>(INDEX(Option3!T$110:T$121, MATCH($D51, Option3!$G$110:$G$121,0)))*conv_2026*T$7</f>
        <v>61329060.892433293</v>
      </c>
      <c r="U51" s="31">
        <f>(INDEX(Option3!U$110:U$121, MATCH($D51, Option3!$G$110:$G$121,0)))*conv_2026*U$7</f>
        <v>61329060.892433293</v>
      </c>
      <c r="V51" s="31">
        <f>(INDEX(Option3!V$110:V$121, MATCH($D51, Option3!$G$110:$G$121,0)))*conv_2026*V$7</f>
        <v>61329060.892433293</v>
      </c>
      <c r="W51" s="31">
        <f>(INDEX(Option3!W$110:W$121, MATCH($D51, Option3!$G$110:$G$121,0)))*conv_2026*W$7</f>
        <v>61329060.892433293</v>
      </c>
      <c r="X51" s="31">
        <f>(INDEX(Option3!X$110:X$121, MATCH($D51, Option3!$G$110:$G$121,0)))*conv_2026*X$7</f>
        <v>61329060.892433293</v>
      </c>
      <c r="Y51" s="31">
        <f>(INDEX(Option3!Y$110:Y$121, MATCH($D51, Option3!$G$110:$G$121,0)))*conv_2026*Y$7</f>
        <v>61329060.892433293</v>
      </c>
      <c r="Z51" s="31">
        <f>(INDEX(Option3!Z$110:Z$121, MATCH($D51, Option3!$G$110:$G$121,0)))*conv_2026*Z$7</f>
        <v>61329060.892433293</v>
      </c>
      <c r="AA51" s="31">
        <f>(INDEX(Option3!AA$110:AA$121, MATCH($D51, Option3!$G$110:$G$121,0)))*conv_2026*AA$7</f>
        <v>61329060.892433293</v>
      </c>
      <c r="AB51" s="31">
        <f>(INDEX(Option3!AB$110:AB$121, MATCH($D51, Option3!$G$110:$G$121,0)))*conv_2026*AB$7</f>
        <v>61329060.892433293</v>
      </c>
      <c r="AC51" s="31">
        <f>(INDEX(Option3!AC$110:AC$121, MATCH($D51, Option3!$G$110:$G$121,0)))*conv_2026*AC$7</f>
        <v>0</v>
      </c>
      <c r="AD51" s="31">
        <f>(INDEX(Option3!AD$110:AD$121, MATCH($D51, Option3!$G$110:$G$121,0)))*conv_2026*AD$7</f>
        <v>0</v>
      </c>
      <c r="AE51" s="31">
        <f>(INDEX(Option3!AE$110:AE$121, MATCH($D51, Option3!$G$110:$G$121,0)))*conv_2026*AE$7</f>
        <v>0</v>
      </c>
      <c r="AF51" s="31">
        <f>(INDEX(Option3!AF$110:AF$121, MATCH($D51, Option3!$G$110:$G$121,0)))*conv_2026*AF$7</f>
        <v>0</v>
      </c>
      <c r="AG51" s="31">
        <f>(INDEX(Option3!AG$110:AG$121, MATCH($D51, Option3!$G$110:$G$121,0)))*conv_2026*AG$7</f>
        <v>0</v>
      </c>
    </row>
    <row r="52" spans="1:35" s="8" customFormat="1" x14ac:dyDescent="0.2">
      <c r="A52" s="258"/>
      <c r="B52" s="258"/>
      <c r="C52" s="258"/>
      <c r="D52" s="258"/>
      <c r="E52" s="258"/>
      <c r="F52" s="31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spans="1:35" s="8" customFormat="1" x14ac:dyDescent="0.2">
      <c r="A53" s="258"/>
      <c r="B53" s="258"/>
      <c r="C53" s="258"/>
      <c r="D53" s="258"/>
      <c r="E53" s="258"/>
      <c r="F53" s="31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spans="1:35" s="8" customFormat="1" x14ac:dyDescent="0.2">
      <c r="A54" s="258"/>
      <c r="B54" s="258"/>
      <c r="C54" s="258"/>
      <c r="D54" s="258"/>
      <c r="E54" s="258"/>
      <c r="F54" s="31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spans="1:35" s="8" customFormat="1" x14ac:dyDescent="0.2">
      <c r="A55" s="258"/>
      <c r="B55" s="258"/>
      <c r="C55" s="258"/>
      <c r="D55" s="258"/>
      <c r="E55" s="258"/>
      <c r="F55" s="31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5" s="8" customFormat="1" x14ac:dyDescent="0.2">
      <c r="A56" s="258" t="s">
        <v>133</v>
      </c>
      <c r="B56" s="258" t="s">
        <v>119</v>
      </c>
      <c r="C56" s="258" t="s">
        <v>188</v>
      </c>
      <c r="D56" s="258" t="str">
        <f>A56&amp;B56</f>
        <v>Option 4NPV</v>
      </c>
      <c r="E56" s="259"/>
      <c r="F56" s="31">
        <f t="shared" ref="F56:F65" si="6">SUMPRODUCT($H56:$AG56, $H$5:$AG$5)</f>
        <v>563064677.03586245</v>
      </c>
      <c r="G56" s="251"/>
      <c r="H56" s="31">
        <f>(INDEX(Option4!H$110:H$121, MATCH($D56, Option4!$G$110:$G$121,0)))*conv_2026*H$7</f>
        <v>0</v>
      </c>
      <c r="I56" s="31">
        <f>(INDEX(Option4!I$110:I$121, MATCH($D56, Option4!$G$110:$G$121,0)))*conv_2026*I$7</f>
        <v>0</v>
      </c>
      <c r="J56" s="31">
        <f>(INDEX(Option4!J$110:J$121, MATCH($D56, Option4!$G$110:$G$121,0)))*conv_2026*J$7</f>
        <v>8050629.7810334545</v>
      </c>
      <c r="K56" s="31">
        <f>(INDEX(Option4!K$110:K$121, MATCH($D56, Option4!$G$110:$G$121,0)))*conv_2026*K$7</f>
        <v>8611435.5517434627</v>
      </c>
      <c r="L56" s="31">
        <f>(INDEX(Option4!L$110:L$121, MATCH($D56, Option4!$G$110:$G$121,0)))*conv_2026*L$7</f>
        <v>11400803.51122158</v>
      </c>
      <c r="M56" s="31">
        <f>(INDEX(Option4!M$110:M$121, MATCH($D56, Option4!$G$110:$G$121,0)))*conv_2026*M$7</f>
        <v>14971961.075048357</v>
      </c>
      <c r="N56" s="31">
        <f>(INDEX(Option4!N$110:N$121, MATCH($D56, Option4!$G$110:$G$121,0)))*conv_2026*N$7</f>
        <v>22299384.235071417</v>
      </c>
      <c r="O56" s="31">
        <f>(INDEX(Option4!O$110:O$121, MATCH($D56, Option4!$G$110:$G$121,0)))*conv_2026*O$7</f>
        <v>33929165.260524586</v>
      </c>
      <c r="P56" s="31">
        <f>(INDEX(Option4!P$110:P$121, MATCH($D56, Option4!$G$110:$G$121,0)))*conv_2026*P$7</f>
        <v>46143422.675919034</v>
      </c>
      <c r="Q56" s="31">
        <f>(INDEX(Option4!Q$110:Q$121, MATCH($D56, Option4!$G$110:$G$121,0)))*conv_2026*Q$7</f>
        <v>59781720.17379082</v>
      </c>
      <c r="R56" s="31">
        <f>(INDEX(Option4!R$110:R$121, MATCH($D56, Option4!$G$110:$G$121,0)))*conv_2026*R$7</f>
        <v>59781720.17379082</v>
      </c>
      <c r="S56" s="31">
        <f>(INDEX(Option4!S$110:S$121, MATCH($D56, Option4!$G$110:$G$121,0)))*conv_2026*S$7</f>
        <v>59287032.48625005</v>
      </c>
      <c r="T56" s="31">
        <f>(INDEX(Option4!T$110:T$121, MATCH($D56, Option4!$G$110:$G$121,0)))*conv_2026*T$7</f>
        <v>59287032.48625005</v>
      </c>
      <c r="U56" s="31">
        <f>(INDEX(Option4!U$110:U$121, MATCH($D56, Option4!$G$110:$G$121,0)))*conv_2026*U$7</f>
        <v>59287032.48625005</v>
      </c>
      <c r="V56" s="31">
        <f>(INDEX(Option4!V$110:V$121, MATCH($D56, Option4!$G$110:$G$121,0)))*conv_2026*V$7</f>
        <v>59287032.48625005</v>
      </c>
      <c r="W56" s="31">
        <f>(INDEX(Option4!W$110:W$121, MATCH($D56, Option4!$G$110:$G$121,0)))*conv_2026*W$7</f>
        <v>59287032.48625005</v>
      </c>
      <c r="X56" s="31">
        <f>(INDEX(Option4!X$110:X$121, MATCH($D56, Option4!$G$110:$G$121,0)))*conv_2026*X$7</f>
        <v>59287032.48625005</v>
      </c>
      <c r="Y56" s="31">
        <f>(INDEX(Option4!Y$110:Y$121, MATCH($D56, Option4!$G$110:$G$121,0)))*conv_2026*Y$7</f>
        <v>59287032.48625005</v>
      </c>
      <c r="Z56" s="31">
        <f>(INDEX(Option4!Z$110:Z$121, MATCH($D56, Option4!$G$110:$G$121,0)))*conv_2026*Z$7</f>
        <v>59287032.48625005</v>
      </c>
      <c r="AA56" s="31">
        <f>(INDEX(Option4!AA$110:AA$121, MATCH($D56, Option4!$G$110:$G$121,0)))*conv_2026*AA$7</f>
        <v>59287032.48625005</v>
      </c>
      <c r="AB56" s="31">
        <f>(INDEX(Option4!AB$110:AB$121, MATCH($D56, Option4!$G$110:$G$121,0)))*conv_2026*AB$7</f>
        <v>59287032.48625005</v>
      </c>
      <c r="AC56" s="31">
        <f>(INDEX(Option4!AC$110:AC$121, MATCH($D56, Option4!$G$110:$G$121,0)))*conv_2026*AC$7</f>
        <v>0</v>
      </c>
      <c r="AD56" s="31">
        <f>(INDEX(Option4!AD$110:AD$121, MATCH($D56, Option4!$G$110:$G$121,0)))*conv_2026*AD$7</f>
        <v>0</v>
      </c>
      <c r="AE56" s="31">
        <f>(INDEX(Option4!AE$110:AE$121, MATCH($D56, Option4!$G$110:$G$121,0)))*conv_2026*AE$7</f>
        <v>0</v>
      </c>
      <c r="AF56" s="31">
        <f>(INDEX(Option4!AF$110:AF$121, MATCH($D56, Option4!$G$110:$G$121,0)))*conv_2026*AF$7</f>
        <v>0</v>
      </c>
      <c r="AG56" s="31">
        <f>(INDEX(Option4!AG$110:AG$121, MATCH($D56, Option4!$G$110:$G$121,0)))*conv_2026*AG$7</f>
        <v>0</v>
      </c>
      <c r="AH56" s="7"/>
      <c r="AI56" s="7"/>
    </row>
    <row r="57" spans="1:35" s="8" customFormat="1" x14ac:dyDescent="0.2">
      <c r="A57" s="250"/>
      <c r="B57" s="250"/>
      <c r="C57" s="250"/>
      <c r="D57" s="250"/>
      <c r="E57" s="250"/>
      <c r="F57" s="250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7"/>
      <c r="AI57" s="7"/>
    </row>
    <row r="58" spans="1:35" s="8" customFormat="1" x14ac:dyDescent="0.2">
      <c r="A58" s="258" t="s">
        <v>133</v>
      </c>
      <c r="B58" s="258" t="str">
        <f>Option4!A114</f>
        <v>sens1</v>
      </c>
      <c r="C58" s="258" t="str">
        <f>Option4!C114</f>
        <v>Capex 10% higher</v>
      </c>
      <c r="D58" s="258" t="str">
        <f t="shared" ref="D58:D65" si="7">A58&amp;B58</f>
        <v>Option 4sens1</v>
      </c>
      <c r="E58" s="259"/>
      <c r="F58" s="31">
        <f t="shared" si="6"/>
        <v>556807099.36105287</v>
      </c>
      <c r="G58" s="251"/>
      <c r="H58" s="31">
        <f>(INDEX(Option4!H$110:H$121, MATCH($D58, Option4!$G$110:$G$121,0)))*conv_2026*H$7</f>
        <v>0</v>
      </c>
      <c r="I58" s="31">
        <f>(INDEX(Option4!I$110:I$121, MATCH($D58, Option4!$G$110:$G$121,0)))*conv_2026*I$7</f>
        <v>0</v>
      </c>
      <c r="J58" s="31">
        <f>(INDEX(Option4!J$110:J$121, MATCH($D58, Option4!$G$110:$G$121,0)))*conv_2026*J$7</f>
        <v>7957710.9841622449</v>
      </c>
      <c r="K58" s="31">
        <f>(INDEX(Option4!K$110:K$121, MATCH($D58, Option4!$G$110:$G$121,0)))*conv_2026*K$7</f>
        <v>8409517.974521881</v>
      </c>
      <c r="L58" s="31">
        <f>(INDEX(Option4!L$110:L$121, MATCH($D58, Option4!$G$110:$G$121,0)))*conv_2026*L$7</f>
        <v>11007826.082050981</v>
      </c>
      <c r="M58" s="31">
        <f>(INDEX(Option4!M$110:M$121, MATCH($D58, Option4!$G$110:$G$121,0)))*conv_2026*M$7</f>
        <v>14474026.912378095</v>
      </c>
      <c r="N58" s="31">
        <f>(INDEX(Option4!N$110:N$121, MATCH($D58, Option4!$G$110:$G$121,0)))*conv_2026*N$7</f>
        <v>21801450.072401159</v>
      </c>
      <c r="O58" s="31">
        <f>(INDEX(Option4!O$110:O$121, MATCH($D58, Option4!$G$110:$G$121,0)))*conv_2026*O$7</f>
        <v>33431231.097854327</v>
      </c>
      <c r="P58" s="31">
        <f>(INDEX(Option4!P$110:P$121, MATCH($D58, Option4!$G$110:$G$121,0)))*conv_2026*P$7</f>
        <v>45645488.513248764</v>
      </c>
      <c r="Q58" s="31">
        <f>(INDEX(Option4!Q$110:Q$121, MATCH($D58, Option4!$G$110:$G$121,0)))*conv_2026*Q$7</f>
        <v>59283786.011120558</v>
      </c>
      <c r="R58" s="31">
        <f>(INDEX(Option4!R$110:R$121, MATCH($D58, Option4!$G$110:$G$121,0)))*conv_2026*R$7</f>
        <v>59283786.011120558</v>
      </c>
      <c r="S58" s="31">
        <f>(INDEX(Option4!S$110:S$121, MATCH($D58, Option4!$G$110:$G$121,0)))*conv_2026*S$7</f>
        <v>58739629.554825716</v>
      </c>
      <c r="T58" s="31">
        <f>(INDEX(Option4!T$110:T$121, MATCH($D58, Option4!$G$110:$G$121,0)))*conv_2026*T$7</f>
        <v>58739629.554825716</v>
      </c>
      <c r="U58" s="31">
        <f>(INDEX(Option4!U$110:U$121, MATCH($D58, Option4!$G$110:$G$121,0)))*conv_2026*U$7</f>
        <v>58739629.554825716</v>
      </c>
      <c r="V58" s="31">
        <f>(INDEX(Option4!V$110:V$121, MATCH($D58, Option4!$G$110:$G$121,0)))*conv_2026*V$7</f>
        <v>58739629.554825716</v>
      </c>
      <c r="W58" s="31">
        <f>(INDEX(Option4!W$110:W$121, MATCH($D58, Option4!$G$110:$G$121,0)))*conv_2026*W$7</f>
        <v>58739629.554825716</v>
      </c>
      <c r="X58" s="31">
        <f>(INDEX(Option4!X$110:X$121, MATCH($D58, Option4!$G$110:$G$121,0)))*conv_2026*X$7</f>
        <v>58739629.554825716</v>
      </c>
      <c r="Y58" s="31">
        <f>(INDEX(Option4!Y$110:Y$121, MATCH($D58, Option4!$G$110:$G$121,0)))*conv_2026*Y$7</f>
        <v>58739629.554825716</v>
      </c>
      <c r="Z58" s="31">
        <f>(INDEX(Option4!Z$110:Z$121, MATCH($D58, Option4!$G$110:$G$121,0)))*conv_2026*Z$7</f>
        <v>58739629.554825716</v>
      </c>
      <c r="AA58" s="31">
        <f>(INDEX(Option4!AA$110:AA$121, MATCH($D58, Option4!$G$110:$G$121,0)))*conv_2026*AA$7</f>
        <v>58739629.554825716</v>
      </c>
      <c r="AB58" s="31">
        <f>(INDEX(Option4!AB$110:AB$121, MATCH($D58, Option4!$G$110:$G$121,0)))*conv_2026*AB$7</f>
        <v>58739629.554825716</v>
      </c>
      <c r="AC58" s="31">
        <f>(INDEX(Option4!AC$110:AC$121, MATCH($D58, Option4!$G$110:$G$121,0)))*conv_2026*AC$7</f>
        <v>0</v>
      </c>
      <c r="AD58" s="31">
        <f>(INDEX(Option4!AD$110:AD$121, MATCH($D58, Option4!$G$110:$G$121,0)))*conv_2026*AD$7</f>
        <v>0</v>
      </c>
      <c r="AE58" s="31">
        <f>(INDEX(Option4!AE$110:AE$121, MATCH($D58, Option4!$G$110:$G$121,0)))*conv_2026*AE$7</f>
        <v>0</v>
      </c>
      <c r="AF58" s="31">
        <f>(INDEX(Option4!AF$110:AF$121, MATCH($D58, Option4!$G$110:$G$121,0)))*conv_2026*AF$7</f>
        <v>0</v>
      </c>
      <c r="AG58" s="31">
        <f>(INDEX(Option4!AG$110:AG$121, MATCH($D58, Option4!$G$110:$G$121,0)))*conv_2026*AG$7</f>
        <v>0</v>
      </c>
      <c r="AH58" s="7"/>
      <c r="AI58" s="7"/>
    </row>
    <row r="59" spans="1:35" s="8" customFormat="1" x14ac:dyDescent="0.2">
      <c r="A59" s="258" t="s">
        <v>133</v>
      </c>
      <c r="B59" s="258" t="str">
        <f>Option4!A115</f>
        <v>sens2</v>
      </c>
      <c r="C59" s="258" t="str">
        <f>Option4!C115</f>
        <v>Capex 10% lower</v>
      </c>
      <c r="D59" s="258" t="str">
        <f t="shared" si="7"/>
        <v>Option 4sens2</v>
      </c>
      <c r="E59" s="259"/>
      <c r="F59" s="31">
        <f t="shared" si="6"/>
        <v>569322254.7106719</v>
      </c>
      <c r="G59" s="258"/>
      <c r="H59" s="31">
        <f>(INDEX(Option4!H$110:H$121, MATCH($D59, Option4!$G$110:$G$121,0)))*conv_2026*H$7</f>
        <v>0</v>
      </c>
      <c r="I59" s="31">
        <f>(INDEX(Option4!I$110:I$121, MATCH($D59, Option4!$G$110:$G$121,0)))*conv_2026*I$7</f>
        <v>0</v>
      </c>
      <c r="J59" s="31">
        <f>(INDEX(Option4!J$110:J$121, MATCH($D59, Option4!$G$110:$G$121,0)))*conv_2026*J$7</f>
        <v>8143548.577904664</v>
      </c>
      <c r="K59" s="31">
        <f>(INDEX(Option4!K$110:K$121, MATCH($D59, Option4!$G$110:$G$121,0)))*conv_2026*K$7</f>
        <v>8813353.1289650463</v>
      </c>
      <c r="L59" s="31">
        <f>(INDEX(Option4!L$110:L$121, MATCH($D59, Option4!$G$110:$G$121,0)))*conv_2026*L$7</f>
        <v>11793780.940392178</v>
      </c>
      <c r="M59" s="31">
        <f>(INDEX(Option4!M$110:M$121, MATCH($D59, Option4!$G$110:$G$121,0)))*conv_2026*M$7</f>
        <v>15469895.237718618</v>
      </c>
      <c r="N59" s="31">
        <f>(INDEX(Option4!N$110:N$121, MATCH($D59, Option4!$G$110:$G$121,0)))*conv_2026*N$7</f>
        <v>22797318.397741679</v>
      </c>
      <c r="O59" s="31">
        <f>(INDEX(Option4!O$110:O$121, MATCH($D59, Option4!$G$110:$G$121,0)))*conv_2026*O$7</f>
        <v>34427099.423194848</v>
      </c>
      <c r="P59" s="31">
        <f>(INDEX(Option4!P$110:P$121, MATCH($D59, Option4!$G$110:$G$121,0)))*conv_2026*P$7</f>
        <v>46641356.838589296</v>
      </c>
      <c r="Q59" s="31">
        <f>(INDEX(Option4!Q$110:Q$121, MATCH($D59, Option4!$G$110:$G$121,0)))*conv_2026*Q$7</f>
        <v>60279654.336461082</v>
      </c>
      <c r="R59" s="31">
        <f>(INDEX(Option4!R$110:R$121, MATCH($D59, Option4!$G$110:$G$121,0)))*conv_2026*R$7</f>
        <v>60279654.336461082</v>
      </c>
      <c r="S59" s="31">
        <f>(INDEX(Option4!S$110:S$121, MATCH($D59, Option4!$G$110:$G$121,0)))*conv_2026*S$7</f>
        <v>59834435.417674392</v>
      </c>
      <c r="T59" s="31">
        <f>(INDEX(Option4!T$110:T$121, MATCH($D59, Option4!$G$110:$G$121,0)))*conv_2026*T$7</f>
        <v>59834435.417674392</v>
      </c>
      <c r="U59" s="31">
        <f>(INDEX(Option4!U$110:U$121, MATCH($D59, Option4!$G$110:$G$121,0)))*conv_2026*U$7</f>
        <v>59834435.417674392</v>
      </c>
      <c r="V59" s="31">
        <f>(INDEX(Option4!V$110:V$121, MATCH($D59, Option4!$G$110:$G$121,0)))*conv_2026*V$7</f>
        <v>59834435.417674392</v>
      </c>
      <c r="W59" s="31">
        <f>(INDEX(Option4!W$110:W$121, MATCH($D59, Option4!$G$110:$G$121,0)))*conv_2026*W$7</f>
        <v>59834435.417674392</v>
      </c>
      <c r="X59" s="31">
        <f>(INDEX(Option4!X$110:X$121, MATCH($D59, Option4!$G$110:$G$121,0)))*conv_2026*X$7</f>
        <v>59834435.417674392</v>
      </c>
      <c r="Y59" s="31">
        <f>(INDEX(Option4!Y$110:Y$121, MATCH($D59, Option4!$G$110:$G$121,0)))*conv_2026*Y$7</f>
        <v>59834435.417674392</v>
      </c>
      <c r="Z59" s="31">
        <f>(INDEX(Option4!Z$110:Z$121, MATCH($D59, Option4!$G$110:$G$121,0)))*conv_2026*Z$7</f>
        <v>59834435.417674392</v>
      </c>
      <c r="AA59" s="31">
        <f>(INDEX(Option4!AA$110:AA$121, MATCH($D59, Option4!$G$110:$G$121,0)))*conv_2026*AA$7</f>
        <v>59834435.417674392</v>
      </c>
      <c r="AB59" s="31">
        <f>(INDEX(Option4!AB$110:AB$121, MATCH($D59, Option4!$G$110:$G$121,0)))*conv_2026*AB$7</f>
        <v>59834435.417674392</v>
      </c>
      <c r="AC59" s="31">
        <f>(INDEX(Option4!AC$110:AC$121, MATCH($D59, Option4!$G$110:$G$121,0)))*conv_2026*AC$7</f>
        <v>0</v>
      </c>
      <c r="AD59" s="31">
        <f>(INDEX(Option4!AD$110:AD$121, MATCH($D59, Option4!$G$110:$G$121,0)))*conv_2026*AD$7</f>
        <v>0</v>
      </c>
      <c r="AE59" s="31">
        <f>(INDEX(Option4!AE$110:AE$121, MATCH($D59, Option4!$G$110:$G$121,0)))*conv_2026*AE$7</f>
        <v>0</v>
      </c>
      <c r="AF59" s="31">
        <f>(INDEX(Option4!AF$110:AF$121, MATCH($D59, Option4!$G$110:$G$121,0)))*conv_2026*AF$7</f>
        <v>0</v>
      </c>
      <c r="AG59" s="31">
        <f>(INDEX(Option4!AG$110:AG$121, MATCH($D59, Option4!$G$110:$G$121,0)))*conv_2026*AG$7</f>
        <v>0</v>
      </c>
    </row>
    <row r="60" spans="1:35" s="8" customFormat="1" x14ac:dyDescent="0.2">
      <c r="A60" s="258" t="s">
        <v>133</v>
      </c>
      <c r="B60" s="258" t="str">
        <f>Option4!A116</f>
        <v>sens3</v>
      </c>
      <c r="C60" s="258" t="str">
        <f>Option4!C116</f>
        <v>Total benefits 10% higher</v>
      </c>
      <c r="D60" s="258" t="str">
        <f t="shared" si="7"/>
        <v>Option 4sens3</v>
      </c>
      <c r="E60" s="259"/>
      <c r="F60" s="31">
        <f t="shared" si="6"/>
        <v>625628722.41425824</v>
      </c>
      <c r="H60" s="31">
        <f>(INDEX(Option4!H$110:H$121, MATCH($D60, Option4!$G$110:$G$121,0)))*conv_2026*H$7</f>
        <v>0</v>
      </c>
      <c r="I60" s="31">
        <f>(INDEX(Option4!I$110:I$121, MATCH($D60, Option4!$G$110:$G$121,0)))*conv_2026*I$7</f>
        <v>0</v>
      </c>
      <c r="J60" s="31">
        <f>(INDEX(Option4!J$110:J$121, MATCH($D60, Option4!$G$110:$G$121,0)))*conv_2026*J$7</f>
        <v>8948611.5560080092</v>
      </c>
      <c r="K60" s="31">
        <f>(INDEX(Option4!K$110:K$121, MATCH($D60, Option4!$G$110:$G$121,0)))*conv_2026*K$7</f>
        <v>9674496.6841393933</v>
      </c>
      <c r="L60" s="31">
        <f>(INDEX(Option4!L$110:L$121, MATCH($D60, Option4!$G$110:$G$121,0)))*conv_2026*L$7</f>
        <v>12933861.291514337</v>
      </c>
      <c r="M60" s="31">
        <f>(INDEX(Option4!M$110:M$121, MATCH($D60, Option4!$G$110:$G$121,0)))*conv_2026*M$7</f>
        <v>16967091.345223453</v>
      </c>
      <c r="N60" s="31">
        <f>(INDEX(Option4!N$110:N$121, MATCH($D60, Option4!$G$110:$G$121,0)))*conv_2026*N$7</f>
        <v>25027256.821248822</v>
      </c>
      <c r="O60" s="31">
        <f>(INDEX(Option4!O$110:O$121, MATCH($D60, Option4!$G$110:$G$121,0)))*conv_2026*O$7</f>
        <v>37820015.949247308</v>
      </c>
      <c r="P60" s="31">
        <f>(INDEX(Option4!P$110:P$121, MATCH($D60, Option4!$G$110:$G$121,0)))*conv_2026*P$7</f>
        <v>51255699.106181189</v>
      </c>
      <c r="Q60" s="31">
        <f>(INDEX(Option4!Q$110:Q$121, MATCH($D60, Option4!$G$110:$G$121,0)))*conv_2026*Q$7</f>
        <v>66257826.353840165</v>
      </c>
      <c r="R60" s="31">
        <f>(INDEX(Option4!R$110:R$121, MATCH($D60, Option4!$G$110:$G$121,0)))*conv_2026*R$7</f>
        <v>66257826.353840165</v>
      </c>
      <c r="S60" s="31">
        <f>(INDEX(Option4!S$110:S$121, MATCH($D60, Option4!$G$110:$G$121,0)))*conv_2026*S$7</f>
        <v>65763138.666299395</v>
      </c>
      <c r="T60" s="31">
        <f>(INDEX(Option4!T$110:T$121, MATCH($D60, Option4!$G$110:$G$121,0)))*conv_2026*T$7</f>
        <v>65763138.666299395</v>
      </c>
      <c r="U60" s="31">
        <f>(INDEX(Option4!U$110:U$121, MATCH($D60, Option4!$G$110:$G$121,0)))*conv_2026*U$7</f>
        <v>65763138.666299395</v>
      </c>
      <c r="V60" s="31">
        <f>(INDEX(Option4!V$110:V$121, MATCH($D60, Option4!$G$110:$G$121,0)))*conv_2026*V$7</f>
        <v>65763138.666299395</v>
      </c>
      <c r="W60" s="31">
        <f>(INDEX(Option4!W$110:W$121, MATCH($D60, Option4!$G$110:$G$121,0)))*conv_2026*W$7</f>
        <v>65763138.666299395</v>
      </c>
      <c r="X60" s="31">
        <f>(INDEX(Option4!X$110:X$121, MATCH($D60, Option4!$G$110:$G$121,0)))*conv_2026*X$7</f>
        <v>65763138.666299395</v>
      </c>
      <c r="Y60" s="31">
        <f>(INDEX(Option4!Y$110:Y$121, MATCH($D60, Option4!$G$110:$G$121,0)))*conv_2026*Y$7</f>
        <v>65763138.666299395</v>
      </c>
      <c r="Z60" s="31">
        <f>(INDEX(Option4!Z$110:Z$121, MATCH($D60, Option4!$G$110:$G$121,0)))*conv_2026*Z$7</f>
        <v>65763138.666299395</v>
      </c>
      <c r="AA60" s="31">
        <f>(INDEX(Option4!AA$110:AA$121, MATCH($D60, Option4!$G$110:$G$121,0)))*conv_2026*AA$7</f>
        <v>65763138.666299395</v>
      </c>
      <c r="AB60" s="31">
        <f>(INDEX(Option4!AB$110:AB$121, MATCH($D60, Option4!$G$110:$G$121,0)))*conv_2026*AB$7</f>
        <v>65763138.666299395</v>
      </c>
      <c r="AC60" s="31">
        <f>(INDEX(Option4!AC$110:AC$121, MATCH($D60, Option4!$G$110:$G$121,0)))*conv_2026*AC$7</f>
        <v>0</v>
      </c>
      <c r="AD60" s="31">
        <f>(INDEX(Option4!AD$110:AD$121, MATCH($D60, Option4!$G$110:$G$121,0)))*conv_2026*AD$7</f>
        <v>0</v>
      </c>
      <c r="AE60" s="31">
        <f>(INDEX(Option4!AE$110:AE$121, MATCH($D60, Option4!$G$110:$G$121,0)))*conv_2026*AE$7</f>
        <v>0</v>
      </c>
      <c r="AF60" s="31">
        <f>(INDEX(Option4!AF$110:AF$121, MATCH($D60, Option4!$G$110:$G$121,0)))*conv_2026*AF$7</f>
        <v>0</v>
      </c>
      <c r="AG60" s="31">
        <f>(INDEX(Option4!AG$110:AG$121, MATCH($D60, Option4!$G$110:$G$121,0)))*conv_2026*AG$7</f>
        <v>0</v>
      </c>
    </row>
    <row r="61" spans="1:35" s="8" customFormat="1" x14ac:dyDescent="0.2">
      <c r="A61" s="258" t="s">
        <v>133</v>
      </c>
      <c r="B61" s="258" t="str">
        <f>Option4!A117</f>
        <v>sens4</v>
      </c>
      <c r="C61" s="258" t="str">
        <f>Option4!C117</f>
        <v>Total benefits 10% lower</v>
      </c>
      <c r="D61" s="258" t="str">
        <f t="shared" si="7"/>
        <v>Option 4sens4</v>
      </c>
      <c r="E61" s="259"/>
      <c r="F61" s="31">
        <f t="shared" si="6"/>
        <v>500500631.65746659</v>
      </c>
      <c r="H61" s="31">
        <f>(INDEX(Option4!H$110:H$121, MATCH($D61, Option4!$G$110:$G$121,0)))*conv_2026*H$7</f>
        <v>0</v>
      </c>
      <c r="I61" s="31">
        <f>(INDEX(Option4!I$110:I$121, MATCH($D61, Option4!$G$110:$G$121,0)))*conv_2026*I$7</f>
        <v>0</v>
      </c>
      <c r="J61" s="31">
        <f>(INDEX(Option4!J$110:J$121, MATCH($D61, Option4!$G$110:$G$121,0)))*conv_2026*J$7</f>
        <v>7152648.0060589006</v>
      </c>
      <c r="K61" s="31">
        <f>(INDEX(Option4!K$110:K$121, MATCH($D61, Option4!$G$110:$G$121,0)))*conv_2026*K$7</f>
        <v>7548374.419347534</v>
      </c>
      <c r="L61" s="31">
        <f>(INDEX(Option4!L$110:L$121, MATCH($D61, Option4!$G$110:$G$121,0)))*conv_2026*L$7</f>
        <v>9867745.7309288234</v>
      </c>
      <c r="M61" s="31">
        <f>(INDEX(Option4!M$110:M$121, MATCH($D61, Option4!$G$110:$G$121,0)))*conv_2026*M$7</f>
        <v>12976830.804873262</v>
      </c>
      <c r="N61" s="31">
        <f>(INDEX(Option4!N$110:N$121, MATCH($D61, Option4!$G$110:$G$121,0)))*conv_2026*N$7</f>
        <v>19571511.648894016</v>
      </c>
      <c r="O61" s="31">
        <f>(INDEX(Option4!O$110:O$121, MATCH($D61, Option4!$G$110:$G$121,0)))*conv_2026*O$7</f>
        <v>30038314.571801871</v>
      </c>
      <c r="P61" s="31">
        <f>(INDEX(Option4!P$110:P$121, MATCH($D61, Option4!$G$110:$G$121,0)))*conv_2026*P$7</f>
        <v>41031146.24565687</v>
      </c>
      <c r="Q61" s="31">
        <f>(INDEX(Option4!Q$110:Q$121, MATCH($D61, Option4!$G$110:$G$121,0)))*conv_2026*Q$7</f>
        <v>53305613.993741475</v>
      </c>
      <c r="R61" s="31">
        <f>(INDEX(Option4!R$110:R$121, MATCH($D61, Option4!$G$110:$G$121,0)))*conv_2026*R$7</f>
        <v>53305613.993741475</v>
      </c>
      <c r="S61" s="31">
        <f>(INDEX(Option4!S$110:S$121, MATCH($D61, Option4!$G$110:$G$121,0)))*conv_2026*S$7</f>
        <v>52810926.306200705</v>
      </c>
      <c r="T61" s="31">
        <f>(INDEX(Option4!T$110:T$121, MATCH($D61, Option4!$G$110:$G$121,0)))*conv_2026*T$7</f>
        <v>52810926.306200705</v>
      </c>
      <c r="U61" s="31">
        <f>(INDEX(Option4!U$110:U$121, MATCH($D61, Option4!$G$110:$G$121,0)))*conv_2026*U$7</f>
        <v>52810926.306200705</v>
      </c>
      <c r="V61" s="31">
        <f>(INDEX(Option4!V$110:V$121, MATCH($D61, Option4!$G$110:$G$121,0)))*conv_2026*V$7</f>
        <v>52810926.306200705</v>
      </c>
      <c r="W61" s="31">
        <f>(INDEX(Option4!W$110:W$121, MATCH($D61, Option4!$G$110:$G$121,0)))*conv_2026*W$7</f>
        <v>52810926.306200705</v>
      </c>
      <c r="X61" s="31">
        <f>(INDEX(Option4!X$110:X$121, MATCH($D61, Option4!$G$110:$G$121,0)))*conv_2026*X$7</f>
        <v>52810926.306200705</v>
      </c>
      <c r="Y61" s="31">
        <f>(INDEX(Option4!Y$110:Y$121, MATCH($D61, Option4!$G$110:$G$121,0)))*conv_2026*Y$7</f>
        <v>52810926.306200705</v>
      </c>
      <c r="Z61" s="31">
        <f>(INDEX(Option4!Z$110:Z$121, MATCH($D61, Option4!$G$110:$G$121,0)))*conv_2026*Z$7</f>
        <v>52810926.306200705</v>
      </c>
      <c r="AA61" s="31">
        <f>(INDEX(Option4!AA$110:AA$121, MATCH($D61, Option4!$G$110:$G$121,0)))*conv_2026*AA$7</f>
        <v>52810926.306200705</v>
      </c>
      <c r="AB61" s="31">
        <f>(INDEX(Option4!AB$110:AB$121, MATCH($D61, Option4!$G$110:$G$121,0)))*conv_2026*AB$7</f>
        <v>52810926.306200705</v>
      </c>
      <c r="AC61" s="31">
        <f>(INDEX(Option4!AC$110:AC$121, MATCH($D61, Option4!$G$110:$G$121,0)))*conv_2026*AC$7</f>
        <v>0</v>
      </c>
      <c r="AD61" s="31">
        <f>(INDEX(Option4!AD$110:AD$121, MATCH($D61, Option4!$G$110:$G$121,0)))*conv_2026*AD$7</f>
        <v>0</v>
      </c>
      <c r="AE61" s="31">
        <f>(INDEX(Option4!AE$110:AE$121, MATCH($D61, Option4!$G$110:$G$121,0)))*conv_2026*AE$7</f>
        <v>0</v>
      </c>
      <c r="AF61" s="31">
        <f>(INDEX(Option4!AF$110:AF$121, MATCH($D61, Option4!$G$110:$G$121,0)))*conv_2026*AF$7</f>
        <v>0</v>
      </c>
      <c r="AG61" s="31">
        <f>(INDEX(Option4!AG$110:AG$121, MATCH($D61, Option4!$G$110:$G$121,0)))*conv_2026*AG$7</f>
        <v>0</v>
      </c>
    </row>
    <row r="62" spans="1:35" s="8" customFormat="1" x14ac:dyDescent="0.2">
      <c r="A62" s="258" t="s">
        <v>133</v>
      </c>
      <c r="B62" s="258" t="str">
        <f>Option4!A118</f>
        <v>sens5</v>
      </c>
      <c r="C62" s="258" t="str">
        <f>Option4!C118</f>
        <v>Capex 10% higher &amp; Total benefits 10% lower</v>
      </c>
      <c r="D62" s="258" t="str">
        <f t="shared" si="7"/>
        <v>Option 4sens5</v>
      </c>
      <c r="E62" s="259"/>
      <c r="F62" s="31">
        <f t="shared" si="6"/>
        <v>494243053.98265719</v>
      </c>
      <c r="H62" s="31">
        <f>(INDEX(Option4!H$110:H$121, MATCH($D62, Option4!$G$110:$G$121,0)))*conv_2026*H$7</f>
        <v>0</v>
      </c>
      <c r="I62" s="31">
        <f>(INDEX(Option4!I$110:I$121, MATCH($D62, Option4!$G$110:$G$121,0)))*conv_2026*I$7</f>
        <v>0</v>
      </c>
      <c r="J62" s="31">
        <f>(INDEX(Option4!J$110:J$121, MATCH($D62, Option4!$G$110:$G$121,0)))*conv_2026*J$7</f>
        <v>7059729.2091876911</v>
      </c>
      <c r="K62" s="31">
        <f>(INDEX(Option4!K$110:K$121, MATCH($D62, Option4!$G$110:$G$121,0)))*conv_2026*K$7</f>
        <v>7346456.8421259504</v>
      </c>
      <c r="L62" s="31">
        <f>(INDEX(Option4!L$110:L$121, MATCH($D62, Option4!$G$110:$G$121,0)))*conv_2026*L$7</f>
        <v>9474768.3017582223</v>
      </c>
      <c r="M62" s="31">
        <f>(INDEX(Option4!M$110:M$121, MATCH($D62, Option4!$G$110:$G$121,0)))*conv_2026*M$7</f>
        <v>12478896.642202999</v>
      </c>
      <c r="N62" s="31">
        <f>(INDEX(Option4!N$110:N$121, MATCH($D62, Option4!$G$110:$G$121,0)))*conv_2026*N$7</f>
        <v>19073577.486223757</v>
      </c>
      <c r="O62" s="31">
        <f>(INDEX(Option4!O$110:O$121, MATCH($D62, Option4!$G$110:$G$121,0)))*conv_2026*O$7</f>
        <v>29540380.409131609</v>
      </c>
      <c r="P62" s="31">
        <f>(INDEX(Option4!P$110:P$121, MATCH($D62, Option4!$G$110:$G$121,0)))*conv_2026*P$7</f>
        <v>40533212.082986608</v>
      </c>
      <c r="Q62" s="31">
        <f>(INDEX(Option4!Q$110:Q$121, MATCH($D62, Option4!$G$110:$G$121,0)))*conv_2026*Q$7</f>
        <v>52807679.83107122</v>
      </c>
      <c r="R62" s="31">
        <f>(INDEX(Option4!R$110:R$121, MATCH($D62, Option4!$G$110:$G$121,0)))*conv_2026*R$7</f>
        <v>52807679.83107122</v>
      </c>
      <c r="S62" s="31">
        <f>(INDEX(Option4!S$110:S$121, MATCH($D62, Option4!$G$110:$G$121,0)))*conv_2026*S$7</f>
        <v>52263523.374776378</v>
      </c>
      <c r="T62" s="31">
        <f>(INDEX(Option4!T$110:T$121, MATCH($D62, Option4!$G$110:$G$121,0)))*conv_2026*T$7</f>
        <v>52263523.374776378</v>
      </c>
      <c r="U62" s="31">
        <f>(INDEX(Option4!U$110:U$121, MATCH($D62, Option4!$G$110:$G$121,0)))*conv_2026*U$7</f>
        <v>52263523.374776378</v>
      </c>
      <c r="V62" s="31">
        <f>(INDEX(Option4!V$110:V$121, MATCH($D62, Option4!$G$110:$G$121,0)))*conv_2026*V$7</f>
        <v>52263523.374776378</v>
      </c>
      <c r="W62" s="31">
        <f>(INDEX(Option4!W$110:W$121, MATCH($D62, Option4!$G$110:$G$121,0)))*conv_2026*W$7</f>
        <v>52263523.374776378</v>
      </c>
      <c r="X62" s="31">
        <f>(INDEX(Option4!X$110:X$121, MATCH($D62, Option4!$G$110:$G$121,0)))*conv_2026*X$7</f>
        <v>52263523.374776378</v>
      </c>
      <c r="Y62" s="31">
        <f>(INDEX(Option4!Y$110:Y$121, MATCH($D62, Option4!$G$110:$G$121,0)))*conv_2026*Y$7</f>
        <v>52263523.374776378</v>
      </c>
      <c r="Z62" s="31">
        <f>(INDEX(Option4!Z$110:Z$121, MATCH($D62, Option4!$G$110:$G$121,0)))*conv_2026*Z$7</f>
        <v>52263523.374776378</v>
      </c>
      <c r="AA62" s="31">
        <f>(INDEX(Option4!AA$110:AA$121, MATCH($D62, Option4!$G$110:$G$121,0)))*conv_2026*AA$7</f>
        <v>52263523.374776378</v>
      </c>
      <c r="AB62" s="31">
        <f>(INDEX(Option4!AB$110:AB$121, MATCH($D62, Option4!$G$110:$G$121,0)))*conv_2026*AB$7</f>
        <v>52263523.374776378</v>
      </c>
      <c r="AC62" s="31">
        <f>(INDEX(Option4!AC$110:AC$121, MATCH($D62, Option4!$G$110:$G$121,0)))*conv_2026*AC$7</f>
        <v>0</v>
      </c>
      <c r="AD62" s="31">
        <f>(INDEX(Option4!AD$110:AD$121, MATCH($D62, Option4!$G$110:$G$121,0)))*conv_2026*AD$7</f>
        <v>0</v>
      </c>
      <c r="AE62" s="31">
        <f>(INDEX(Option4!AE$110:AE$121, MATCH($D62, Option4!$G$110:$G$121,0)))*conv_2026*AE$7</f>
        <v>0</v>
      </c>
      <c r="AF62" s="31">
        <f>(INDEX(Option4!AF$110:AF$121, MATCH($D62, Option4!$G$110:$G$121,0)))*conv_2026*AF$7</f>
        <v>0</v>
      </c>
      <c r="AG62" s="31">
        <f>(INDEX(Option4!AG$110:AG$121, MATCH($D62, Option4!$G$110:$G$121,0)))*conv_2026*AG$7</f>
        <v>0</v>
      </c>
    </row>
    <row r="63" spans="1:35" s="8" customFormat="1" x14ac:dyDescent="0.2">
      <c r="A63" s="258" t="s">
        <v>133</v>
      </c>
      <c r="B63" s="258" t="str">
        <f>Option4!A119</f>
        <v>sens</v>
      </c>
      <c r="C63" s="258">
        <f>Option4!C119</f>
        <v>0</v>
      </c>
      <c r="D63" s="258" t="str">
        <f t="shared" si="7"/>
        <v>Option 4sens</v>
      </c>
      <c r="E63" s="259"/>
      <c r="F63" s="31">
        <f t="shared" si="6"/>
        <v>563064677.03586245</v>
      </c>
      <c r="H63" s="31">
        <f>(INDEX(Option4!H$110:H$121, MATCH($D63, Option4!$G$110:$G$121,0)))*conv_2026*H$7</f>
        <v>0</v>
      </c>
      <c r="I63" s="31">
        <f>(INDEX(Option4!I$110:I$121, MATCH($D63, Option4!$G$110:$G$121,0)))*conv_2026*I$7</f>
        <v>0</v>
      </c>
      <c r="J63" s="31">
        <f>(INDEX(Option4!J$110:J$121, MATCH($D63, Option4!$G$110:$G$121,0)))*conv_2026*J$7</f>
        <v>8050629.7810334545</v>
      </c>
      <c r="K63" s="31">
        <f>(INDEX(Option4!K$110:K$121, MATCH($D63, Option4!$G$110:$G$121,0)))*conv_2026*K$7</f>
        <v>8611435.5517434627</v>
      </c>
      <c r="L63" s="31">
        <f>(INDEX(Option4!L$110:L$121, MATCH($D63, Option4!$G$110:$G$121,0)))*conv_2026*L$7</f>
        <v>11400803.51122158</v>
      </c>
      <c r="M63" s="31">
        <f>(INDEX(Option4!M$110:M$121, MATCH($D63, Option4!$G$110:$G$121,0)))*conv_2026*M$7</f>
        <v>14971961.075048357</v>
      </c>
      <c r="N63" s="31">
        <f>(INDEX(Option4!N$110:N$121, MATCH($D63, Option4!$G$110:$G$121,0)))*conv_2026*N$7</f>
        <v>22299384.235071417</v>
      </c>
      <c r="O63" s="31">
        <f>(INDEX(Option4!O$110:O$121, MATCH($D63, Option4!$G$110:$G$121,0)))*conv_2026*O$7</f>
        <v>33929165.260524586</v>
      </c>
      <c r="P63" s="31">
        <f>(INDEX(Option4!P$110:P$121, MATCH($D63, Option4!$G$110:$G$121,0)))*conv_2026*P$7</f>
        <v>46143422.675919034</v>
      </c>
      <c r="Q63" s="31">
        <f>(INDEX(Option4!Q$110:Q$121, MATCH($D63, Option4!$G$110:$G$121,0)))*conv_2026*Q$7</f>
        <v>59781720.17379082</v>
      </c>
      <c r="R63" s="31">
        <f>(INDEX(Option4!R$110:R$121, MATCH($D63, Option4!$G$110:$G$121,0)))*conv_2026*R$7</f>
        <v>59781720.17379082</v>
      </c>
      <c r="S63" s="31">
        <f>(INDEX(Option4!S$110:S$121, MATCH($D63, Option4!$G$110:$G$121,0)))*conv_2026*S$7</f>
        <v>59287032.48625005</v>
      </c>
      <c r="T63" s="31">
        <f>(INDEX(Option4!T$110:T$121, MATCH($D63, Option4!$G$110:$G$121,0)))*conv_2026*T$7</f>
        <v>59287032.48625005</v>
      </c>
      <c r="U63" s="31">
        <f>(INDEX(Option4!U$110:U$121, MATCH($D63, Option4!$G$110:$G$121,0)))*conv_2026*U$7</f>
        <v>59287032.48625005</v>
      </c>
      <c r="V63" s="31">
        <f>(INDEX(Option4!V$110:V$121, MATCH($D63, Option4!$G$110:$G$121,0)))*conv_2026*V$7</f>
        <v>59287032.48625005</v>
      </c>
      <c r="W63" s="31">
        <f>(INDEX(Option4!W$110:W$121, MATCH($D63, Option4!$G$110:$G$121,0)))*conv_2026*W$7</f>
        <v>59287032.48625005</v>
      </c>
      <c r="X63" s="31">
        <f>(INDEX(Option4!X$110:X$121, MATCH($D63, Option4!$G$110:$G$121,0)))*conv_2026*X$7</f>
        <v>59287032.48625005</v>
      </c>
      <c r="Y63" s="31">
        <f>(INDEX(Option4!Y$110:Y$121, MATCH($D63, Option4!$G$110:$G$121,0)))*conv_2026*Y$7</f>
        <v>59287032.48625005</v>
      </c>
      <c r="Z63" s="31">
        <f>(INDEX(Option4!Z$110:Z$121, MATCH($D63, Option4!$G$110:$G$121,0)))*conv_2026*Z$7</f>
        <v>59287032.48625005</v>
      </c>
      <c r="AA63" s="31">
        <f>(INDEX(Option4!AA$110:AA$121, MATCH($D63, Option4!$G$110:$G$121,0)))*conv_2026*AA$7</f>
        <v>59287032.48625005</v>
      </c>
      <c r="AB63" s="31">
        <f>(INDEX(Option4!AB$110:AB$121, MATCH($D63, Option4!$G$110:$G$121,0)))*conv_2026*AB$7</f>
        <v>59287032.48625005</v>
      </c>
      <c r="AC63" s="31">
        <f>(INDEX(Option4!AC$110:AC$121, MATCH($D63, Option4!$G$110:$G$121,0)))*conv_2026*AC$7</f>
        <v>0</v>
      </c>
      <c r="AD63" s="31">
        <f>(INDEX(Option4!AD$110:AD$121, MATCH($D63, Option4!$G$110:$G$121,0)))*conv_2026*AD$7</f>
        <v>0</v>
      </c>
      <c r="AE63" s="31">
        <f>(INDEX(Option4!AE$110:AE$121, MATCH($D63, Option4!$G$110:$G$121,0)))*conv_2026*AE$7</f>
        <v>0</v>
      </c>
      <c r="AF63" s="31">
        <f>(INDEX(Option4!AF$110:AF$121, MATCH($D63, Option4!$G$110:$G$121,0)))*conv_2026*AF$7</f>
        <v>0</v>
      </c>
      <c r="AG63" s="31">
        <f>(INDEX(Option4!AG$110:AG$121, MATCH($D63, Option4!$G$110:$G$121,0)))*conv_2026*AG$7</f>
        <v>0</v>
      </c>
    </row>
    <row r="64" spans="1:35" s="8" customFormat="1" x14ac:dyDescent="0.2">
      <c r="A64" s="258" t="s">
        <v>133</v>
      </c>
      <c r="B64" s="258" t="str">
        <f>Option4!A120</f>
        <v>sens</v>
      </c>
      <c r="C64" s="258">
        <f>Option4!C120</f>
        <v>0</v>
      </c>
      <c r="D64" s="258" t="str">
        <f t="shared" si="7"/>
        <v>Option 4sens</v>
      </c>
      <c r="E64" s="259"/>
      <c r="F64" s="31">
        <f t="shared" si="6"/>
        <v>563064677.03586245</v>
      </c>
      <c r="H64" s="31">
        <f>(INDEX(Option4!H$110:H$121, MATCH($D64, Option4!$G$110:$G$121,0)))*conv_2026*H$7</f>
        <v>0</v>
      </c>
      <c r="I64" s="31">
        <f>(INDEX(Option4!I$110:I$121, MATCH($D64, Option4!$G$110:$G$121,0)))*conv_2026*I$7</f>
        <v>0</v>
      </c>
      <c r="J64" s="31">
        <f>(INDEX(Option4!J$110:J$121, MATCH($D64, Option4!$G$110:$G$121,0)))*conv_2026*J$7</f>
        <v>8050629.7810334545</v>
      </c>
      <c r="K64" s="31">
        <f>(INDEX(Option4!K$110:K$121, MATCH($D64, Option4!$G$110:$G$121,0)))*conv_2026*K$7</f>
        <v>8611435.5517434627</v>
      </c>
      <c r="L64" s="31">
        <f>(INDEX(Option4!L$110:L$121, MATCH($D64, Option4!$G$110:$G$121,0)))*conv_2026*L$7</f>
        <v>11400803.51122158</v>
      </c>
      <c r="M64" s="31">
        <f>(INDEX(Option4!M$110:M$121, MATCH($D64, Option4!$G$110:$G$121,0)))*conv_2026*M$7</f>
        <v>14971961.075048357</v>
      </c>
      <c r="N64" s="31">
        <f>(INDEX(Option4!N$110:N$121, MATCH($D64, Option4!$G$110:$G$121,0)))*conv_2026*N$7</f>
        <v>22299384.235071417</v>
      </c>
      <c r="O64" s="31">
        <f>(INDEX(Option4!O$110:O$121, MATCH($D64, Option4!$G$110:$G$121,0)))*conv_2026*O$7</f>
        <v>33929165.260524586</v>
      </c>
      <c r="P64" s="31">
        <f>(INDEX(Option4!P$110:P$121, MATCH($D64, Option4!$G$110:$G$121,0)))*conv_2026*P$7</f>
        <v>46143422.675919034</v>
      </c>
      <c r="Q64" s="31">
        <f>(INDEX(Option4!Q$110:Q$121, MATCH($D64, Option4!$G$110:$G$121,0)))*conv_2026*Q$7</f>
        <v>59781720.17379082</v>
      </c>
      <c r="R64" s="31">
        <f>(INDEX(Option4!R$110:R$121, MATCH($D64, Option4!$G$110:$G$121,0)))*conv_2026*R$7</f>
        <v>59781720.17379082</v>
      </c>
      <c r="S64" s="31">
        <f>(INDEX(Option4!S$110:S$121, MATCH($D64, Option4!$G$110:$G$121,0)))*conv_2026*S$7</f>
        <v>59287032.48625005</v>
      </c>
      <c r="T64" s="31">
        <f>(INDEX(Option4!T$110:T$121, MATCH($D64, Option4!$G$110:$G$121,0)))*conv_2026*T$7</f>
        <v>59287032.48625005</v>
      </c>
      <c r="U64" s="31">
        <f>(INDEX(Option4!U$110:U$121, MATCH($D64, Option4!$G$110:$G$121,0)))*conv_2026*U$7</f>
        <v>59287032.48625005</v>
      </c>
      <c r="V64" s="31">
        <f>(INDEX(Option4!V$110:V$121, MATCH($D64, Option4!$G$110:$G$121,0)))*conv_2026*V$7</f>
        <v>59287032.48625005</v>
      </c>
      <c r="W64" s="31">
        <f>(INDEX(Option4!W$110:W$121, MATCH($D64, Option4!$G$110:$G$121,0)))*conv_2026*W$7</f>
        <v>59287032.48625005</v>
      </c>
      <c r="X64" s="31">
        <f>(INDEX(Option4!X$110:X$121, MATCH($D64, Option4!$G$110:$G$121,0)))*conv_2026*X$7</f>
        <v>59287032.48625005</v>
      </c>
      <c r="Y64" s="31">
        <f>(INDEX(Option4!Y$110:Y$121, MATCH($D64, Option4!$G$110:$G$121,0)))*conv_2026*Y$7</f>
        <v>59287032.48625005</v>
      </c>
      <c r="Z64" s="31">
        <f>(INDEX(Option4!Z$110:Z$121, MATCH($D64, Option4!$G$110:$G$121,0)))*conv_2026*Z$7</f>
        <v>59287032.48625005</v>
      </c>
      <c r="AA64" s="31">
        <f>(INDEX(Option4!AA$110:AA$121, MATCH($D64, Option4!$G$110:$G$121,0)))*conv_2026*AA$7</f>
        <v>59287032.48625005</v>
      </c>
      <c r="AB64" s="31">
        <f>(INDEX(Option4!AB$110:AB$121, MATCH($D64, Option4!$G$110:$G$121,0)))*conv_2026*AB$7</f>
        <v>59287032.48625005</v>
      </c>
      <c r="AC64" s="31">
        <f>(INDEX(Option4!AC$110:AC$121, MATCH($D64, Option4!$G$110:$G$121,0)))*conv_2026*AC$7</f>
        <v>0</v>
      </c>
      <c r="AD64" s="31">
        <f>(INDEX(Option4!AD$110:AD$121, MATCH($D64, Option4!$G$110:$G$121,0)))*conv_2026*AD$7</f>
        <v>0</v>
      </c>
      <c r="AE64" s="31">
        <f>(INDEX(Option4!AE$110:AE$121, MATCH($D64, Option4!$G$110:$G$121,0)))*conv_2026*AE$7</f>
        <v>0</v>
      </c>
      <c r="AF64" s="31">
        <f>(INDEX(Option4!AF$110:AF$121, MATCH($D64, Option4!$G$110:$G$121,0)))*conv_2026*AF$7</f>
        <v>0</v>
      </c>
      <c r="AG64" s="31">
        <f>(INDEX(Option4!AG$110:AG$121, MATCH($D64, Option4!$G$110:$G$121,0)))*conv_2026*AG$7</f>
        <v>0</v>
      </c>
    </row>
    <row r="65" spans="1:35" s="8" customFormat="1" x14ac:dyDescent="0.2">
      <c r="A65" s="258" t="s">
        <v>133</v>
      </c>
      <c r="B65" s="258" t="str">
        <f>Option4!A121</f>
        <v>sens</v>
      </c>
      <c r="C65" s="258">
        <f>Option4!C121</f>
        <v>0</v>
      </c>
      <c r="D65" s="258" t="str">
        <f t="shared" si="7"/>
        <v>Option 4sens</v>
      </c>
      <c r="E65" s="259"/>
      <c r="F65" s="31">
        <f t="shared" si="6"/>
        <v>563064677.03586245</v>
      </c>
      <c r="H65" s="31">
        <f>(INDEX(Option4!H$110:H$121, MATCH($D65, Option4!$G$110:$G$121,0)))*conv_2026*H$7</f>
        <v>0</v>
      </c>
      <c r="I65" s="31">
        <f>(INDEX(Option4!I$110:I$121, MATCH($D65, Option4!$G$110:$G$121,0)))*conv_2026*I$7</f>
        <v>0</v>
      </c>
      <c r="J65" s="31">
        <f>(INDEX(Option4!J$110:J$121, MATCH($D65, Option4!$G$110:$G$121,0)))*conv_2026*J$7</f>
        <v>8050629.7810334545</v>
      </c>
      <c r="K65" s="31">
        <f>(INDEX(Option4!K$110:K$121, MATCH($D65, Option4!$G$110:$G$121,0)))*conv_2026*K$7</f>
        <v>8611435.5517434627</v>
      </c>
      <c r="L65" s="31">
        <f>(INDEX(Option4!L$110:L$121, MATCH($D65, Option4!$G$110:$G$121,0)))*conv_2026*L$7</f>
        <v>11400803.51122158</v>
      </c>
      <c r="M65" s="31">
        <f>(INDEX(Option4!M$110:M$121, MATCH($D65, Option4!$G$110:$G$121,0)))*conv_2026*M$7</f>
        <v>14971961.075048357</v>
      </c>
      <c r="N65" s="31">
        <f>(INDEX(Option4!N$110:N$121, MATCH($D65, Option4!$G$110:$G$121,0)))*conv_2026*N$7</f>
        <v>22299384.235071417</v>
      </c>
      <c r="O65" s="31">
        <f>(INDEX(Option4!O$110:O$121, MATCH($D65, Option4!$G$110:$G$121,0)))*conv_2026*O$7</f>
        <v>33929165.260524586</v>
      </c>
      <c r="P65" s="31">
        <f>(INDEX(Option4!P$110:P$121, MATCH($D65, Option4!$G$110:$G$121,0)))*conv_2026*P$7</f>
        <v>46143422.675919034</v>
      </c>
      <c r="Q65" s="31">
        <f>(INDEX(Option4!Q$110:Q$121, MATCH($D65, Option4!$G$110:$G$121,0)))*conv_2026*Q$7</f>
        <v>59781720.17379082</v>
      </c>
      <c r="R65" s="31">
        <f>(INDEX(Option4!R$110:R$121, MATCH($D65, Option4!$G$110:$G$121,0)))*conv_2026*R$7</f>
        <v>59781720.17379082</v>
      </c>
      <c r="S65" s="31">
        <f>(INDEX(Option4!S$110:S$121, MATCH($D65, Option4!$G$110:$G$121,0)))*conv_2026*S$7</f>
        <v>59287032.48625005</v>
      </c>
      <c r="T65" s="31">
        <f>(INDEX(Option4!T$110:T$121, MATCH($D65, Option4!$G$110:$G$121,0)))*conv_2026*T$7</f>
        <v>59287032.48625005</v>
      </c>
      <c r="U65" s="31">
        <f>(INDEX(Option4!U$110:U$121, MATCH($D65, Option4!$G$110:$G$121,0)))*conv_2026*U$7</f>
        <v>59287032.48625005</v>
      </c>
      <c r="V65" s="31">
        <f>(INDEX(Option4!V$110:V$121, MATCH($D65, Option4!$G$110:$G$121,0)))*conv_2026*V$7</f>
        <v>59287032.48625005</v>
      </c>
      <c r="W65" s="31">
        <f>(INDEX(Option4!W$110:W$121, MATCH($D65, Option4!$G$110:$G$121,0)))*conv_2026*W$7</f>
        <v>59287032.48625005</v>
      </c>
      <c r="X65" s="31">
        <f>(INDEX(Option4!X$110:X$121, MATCH($D65, Option4!$G$110:$G$121,0)))*conv_2026*X$7</f>
        <v>59287032.48625005</v>
      </c>
      <c r="Y65" s="31">
        <f>(INDEX(Option4!Y$110:Y$121, MATCH($D65, Option4!$G$110:$G$121,0)))*conv_2026*Y$7</f>
        <v>59287032.48625005</v>
      </c>
      <c r="Z65" s="31">
        <f>(INDEX(Option4!Z$110:Z$121, MATCH($D65, Option4!$G$110:$G$121,0)))*conv_2026*Z$7</f>
        <v>59287032.48625005</v>
      </c>
      <c r="AA65" s="31">
        <f>(INDEX(Option4!AA$110:AA$121, MATCH($D65, Option4!$G$110:$G$121,0)))*conv_2026*AA$7</f>
        <v>59287032.48625005</v>
      </c>
      <c r="AB65" s="31">
        <f>(INDEX(Option4!AB$110:AB$121, MATCH($D65, Option4!$G$110:$G$121,0)))*conv_2026*AB$7</f>
        <v>59287032.48625005</v>
      </c>
      <c r="AC65" s="31">
        <f>(INDEX(Option4!AC$110:AC$121, MATCH($D65, Option4!$G$110:$G$121,0)))*conv_2026*AC$7</f>
        <v>0</v>
      </c>
      <c r="AD65" s="31">
        <f>(INDEX(Option4!AD$110:AD$121, MATCH($D65, Option4!$G$110:$G$121,0)))*conv_2026*AD$7</f>
        <v>0</v>
      </c>
      <c r="AE65" s="31">
        <f>(INDEX(Option4!AE$110:AE$121, MATCH($D65, Option4!$G$110:$G$121,0)))*conv_2026*AE$7</f>
        <v>0</v>
      </c>
      <c r="AF65" s="31">
        <f>(INDEX(Option4!AF$110:AF$121, MATCH($D65, Option4!$G$110:$G$121,0)))*conv_2026*AF$7</f>
        <v>0</v>
      </c>
      <c r="AG65" s="31">
        <f>(INDEX(Option4!AG$110:AG$121, MATCH($D65, Option4!$G$110:$G$121,0)))*conv_2026*AG$7</f>
        <v>0</v>
      </c>
    </row>
    <row r="66" spans="1:35" s="8" customFormat="1" x14ac:dyDescent="0.2">
      <c r="A66" s="258"/>
      <c r="B66" s="258"/>
      <c r="C66" s="258"/>
      <c r="D66" s="258"/>
      <c r="E66" s="258"/>
      <c r="F66" s="31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</row>
    <row r="67" spans="1:35" s="8" customFormat="1" x14ac:dyDescent="0.2">
      <c r="A67" s="258"/>
      <c r="B67" s="258"/>
      <c r="C67" s="258"/>
      <c r="D67" s="258"/>
      <c r="E67" s="258"/>
      <c r="F67" s="31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</row>
    <row r="68" spans="1:35" s="8" customFormat="1" x14ac:dyDescent="0.2">
      <c r="A68" s="258"/>
      <c r="B68" s="258"/>
      <c r="C68" s="258"/>
      <c r="D68" s="258"/>
      <c r="E68" s="258"/>
      <c r="F68" s="31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</row>
    <row r="69" spans="1:35" s="8" customFormat="1" x14ac:dyDescent="0.2">
      <c r="A69" s="258"/>
      <c r="B69" s="258"/>
      <c r="C69" s="258"/>
      <c r="D69" s="258"/>
      <c r="E69" s="258"/>
      <c r="F69" s="31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</row>
    <row r="70" spans="1:35" s="8" customFormat="1" x14ac:dyDescent="0.2">
      <c r="A70" s="258" t="s">
        <v>154</v>
      </c>
      <c r="B70" s="258" t="s">
        <v>119</v>
      </c>
      <c r="C70" s="258" t="s">
        <v>188</v>
      </c>
      <c r="D70" s="258" t="str">
        <f>A70&amp;B70</f>
        <v>Option 5NPV</v>
      </c>
      <c r="E70" s="259"/>
      <c r="F70" s="31">
        <f t="shared" ref="F70:F79" si="8">SUMPRODUCT($H70:$AG70, $H$5:$AG$5)</f>
        <v>554010103.15309072</v>
      </c>
      <c r="G70" s="251"/>
      <c r="H70" s="31">
        <f>(INDEX(Option5!H$110:H$121, MATCH($D70, Option5!$G$110:$G$121,0)))*conv_2026*H$7</f>
        <v>0</v>
      </c>
      <c r="I70" s="31">
        <f>(INDEX(Option5!I$110:I$121, MATCH($D70, Option5!$G$110:$G$121,0)))*conv_2026*I$7</f>
        <v>0</v>
      </c>
      <c r="J70" s="31">
        <f>(INDEX(Option5!J$110:J$121, MATCH($D70, Option5!$G$110:$G$121,0)))*conv_2026*J$7</f>
        <v>7658715.791319795</v>
      </c>
      <c r="K70" s="31">
        <f>(INDEX(Option5!K$110:K$121, MATCH($D70, Option5!$G$110:$G$121,0)))*conv_2026*K$7</f>
        <v>10257795.569990287</v>
      </c>
      <c r="L70" s="31">
        <f>(INDEX(Option5!L$110:L$121, MATCH($D70, Option5!$G$110:$G$121,0)))*conv_2026*L$7</f>
        <v>11774346.342138644</v>
      </c>
      <c r="M70" s="31">
        <f>(INDEX(Option5!M$110:M$121, MATCH($D70, Option5!$G$110:$G$121,0)))*conv_2026*M$7</f>
        <v>15268619.844546722</v>
      </c>
      <c r="N70" s="31">
        <f>(INDEX(Option5!N$110:N$121, MATCH($D70, Option5!$G$110:$G$121,0)))*conv_2026*N$7</f>
        <v>22281416.492508799</v>
      </c>
      <c r="O70" s="31">
        <f>(INDEX(Option5!O$110:O$121, MATCH($D70, Option5!$G$110:$G$121,0)))*conv_2026*O$7</f>
        <v>33135650.552257109</v>
      </c>
      <c r="P70" s="31">
        <f>(INDEX(Option5!P$110:P$121, MATCH($D70, Option5!$G$110:$G$121,0)))*conv_2026*P$7</f>
        <v>44553768.818555877</v>
      </c>
      <c r="Q70" s="31">
        <f>(INDEX(Option5!Q$110:Q$121, MATCH($D70, Option5!$G$110:$G$121,0)))*conv_2026*Q$7</f>
        <v>58192066.31642767</v>
      </c>
      <c r="R70" s="31">
        <f>(INDEX(Option5!R$110:R$121, MATCH($D70, Option5!$G$110:$G$121,0)))*conv_2026*R$7</f>
        <v>58192066.31642767</v>
      </c>
      <c r="S70" s="31">
        <f>(INDEX(Option5!S$110:S$121, MATCH($D70, Option5!$G$110:$G$121,0)))*conv_2026*S$7</f>
        <v>58192066.31642767</v>
      </c>
      <c r="T70" s="31">
        <f>(INDEX(Option5!T$110:T$121, MATCH($D70, Option5!$G$110:$G$121,0)))*conv_2026*T$7</f>
        <v>58192066.31642767</v>
      </c>
      <c r="U70" s="31">
        <f>(INDEX(Option5!U$110:U$121, MATCH($D70, Option5!$G$110:$G$121,0)))*conv_2026*U$7</f>
        <v>58192066.31642767</v>
      </c>
      <c r="V70" s="31">
        <f>(INDEX(Option5!V$110:V$121, MATCH($D70, Option5!$G$110:$G$121,0)))*conv_2026*V$7</f>
        <v>58192066.31642767</v>
      </c>
      <c r="W70" s="31">
        <f>(INDEX(Option5!W$110:W$121, MATCH($D70, Option5!$G$110:$G$121,0)))*conv_2026*W$7</f>
        <v>58192066.31642767</v>
      </c>
      <c r="X70" s="31">
        <f>(INDEX(Option5!X$110:X$121, MATCH($D70, Option5!$G$110:$G$121,0)))*conv_2026*X$7</f>
        <v>58192066.31642767</v>
      </c>
      <c r="Y70" s="31">
        <f>(INDEX(Option5!Y$110:Y$121, MATCH($D70, Option5!$G$110:$G$121,0)))*conv_2026*Y$7</f>
        <v>58192066.31642767</v>
      </c>
      <c r="Z70" s="31">
        <f>(INDEX(Option5!Z$110:Z$121, MATCH($D70, Option5!$G$110:$G$121,0)))*conv_2026*Z$7</f>
        <v>58192066.31642767</v>
      </c>
      <c r="AA70" s="31">
        <f>(INDEX(Option5!AA$110:AA$121, MATCH($D70, Option5!$G$110:$G$121,0)))*conv_2026*AA$7</f>
        <v>58192066.31642767</v>
      </c>
      <c r="AB70" s="31">
        <f>(INDEX(Option5!AB$110:AB$121, MATCH($D70, Option5!$G$110:$G$121,0)))*conv_2026*AB$7</f>
        <v>58192066.31642767</v>
      </c>
      <c r="AC70" s="31">
        <f>(INDEX(Option5!AC$110:AC$121, MATCH($D70, Option5!$G$110:$G$121,0)))*conv_2026*AC$7</f>
        <v>0</v>
      </c>
      <c r="AD70" s="31">
        <f>(INDEX(Option5!AD$110:AD$121, MATCH($D70, Option5!$G$110:$G$121,0)))*conv_2026*AD$7</f>
        <v>0</v>
      </c>
      <c r="AE70" s="31">
        <f>(INDEX(Option5!AE$110:AE$121, MATCH($D70, Option5!$G$110:$G$121,0)))*conv_2026*AE$7</f>
        <v>0</v>
      </c>
      <c r="AF70" s="31">
        <f>(INDEX(Option5!AF$110:AF$121, MATCH($D70, Option5!$G$110:$G$121,0)))*conv_2026*AF$7</f>
        <v>0</v>
      </c>
      <c r="AG70" s="31">
        <f>(INDEX(Option5!AG$110:AG$121, MATCH($D70, Option5!$G$110:$G$121,0)))*conv_2026*AG$7</f>
        <v>0</v>
      </c>
      <c r="AH70" s="7"/>
      <c r="AI70" s="7"/>
    </row>
    <row r="71" spans="1:35" s="8" customFormat="1" x14ac:dyDescent="0.2">
      <c r="A71" s="250"/>
      <c r="B71" s="250"/>
      <c r="C71" s="250"/>
      <c r="D71" s="250"/>
      <c r="E71" s="250"/>
      <c r="F71" s="250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7"/>
      <c r="AI71" s="7"/>
    </row>
    <row r="72" spans="1:35" s="8" customFormat="1" x14ac:dyDescent="0.2">
      <c r="A72" s="258" t="s">
        <v>154</v>
      </c>
      <c r="B72" s="258" t="str">
        <f>Option5!A114</f>
        <v>sens1</v>
      </c>
      <c r="C72" s="258" t="str">
        <f>Option5!C114</f>
        <v>Capex 10% higher</v>
      </c>
      <c r="D72" s="258" t="str">
        <f t="shared" ref="D72:D79" si="9">A72&amp;B72</f>
        <v>Option 5sens1</v>
      </c>
      <c r="E72" s="259"/>
      <c r="F72" s="31">
        <f t="shared" si="8"/>
        <v>548093029.27389574</v>
      </c>
      <c r="G72" s="251"/>
      <c r="H72" s="31">
        <f>(INDEX(Option5!H$110:H$121, MATCH($D72, Option5!$G$110:$G$121,0)))*conv_2026*H$7</f>
        <v>0</v>
      </c>
      <c r="I72" s="31">
        <f>(INDEX(Option5!I$110:I$121, MATCH($D72, Option5!$G$110:$G$121,0)))*conv_2026*I$7</f>
        <v>0</v>
      </c>
      <c r="J72" s="31">
        <f>(INDEX(Option5!J$110:J$121, MATCH($D72, Option5!$G$110:$G$121,0)))*conv_2026*J$7</f>
        <v>7526605.5954772197</v>
      </c>
      <c r="K72" s="31">
        <f>(INDEX(Option5!K$110:K$121, MATCH($D72, Option5!$G$110:$G$121,0)))*conv_2026*K$7</f>
        <v>10035368.223321674</v>
      </c>
      <c r="L72" s="31">
        <f>(INDEX(Option5!L$110:L$121, MATCH($D72, Option5!$G$110:$G$121,0)))*conv_2026*L$7</f>
        <v>11411827.476371955</v>
      </c>
      <c r="M72" s="31">
        <f>(INDEX(Option5!M$110:M$121, MATCH($D72, Option5!$G$110:$G$121,0)))*conv_2026*M$7</f>
        <v>14777477.431780491</v>
      </c>
      <c r="N72" s="31">
        <f>(INDEX(Option5!N$110:N$121, MATCH($D72, Option5!$G$110:$G$121,0)))*conv_2026*N$7</f>
        <v>21790274.079742569</v>
      </c>
      <c r="O72" s="31">
        <f>(INDEX(Option5!O$110:O$121, MATCH($D72, Option5!$G$110:$G$121,0)))*conv_2026*O$7</f>
        <v>32644508.139490876</v>
      </c>
      <c r="P72" s="31">
        <f>(INDEX(Option5!P$110:P$121, MATCH($D72, Option5!$G$110:$G$121,0)))*conv_2026*P$7</f>
        <v>44062626.405789651</v>
      </c>
      <c r="Q72" s="31">
        <f>(INDEX(Option5!Q$110:Q$121, MATCH($D72, Option5!$G$110:$G$121,0)))*conv_2026*Q$7</f>
        <v>57700923.903661437</v>
      </c>
      <c r="R72" s="31">
        <f>(INDEX(Option5!R$110:R$121, MATCH($D72, Option5!$G$110:$G$121,0)))*conv_2026*R$7</f>
        <v>57700923.903661437</v>
      </c>
      <c r="S72" s="31">
        <f>(INDEX(Option5!S$110:S$121, MATCH($D72, Option5!$G$110:$G$121,0)))*conv_2026*S$7</f>
        <v>57700923.903661437</v>
      </c>
      <c r="T72" s="31">
        <f>(INDEX(Option5!T$110:T$121, MATCH($D72, Option5!$G$110:$G$121,0)))*conv_2026*T$7</f>
        <v>57700923.903661437</v>
      </c>
      <c r="U72" s="31">
        <f>(INDEX(Option5!U$110:U$121, MATCH($D72, Option5!$G$110:$G$121,0)))*conv_2026*U$7</f>
        <v>57700923.903661437</v>
      </c>
      <c r="V72" s="31">
        <f>(INDEX(Option5!V$110:V$121, MATCH($D72, Option5!$G$110:$G$121,0)))*conv_2026*V$7</f>
        <v>57700923.903661437</v>
      </c>
      <c r="W72" s="31">
        <f>(INDEX(Option5!W$110:W$121, MATCH($D72, Option5!$G$110:$G$121,0)))*conv_2026*W$7</f>
        <v>57700923.903661437</v>
      </c>
      <c r="X72" s="31">
        <f>(INDEX(Option5!X$110:X$121, MATCH($D72, Option5!$G$110:$G$121,0)))*conv_2026*X$7</f>
        <v>57700923.903661437</v>
      </c>
      <c r="Y72" s="31">
        <f>(INDEX(Option5!Y$110:Y$121, MATCH($D72, Option5!$G$110:$G$121,0)))*conv_2026*Y$7</f>
        <v>57700923.903661437</v>
      </c>
      <c r="Z72" s="31">
        <f>(INDEX(Option5!Z$110:Z$121, MATCH($D72, Option5!$G$110:$G$121,0)))*conv_2026*Z$7</f>
        <v>57700923.903661437</v>
      </c>
      <c r="AA72" s="31">
        <f>(INDEX(Option5!AA$110:AA$121, MATCH($D72, Option5!$G$110:$G$121,0)))*conv_2026*AA$7</f>
        <v>57700923.903661437</v>
      </c>
      <c r="AB72" s="31">
        <f>(INDEX(Option5!AB$110:AB$121, MATCH($D72, Option5!$G$110:$G$121,0)))*conv_2026*AB$7</f>
        <v>57700923.903661437</v>
      </c>
      <c r="AC72" s="31">
        <f>(INDEX(Option5!AC$110:AC$121, MATCH($D72, Option5!$G$110:$G$121,0)))*conv_2026*AC$7</f>
        <v>0</v>
      </c>
      <c r="AD72" s="31">
        <f>(INDEX(Option5!AD$110:AD$121, MATCH($D72, Option5!$G$110:$G$121,0)))*conv_2026*AD$7</f>
        <v>0</v>
      </c>
      <c r="AE72" s="31">
        <f>(INDEX(Option5!AE$110:AE$121, MATCH($D72, Option5!$G$110:$G$121,0)))*conv_2026*AE$7</f>
        <v>0</v>
      </c>
      <c r="AF72" s="31">
        <f>(INDEX(Option5!AF$110:AF$121, MATCH($D72, Option5!$G$110:$G$121,0)))*conv_2026*AF$7</f>
        <v>0</v>
      </c>
      <c r="AG72" s="31">
        <f>(INDEX(Option5!AG$110:AG$121, MATCH($D72, Option5!$G$110:$G$121,0)))*conv_2026*AG$7</f>
        <v>0</v>
      </c>
      <c r="AH72" s="7"/>
      <c r="AI72" s="7"/>
    </row>
    <row r="73" spans="1:35" s="8" customFormat="1" x14ac:dyDescent="0.2">
      <c r="A73" s="258" t="s">
        <v>154</v>
      </c>
      <c r="B73" s="258" t="str">
        <f>Option5!A115</f>
        <v>sens2</v>
      </c>
      <c r="C73" s="258" t="str">
        <f>Option5!C115</f>
        <v>Capex 10% lower</v>
      </c>
      <c r="D73" s="258" t="str">
        <f t="shared" si="9"/>
        <v>Option 5sens2</v>
      </c>
      <c r="E73" s="259"/>
      <c r="F73" s="31">
        <f t="shared" si="8"/>
        <v>559927177.03228533</v>
      </c>
      <c r="G73" s="258"/>
      <c r="H73" s="31">
        <f>(INDEX(Option5!H$110:H$121, MATCH($D73, Option5!$G$110:$G$121,0)))*conv_2026*H$7</f>
        <v>0</v>
      </c>
      <c r="I73" s="31">
        <f>(INDEX(Option5!I$110:I$121, MATCH($D73, Option5!$G$110:$G$121,0)))*conv_2026*I$7</f>
        <v>0</v>
      </c>
      <c r="J73" s="31">
        <f>(INDEX(Option5!J$110:J$121, MATCH($D73, Option5!$G$110:$G$121,0)))*conv_2026*J$7</f>
        <v>7790825.9871623702</v>
      </c>
      <c r="K73" s="31">
        <f>(INDEX(Option5!K$110:K$121, MATCH($D73, Option5!$G$110:$G$121,0)))*conv_2026*K$7</f>
        <v>10480222.916658899</v>
      </c>
      <c r="L73" s="31">
        <f>(INDEX(Option5!L$110:L$121, MATCH($D73, Option5!$G$110:$G$121,0)))*conv_2026*L$7</f>
        <v>12136865.207905335</v>
      </c>
      <c r="M73" s="31">
        <f>(INDEX(Option5!M$110:M$121, MATCH($D73, Option5!$G$110:$G$121,0)))*conv_2026*M$7</f>
        <v>15759762.257312955</v>
      </c>
      <c r="N73" s="31">
        <f>(INDEX(Option5!N$110:N$121, MATCH($D73, Option5!$G$110:$G$121,0)))*conv_2026*N$7</f>
        <v>22772558.905275028</v>
      </c>
      <c r="O73" s="31">
        <f>(INDEX(Option5!O$110:O$121, MATCH($D73, Option5!$G$110:$G$121,0)))*conv_2026*O$7</f>
        <v>33626792.965023339</v>
      </c>
      <c r="P73" s="31">
        <f>(INDEX(Option5!P$110:P$121, MATCH($D73, Option5!$G$110:$G$121,0)))*conv_2026*P$7</f>
        <v>45044911.23132211</v>
      </c>
      <c r="Q73" s="31">
        <f>(INDEX(Option5!Q$110:Q$121, MATCH($D73, Option5!$G$110:$G$121,0)))*conv_2026*Q$7</f>
        <v>58683208.729193896</v>
      </c>
      <c r="R73" s="31">
        <f>(INDEX(Option5!R$110:R$121, MATCH($D73, Option5!$G$110:$G$121,0)))*conv_2026*R$7</f>
        <v>58683208.729193896</v>
      </c>
      <c r="S73" s="31">
        <f>(INDEX(Option5!S$110:S$121, MATCH($D73, Option5!$G$110:$G$121,0)))*conv_2026*S$7</f>
        <v>58683208.729193896</v>
      </c>
      <c r="T73" s="31">
        <f>(INDEX(Option5!T$110:T$121, MATCH($D73, Option5!$G$110:$G$121,0)))*conv_2026*T$7</f>
        <v>58683208.729193896</v>
      </c>
      <c r="U73" s="31">
        <f>(INDEX(Option5!U$110:U$121, MATCH($D73, Option5!$G$110:$G$121,0)))*conv_2026*U$7</f>
        <v>58683208.729193896</v>
      </c>
      <c r="V73" s="31">
        <f>(INDEX(Option5!V$110:V$121, MATCH($D73, Option5!$G$110:$G$121,0)))*conv_2026*V$7</f>
        <v>58683208.729193896</v>
      </c>
      <c r="W73" s="31">
        <f>(INDEX(Option5!W$110:W$121, MATCH($D73, Option5!$G$110:$G$121,0)))*conv_2026*W$7</f>
        <v>58683208.729193896</v>
      </c>
      <c r="X73" s="31">
        <f>(INDEX(Option5!X$110:X$121, MATCH($D73, Option5!$G$110:$G$121,0)))*conv_2026*X$7</f>
        <v>58683208.729193896</v>
      </c>
      <c r="Y73" s="31">
        <f>(INDEX(Option5!Y$110:Y$121, MATCH($D73, Option5!$G$110:$G$121,0)))*conv_2026*Y$7</f>
        <v>58683208.729193896</v>
      </c>
      <c r="Z73" s="31">
        <f>(INDEX(Option5!Z$110:Z$121, MATCH($D73, Option5!$G$110:$G$121,0)))*conv_2026*Z$7</f>
        <v>58683208.729193896</v>
      </c>
      <c r="AA73" s="31">
        <f>(INDEX(Option5!AA$110:AA$121, MATCH($D73, Option5!$G$110:$G$121,0)))*conv_2026*AA$7</f>
        <v>58683208.729193896</v>
      </c>
      <c r="AB73" s="31">
        <f>(INDEX(Option5!AB$110:AB$121, MATCH($D73, Option5!$G$110:$G$121,0)))*conv_2026*AB$7</f>
        <v>58683208.729193896</v>
      </c>
      <c r="AC73" s="31">
        <f>(INDEX(Option5!AC$110:AC$121, MATCH($D73, Option5!$G$110:$G$121,0)))*conv_2026*AC$7</f>
        <v>0</v>
      </c>
      <c r="AD73" s="31">
        <f>(INDEX(Option5!AD$110:AD$121, MATCH($D73, Option5!$G$110:$G$121,0)))*conv_2026*AD$7</f>
        <v>0</v>
      </c>
      <c r="AE73" s="31">
        <f>(INDEX(Option5!AE$110:AE$121, MATCH($D73, Option5!$G$110:$G$121,0)))*conv_2026*AE$7</f>
        <v>0</v>
      </c>
      <c r="AF73" s="31">
        <f>(INDEX(Option5!AF$110:AF$121, MATCH($D73, Option5!$G$110:$G$121,0)))*conv_2026*AF$7</f>
        <v>0</v>
      </c>
      <c r="AG73" s="31">
        <f>(INDEX(Option5!AG$110:AG$121, MATCH($D73, Option5!$G$110:$G$121,0)))*conv_2026*AG$7</f>
        <v>0</v>
      </c>
    </row>
    <row r="74" spans="1:35" s="8" customFormat="1" x14ac:dyDescent="0.2">
      <c r="A74" s="258" t="s">
        <v>154</v>
      </c>
      <c r="B74" s="258" t="str">
        <f>Option5!A116</f>
        <v>sens3</v>
      </c>
      <c r="C74" s="258" t="str">
        <f>Option5!C116</f>
        <v>Total benefits 10% higher</v>
      </c>
      <c r="D74" s="258" t="str">
        <f t="shared" si="9"/>
        <v>Option 5sens3</v>
      </c>
      <c r="E74" s="259"/>
      <c r="F74" s="31">
        <f t="shared" si="8"/>
        <v>615328187.3475945</v>
      </c>
      <c r="H74" s="31">
        <f>(INDEX(Option5!H$110:H$121, MATCH($D74, Option5!$G$110:$G$121,0)))*conv_2026*H$7</f>
        <v>0</v>
      </c>
      <c r="I74" s="31">
        <f>(INDEX(Option5!I$110:I$121, MATCH($D74, Option5!$G$110:$G$121,0)))*conv_2026*I$7</f>
        <v>0</v>
      </c>
      <c r="J74" s="31">
        <f>(INDEX(Option5!J$110:J$121, MATCH($D74, Option5!$G$110:$G$121,0)))*conv_2026*J$7</f>
        <v>8556697.5662943497</v>
      </c>
      <c r="K74" s="31">
        <f>(INDEX(Option5!K$110:K$121, MATCH($D74, Option5!$G$110:$G$121,0)))*conv_2026*K$7</f>
        <v>11506002.473657928</v>
      </c>
      <c r="L74" s="31">
        <f>(INDEX(Option5!L$110:L$121, MATCH($D74, Option5!$G$110:$G$121,0)))*conv_2026*L$7</f>
        <v>13314299.842119198</v>
      </c>
      <c r="M74" s="31">
        <f>(INDEX(Option5!M$110:M$121, MATCH($D74, Option5!$G$110:$G$121,0)))*conv_2026*M$7</f>
        <v>17286624.241767626</v>
      </c>
      <c r="N74" s="31">
        <f>(INDEX(Option5!N$110:N$121, MATCH($D74, Option5!$G$110:$G$121,0)))*conv_2026*N$7</f>
        <v>25000700.554525912</v>
      </c>
      <c r="O74" s="31">
        <f>(INDEX(Option5!O$110:O$121, MATCH($D74, Option5!$G$110:$G$121,0)))*conv_2026*O$7</f>
        <v>36940358.020249046</v>
      </c>
      <c r="P74" s="31">
        <f>(INDEX(Option5!P$110:P$121, MATCH($D74, Option5!$G$110:$G$121,0)))*conv_2026*P$7</f>
        <v>49500288.113177694</v>
      </c>
      <c r="Q74" s="31">
        <f>(INDEX(Option5!Q$110:Q$121, MATCH($D74, Option5!$G$110:$G$121,0)))*conv_2026*Q$7</f>
        <v>64502415.36083667</v>
      </c>
      <c r="R74" s="31">
        <f>(INDEX(Option5!R$110:R$121, MATCH($D74, Option5!$G$110:$G$121,0)))*conv_2026*R$7</f>
        <v>64502415.36083667</v>
      </c>
      <c r="S74" s="31">
        <f>(INDEX(Option5!S$110:S$121, MATCH($D74, Option5!$G$110:$G$121,0)))*conv_2026*S$7</f>
        <v>64502415.36083667</v>
      </c>
      <c r="T74" s="31">
        <f>(INDEX(Option5!T$110:T$121, MATCH($D74, Option5!$G$110:$G$121,0)))*conv_2026*T$7</f>
        <v>64502415.36083667</v>
      </c>
      <c r="U74" s="31">
        <f>(INDEX(Option5!U$110:U$121, MATCH($D74, Option5!$G$110:$G$121,0)))*conv_2026*U$7</f>
        <v>64502415.36083667</v>
      </c>
      <c r="V74" s="31">
        <f>(INDEX(Option5!V$110:V$121, MATCH($D74, Option5!$G$110:$G$121,0)))*conv_2026*V$7</f>
        <v>64502415.36083667</v>
      </c>
      <c r="W74" s="31">
        <f>(INDEX(Option5!W$110:W$121, MATCH($D74, Option5!$G$110:$G$121,0)))*conv_2026*W$7</f>
        <v>64502415.36083667</v>
      </c>
      <c r="X74" s="31">
        <f>(INDEX(Option5!X$110:X$121, MATCH($D74, Option5!$G$110:$G$121,0)))*conv_2026*X$7</f>
        <v>64502415.36083667</v>
      </c>
      <c r="Y74" s="31">
        <f>(INDEX(Option5!Y$110:Y$121, MATCH($D74, Option5!$G$110:$G$121,0)))*conv_2026*Y$7</f>
        <v>64502415.36083667</v>
      </c>
      <c r="Z74" s="31">
        <f>(INDEX(Option5!Z$110:Z$121, MATCH($D74, Option5!$G$110:$G$121,0)))*conv_2026*Z$7</f>
        <v>64502415.36083667</v>
      </c>
      <c r="AA74" s="31">
        <f>(INDEX(Option5!AA$110:AA$121, MATCH($D74, Option5!$G$110:$G$121,0)))*conv_2026*AA$7</f>
        <v>64502415.36083667</v>
      </c>
      <c r="AB74" s="31">
        <f>(INDEX(Option5!AB$110:AB$121, MATCH($D74, Option5!$G$110:$G$121,0)))*conv_2026*AB$7</f>
        <v>64502415.36083667</v>
      </c>
      <c r="AC74" s="31">
        <f>(INDEX(Option5!AC$110:AC$121, MATCH($D74, Option5!$G$110:$G$121,0)))*conv_2026*AC$7</f>
        <v>0</v>
      </c>
      <c r="AD74" s="31">
        <f>(INDEX(Option5!AD$110:AD$121, MATCH($D74, Option5!$G$110:$G$121,0)))*conv_2026*AD$7</f>
        <v>0</v>
      </c>
      <c r="AE74" s="31">
        <f>(INDEX(Option5!AE$110:AE$121, MATCH($D74, Option5!$G$110:$G$121,0)))*conv_2026*AE$7</f>
        <v>0</v>
      </c>
      <c r="AF74" s="31">
        <f>(INDEX(Option5!AF$110:AF$121, MATCH($D74, Option5!$G$110:$G$121,0)))*conv_2026*AF$7</f>
        <v>0</v>
      </c>
      <c r="AG74" s="31">
        <f>(INDEX(Option5!AG$110:AG$121, MATCH($D74, Option5!$G$110:$G$121,0)))*conv_2026*AG$7</f>
        <v>0</v>
      </c>
    </row>
    <row r="75" spans="1:35" s="8" customFormat="1" x14ac:dyDescent="0.2">
      <c r="A75" s="258" t="s">
        <v>154</v>
      </c>
      <c r="B75" s="258" t="str">
        <f>Option5!A117</f>
        <v>sens4</v>
      </c>
      <c r="C75" s="258" t="str">
        <f>Option5!C117</f>
        <v>Total benefits 10% lower</v>
      </c>
      <c r="D75" s="258" t="str">
        <f t="shared" si="9"/>
        <v>Option 5sens4</v>
      </c>
      <c r="E75" s="259"/>
      <c r="F75" s="31">
        <f t="shared" si="8"/>
        <v>492692018.95858669</v>
      </c>
      <c r="H75" s="31">
        <f>(INDEX(Option5!H$110:H$121, MATCH($D75, Option5!$G$110:$G$121,0)))*conv_2026*H$7</f>
        <v>0</v>
      </c>
      <c r="I75" s="31">
        <f>(INDEX(Option5!I$110:I$121, MATCH($D75, Option5!$G$110:$G$121,0)))*conv_2026*I$7</f>
        <v>0</v>
      </c>
      <c r="J75" s="31">
        <f>(INDEX(Option5!J$110:J$121, MATCH($D75, Option5!$G$110:$G$121,0)))*conv_2026*J$7</f>
        <v>6760734.0163452411</v>
      </c>
      <c r="K75" s="31">
        <f>(INDEX(Option5!K$110:K$121, MATCH($D75, Option5!$G$110:$G$121,0)))*conv_2026*K$7</f>
        <v>9009588.6663226448</v>
      </c>
      <c r="L75" s="31">
        <f>(INDEX(Option5!L$110:L$121, MATCH($D75, Option5!$G$110:$G$121,0)))*conv_2026*L$7</f>
        <v>10234392.842158092</v>
      </c>
      <c r="M75" s="31">
        <f>(INDEX(Option5!M$110:M$121, MATCH($D75, Option5!$G$110:$G$121,0)))*conv_2026*M$7</f>
        <v>13250615.44732582</v>
      </c>
      <c r="N75" s="31">
        <f>(INDEX(Option5!N$110:N$121, MATCH($D75, Option5!$G$110:$G$121,0)))*conv_2026*N$7</f>
        <v>19562132.430491686</v>
      </c>
      <c r="O75" s="31">
        <f>(INDEX(Option5!O$110:O$121, MATCH($D75, Option5!$G$110:$G$121,0)))*conv_2026*O$7</f>
        <v>29330943.084265165</v>
      </c>
      <c r="P75" s="31">
        <f>(INDEX(Option5!P$110:P$121, MATCH($D75, Option5!$G$110:$G$121,0)))*conv_2026*P$7</f>
        <v>39607249.523934059</v>
      </c>
      <c r="Q75" s="31">
        <f>(INDEX(Option5!Q$110:Q$121, MATCH($D75, Option5!$G$110:$G$121,0)))*conv_2026*Q$7</f>
        <v>51881717.272018671</v>
      </c>
      <c r="R75" s="31">
        <f>(INDEX(Option5!R$110:R$121, MATCH($D75, Option5!$G$110:$G$121,0)))*conv_2026*R$7</f>
        <v>51881717.272018671</v>
      </c>
      <c r="S75" s="31">
        <f>(INDEX(Option5!S$110:S$121, MATCH($D75, Option5!$G$110:$G$121,0)))*conv_2026*S$7</f>
        <v>51881717.272018671</v>
      </c>
      <c r="T75" s="31">
        <f>(INDEX(Option5!T$110:T$121, MATCH($D75, Option5!$G$110:$G$121,0)))*conv_2026*T$7</f>
        <v>51881717.272018671</v>
      </c>
      <c r="U75" s="31">
        <f>(INDEX(Option5!U$110:U$121, MATCH($D75, Option5!$G$110:$G$121,0)))*conv_2026*U$7</f>
        <v>51881717.272018671</v>
      </c>
      <c r="V75" s="31">
        <f>(INDEX(Option5!V$110:V$121, MATCH($D75, Option5!$G$110:$G$121,0)))*conv_2026*V$7</f>
        <v>51881717.272018671</v>
      </c>
      <c r="W75" s="31">
        <f>(INDEX(Option5!W$110:W$121, MATCH($D75, Option5!$G$110:$G$121,0)))*conv_2026*W$7</f>
        <v>51881717.272018671</v>
      </c>
      <c r="X75" s="31">
        <f>(INDEX(Option5!X$110:X$121, MATCH($D75, Option5!$G$110:$G$121,0)))*conv_2026*X$7</f>
        <v>51881717.272018671</v>
      </c>
      <c r="Y75" s="31">
        <f>(INDEX(Option5!Y$110:Y$121, MATCH($D75, Option5!$G$110:$G$121,0)))*conv_2026*Y$7</f>
        <v>51881717.272018671</v>
      </c>
      <c r="Z75" s="31">
        <f>(INDEX(Option5!Z$110:Z$121, MATCH($D75, Option5!$G$110:$G$121,0)))*conv_2026*Z$7</f>
        <v>51881717.272018671</v>
      </c>
      <c r="AA75" s="31">
        <f>(INDEX(Option5!AA$110:AA$121, MATCH($D75, Option5!$G$110:$G$121,0)))*conv_2026*AA$7</f>
        <v>51881717.272018671</v>
      </c>
      <c r="AB75" s="31">
        <f>(INDEX(Option5!AB$110:AB$121, MATCH($D75, Option5!$G$110:$G$121,0)))*conv_2026*AB$7</f>
        <v>51881717.272018671</v>
      </c>
      <c r="AC75" s="31">
        <f>(INDEX(Option5!AC$110:AC$121, MATCH($D75, Option5!$G$110:$G$121,0)))*conv_2026*AC$7</f>
        <v>0</v>
      </c>
      <c r="AD75" s="31">
        <f>(INDEX(Option5!AD$110:AD$121, MATCH($D75, Option5!$G$110:$G$121,0)))*conv_2026*AD$7</f>
        <v>0</v>
      </c>
      <c r="AE75" s="31">
        <f>(INDEX(Option5!AE$110:AE$121, MATCH($D75, Option5!$G$110:$G$121,0)))*conv_2026*AE$7</f>
        <v>0</v>
      </c>
      <c r="AF75" s="31">
        <f>(INDEX(Option5!AF$110:AF$121, MATCH($D75, Option5!$G$110:$G$121,0)))*conv_2026*AF$7</f>
        <v>0</v>
      </c>
      <c r="AG75" s="31">
        <f>(INDEX(Option5!AG$110:AG$121, MATCH($D75, Option5!$G$110:$G$121,0)))*conv_2026*AG$7</f>
        <v>0</v>
      </c>
    </row>
    <row r="76" spans="1:35" s="8" customFormat="1" x14ac:dyDescent="0.2">
      <c r="A76" s="258" t="s">
        <v>154</v>
      </c>
      <c r="B76" s="258" t="str">
        <f>Option5!A118</f>
        <v>sens5</v>
      </c>
      <c r="C76" s="258" t="str">
        <f>Option5!C118</f>
        <v>Capex 10% higher &amp; Total benefits 10% lower</v>
      </c>
      <c r="D76" s="258" t="str">
        <f t="shared" si="9"/>
        <v>Option 5sens5</v>
      </c>
      <c r="E76" s="259"/>
      <c r="F76" s="31">
        <f t="shared" si="8"/>
        <v>486774945.07939178</v>
      </c>
      <c r="H76" s="31">
        <f>(INDEX(Option5!H$110:H$121, MATCH($D76, Option5!$G$110:$G$121,0)))*conv_2026*H$7</f>
        <v>0</v>
      </c>
      <c r="I76" s="31">
        <f>(INDEX(Option5!I$110:I$121, MATCH($D76, Option5!$G$110:$G$121,0)))*conv_2026*I$7</f>
        <v>0</v>
      </c>
      <c r="J76" s="31">
        <f>(INDEX(Option5!J$110:J$121, MATCH($D76, Option5!$G$110:$G$121,0)))*conv_2026*J$7</f>
        <v>6628623.8205026658</v>
      </c>
      <c r="K76" s="31">
        <f>(INDEX(Option5!K$110:K$121, MATCH($D76, Option5!$G$110:$G$121,0)))*conv_2026*K$7</f>
        <v>8787161.3196540326</v>
      </c>
      <c r="L76" s="31">
        <f>(INDEX(Option5!L$110:L$121, MATCH($D76, Option5!$G$110:$G$121,0)))*conv_2026*L$7</f>
        <v>9871873.9763914011</v>
      </c>
      <c r="M76" s="31">
        <f>(INDEX(Option5!M$110:M$121, MATCH($D76, Option5!$G$110:$G$121,0)))*conv_2026*M$7</f>
        <v>12759473.034559587</v>
      </c>
      <c r="N76" s="31">
        <f>(INDEX(Option5!N$110:N$121, MATCH($D76, Option5!$G$110:$G$121,0)))*conv_2026*N$7</f>
        <v>19070990.017725457</v>
      </c>
      <c r="O76" s="31">
        <f>(INDEX(Option5!O$110:O$121, MATCH($D76, Option5!$G$110:$G$121,0)))*conv_2026*O$7</f>
        <v>28839800.671498932</v>
      </c>
      <c r="P76" s="31">
        <f>(INDEX(Option5!P$110:P$121, MATCH($D76, Option5!$G$110:$G$121,0)))*conv_2026*P$7</f>
        <v>39116107.111167826</v>
      </c>
      <c r="Q76" s="31">
        <f>(INDEX(Option5!Q$110:Q$121, MATCH($D76, Option5!$G$110:$G$121,0)))*conv_2026*Q$7</f>
        <v>51390574.859252438</v>
      </c>
      <c r="R76" s="31">
        <f>(INDEX(Option5!R$110:R$121, MATCH($D76, Option5!$G$110:$G$121,0)))*conv_2026*R$7</f>
        <v>51390574.859252438</v>
      </c>
      <c r="S76" s="31">
        <f>(INDEX(Option5!S$110:S$121, MATCH($D76, Option5!$G$110:$G$121,0)))*conv_2026*S$7</f>
        <v>51390574.859252438</v>
      </c>
      <c r="T76" s="31">
        <f>(INDEX(Option5!T$110:T$121, MATCH($D76, Option5!$G$110:$G$121,0)))*conv_2026*T$7</f>
        <v>51390574.859252438</v>
      </c>
      <c r="U76" s="31">
        <f>(INDEX(Option5!U$110:U$121, MATCH($D76, Option5!$G$110:$G$121,0)))*conv_2026*U$7</f>
        <v>51390574.859252438</v>
      </c>
      <c r="V76" s="31">
        <f>(INDEX(Option5!V$110:V$121, MATCH($D76, Option5!$G$110:$G$121,0)))*conv_2026*V$7</f>
        <v>51390574.859252438</v>
      </c>
      <c r="W76" s="31">
        <f>(INDEX(Option5!W$110:W$121, MATCH($D76, Option5!$G$110:$G$121,0)))*conv_2026*W$7</f>
        <v>51390574.859252438</v>
      </c>
      <c r="X76" s="31">
        <f>(INDEX(Option5!X$110:X$121, MATCH($D76, Option5!$G$110:$G$121,0)))*conv_2026*X$7</f>
        <v>51390574.859252438</v>
      </c>
      <c r="Y76" s="31">
        <f>(INDEX(Option5!Y$110:Y$121, MATCH($D76, Option5!$G$110:$G$121,0)))*conv_2026*Y$7</f>
        <v>51390574.859252438</v>
      </c>
      <c r="Z76" s="31">
        <f>(INDEX(Option5!Z$110:Z$121, MATCH($D76, Option5!$G$110:$G$121,0)))*conv_2026*Z$7</f>
        <v>51390574.859252438</v>
      </c>
      <c r="AA76" s="31">
        <f>(INDEX(Option5!AA$110:AA$121, MATCH($D76, Option5!$G$110:$G$121,0)))*conv_2026*AA$7</f>
        <v>51390574.859252438</v>
      </c>
      <c r="AB76" s="31">
        <f>(INDEX(Option5!AB$110:AB$121, MATCH($D76, Option5!$G$110:$G$121,0)))*conv_2026*AB$7</f>
        <v>51390574.859252438</v>
      </c>
      <c r="AC76" s="31">
        <f>(INDEX(Option5!AC$110:AC$121, MATCH($D76, Option5!$G$110:$G$121,0)))*conv_2026*AC$7</f>
        <v>0</v>
      </c>
      <c r="AD76" s="31">
        <f>(INDEX(Option5!AD$110:AD$121, MATCH($D76, Option5!$G$110:$G$121,0)))*conv_2026*AD$7</f>
        <v>0</v>
      </c>
      <c r="AE76" s="31">
        <f>(INDEX(Option5!AE$110:AE$121, MATCH($D76, Option5!$G$110:$G$121,0)))*conv_2026*AE$7</f>
        <v>0</v>
      </c>
      <c r="AF76" s="31">
        <f>(INDEX(Option5!AF$110:AF$121, MATCH($D76, Option5!$G$110:$G$121,0)))*conv_2026*AF$7</f>
        <v>0</v>
      </c>
      <c r="AG76" s="31">
        <f>(INDEX(Option5!AG$110:AG$121, MATCH($D76, Option5!$G$110:$G$121,0)))*conv_2026*AG$7</f>
        <v>0</v>
      </c>
    </row>
    <row r="77" spans="1:35" s="8" customFormat="1" x14ac:dyDescent="0.2">
      <c r="A77" s="258" t="s">
        <v>154</v>
      </c>
      <c r="B77" s="258" t="str">
        <f>Option5!A119</f>
        <v>sens</v>
      </c>
      <c r="C77" s="258">
        <f>Option5!C119</f>
        <v>0</v>
      </c>
      <c r="D77" s="258" t="str">
        <f t="shared" si="9"/>
        <v>Option 5sens</v>
      </c>
      <c r="E77" s="259"/>
      <c r="F77" s="31">
        <f t="shared" si="8"/>
        <v>554010103.15309072</v>
      </c>
      <c r="H77" s="31">
        <f>(INDEX(Option5!H$110:H$121, MATCH($D77, Option5!$G$110:$G$121,0)))*conv_2026*H$7</f>
        <v>0</v>
      </c>
      <c r="I77" s="31">
        <f>(INDEX(Option5!I$110:I$121, MATCH($D77, Option5!$G$110:$G$121,0)))*conv_2026*I$7</f>
        <v>0</v>
      </c>
      <c r="J77" s="31">
        <f>(INDEX(Option5!J$110:J$121, MATCH($D77, Option5!$G$110:$G$121,0)))*conv_2026*J$7</f>
        <v>7658715.791319795</v>
      </c>
      <c r="K77" s="31">
        <f>(INDEX(Option5!K$110:K$121, MATCH($D77, Option5!$G$110:$G$121,0)))*conv_2026*K$7</f>
        <v>10257795.569990287</v>
      </c>
      <c r="L77" s="31">
        <f>(INDEX(Option5!L$110:L$121, MATCH($D77, Option5!$G$110:$G$121,0)))*conv_2026*L$7</f>
        <v>11774346.342138644</v>
      </c>
      <c r="M77" s="31">
        <f>(INDEX(Option5!M$110:M$121, MATCH($D77, Option5!$G$110:$G$121,0)))*conv_2026*M$7</f>
        <v>15268619.844546722</v>
      </c>
      <c r="N77" s="31">
        <f>(INDEX(Option5!N$110:N$121, MATCH($D77, Option5!$G$110:$G$121,0)))*conv_2026*N$7</f>
        <v>22281416.492508799</v>
      </c>
      <c r="O77" s="31">
        <f>(INDEX(Option5!O$110:O$121, MATCH($D77, Option5!$G$110:$G$121,0)))*conv_2026*O$7</f>
        <v>33135650.552257109</v>
      </c>
      <c r="P77" s="31">
        <f>(INDEX(Option5!P$110:P$121, MATCH($D77, Option5!$G$110:$G$121,0)))*conv_2026*P$7</f>
        <v>44553768.818555877</v>
      </c>
      <c r="Q77" s="31">
        <f>(INDEX(Option5!Q$110:Q$121, MATCH($D77, Option5!$G$110:$G$121,0)))*conv_2026*Q$7</f>
        <v>58192066.31642767</v>
      </c>
      <c r="R77" s="31">
        <f>(INDEX(Option5!R$110:R$121, MATCH($D77, Option5!$G$110:$G$121,0)))*conv_2026*R$7</f>
        <v>58192066.31642767</v>
      </c>
      <c r="S77" s="31">
        <f>(INDEX(Option5!S$110:S$121, MATCH($D77, Option5!$G$110:$G$121,0)))*conv_2026*S$7</f>
        <v>58192066.31642767</v>
      </c>
      <c r="T77" s="31">
        <f>(INDEX(Option5!T$110:T$121, MATCH($D77, Option5!$G$110:$G$121,0)))*conv_2026*T$7</f>
        <v>58192066.31642767</v>
      </c>
      <c r="U77" s="31">
        <f>(INDEX(Option5!U$110:U$121, MATCH($D77, Option5!$G$110:$G$121,0)))*conv_2026*U$7</f>
        <v>58192066.31642767</v>
      </c>
      <c r="V77" s="31">
        <f>(INDEX(Option5!V$110:V$121, MATCH($D77, Option5!$G$110:$G$121,0)))*conv_2026*V$7</f>
        <v>58192066.31642767</v>
      </c>
      <c r="W77" s="31">
        <f>(INDEX(Option5!W$110:W$121, MATCH($D77, Option5!$G$110:$G$121,0)))*conv_2026*W$7</f>
        <v>58192066.31642767</v>
      </c>
      <c r="X77" s="31">
        <f>(INDEX(Option5!X$110:X$121, MATCH($D77, Option5!$G$110:$G$121,0)))*conv_2026*X$7</f>
        <v>58192066.31642767</v>
      </c>
      <c r="Y77" s="31">
        <f>(INDEX(Option5!Y$110:Y$121, MATCH($D77, Option5!$G$110:$G$121,0)))*conv_2026*Y$7</f>
        <v>58192066.31642767</v>
      </c>
      <c r="Z77" s="31">
        <f>(INDEX(Option5!Z$110:Z$121, MATCH($D77, Option5!$G$110:$G$121,0)))*conv_2026*Z$7</f>
        <v>58192066.31642767</v>
      </c>
      <c r="AA77" s="31">
        <f>(INDEX(Option5!AA$110:AA$121, MATCH($D77, Option5!$G$110:$G$121,0)))*conv_2026*AA$7</f>
        <v>58192066.31642767</v>
      </c>
      <c r="AB77" s="31">
        <f>(INDEX(Option5!AB$110:AB$121, MATCH($D77, Option5!$G$110:$G$121,0)))*conv_2026*AB$7</f>
        <v>58192066.31642767</v>
      </c>
      <c r="AC77" s="31">
        <f>(INDEX(Option5!AC$110:AC$121, MATCH($D77, Option5!$G$110:$G$121,0)))*conv_2026*AC$7</f>
        <v>0</v>
      </c>
      <c r="AD77" s="31">
        <f>(INDEX(Option5!AD$110:AD$121, MATCH($D77, Option5!$G$110:$G$121,0)))*conv_2026*AD$7</f>
        <v>0</v>
      </c>
      <c r="AE77" s="31">
        <f>(INDEX(Option5!AE$110:AE$121, MATCH($D77, Option5!$G$110:$G$121,0)))*conv_2026*AE$7</f>
        <v>0</v>
      </c>
      <c r="AF77" s="31">
        <f>(INDEX(Option5!AF$110:AF$121, MATCH($D77, Option5!$G$110:$G$121,0)))*conv_2026*AF$7</f>
        <v>0</v>
      </c>
      <c r="AG77" s="31">
        <f>(INDEX(Option5!AG$110:AG$121, MATCH($D77, Option5!$G$110:$G$121,0)))*conv_2026*AG$7</f>
        <v>0</v>
      </c>
    </row>
    <row r="78" spans="1:35" s="8" customFormat="1" x14ac:dyDescent="0.2">
      <c r="A78" s="258" t="s">
        <v>154</v>
      </c>
      <c r="B78" s="258" t="str">
        <f>Option5!A120</f>
        <v>sens</v>
      </c>
      <c r="C78" s="258">
        <f>Option5!C120</f>
        <v>0</v>
      </c>
      <c r="D78" s="258" t="str">
        <f t="shared" si="9"/>
        <v>Option 5sens</v>
      </c>
      <c r="E78" s="259"/>
      <c r="F78" s="31">
        <f t="shared" si="8"/>
        <v>554010103.15309072</v>
      </c>
      <c r="H78" s="31">
        <f>(INDEX(Option5!H$110:H$121, MATCH($D78, Option5!$G$110:$G$121,0)))*conv_2026*H$7</f>
        <v>0</v>
      </c>
      <c r="I78" s="31">
        <f>(INDEX(Option5!I$110:I$121, MATCH($D78, Option5!$G$110:$G$121,0)))*conv_2026*I$7</f>
        <v>0</v>
      </c>
      <c r="J78" s="31">
        <f>(INDEX(Option5!J$110:J$121, MATCH($D78, Option5!$G$110:$G$121,0)))*conv_2026*J$7</f>
        <v>7658715.791319795</v>
      </c>
      <c r="K78" s="31">
        <f>(INDEX(Option5!K$110:K$121, MATCH($D78, Option5!$G$110:$G$121,0)))*conv_2026*K$7</f>
        <v>10257795.569990287</v>
      </c>
      <c r="L78" s="31">
        <f>(INDEX(Option5!L$110:L$121, MATCH($D78, Option5!$G$110:$G$121,0)))*conv_2026*L$7</f>
        <v>11774346.342138644</v>
      </c>
      <c r="M78" s="31">
        <f>(INDEX(Option5!M$110:M$121, MATCH($D78, Option5!$G$110:$G$121,0)))*conv_2026*M$7</f>
        <v>15268619.844546722</v>
      </c>
      <c r="N78" s="31">
        <f>(INDEX(Option5!N$110:N$121, MATCH($D78, Option5!$G$110:$G$121,0)))*conv_2026*N$7</f>
        <v>22281416.492508799</v>
      </c>
      <c r="O78" s="31">
        <f>(INDEX(Option5!O$110:O$121, MATCH($D78, Option5!$G$110:$G$121,0)))*conv_2026*O$7</f>
        <v>33135650.552257109</v>
      </c>
      <c r="P78" s="31">
        <f>(INDEX(Option5!P$110:P$121, MATCH($D78, Option5!$G$110:$G$121,0)))*conv_2026*P$7</f>
        <v>44553768.818555877</v>
      </c>
      <c r="Q78" s="31">
        <f>(INDEX(Option5!Q$110:Q$121, MATCH($D78, Option5!$G$110:$G$121,0)))*conv_2026*Q$7</f>
        <v>58192066.31642767</v>
      </c>
      <c r="R78" s="31">
        <f>(INDEX(Option5!R$110:R$121, MATCH($D78, Option5!$G$110:$G$121,0)))*conv_2026*R$7</f>
        <v>58192066.31642767</v>
      </c>
      <c r="S78" s="31">
        <f>(INDEX(Option5!S$110:S$121, MATCH($D78, Option5!$G$110:$G$121,0)))*conv_2026*S$7</f>
        <v>58192066.31642767</v>
      </c>
      <c r="T78" s="31">
        <f>(INDEX(Option5!T$110:T$121, MATCH($D78, Option5!$G$110:$G$121,0)))*conv_2026*T$7</f>
        <v>58192066.31642767</v>
      </c>
      <c r="U78" s="31">
        <f>(INDEX(Option5!U$110:U$121, MATCH($D78, Option5!$G$110:$G$121,0)))*conv_2026*U$7</f>
        <v>58192066.31642767</v>
      </c>
      <c r="V78" s="31">
        <f>(INDEX(Option5!V$110:V$121, MATCH($D78, Option5!$G$110:$G$121,0)))*conv_2026*V$7</f>
        <v>58192066.31642767</v>
      </c>
      <c r="W78" s="31">
        <f>(INDEX(Option5!W$110:W$121, MATCH($D78, Option5!$G$110:$G$121,0)))*conv_2026*W$7</f>
        <v>58192066.31642767</v>
      </c>
      <c r="X78" s="31">
        <f>(INDEX(Option5!X$110:X$121, MATCH($D78, Option5!$G$110:$G$121,0)))*conv_2026*X$7</f>
        <v>58192066.31642767</v>
      </c>
      <c r="Y78" s="31">
        <f>(INDEX(Option5!Y$110:Y$121, MATCH($D78, Option5!$G$110:$G$121,0)))*conv_2026*Y$7</f>
        <v>58192066.31642767</v>
      </c>
      <c r="Z78" s="31">
        <f>(INDEX(Option5!Z$110:Z$121, MATCH($D78, Option5!$G$110:$G$121,0)))*conv_2026*Z$7</f>
        <v>58192066.31642767</v>
      </c>
      <c r="AA78" s="31">
        <f>(INDEX(Option5!AA$110:AA$121, MATCH($D78, Option5!$G$110:$G$121,0)))*conv_2026*AA$7</f>
        <v>58192066.31642767</v>
      </c>
      <c r="AB78" s="31">
        <f>(INDEX(Option5!AB$110:AB$121, MATCH($D78, Option5!$G$110:$G$121,0)))*conv_2026*AB$7</f>
        <v>58192066.31642767</v>
      </c>
      <c r="AC78" s="31">
        <f>(INDEX(Option5!AC$110:AC$121, MATCH($D78, Option5!$G$110:$G$121,0)))*conv_2026*AC$7</f>
        <v>0</v>
      </c>
      <c r="AD78" s="31">
        <f>(INDEX(Option5!AD$110:AD$121, MATCH($D78, Option5!$G$110:$G$121,0)))*conv_2026*AD$7</f>
        <v>0</v>
      </c>
      <c r="AE78" s="31">
        <f>(INDEX(Option5!AE$110:AE$121, MATCH($D78, Option5!$G$110:$G$121,0)))*conv_2026*AE$7</f>
        <v>0</v>
      </c>
      <c r="AF78" s="31">
        <f>(INDEX(Option5!AF$110:AF$121, MATCH($D78, Option5!$G$110:$G$121,0)))*conv_2026*AF$7</f>
        <v>0</v>
      </c>
      <c r="AG78" s="31">
        <f>(INDEX(Option5!AG$110:AG$121, MATCH($D78, Option5!$G$110:$G$121,0)))*conv_2026*AG$7</f>
        <v>0</v>
      </c>
    </row>
    <row r="79" spans="1:35" s="8" customFormat="1" x14ac:dyDescent="0.2">
      <c r="A79" s="258" t="s">
        <v>154</v>
      </c>
      <c r="B79" s="258" t="str">
        <f>Option5!A121</f>
        <v>sens</v>
      </c>
      <c r="C79" s="258">
        <f>Option5!C121</f>
        <v>0</v>
      </c>
      <c r="D79" s="258" t="str">
        <f t="shared" si="9"/>
        <v>Option 5sens</v>
      </c>
      <c r="E79" s="259"/>
      <c r="F79" s="31">
        <f t="shared" si="8"/>
        <v>554010103.15309072</v>
      </c>
      <c r="H79" s="31">
        <f>(INDEX(Option5!H$110:H$121, MATCH($D79, Option5!$G$110:$G$121,0)))*conv_2026*H$7</f>
        <v>0</v>
      </c>
      <c r="I79" s="31">
        <f>(INDEX(Option5!I$110:I$121, MATCH($D79, Option5!$G$110:$G$121,0)))*conv_2026*I$7</f>
        <v>0</v>
      </c>
      <c r="J79" s="31">
        <f>(INDEX(Option5!J$110:J$121, MATCH($D79, Option5!$G$110:$G$121,0)))*conv_2026*J$7</f>
        <v>7658715.791319795</v>
      </c>
      <c r="K79" s="31">
        <f>(INDEX(Option5!K$110:K$121, MATCH($D79, Option5!$G$110:$G$121,0)))*conv_2026*K$7</f>
        <v>10257795.569990287</v>
      </c>
      <c r="L79" s="31">
        <f>(INDEX(Option5!L$110:L$121, MATCH($D79, Option5!$G$110:$G$121,0)))*conv_2026*L$7</f>
        <v>11774346.342138644</v>
      </c>
      <c r="M79" s="31">
        <f>(INDEX(Option5!M$110:M$121, MATCH($D79, Option5!$G$110:$G$121,0)))*conv_2026*M$7</f>
        <v>15268619.844546722</v>
      </c>
      <c r="N79" s="31">
        <f>(INDEX(Option5!N$110:N$121, MATCH($D79, Option5!$G$110:$G$121,0)))*conv_2026*N$7</f>
        <v>22281416.492508799</v>
      </c>
      <c r="O79" s="31">
        <f>(INDEX(Option5!O$110:O$121, MATCH($D79, Option5!$G$110:$G$121,0)))*conv_2026*O$7</f>
        <v>33135650.552257109</v>
      </c>
      <c r="P79" s="31">
        <f>(INDEX(Option5!P$110:P$121, MATCH($D79, Option5!$G$110:$G$121,0)))*conv_2026*P$7</f>
        <v>44553768.818555877</v>
      </c>
      <c r="Q79" s="31">
        <f>(INDEX(Option5!Q$110:Q$121, MATCH($D79, Option5!$G$110:$G$121,0)))*conv_2026*Q$7</f>
        <v>58192066.31642767</v>
      </c>
      <c r="R79" s="31">
        <f>(INDEX(Option5!R$110:R$121, MATCH($D79, Option5!$G$110:$G$121,0)))*conv_2026*R$7</f>
        <v>58192066.31642767</v>
      </c>
      <c r="S79" s="31">
        <f>(INDEX(Option5!S$110:S$121, MATCH($D79, Option5!$G$110:$G$121,0)))*conv_2026*S$7</f>
        <v>58192066.31642767</v>
      </c>
      <c r="T79" s="31">
        <f>(INDEX(Option5!T$110:T$121, MATCH($D79, Option5!$G$110:$G$121,0)))*conv_2026*T$7</f>
        <v>58192066.31642767</v>
      </c>
      <c r="U79" s="31">
        <f>(INDEX(Option5!U$110:U$121, MATCH($D79, Option5!$G$110:$G$121,0)))*conv_2026*U$7</f>
        <v>58192066.31642767</v>
      </c>
      <c r="V79" s="31">
        <f>(INDEX(Option5!V$110:V$121, MATCH($D79, Option5!$G$110:$G$121,0)))*conv_2026*V$7</f>
        <v>58192066.31642767</v>
      </c>
      <c r="W79" s="31">
        <f>(INDEX(Option5!W$110:W$121, MATCH($D79, Option5!$G$110:$G$121,0)))*conv_2026*W$7</f>
        <v>58192066.31642767</v>
      </c>
      <c r="X79" s="31">
        <f>(INDEX(Option5!X$110:X$121, MATCH($D79, Option5!$G$110:$G$121,0)))*conv_2026*X$7</f>
        <v>58192066.31642767</v>
      </c>
      <c r="Y79" s="31">
        <f>(INDEX(Option5!Y$110:Y$121, MATCH($D79, Option5!$G$110:$G$121,0)))*conv_2026*Y$7</f>
        <v>58192066.31642767</v>
      </c>
      <c r="Z79" s="31">
        <f>(INDEX(Option5!Z$110:Z$121, MATCH($D79, Option5!$G$110:$G$121,0)))*conv_2026*Z$7</f>
        <v>58192066.31642767</v>
      </c>
      <c r="AA79" s="31">
        <f>(INDEX(Option5!AA$110:AA$121, MATCH($D79, Option5!$G$110:$G$121,0)))*conv_2026*AA$7</f>
        <v>58192066.31642767</v>
      </c>
      <c r="AB79" s="31">
        <f>(INDEX(Option5!AB$110:AB$121, MATCH($D79, Option5!$G$110:$G$121,0)))*conv_2026*AB$7</f>
        <v>58192066.31642767</v>
      </c>
      <c r="AC79" s="31">
        <f>(INDEX(Option5!AC$110:AC$121, MATCH($D79, Option5!$G$110:$G$121,0)))*conv_2026*AC$7</f>
        <v>0</v>
      </c>
      <c r="AD79" s="31">
        <f>(INDEX(Option5!AD$110:AD$121, MATCH($D79, Option5!$G$110:$G$121,0)))*conv_2026*AD$7</f>
        <v>0</v>
      </c>
      <c r="AE79" s="31">
        <f>(INDEX(Option5!AE$110:AE$121, MATCH($D79, Option5!$G$110:$G$121,0)))*conv_2026*AE$7</f>
        <v>0</v>
      </c>
      <c r="AF79" s="31">
        <f>(INDEX(Option5!AF$110:AF$121, MATCH($D79, Option5!$G$110:$G$121,0)))*conv_2026*AF$7</f>
        <v>0</v>
      </c>
      <c r="AG79" s="31">
        <f>(INDEX(Option5!AG$110:AG$121, MATCH($D79, Option5!$G$110:$G$121,0)))*conv_2026*AG$7</f>
        <v>0</v>
      </c>
    </row>
    <row r="80" spans="1:35" s="8" customFormat="1" x14ac:dyDescent="0.2">
      <c r="F80" s="254"/>
    </row>
    <row r="81" spans="1:34" s="8" customFormat="1" x14ac:dyDescent="0.2">
      <c r="F81" s="254"/>
    </row>
    <row r="82" spans="1:34" s="8" customFormat="1" x14ac:dyDescent="0.2">
      <c r="F82" s="254"/>
    </row>
    <row r="83" spans="1:34" s="8" customFormat="1" x14ac:dyDescent="0.2">
      <c r="F83" s="254"/>
    </row>
    <row r="84" spans="1:34" s="8" customFormat="1" ht="15" x14ac:dyDescent="0.25">
      <c r="A84" s="206" t="s">
        <v>159</v>
      </c>
      <c r="B84" s="54"/>
      <c r="C84" s="19"/>
      <c r="D84" s="19"/>
      <c r="E84" s="83"/>
      <c r="F84" s="19"/>
      <c r="G84" s="227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10"/>
      <c r="AH84" s="10"/>
    </row>
    <row r="85" spans="1:34" s="8" customFormat="1" x14ac:dyDescent="0.2">
      <c r="F85" s="254"/>
    </row>
    <row r="86" spans="1:34" s="8" customFormat="1" x14ac:dyDescent="0.2">
      <c r="F86" s="254"/>
    </row>
    <row r="87" spans="1:34" s="8" customFormat="1" x14ac:dyDescent="0.2">
      <c r="E87" s="254"/>
    </row>
    <row r="88" spans="1:34" s="8" customFormat="1" x14ac:dyDescent="0.2">
      <c r="C88" s="280" t="b" cm="1">
        <f t="array" ref="C88:G88">TRANSPOSE(Data!F9:F13)</f>
        <v>0</v>
      </c>
      <c r="D88" s="280" t="b">
        <v>0</v>
      </c>
      <c r="E88" s="281" t="b">
        <v>0</v>
      </c>
      <c r="F88" s="280" t="b">
        <v>0</v>
      </c>
      <c r="G88" s="280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82" t="str" cm="1">
        <f t="array" ref="C89:G89">TRANSPOSE(options)</f>
        <v>Option 1 (base case)</v>
      </c>
      <c r="D89" s="282" t="str">
        <v>Option 2</v>
      </c>
      <c r="E89" s="282" t="str">
        <v>Option 3</v>
      </c>
      <c r="F89" s="282" t="str">
        <v>Option 4</v>
      </c>
      <c r="G89" s="282" t="str">
        <v>Option 5</v>
      </c>
      <c r="I89" s="282" t="s">
        <v>228</v>
      </c>
      <c r="K89" s="288" t="s">
        <v>229</v>
      </c>
    </row>
    <row r="90" spans="1:34" s="8" customFormat="1" x14ac:dyDescent="0.2">
      <c r="A90" s="266" t="s">
        <v>119</v>
      </c>
      <c r="B90" s="266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583.16343321168972</v>
      </c>
      <c r="E90" s="105">
        <f t="shared" si="10"/>
        <v>582.713625456572</v>
      </c>
      <c r="F90" s="105">
        <f t="shared" si="10"/>
        <v>563.06467703586247</v>
      </c>
      <c r="G90" s="105">
        <f t="shared" si="10"/>
        <v>554.01010315309077</v>
      </c>
      <c r="H90" s="190"/>
      <c r="I90" s="105">
        <f t="shared" ref="I90:I98" si="11">_xlfn.MAXIFS(C90:G90,_xlfn.ANCHORARRAY( C$88),FALSE)</f>
        <v>583.16343321168972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6" t="str">
        <f>"sens"&amp;Assumptions!B111</f>
        <v>sens1</v>
      </c>
      <c r="B91" s="266" t="str">
        <f>Assumptions!C111</f>
        <v>Capex 10% higher</v>
      </c>
      <c r="C91" s="105">
        <f t="shared" si="10"/>
        <v>0</v>
      </c>
      <c r="D91" s="105">
        <f t="shared" si="10"/>
        <v>575.5445817290348</v>
      </c>
      <c r="E91" s="105">
        <f t="shared" si="10"/>
        <v>575.16725416937027</v>
      </c>
      <c r="F91" s="105">
        <f t="shared" si="10"/>
        <v>556.80709936105291</v>
      </c>
      <c r="G91" s="105">
        <f t="shared" si="10"/>
        <v>548.0930292738957</v>
      </c>
      <c r="H91" s="190"/>
      <c r="I91" s="105">
        <f t="shared" si="11"/>
        <v>575.5445817290348</v>
      </c>
      <c r="K91" s="8" t="str">
        <f t="shared" si="12"/>
        <v>Option 2</v>
      </c>
    </row>
    <row r="92" spans="1:34" s="8" customFormat="1" x14ac:dyDescent="0.2">
      <c r="A92" s="266" t="str">
        <f>"sens"&amp;Assumptions!B112</f>
        <v>sens2</v>
      </c>
      <c r="B92" s="266" t="str">
        <f>Assumptions!C112</f>
        <v>Capex 10% lower</v>
      </c>
      <c r="C92" s="105">
        <f t="shared" si="10"/>
        <v>0</v>
      </c>
      <c r="D92" s="105">
        <f t="shared" si="10"/>
        <v>590.78228469434453</v>
      </c>
      <c r="E92" s="105">
        <f t="shared" si="10"/>
        <v>590.25999674377397</v>
      </c>
      <c r="F92" s="105">
        <f t="shared" si="10"/>
        <v>569.32225471067193</v>
      </c>
      <c r="G92" s="105">
        <f t="shared" si="10"/>
        <v>559.92717703228539</v>
      </c>
      <c r="H92" s="190"/>
      <c r="I92" s="105">
        <f t="shared" si="11"/>
        <v>590.78228469434453</v>
      </c>
      <c r="K92" s="8" t="str">
        <f t="shared" si="12"/>
        <v>Option 2</v>
      </c>
    </row>
    <row r="93" spans="1:34" s="8" customFormat="1" x14ac:dyDescent="0.2">
      <c r="A93" s="266" t="str">
        <f>"sens"&amp;Assumptions!B113</f>
        <v>sens3</v>
      </c>
      <c r="B93" s="266" t="str">
        <f>Assumptions!C113</f>
        <v>Total benefits 10% higher</v>
      </c>
      <c r="C93" s="105">
        <f t="shared" si="10"/>
        <v>0</v>
      </c>
      <c r="D93" s="105">
        <f t="shared" si="10"/>
        <v>649.09862801551344</v>
      </c>
      <c r="E93" s="105">
        <f t="shared" si="10"/>
        <v>648.53135928943107</v>
      </c>
      <c r="F93" s="105">
        <f t="shared" si="10"/>
        <v>625.62872241425828</v>
      </c>
      <c r="G93" s="105">
        <f t="shared" si="10"/>
        <v>615.32818734759451</v>
      </c>
      <c r="H93" s="190"/>
      <c r="I93" s="105">
        <f t="shared" si="11"/>
        <v>649.09862801551344</v>
      </c>
      <c r="K93" s="8" t="str">
        <f t="shared" si="12"/>
        <v>Option 2</v>
      </c>
    </row>
    <row r="94" spans="1:34" s="8" customFormat="1" x14ac:dyDescent="0.2">
      <c r="A94" s="266" t="str">
        <f>"sens"&amp;Assumptions!B114</f>
        <v>sens4</v>
      </c>
      <c r="B94" s="266" t="str">
        <f>Assumptions!C114</f>
        <v>Total benefits 10% lower</v>
      </c>
      <c r="C94" s="105">
        <f t="shared" si="10"/>
        <v>0</v>
      </c>
      <c r="D94" s="105">
        <f t="shared" si="10"/>
        <v>517.22823840786566</v>
      </c>
      <c r="E94" s="105">
        <f t="shared" si="10"/>
        <v>516.89589162371317</v>
      </c>
      <c r="F94" s="105">
        <f t="shared" si="10"/>
        <v>500.50063165746661</v>
      </c>
      <c r="G94" s="105">
        <f t="shared" si="10"/>
        <v>492.69201895858669</v>
      </c>
      <c r="H94" s="190"/>
      <c r="I94" s="105">
        <f t="shared" si="11"/>
        <v>517.22823840786566</v>
      </c>
      <c r="K94" s="8" t="str">
        <f t="shared" si="12"/>
        <v>Option 2</v>
      </c>
    </row>
    <row r="95" spans="1:34" s="8" customFormat="1" x14ac:dyDescent="0.2">
      <c r="A95" s="266" t="str">
        <f>"sens"&amp;Assumptions!B115</f>
        <v>sens5</v>
      </c>
      <c r="B95" s="266" t="str">
        <f>Assumptions!C115</f>
        <v>Capex 10% higher &amp; Total benefits 10% lower</v>
      </c>
      <c r="C95" s="105">
        <f t="shared" si="10"/>
        <v>0</v>
      </c>
      <c r="D95" s="105">
        <f t="shared" si="10"/>
        <v>509.60938692521086</v>
      </c>
      <c r="E95" s="105">
        <f t="shared" si="10"/>
        <v>509.34952033651143</v>
      </c>
      <c r="F95" s="105">
        <f t="shared" si="10"/>
        <v>494.24305398265722</v>
      </c>
      <c r="G95" s="105">
        <f t="shared" si="10"/>
        <v>486.77494507939178</v>
      </c>
      <c r="H95" s="190"/>
      <c r="I95" s="105">
        <f t="shared" si="11"/>
        <v>509.60938692521086</v>
      </c>
      <c r="K95" s="8" t="str">
        <f t="shared" si="12"/>
        <v>Option 2</v>
      </c>
    </row>
    <row r="96" spans="1:34" s="8" customFormat="1" x14ac:dyDescent="0.2">
      <c r="A96" s="266" t="str">
        <f>"sens"&amp;Assumptions!B116</f>
        <v>sens</v>
      </c>
      <c r="B96" s="266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90"/>
      <c r="I96" s="105">
        <f t="shared" si="11"/>
        <v>0</v>
      </c>
      <c r="K96" s="8" t="str">
        <f t="shared" si="12"/>
        <v/>
      </c>
    </row>
    <row r="97" spans="1:11" x14ac:dyDescent="0.2">
      <c r="A97" s="266" t="str">
        <f>"sens"&amp;Assumptions!B117</f>
        <v>sens</v>
      </c>
      <c r="B97" s="266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7"/>
      <c r="I97" s="105">
        <f t="shared" si="11"/>
        <v>0</v>
      </c>
      <c r="K97" s="8" t="str">
        <f t="shared" si="12"/>
        <v/>
      </c>
    </row>
    <row r="98" spans="1:11" x14ac:dyDescent="0.2">
      <c r="A98" s="266" t="str">
        <f>"sens"&amp;Assumptions!B118</f>
        <v>sens</v>
      </c>
      <c r="B98" s="266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7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Melton &amp; Wyndham Transformation Capacity Project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7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6" t="s">
        <v>1</v>
      </c>
      <c r="C31" s="197" t="s">
        <v>193</v>
      </c>
      <c r="D31" s="198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8" t="s">
        <v>131</v>
      </c>
      <c r="C32" s="195">
        <f>Option2!$G$96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8" t="s">
        <v>132</v>
      </c>
      <c r="C33" s="195">
        <f>Option3!$G$96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8" t="s">
        <v>133</v>
      </c>
      <c r="C34" s="195">
        <f>Option4!$G$96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8" t="s">
        <v>154</v>
      </c>
      <c r="C35" s="195">
        <f>Option5!$G$96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9" t="s">
        <v>193</v>
      </c>
      <c r="C38" s="199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B41" t="str">
        <f>Assumptions!E41</f>
        <v>Region average</v>
      </c>
      <c r="D41"/>
    </row>
    <row r="42" spans="1:34" x14ac:dyDescent="0.2">
      <c r="D42"/>
    </row>
    <row r="43" spans="1:34" x14ac:dyDescent="0.2">
      <c r="B43" t="str">
        <f>IF(B41=0,0, INDEX(Data!$D$107:$D$109, MATCH(bus, Data!$B$107:$B$109,0))&amp;Assumptions!E41)</f>
        <v>PAL:Region average</v>
      </c>
      <c r="C43" s="134" t="e">
        <f>IF(B43=0,0,INDEX(#REF!,MATCH($B43,#REF!, 0)))</f>
        <v>#REF!</v>
      </c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case)'!$I17:$AG17)&lt;&gt;0, 'Option1 (base case)'!E17=0)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AND(SUM(Option2!$I17:$AG17)&lt;&gt;0, Option2!E17=0)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AND(SUM(Option3!$I17:$AG17)&lt;&gt;0, Option3!E17=0)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AND(SUM(Option4!$I17:$AG17)&lt;&gt;0, Option4!E17=0)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AND(SUM(Option5!$I17:$AG17)&lt;&gt;0, Option5!E17=0)</f>
        <v>0</v>
      </c>
    </row>
    <row r="70" spans="1:4" x14ac:dyDescent="0.2">
      <c r="A70" t="s">
        <v>164</v>
      </c>
      <c r="B70" s="243" t="s">
        <v>211</v>
      </c>
    </row>
    <row r="74" spans="1:4" x14ac:dyDescent="0.2">
      <c r="B74" s="242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9"/>
      <c r="V1"/>
      <c r="W1"/>
    </row>
    <row r="2" spans="1:27" ht="18.75" x14ac:dyDescent="0.3">
      <c r="A2" s="56" t="str">
        <f>proj</f>
        <v>Melton &amp; Wyndham Transformation Capacity Project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SUM(Option2!I$18:AB$18, Option2!I$20:AB$20)=0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SUM(Option3!I$18:AB$18, Option3!I$20:AB$20)=0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SUM(Option4!I$18:AB$18, Option4!I$20:AB$20)=0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SUM(Option5!I$18:AB$18, Option5!I$20:AB$20)=0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M58"/>
      <c r="N58"/>
      <c r="O58"/>
      <c r="P58"/>
      <c r="Q58"/>
      <c r="R58"/>
      <c r="S58"/>
      <c r="T58"/>
      <c r="U58"/>
    </row>
    <row r="59" spans="1:23" x14ac:dyDescent="0.2">
      <c r="A59" s="53"/>
      <c r="B59" s="53"/>
      <c r="C59" s="88"/>
      <c r="D59" s="53" t="s">
        <v>3</v>
      </c>
      <c r="F59"/>
      <c r="G59"/>
      <c r="H59"/>
      <c r="M59"/>
      <c r="N59"/>
      <c r="O59"/>
      <c r="P59"/>
      <c r="Q59"/>
      <c r="R59"/>
      <c r="S59"/>
      <c r="T59"/>
      <c r="U59"/>
    </row>
    <row r="60" spans="1:23" x14ac:dyDescent="0.2">
      <c r="B60" s="27" t="s">
        <v>14</v>
      </c>
      <c r="C60" s="27" t="s">
        <v>53</v>
      </c>
      <c r="D60" s="96">
        <v>151432.81740793545</v>
      </c>
      <c r="F60"/>
      <c r="G60"/>
      <c r="H60"/>
      <c r="M60"/>
      <c r="N60"/>
      <c r="O60"/>
      <c r="P60"/>
      <c r="Q60"/>
      <c r="R60"/>
      <c r="S60"/>
      <c r="T60"/>
      <c r="U60"/>
    </row>
    <row r="61" spans="1:23" x14ac:dyDescent="0.2">
      <c r="B61" s="27" t="s">
        <v>4</v>
      </c>
      <c r="C61" s="27" t="s">
        <v>53</v>
      </c>
      <c r="D61" s="96">
        <v>24590</v>
      </c>
      <c r="F61"/>
      <c r="G61"/>
      <c r="H61"/>
      <c r="M61"/>
      <c r="N61"/>
      <c r="O61"/>
      <c r="P61"/>
      <c r="Q61"/>
      <c r="R61"/>
      <c r="S61"/>
      <c r="T61"/>
      <c r="U61"/>
    </row>
    <row r="62" spans="1:23" x14ac:dyDescent="0.2">
      <c r="B62" s="27" t="s">
        <v>5</v>
      </c>
      <c r="C62" s="27" t="s">
        <v>53</v>
      </c>
      <c r="D62" s="96">
        <v>88.357719508603083</v>
      </c>
      <c r="F62"/>
      <c r="G62"/>
      <c r="H62"/>
      <c r="M62"/>
      <c r="N62"/>
      <c r="O62"/>
      <c r="P62"/>
      <c r="Q62"/>
      <c r="R62"/>
      <c r="S62"/>
      <c r="T62"/>
      <c r="U62"/>
    </row>
    <row r="63" spans="1:23" x14ac:dyDescent="0.2">
      <c r="B63" s="27" t="s">
        <v>15</v>
      </c>
      <c r="C63" s="27" t="s">
        <v>34</v>
      </c>
      <c r="D63" s="96">
        <v>0</v>
      </c>
      <c r="F63"/>
      <c r="G63"/>
      <c r="H63"/>
      <c r="M63"/>
      <c r="N63"/>
      <c r="O63"/>
      <c r="P63"/>
      <c r="Q63"/>
      <c r="R63"/>
      <c r="S63"/>
      <c r="T63"/>
      <c r="U63"/>
    </row>
    <row r="64" spans="1:23" x14ac:dyDescent="0.2">
      <c r="B64" s="27" t="s">
        <v>9</v>
      </c>
      <c r="C64" s="27" t="s">
        <v>33</v>
      </c>
      <c r="D64" s="96">
        <v>0.35181336539087127</v>
      </c>
      <c r="F64"/>
      <c r="G64"/>
      <c r="H64"/>
      <c r="M64"/>
      <c r="N64"/>
      <c r="O64"/>
      <c r="P64"/>
      <c r="Q64"/>
      <c r="R64"/>
      <c r="S64"/>
      <c r="T64"/>
      <c r="U64"/>
    </row>
    <row r="65" spans="1:23" x14ac:dyDescent="0.2">
      <c r="B65" s="27" t="s">
        <v>10</v>
      </c>
      <c r="C65" s="27" t="s">
        <v>33</v>
      </c>
      <c r="D65" s="96">
        <v>0.35181336539087127</v>
      </c>
      <c r="F65"/>
      <c r="G65"/>
      <c r="H65"/>
      <c r="M65"/>
      <c r="N65"/>
      <c r="O65"/>
      <c r="P65"/>
      <c r="Q65"/>
      <c r="R65"/>
      <c r="S65"/>
      <c r="T65"/>
      <c r="U65"/>
    </row>
    <row r="66" spans="1:23" x14ac:dyDescent="0.2">
      <c r="B66" s="27" t="s">
        <v>6</v>
      </c>
      <c r="C66" s="27" t="s">
        <v>34</v>
      </c>
      <c r="D66" s="96">
        <v>0</v>
      </c>
      <c r="F66"/>
      <c r="G66"/>
      <c r="H66"/>
      <c r="M66"/>
      <c r="N66"/>
      <c r="O66"/>
      <c r="P66"/>
      <c r="Q66"/>
      <c r="R66"/>
      <c r="S66"/>
      <c r="T66"/>
      <c r="U66"/>
    </row>
    <row r="67" spans="1:23" x14ac:dyDescent="0.2">
      <c r="B67" s="27" t="s">
        <v>7</v>
      </c>
      <c r="C67" s="27" t="s">
        <v>34</v>
      </c>
      <c r="D67" s="96">
        <v>0</v>
      </c>
      <c r="F67"/>
      <c r="G67"/>
      <c r="H67"/>
      <c r="M67"/>
      <c r="N67"/>
      <c r="O67"/>
      <c r="P67"/>
      <c r="Q67"/>
      <c r="R67"/>
      <c r="S67"/>
      <c r="T67"/>
      <c r="U67"/>
    </row>
    <row r="68" spans="1:23" x14ac:dyDescent="0.2">
      <c r="F68"/>
      <c r="G68"/>
      <c r="H68"/>
      <c r="M68"/>
      <c r="N68"/>
      <c r="O68"/>
      <c r="P68"/>
      <c r="Q68"/>
      <c r="R68"/>
      <c r="S68"/>
      <c r="T68"/>
      <c r="U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6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8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8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8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8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8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8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8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8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8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8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8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8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8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5"/>
      <c r="W113"/>
      <c r="X113"/>
      <c r="Y113"/>
    </row>
    <row r="114" spans="18:25" x14ac:dyDescent="0.2">
      <c r="R114" s="23"/>
      <c r="U114"/>
      <c r="V114" s="255"/>
      <c r="W114"/>
      <c r="X114"/>
      <c r="Y114"/>
    </row>
    <row r="115" spans="18:25" x14ac:dyDescent="0.2">
      <c r="U115"/>
      <c r="V115" s="255"/>
      <c r="W115"/>
      <c r="X115"/>
      <c r="Y115"/>
    </row>
    <row r="116" spans="18:25" x14ac:dyDescent="0.2">
      <c r="U116"/>
      <c r="V116" s="25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2025-01-28T00:28:29Z</dcterms:modified>
</cp:coreProperties>
</file>