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EAAC9C2B-8D74-45A4-BB4F-08EF01B26189}" xr6:coauthVersionLast="47" xr6:coauthVersionMax="47" xr10:uidLastSave="{00000000-0000-0000-0000-000000000000}"/>
  <bookViews>
    <workbookView xWindow="11580" yWindow="-16320" windowWidth="29040" windowHeight="15720" tabRatio="684" activeTab="1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<sst xmlns="http://schemas.openxmlformats.org/spreadsheetml/2006/main" count="748" uniqueCount="252">
  <si>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</si>
  <si>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</si>
  <si>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</si>
  <si>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</si>
  <si>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</si>
  <si>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</si>
  <si>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</si>
  <si>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</si>
  <si>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</si>
  <si>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</si>
  <si>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</si>
  <si>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</si>
  <si>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</si>
  <si>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</si>
  <si>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</si>
  <si>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</si>
  <si>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</si>
  <si>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</si>
  <si>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</si>
  <si>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</si>
  <si>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</si>
  <si>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</si>
  <si>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</si>
  <si>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</si>
  <si>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</si>
  <si>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</si>
  <si>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</si>
  <si>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</si>
  <si>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</si>
  <si>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</si>
  <si>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</si>
  <si>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</si>
  <si>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</si>
  <si>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</si>
  <si>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</si>
  <si>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</si>
  <si>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</si>
  <si>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</si>
  <si>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</si>
  <si>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</si>
  <si>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</si>
  <si>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</si>
  <si>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</si>
  <si>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</si>
  <si>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</si>
  <si>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</si>
  <si>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</si>
  <si>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</si>
  <si>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</si>
  <si>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</si>
  <si>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</si>
  <si>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</si>
  <si>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</si>
  <si>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</si>
  <si>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</si>
  <si>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</si>
  <si>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</si>
  <si>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</si>
  <si>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</si>
  <si>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</si>
  <si>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</si>
  <si>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</si>
  <si>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</si>
  <si>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</si>
  <si>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</si>
  <si>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</si>
  <si>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</si>
  <si>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</si>
  <si>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</si>
  <si>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</si>
  <si>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</si>
  <si>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</si>
  <si>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</si>
  <si>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</si>
  <si>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</si>
  <si>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</si>
  <si>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</si>
  <si>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</si>
  <si>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</si>
  <si>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</si>
  <si>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</si>
  <si>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</si>
  <si>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</si>
  <si>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</si>
  <si>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</si>
  <si>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</si>
  <si>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</si>
  <si>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</si>
  <si>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</si>
  <si>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</si>
  <si>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</si>
  <si>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</si>
  <si>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</si>
  <si>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</si>
  <si>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</si>
  <si>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</si>
  <si>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</si>
  <si>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</si>
  <si>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</si>
  <si>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</si>
  <si>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</si>
  <si>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</si>
  <si>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</si>
  <si>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</si>
  <si>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</si>
  <si>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</si>
  <si>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</si>
  <si>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</si>
  <si>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</si>
  <si>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</si>
  <si>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</si>
  <si>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</si>
  <si>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</si>
  <si>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</si>
  <si>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</si>
  <si>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</si>
  <si>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</si>
  <si>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</si>
  <si>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</si>
  <si>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</si>
  <si>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</si>
  <si>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</si>
  <si>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</si>
  <si>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</si>
  <si>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</si>
  <si>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</si>
  <si>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</si>
  <si>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</si>
  <si>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</si>
  <si>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</si>
  <si>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</si>
  <si>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</si>
  <si>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</si>
  <si>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</si>
  <si>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</si>
  <si>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</si>
  <si>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</si>
  <si>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</si>
  <si>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</si>
  <si>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Eaglehawk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</si>
  <si>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</si>
  <si>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</si>
  <si>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</si>
  <si>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</si>
  <si>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</si>
  <si>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</si>
  <si>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</si>
  <si>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</si>
  <si>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</si>
  <si>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</si>
  <si>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</si>
  <si>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</si>
  <si>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</si>
  <si>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</si>
  <si>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</si>
  <si>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</si>
  <si>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</si>
  <si>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</si>
  <si>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</si>
  <si>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</si>
  <si>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</si>
  <si>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</si>
  <si>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</si>
  <si>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</si>
  <si>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</si>
  <si>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</si>
  <si>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</si>
  <si>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</si>
  <si>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</si>
  <si>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</si>
  <si>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</si>
  <si>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</si>
  <si>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</si>
  <si>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</si>
  <si>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</si>
  <si>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</si>
  <si>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</si>
  <si>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</si>
  <si>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</si>
  <si>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</si>
  <si>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</si>
  <si>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</si>
  <si>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</si>
  <si>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</si>
  <si>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</si>
  <si>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</si>
  <si>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</si>
  <si>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</si>
  <si>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</si>
  <si>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</si>
  <si>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</si>
  <si>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</si>
  <si>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</si>
  <si>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</si>
  <si>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</si>
  <si>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</si>
  <si>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</si>
  <si>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</si>
  <si>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</si>
  <si>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</si>
  <si>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</si>
  <si>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</si>
  <si>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</si>
  <si>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</si>
  <si>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</si>
  <si>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</si>
  <si>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</si>
  <si>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</si>
  <si>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</si>
  <si>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</si>
  <si>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</si>
  <si>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</si>
  <si>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</si>
  <si>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</si>
  <si>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</si>
  <si>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</si>
  <si>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</si>
  <si>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</si>
  <si>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</si>
  <si>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</si>
  <si>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</si>
  <si>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</si>
  <si>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</si>
  <si>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</si>
  <si>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</si>
  <si>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</si>
  <si>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</si>
  <si>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</si>
  <si>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</si>
  <si>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</si>
  <si>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</si>
  <si>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</si>
  <si>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</si>
  <si>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</si>
  <si>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</si>
  <si>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</si>
  <si>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</si>
  <si>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</si>
  <si>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</si>
  <si>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</si>
  <si>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</si>
  <si>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</si>
  <si>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</si>
  <si>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</si>
  <si>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</si>
  <si>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</si>
  <si>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</si>
  <si>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Eaglehawk new feeder</t>
  </si>
  <si>
    <t xml:space="preserve">Eaglehawk new feeder </t>
  </si>
  <si>
    <t>Augment EHK033 to create a new feeder (EHK011)</t>
  </si>
  <si>
    <t>EHK</t>
  </si>
  <si>
    <t>Split EHK033 to create a new feeder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</si>
</sst>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341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EE2A24"/>
      <color rgb="FF66FFFF"/>
      <color rgb="FF00215B"/>
      <color rgb="FF3333FF"/>
      <color rgb="FFFFFFCC"/>
      <color rgb="FFF2F2F2"/>
      <color rgb="FFFABFA8"/>
      <color rgb="FF882B3C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7.2122905871305681E-2</c:v>
                </c:pt>
                <c:pt idx="1">
                  <c:v>7.2122905871305681E-2</c:v>
                </c:pt>
                <c:pt idx="2">
                  <c:v>7.2122905871305681E-2</c:v>
                </c:pt>
                <c:pt idx="3">
                  <c:v>7.2122905871305681E-2</c:v>
                </c:pt>
                <c:pt idx="4">
                  <c:v>7.2122905871305681E-2</c:v>
                </c:pt>
                <c:pt idx="5">
                  <c:v>7.2122905871305681E-2</c:v>
                </c:pt>
                <c:pt idx="6">
                  <c:v>7.2122905871305681E-2</c:v>
                </c:pt>
                <c:pt idx="7">
                  <c:v>7.2122905871305681E-2</c:v>
                </c:pt>
                <c:pt idx="8">
                  <c:v>7.2122905871305681E-2</c:v>
                </c:pt>
                <c:pt idx="9">
                  <c:v>7.2122905871305681E-2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6.4765960560760885E-4</c:v>
                </c:pt>
                <c:pt idx="1">
                  <c:v>2.3344088679680031E-3</c:v>
                </c:pt>
                <c:pt idx="2">
                  <c:v>8.2051329794002488E-3</c:v>
                </c:pt>
                <c:pt idx="3">
                  <c:v>2.3807493806406857E-2</c:v>
                </c:pt>
                <c:pt idx="4">
                  <c:v>4.9835645978092279E-2</c:v>
                </c:pt>
                <c:pt idx="5">
                  <c:v>0.12104943372599608</c:v>
                </c:pt>
                <c:pt idx="6">
                  <c:v>0.27450149043616567</c:v>
                </c:pt>
                <c:pt idx="7">
                  <c:v>0.48786077786007415</c:v>
                </c:pt>
                <c:pt idx="8">
                  <c:v>0.48786077786007415</c:v>
                </c:pt>
                <c:pt idx="9">
                  <c:v>0.48786077786007415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369444444444442E-2"/>
          <c:y val="7.7035475234270415E-2"/>
          <c:w val="0.91102968750000002"/>
          <c:h val="0.80403514056224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EE2A24"/>
            </a:solidFill>
            <a:ln>
              <a:noFill/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5.819500817903099E-4</c:v>
                </c:pt>
                <c:pt idx="1">
                  <c:v>2.0975670242264128E-3</c:v>
                </c:pt>
                <c:pt idx="2">
                  <c:v>7.3726657755390614E-3</c:v>
                </c:pt>
                <c:pt idx="3">
                  <c:v>2.1392059729991593E-2</c:v>
                </c:pt>
                <c:pt idx="4">
                  <c:v>4.4779476752784868E-2</c:v>
                </c:pt>
                <c:pt idx="5">
                  <c:v>0.10876813568051019</c:v>
                </c:pt>
                <c:pt idx="6">
                  <c:v>0.24665142526685913</c:v>
                </c:pt>
                <c:pt idx="7">
                  <c:v>0.43836394476323809</c:v>
                </c:pt>
                <c:pt idx="8">
                  <c:v>0.43836394476323809</c:v>
                </c:pt>
                <c:pt idx="9">
                  <c:v>0.43836394476323809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72C-8A8A-2EB688C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4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zoomScaleNormal="100" workbookViewId="0">
      <selection activeCell="A31" sqref="A31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3</v>
      </c>
      <c r="D2" s="312"/>
      <c r="E2" s="312"/>
    </row>
    <row r="3" spans="1:19" ht="15.75" x14ac:dyDescent="0.25">
      <c r="A3" s="310"/>
      <c r="C3" s="313" t="s">
        <v>242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247</v>
      </c>
    </row>
    <row r="6" spans="1:19" x14ac:dyDescent="0.25">
      <c r="A6" s="310"/>
      <c r="C6" s="315" t="s">
        <v>243</v>
      </c>
      <c r="D6" s="329">
        <v>3.04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12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tabSelected="1" zoomScale="85" zoomScaleNormal="85" workbookViewId="0">
      <pane ySplit="2" topLeftCell="A25" activePane="bottomLeft" state="frozen"/>
      <selection activeCell="Z23" sqref="Z23"/>
      <selection pane="bottomLeft" activeCell="G14" sqref="G14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 xml:space="preserve">Eaglehawk new feeder 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189</v>
      </c>
      <c r="H7" s="152" t="s">
        <v>190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1" t="str">
        <f>INDEX(Assumptions!$E$14:$E$18, MATCH(C9, Assumptions!$C$14:$C$18,0))</f>
        <v>No change to existing practices</v>
      </c>
      <c r="E9" s="332"/>
      <c r="F9" s="332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3" t="str">
        <f>INDEX(Assumptions!$E$14:$E$18, MATCH(C10, Assumptions!$C$14:$C$18,0))</f>
        <v>Split EHK033 to create a new feeder</v>
      </c>
      <c r="E10" s="334"/>
      <c r="F10" s="334"/>
      <c r="G10" s="103">
        <f>IF(Data!$C10, "", INDEX(Consol!$F$15:$F$82, MATCH($C10&amp;G$7, Consol!$D$15:$D$82,0))/mill_conv)</f>
        <v>-0.8457363431667273</v>
      </c>
      <c r="H10" s="103">
        <f>IF(Data!$C10, "", INDEX(Consol!$F$15:$F$82, MATCH($C10&amp;H$7, Consol!$D$15:$D$82,0))/mill_conv)</f>
        <v>5.0376796039271046</v>
      </c>
      <c r="I10" s="103">
        <f>IF(Data!$C10, "", INDEX(Consol!$F$15:$F$82, MATCH($C10&amp;I$7, Consol!$D$15:$D$82,0))/mill_conv)</f>
        <v>4.1919432607603779</v>
      </c>
    </row>
    <row r="11" spans="1:13" s="7" customFormat="1" ht="12.75" x14ac:dyDescent="0.2">
      <c r="C11" s="91" t="str">
        <v>Option 3</v>
      </c>
      <c r="D11" s="333">
        <f>INDEX(Assumptions!$E$14:$E$18, MATCH(C11, Assumptions!$C$14:$C$18,0))</f>
        <v>0</v>
      </c>
      <c r="E11" s="334"/>
      <c r="F11" s="334"/>
      <c r="G11" s="103" t="str">
        <f>IF(Data!$C11, "", INDEX(Consol!$F$15:$F$82, MATCH($C11&amp;G$7, Consol!$D$15:$D$82,0))/mill_conv)</f>
        <v/>
      </c>
      <c r="H11" s="103" t="str">
        <f>IF(Data!$C11, "", INDEX(Consol!$F$15:$F$82, MATCH($C11&amp;H$7, Consol!$D$15:$D$82,0))/mill_conv)</f>
        <v/>
      </c>
      <c r="I11" s="103" t="str">
        <f>IF(Data!$C11, "", INDEX(Consol!$F$15:$F$82, MATCH($C11&amp;I$7, Consol!$D$15:$D$82,0))/mill_conv)</f>
        <v/>
      </c>
    </row>
    <row r="12" spans="1:13" s="7" customFormat="1" ht="12.75" x14ac:dyDescent="0.2">
      <c r="C12" s="91" t="str">
        <v>Option 4</v>
      </c>
      <c r="D12" s="333">
        <f>INDEX(Assumptions!$E$14:$E$18, MATCH(C12, Assumptions!$C$14:$C$18,0))</f>
        <v>0</v>
      </c>
      <c r="E12" s="334"/>
      <c r="F12" s="334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33">
        <f>INDEX(Assumptions!$E$14:$E$18, MATCH(C13, Assumptions!$C$14:$C$18,0))</f>
        <v>0</v>
      </c>
      <c r="E13" s="334"/>
      <c r="F13" s="334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0" t="str">
        <f>INDEX($D$9:$D$13,MATCH(G18, $I$9:$I$13,0))</f>
        <v>Split EHK033 to create a new feeder</v>
      </c>
      <c r="E18" s="330"/>
      <c r="F18" s="330"/>
      <c r="G18" s="104">
        <f>_xlfn.MAXIFS(I9:I13, IF(compliance, Data!$F$9:$F$13, Data!$C$9:$C$13),FALSE)</f>
        <v>4.1919432607603779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0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0.84584365991806676</v>
      </c>
      <c r="J30" s="105">
        <f>-INDEX(Consol!$I$15:$Q$82,MATCH($C$26&amp;$C30,Consol!$D$15:$D$82,0), MATCH(J$29, Consol!$I$9:$Q$9,0))/mill_conv</f>
        <v>0.84584365991806676</v>
      </c>
      <c r="K30" s="186"/>
      <c r="L30" s="186">
        <f>SUM(F30:J30)</f>
        <v>1.6916873198361335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F37" s="322" t="s">
        <v>239</v>
      </c>
    </row>
    <row r="38" spans="1:12" s="8" customFormat="1" ht="12.75" x14ac:dyDescent="0.2">
      <c r="E38" s="28"/>
    </row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220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218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4.1919432607603779</v>
      </c>
      <c r="H67" s="286" t="str">
        <f>Sensitivity_calcs!E90</f>
        <v/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4.1073696264437052</v>
      </c>
      <c r="H68" s="273" t="str">
        <f>Sensitivity_calcs!E91</f>
        <v/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4.2765168950770516</v>
      </c>
      <c r="H69" s="274" t="str">
        <f>Sensitivity_calcs!E92</f>
        <v/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4.695711221153088</v>
      </c>
      <c r="H70" s="274" t="str">
        <f>Sensitivity_calcs!E93</f>
        <v/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3.6881753003676669</v>
      </c>
      <c r="H71" s="274" t="str">
        <f>Sensitivity_calcs!E94</f>
        <v/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2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3.6036016660509942</v>
      </c>
      <c r="H72" s="274" t="str">
        <f>Sensitivity_calcs!E95</f>
        <v/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2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E18" sqref="E18:K18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 xml:space="preserve">Eaglehawk new feeder 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8" t="s">
        <v>248</v>
      </c>
      <c r="F8" s="338"/>
      <c r="G8" s="338"/>
      <c r="H8" s="338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9" t="s">
        <v>58</v>
      </c>
      <c r="F14" s="339"/>
      <c r="G14" s="339"/>
      <c r="H14" s="339"/>
      <c r="I14" s="339"/>
      <c r="J14" s="339"/>
      <c r="K14" s="339"/>
      <c r="L14"/>
    </row>
    <row r="15" spans="1:16" s="1" customFormat="1" ht="12.75" customHeight="1" x14ac:dyDescent="0.2">
      <c r="C15" s="61" t="str">
        <v>Option 2</v>
      </c>
      <c r="D15" s="61"/>
      <c r="E15" s="340" t="s">
        <v>251</v>
      </c>
      <c r="F15" s="340"/>
      <c r="G15" s="340"/>
      <c r="H15" s="340"/>
      <c r="I15" s="340"/>
      <c r="J15" s="340"/>
      <c r="K15" s="340"/>
      <c r="L15"/>
    </row>
    <row r="16" spans="1:16" s="1" customFormat="1" ht="12.75" customHeight="1" x14ac:dyDescent="0.2">
      <c r="C16" s="61" t="str">
        <v>Option 3</v>
      </c>
      <c r="D16" s="61"/>
      <c r="E16" s="340"/>
      <c r="F16" s="340"/>
      <c r="G16" s="340"/>
      <c r="H16" s="340"/>
      <c r="I16" s="340"/>
      <c r="J16" s="340"/>
      <c r="K16" s="340"/>
      <c r="L16"/>
    </row>
    <row r="17" spans="1:16" s="1" customFormat="1" ht="12.75" customHeight="1" x14ac:dyDescent="0.2">
      <c r="C17" s="61" t="str">
        <v>Option 4</v>
      </c>
      <c r="D17" s="61"/>
      <c r="E17" s="340"/>
      <c r="F17" s="340"/>
      <c r="G17" s="340"/>
      <c r="H17" s="340"/>
      <c r="I17" s="340"/>
      <c r="J17" s="340"/>
      <c r="K17" s="340"/>
      <c r="L17"/>
    </row>
    <row r="18" spans="1:16" s="1" customFormat="1" ht="12.75" customHeight="1" x14ac:dyDescent="0.2">
      <c r="C18" s="61" t="str">
        <v>Option 5</v>
      </c>
      <c r="D18" s="61"/>
      <c r="E18" s="340"/>
      <c r="F18" s="340"/>
      <c r="G18" s="340"/>
      <c r="H18" s="340"/>
      <c r="I18" s="340"/>
      <c r="J18" s="340"/>
      <c r="K18" s="340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223</v>
      </c>
      <c r="D20"/>
      <c r="E20" s="291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04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245</v>
      </c>
      <c r="D41" s="240" t="s">
        <v>246</v>
      </c>
      <c r="E41" s="325" t="s">
        <v>250</v>
      </c>
      <c r="F41" s="326"/>
      <c r="G41" s="327" t="s">
        <v>139</v>
      </c>
      <c r="H41" s="131">
        <v>45714.888915350864</v>
      </c>
      <c r="I41" s="328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06">
        <v>5400000</v>
      </c>
      <c r="H50" s="69">
        <v>45107</v>
      </c>
    </row>
    <row r="52" spans="3:8" x14ac:dyDescent="0.2">
      <c r="C52" s="8" t="s">
        <v>165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57" t="s">
        <v>68</v>
      </c>
      <c r="H69" s="157" t="s">
        <v>166</v>
      </c>
      <c r="I69" s="157" t="s">
        <v>180</v>
      </c>
      <c r="J69" s="156" t="s">
        <v>184</v>
      </c>
      <c r="K69" s="157"/>
      <c r="L69" s="157"/>
      <c r="M69" s="157"/>
    </row>
    <row r="70" spans="2:16" x14ac:dyDescent="0.2">
      <c r="C70" s="8" t="s">
        <v>167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5">
        <v>0</v>
      </c>
      <c r="K70" s="336"/>
      <c r="L70" s="336"/>
      <c r="M70" s="337"/>
    </row>
    <row r="71" spans="2:16" x14ac:dyDescent="0.2">
      <c r="C71" s="8" t="s">
        <v>168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5">
        <v>0</v>
      </c>
      <c r="K71" s="336"/>
      <c r="L71" s="336"/>
      <c r="M71" s="337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4">
        <v>0</v>
      </c>
      <c r="H78" s="69">
        <f>input_dollars</f>
        <v>45291</v>
      </c>
    </row>
    <row r="79" spans="2:16" x14ac:dyDescent="0.2">
      <c r="C79" s="8" t="s">
        <v>170</v>
      </c>
      <c r="G79" s="154">
        <v>0</v>
      </c>
      <c r="H79" s="69">
        <f>input_dollars</f>
        <v>45291</v>
      </c>
    </row>
    <row r="81" spans="1:16" x14ac:dyDescent="0.2">
      <c r="C81" s="8" t="s">
        <v>171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S11" activePane="bottomRight" state="frozen"/>
      <selection activeCell="S27" sqref="S27"/>
      <selection pane="topRight" activeCell="S27" sqref="S27"/>
      <selection pane="bottomLeft" activeCell="S27" sqref="S27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 xml:space="preserve">Eaglehawk new feeder 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142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1.272999006664749E-2</v>
      </c>
      <c r="J27" s="168">
        <v>4.5883673218815563E-2</v>
      </c>
      <c r="K27" s="168">
        <v>0.16127493581338118</v>
      </c>
      <c r="L27" s="168">
        <v>0.46794513204664556</v>
      </c>
      <c r="M27" s="168">
        <v>0.97953812893873426</v>
      </c>
      <c r="N27" s="168">
        <v>2.3792715734673111</v>
      </c>
      <c r="O27" s="168">
        <v>5.3954287349046721</v>
      </c>
      <c r="P27" s="168">
        <v>9.5890847634989509</v>
      </c>
      <c r="Q27" s="168">
        <v>9.5890847634989509</v>
      </c>
      <c r="R27" s="168">
        <v>9.5890847634989509</v>
      </c>
      <c r="S27" s="168">
        <v>9.5890847634989509</v>
      </c>
      <c r="T27" s="168">
        <v>9.5890847634989509</v>
      </c>
      <c r="U27" s="168">
        <v>9.5890847634989509</v>
      </c>
      <c r="V27" s="168">
        <v>9.5890847634989509</v>
      </c>
      <c r="W27" s="168">
        <v>9.5890847634989509</v>
      </c>
      <c r="X27" s="168">
        <v>9.5890847634989509</v>
      </c>
      <c r="Y27" s="168">
        <v>9.5890847634989509</v>
      </c>
      <c r="Z27" s="168">
        <v>9.5890847634989509</v>
      </c>
      <c r="AA27" s="168">
        <v>9.5890847634989509</v>
      </c>
      <c r="AB27" s="168">
        <v>9.5890847634989509</v>
      </c>
      <c r="AC27" s="168">
        <v>9.5890847634989509</v>
      </c>
      <c r="AD27" s="168">
        <v>9.5890847634989509</v>
      </c>
      <c r="AE27" s="168">
        <v>9.5890847634989509</v>
      </c>
      <c r="AF27" s="168">
        <v>9.5890847634989509</v>
      </c>
      <c r="AG27" s="168">
        <v>9.5890847634989509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45714.888915350864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581.95008179030992</v>
      </c>
      <c r="J28" s="119">
        <f t="shared" ref="J28:AG28" si="3">J27*$E$28</f>
        <v>2097.5670242264127</v>
      </c>
      <c r="K28" s="119">
        <f t="shared" si="3"/>
        <v>7372.6657755390615</v>
      </c>
      <c r="L28" s="119">
        <f t="shared" si="3"/>
        <v>21392.059729991593</v>
      </c>
      <c r="M28" s="119">
        <f t="shared" si="3"/>
        <v>44779.476752784867</v>
      </c>
      <c r="N28" s="119">
        <f t="shared" si="3"/>
        <v>108768.1356805102</v>
      </c>
      <c r="O28" s="119">
        <f t="shared" si="3"/>
        <v>246651.42526685912</v>
      </c>
      <c r="P28" s="119">
        <f t="shared" si="3"/>
        <v>438363.94476323808</v>
      </c>
      <c r="Q28" s="119">
        <f t="shared" si="3"/>
        <v>438363.94476323808</v>
      </c>
      <c r="R28" s="119">
        <f t="shared" si="3"/>
        <v>438363.94476323808</v>
      </c>
      <c r="S28" s="119">
        <f t="shared" si="3"/>
        <v>438363.94476323808</v>
      </c>
      <c r="T28" s="119">
        <f t="shared" si="3"/>
        <v>438363.94476323808</v>
      </c>
      <c r="U28" s="119">
        <f t="shared" si="3"/>
        <v>438363.94476323808</v>
      </c>
      <c r="V28" s="119">
        <f t="shared" si="3"/>
        <v>438363.94476323808</v>
      </c>
      <c r="W28" s="119">
        <f t="shared" si="3"/>
        <v>438363.94476323808</v>
      </c>
      <c r="X28" s="119">
        <f t="shared" si="3"/>
        <v>438363.94476323808</v>
      </c>
      <c r="Y28" s="119">
        <f t="shared" si="3"/>
        <v>438363.94476323808</v>
      </c>
      <c r="Z28" s="119">
        <f t="shared" si="3"/>
        <v>438363.94476323808</v>
      </c>
      <c r="AA28" s="119">
        <f t="shared" si="3"/>
        <v>438363.94476323808</v>
      </c>
      <c r="AB28" s="119">
        <f t="shared" si="3"/>
        <v>438363.94476323808</v>
      </c>
      <c r="AC28" s="119">
        <f t="shared" si="3"/>
        <v>438363.94476323808</v>
      </c>
      <c r="AD28" s="119">
        <f t="shared" si="3"/>
        <v>438363.94476323808</v>
      </c>
      <c r="AE28" s="119">
        <f t="shared" si="3"/>
        <v>438363.94476323808</v>
      </c>
      <c r="AF28" s="119">
        <f t="shared" si="3"/>
        <v>438363.94476323808</v>
      </c>
      <c r="AG28" s="119">
        <f t="shared" si="3"/>
        <v>438363.94476323808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06">
        <f>SUM(I28:I34)</f>
        <v>581.95008179030992</v>
      </c>
      <c r="J36" s="106">
        <f t="shared" ref="J36:AB36" si="4">SUM(J28:J34)</f>
        <v>2097.5670242264127</v>
      </c>
      <c r="K36" s="106">
        <f t="shared" si="4"/>
        <v>7372.6657755390615</v>
      </c>
      <c r="L36" s="106">
        <f t="shared" si="4"/>
        <v>21392.059729991593</v>
      </c>
      <c r="M36" s="106">
        <f t="shared" si="4"/>
        <v>44779.476752784867</v>
      </c>
      <c r="N36" s="106">
        <f t="shared" si="4"/>
        <v>108768.1356805102</v>
      </c>
      <c r="O36" s="106">
        <f t="shared" si="4"/>
        <v>246651.42526685912</v>
      </c>
      <c r="P36" s="106">
        <f t="shared" si="4"/>
        <v>438363.94476323808</v>
      </c>
      <c r="Q36" s="106">
        <f t="shared" si="4"/>
        <v>438363.94476323808</v>
      </c>
      <c r="R36" s="106">
        <f t="shared" si="4"/>
        <v>438363.94476323808</v>
      </c>
      <c r="S36" s="106">
        <f t="shared" si="4"/>
        <v>438363.94476323808</v>
      </c>
      <c r="T36" s="106">
        <f t="shared" si="4"/>
        <v>438363.94476323808</v>
      </c>
      <c r="U36" s="106">
        <f t="shared" si="4"/>
        <v>438363.94476323808</v>
      </c>
      <c r="V36" s="106">
        <f t="shared" si="4"/>
        <v>438363.94476323808</v>
      </c>
      <c r="W36" s="106">
        <f t="shared" si="4"/>
        <v>438363.94476323808</v>
      </c>
      <c r="X36" s="106">
        <f t="shared" si="4"/>
        <v>438363.94476323808</v>
      </c>
      <c r="Y36" s="106">
        <f t="shared" si="4"/>
        <v>438363.94476323808</v>
      </c>
      <c r="Z36" s="106">
        <f t="shared" si="4"/>
        <v>438363.94476323808</v>
      </c>
      <c r="AA36" s="106">
        <f t="shared" si="4"/>
        <v>438363.94476323808</v>
      </c>
      <c r="AB36" s="106">
        <f t="shared" si="4"/>
        <v>438363.94476323808</v>
      </c>
      <c r="AC36" s="106">
        <f>SUM(AC28:AC34)</f>
        <v>438363.94476323808</v>
      </c>
      <c r="AD36" s="106">
        <f>SUM(AD28:AD34)</f>
        <v>438363.94476323808</v>
      </c>
      <c r="AE36" s="106">
        <f>SUM(AE28:AE34)</f>
        <v>438363.94476323808</v>
      </c>
      <c r="AF36" s="106">
        <f>SUM(AF28:AF34)</f>
        <v>438363.94476323808</v>
      </c>
      <c r="AG36" s="106">
        <f>SUM(AG28:AG34)</f>
        <v>438363.94476323808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0.35181336539087127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0.35181336539087127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188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241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T11" activePane="bottomRight" state="frozen"/>
      <selection activeCell="S27" sqref="S27"/>
      <selection pane="topRight" activeCell="S27" sqref="S27"/>
      <selection pane="bottomLeft" activeCell="S27" sqref="S27"/>
      <selection pane="bottomRight" activeCell="P27" sqref="P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 xml:space="preserve">Eaglehawk new feeder 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Split EHK033 to create a new feeder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249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760027</v>
      </c>
      <c r="M14" s="32">
        <v>760027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760027</v>
      </c>
      <c r="M17" s="106">
        <f t="shared" si="0"/>
        <v>760027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1.272999006664749E-2</v>
      </c>
      <c r="J27" s="168">
        <v>4.5883673218815563E-2</v>
      </c>
      <c r="K27" s="168">
        <v>0.16127493581338118</v>
      </c>
      <c r="L27" s="168">
        <v>0.46794513204664556</v>
      </c>
      <c r="M27" s="168">
        <v>0.97953812893873426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45714.888915350864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581.95008179030992</v>
      </c>
      <c r="J28" s="119">
        <f t="shared" ref="J28:AG28" si="2">J27*$E$28</f>
        <v>2097.5670242264127</v>
      </c>
      <c r="K28" s="119">
        <f t="shared" si="2"/>
        <v>7372.6657755390615</v>
      </c>
      <c r="L28" s="119">
        <f t="shared" si="2"/>
        <v>21392.059729991593</v>
      </c>
      <c r="M28" s="119">
        <f t="shared" si="2"/>
        <v>44779.476752784867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581.95008179030992</v>
      </c>
      <c r="J36" s="170">
        <f t="shared" ref="J36:AG36" si="3">SUM(J28:J34)</f>
        <v>2097.5670242264127</v>
      </c>
      <c r="K36" s="170">
        <f t="shared" si="3"/>
        <v>7372.6657755390615</v>
      </c>
      <c r="L36" s="170">
        <f t="shared" si="3"/>
        <v>21392.059729991593</v>
      </c>
      <c r="M36" s="170">
        <f t="shared" si="3"/>
        <v>44779.476752784867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3">
        <v>0</v>
      </c>
      <c r="J45" s="323">
        <v>0</v>
      </c>
      <c r="K45" s="323">
        <v>0</v>
      </c>
      <c r="L45" s="323">
        <v>0</v>
      </c>
      <c r="M45" s="323">
        <v>0</v>
      </c>
      <c r="N45" s="323">
        <v>0</v>
      </c>
      <c r="O45" s="323">
        <v>0</v>
      </c>
      <c r="P45" s="323">
        <v>0</v>
      </c>
      <c r="Q45" s="323">
        <v>0</v>
      </c>
      <c r="R45" s="323">
        <v>0</v>
      </c>
      <c r="S45" s="323">
        <v>0</v>
      </c>
      <c r="T45" s="323">
        <v>0</v>
      </c>
      <c r="U45" s="323">
        <v>0</v>
      </c>
      <c r="V45" s="323">
        <v>0</v>
      </c>
      <c r="W45" s="323">
        <v>0</v>
      </c>
      <c r="X45" s="323">
        <v>0</v>
      </c>
      <c r="Y45" s="323">
        <v>0</v>
      </c>
      <c r="Z45" s="323">
        <v>0</v>
      </c>
      <c r="AA45" s="323">
        <v>0</v>
      </c>
      <c r="AB45" s="323">
        <v>0</v>
      </c>
      <c r="AC45" s="323">
        <v>0</v>
      </c>
      <c r="AD45" s="323">
        <v>0</v>
      </c>
      <c r="AE45" s="323">
        <v>0</v>
      </c>
      <c r="AF45" s="323">
        <v>0</v>
      </c>
      <c r="AG45" s="323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3">
        <v>0</v>
      </c>
      <c r="J47" s="323">
        <v>0</v>
      </c>
      <c r="K47" s="323">
        <v>0</v>
      </c>
      <c r="L47" s="323">
        <v>0</v>
      </c>
      <c r="M47" s="323">
        <v>0</v>
      </c>
      <c r="N47" s="323">
        <v>0</v>
      </c>
      <c r="O47" s="323">
        <v>0</v>
      </c>
      <c r="P47" s="323">
        <v>0</v>
      </c>
      <c r="Q47" s="323">
        <v>0</v>
      </c>
      <c r="R47" s="323">
        <v>0</v>
      </c>
      <c r="S47" s="323">
        <v>0</v>
      </c>
      <c r="T47" s="323">
        <v>0</v>
      </c>
      <c r="U47" s="323">
        <v>0</v>
      </c>
      <c r="V47" s="323">
        <v>0</v>
      </c>
      <c r="W47" s="323">
        <v>0</v>
      </c>
      <c r="X47" s="323">
        <v>0</v>
      </c>
      <c r="Y47" s="323">
        <v>0</v>
      </c>
      <c r="Z47" s="323">
        <v>0</v>
      </c>
      <c r="AA47" s="323">
        <v>0</v>
      </c>
      <c r="AB47" s="323">
        <v>0</v>
      </c>
      <c r="AC47" s="323">
        <v>0</v>
      </c>
      <c r="AD47" s="323">
        <v>0</v>
      </c>
      <c r="AE47" s="323">
        <v>0</v>
      </c>
      <c r="AF47" s="323">
        <v>0</v>
      </c>
      <c r="AG47" s="323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3">
        <v>0</v>
      </c>
      <c r="J48" s="323">
        <v>0</v>
      </c>
      <c r="K48" s="323">
        <v>0</v>
      </c>
      <c r="L48" s="323">
        <v>0</v>
      </c>
      <c r="M48" s="323">
        <v>0</v>
      </c>
      <c r="N48" s="323">
        <v>0</v>
      </c>
      <c r="O48" s="323">
        <v>0</v>
      </c>
      <c r="P48" s="323">
        <v>0</v>
      </c>
      <c r="Q48" s="323">
        <v>0</v>
      </c>
      <c r="R48" s="323">
        <v>0</v>
      </c>
      <c r="S48" s="323">
        <v>0</v>
      </c>
      <c r="T48" s="323">
        <v>0</v>
      </c>
      <c r="U48" s="323">
        <v>0</v>
      </c>
      <c r="V48" s="323">
        <v>0</v>
      </c>
      <c r="W48" s="323">
        <v>0</v>
      </c>
      <c r="X48" s="323">
        <v>0</v>
      </c>
      <c r="Y48" s="323">
        <v>0</v>
      </c>
      <c r="Z48" s="323">
        <v>0</v>
      </c>
      <c r="AA48" s="323">
        <v>0</v>
      </c>
      <c r="AB48" s="323">
        <v>0</v>
      </c>
      <c r="AC48" s="323">
        <v>0</v>
      </c>
      <c r="AD48" s="323">
        <v>0</v>
      </c>
      <c r="AE48" s="323">
        <v>0</v>
      </c>
      <c r="AF48" s="323">
        <v>0</v>
      </c>
      <c r="AG48" s="323">
        <v>0</v>
      </c>
    </row>
    <row r="49" spans="1:43" x14ac:dyDescent="0.2">
      <c r="C49" s="1" t="s">
        <v>9</v>
      </c>
      <c r="D49" s="205" t="s">
        <v>206</v>
      </c>
      <c r="E49" s="112">
        <f>Assumptions!G98</f>
        <v>0.35181336539087127</v>
      </c>
      <c r="G49" s="207" t="s">
        <v>207</v>
      </c>
      <c r="I49" s="323">
        <v>0</v>
      </c>
      <c r="J49" s="323">
        <v>0</v>
      </c>
      <c r="K49" s="323">
        <v>0</v>
      </c>
      <c r="L49" s="323">
        <v>0</v>
      </c>
      <c r="M49" s="323">
        <v>0</v>
      </c>
      <c r="N49" s="323">
        <v>0</v>
      </c>
      <c r="O49" s="323">
        <v>0</v>
      </c>
      <c r="P49" s="323">
        <v>0</v>
      </c>
      <c r="Q49" s="323">
        <v>0</v>
      </c>
      <c r="R49" s="323">
        <v>0</v>
      </c>
      <c r="S49" s="323">
        <v>0</v>
      </c>
      <c r="T49" s="323">
        <v>0</v>
      </c>
      <c r="U49" s="323">
        <v>0</v>
      </c>
      <c r="V49" s="323">
        <v>0</v>
      </c>
      <c r="W49" s="323">
        <v>0</v>
      </c>
      <c r="X49" s="323">
        <v>0</v>
      </c>
      <c r="Y49" s="323">
        <v>0</v>
      </c>
      <c r="Z49" s="323">
        <v>0</v>
      </c>
      <c r="AA49" s="323">
        <v>0</v>
      </c>
      <c r="AB49" s="323">
        <v>0</v>
      </c>
      <c r="AC49" s="323">
        <v>0</v>
      </c>
      <c r="AD49" s="323">
        <v>0</v>
      </c>
      <c r="AE49" s="323">
        <v>0</v>
      </c>
      <c r="AF49" s="323">
        <v>0</v>
      </c>
      <c r="AG49" s="323">
        <v>0</v>
      </c>
    </row>
    <row r="50" spans="1:43" x14ac:dyDescent="0.2">
      <c r="C50" s="1" t="s">
        <v>10</v>
      </c>
      <c r="D50" s="205" t="s">
        <v>206</v>
      </c>
      <c r="E50" s="112">
        <f>Assumptions!G99</f>
        <v>0.35181336539087127</v>
      </c>
      <c r="G50" s="207" t="s">
        <v>207</v>
      </c>
      <c r="I50" s="323">
        <v>0</v>
      </c>
      <c r="J50" s="323">
        <v>0</v>
      </c>
      <c r="K50" s="323">
        <v>0</v>
      </c>
      <c r="L50" s="323">
        <v>0</v>
      </c>
      <c r="M50" s="323">
        <v>0</v>
      </c>
      <c r="N50" s="323">
        <v>0</v>
      </c>
      <c r="O50" s="323">
        <v>0</v>
      </c>
      <c r="P50" s="323">
        <v>0</v>
      </c>
      <c r="Q50" s="323">
        <v>0</v>
      </c>
      <c r="R50" s="323">
        <v>0</v>
      </c>
      <c r="S50" s="323">
        <v>0</v>
      </c>
      <c r="T50" s="323">
        <v>0</v>
      </c>
      <c r="U50" s="323">
        <v>0</v>
      </c>
      <c r="V50" s="323">
        <v>0</v>
      </c>
      <c r="W50" s="323">
        <v>0</v>
      </c>
      <c r="X50" s="323">
        <v>0</v>
      </c>
      <c r="Y50" s="323">
        <v>0</v>
      </c>
      <c r="Z50" s="323">
        <v>0</v>
      </c>
      <c r="AA50" s="323">
        <v>0</v>
      </c>
      <c r="AB50" s="323">
        <v>0</v>
      </c>
      <c r="AC50" s="323">
        <v>0</v>
      </c>
      <c r="AD50" s="323">
        <v>0</v>
      </c>
      <c r="AE50" s="323">
        <v>0</v>
      </c>
      <c r="AF50" s="323">
        <v>0</v>
      </c>
      <c r="AG50" s="323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108768.1356805102</v>
      </c>
      <c r="O64" s="132">
        <f>(1-INDEX(Data!$C$9:$C$13, MATCH($A$3, options,0)))*('Option1 (base case)'!O36-O36)</f>
        <v>246651.42526685912</v>
      </c>
      <c r="P64" s="132">
        <f>(1-INDEX(Data!$C$9:$C$13, MATCH($A$3, options,0)))*('Option1 (base case)'!P36-P36)</f>
        <v>438363.94476323808</v>
      </c>
      <c r="Q64" s="132">
        <f>(1-INDEX(Data!$C$9:$C$13, MATCH($A$3, options,0)))*('Option1 (base case)'!Q36-Q36)</f>
        <v>438363.94476323808</v>
      </c>
      <c r="R64" s="132">
        <f>(1-INDEX(Data!$C$9:$C$13, MATCH($A$3, options,0)))*('Option1 (base case)'!R36-R36)</f>
        <v>438363.94476323808</v>
      </c>
      <c r="S64" s="132">
        <f>(1-INDEX(Data!$C$9:$C$13, MATCH($A$3, options,0)))*('Option1 (base case)'!S36-S36)</f>
        <v>438363.94476323808</v>
      </c>
      <c r="T64" s="132">
        <f>(1-INDEX(Data!$C$9:$C$13, MATCH($A$3, options,0)))*('Option1 (base case)'!T36-T36)</f>
        <v>438363.94476323808</v>
      </c>
      <c r="U64" s="132">
        <f>(1-INDEX(Data!$C$9:$C$13, MATCH($A$3, options,0)))*('Option1 (base case)'!U36-U36)</f>
        <v>438363.94476323808</v>
      </c>
      <c r="V64" s="132">
        <f>(1-INDEX(Data!$C$9:$C$13, MATCH($A$3, options,0)))*('Option1 (base case)'!V36-V36)</f>
        <v>438363.94476323808</v>
      </c>
      <c r="W64" s="132">
        <f>(1-INDEX(Data!$C$9:$C$13, MATCH($A$3, options,0)))*('Option1 (base case)'!W36-W36)</f>
        <v>438363.94476323808</v>
      </c>
      <c r="X64" s="132">
        <f>(1-INDEX(Data!$C$9:$C$13, MATCH($A$3, options,0)))*('Option1 (base case)'!X36-X36)</f>
        <v>438363.94476323808</v>
      </c>
      <c r="Y64" s="132">
        <f>(1-INDEX(Data!$C$9:$C$13, MATCH($A$3, options,0)))*('Option1 (base case)'!Y36-Y36)</f>
        <v>438363.94476323808</v>
      </c>
      <c r="Z64" s="132">
        <f>(1-INDEX(Data!$C$9:$C$13, MATCH($A$3, options,0)))*('Option1 (base case)'!Z36-Z36)</f>
        <v>438363.94476323808</v>
      </c>
      <c r="AA64" s="132">
        <f>(1-INDEX(Data!$C$9:$C$13, MATCH($A$3, options,0)))*('Option1 (base case)'!AA36-AA36)</f>
        <v>438363.94476323808</v>
      </c>
      <c r="AB64" s="132">
        <f>(1-INDEX(Data!$C$9:$C$13, MATCH($A$3, options,0)))*('Option1 (base case)'!AB36-AB36)</f>
        <v>438363.94476323808</v>
      </c>
      <c r="AC64" s="132">
        <f>(1-INDEX(Data!$C$9:$C$13, MATCH($A$3, options,0)))*('Option1 (base case)'!AC36-AC36)</f>
        <v>438363.94476323808</v>
      </c>
      <c r="AD64" s="132">
        <f>(1-INDEX(Data!$C$9:$C$13, MATCH($A$3, options,0)))*('Option1 (base case)'!AD36-AD36)</f>
        <v>438363.94476323808</v>
      </c>
      <c r="AE64" s="132">
        <f>(1-INDEX(Data!$C$9:$C$13, MATCH($A$3, options,0)))*('Option1 (base case)'!AE36-AE36)</f>
        <v>438363.94476323808</v>
      </c>
      <c r="AF64" s="132">
        <f>(1-INDEX(Data!$C$9:$C$13, MATCH($A$3, options,0)))*('Option1 (base case)'!AF36-AF36)</f>
        <v>438363.94476323808</v>
      </c>
      <c r="AG64" s="132">
        <f>(1-INDEX(Data!$C$9:$C$13, MATCH($A$3, options,0)))*('Option1 (base case)'!AG36-AG36)</f>
        <v>438363.94476323808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Augment EHK033 to create a new feeder (EHK011)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-760027</v>
      </c>
      <c r="M67" s="119">
        <f t="shared" si="5"/>
        <v>-760027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Augment EHK033 to create a new feeder (EHK011)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-760027</v>
      </c>
      <c r="M72" s="119" cm="1">
        <f t="array" ref="M72">SUMPRODUCT(($I67:M67))-SUMPRODUCT(($I67:M67)*($I$6:M$6&lt;=(M$6-$E14)))</f>
        <v>-1520054</v>
      </c>
      <c r="N72" s="119" cm="1">
        <f t="array" ref="N72">SUMPRODUCT(($I67:N67))-SUMPRODUCT(($I67:N67)*($I$6:N$6&lt;=(N$6-$E14)))</f>
        <v>-1520054</v>
      </c>
      <c r="O72" s="119" cm="1">
        <f t="array" ref="O72">SUMPRODUCT(($I67:O67))-SUMPRODUCT(($I67:O67)*($I$6:O$6&lt;=(O$6-$E14)))</f>
        <v>-1520054</v>
      </c>
      <c r="P72" s="119" cm="1">
        <f t="array" ref="P72">SUMPRODUCT(($I67:P67))-SUMPRODUCT(($I67:P67)*($I$6:P$6&lt;=(P$6-$E14)))</f>
        <v>-1520054</v>
      </c>
      <c r="Q72" s="119" cm="1">
        <f t="array" ref="Q72">SUMPRODUCT(($I67:Q67))-SUMPRODUCT(($I67:Q67)*($I$6:Q$6&lt;=(Q$6-$E14)))</f>
        <v>-1520054</v>
      </c>
      <c r="R72" s="119" cm="1">
        <f t="array" ref="R72">SUMPRODUCT(($I67:R67))-SUMPRODUCT(($I67:R67)*($I$6:R$6&lt;=(R$6-$E14)))</f>
        <v>-1520054</v>
      </c>
      <c r="S72" s="119" cm="1">
        <f t="array" ref="S72">SUMPRODUCT(($I67:S67))-SUMPRODUCT(($I67:S67)*($I$6:S$6&lt;=(S$6-$E14)))</f>
        <v>-1520054</v>
      </c>
      <c r="T72" s="119" cm="1">
        <f t="array" ref="T72">SUMPRODUCT(($I67:T67))-SUMPRODUCT(($I67:T67)*($I$6:T$6&lt;=(T$6-$E14)))</f>
        <v>-1520054</v>
      </c>
      <c r="U72" s="119" cm="1">
        <f t="array" ref="U72">SUMPRODUCT(($I67:U67))-SUMPRODUCT(($I67:U67)*($I$6:U$6&lt;=(U$6-$E14)))</f>
        <v>-1520054</v>
      </c>
      <c r="V72" s="119" cm="1">
        <f t="array" ref="V72">SUMPRODUCT(($I67:V67))-SUMPRODUCT(($I67:V67)*($I$6:V$6&lt;=(V$6-$E14)))</f>
        <v>-1520054</v>
      </c>
      <c r="W72" s="119" cm="1">
        <f t="array" ref="W72">SUMPRODUCT(($I67:W67))-SUMPRODUCT(($I67:W67)*($I$6:W$6&lt;=(W$6-$E14)))</f>
        <v>-1520054</v>
      </c>
      <c r="X72" s="119" cm="1">
        <f t="array" ref="X72">SUMPRODUCT(($I67:X67))-SUMPRODUCT(($I67:X67)*($I$6:X$6&lt;=(X$6-$E14)))</f>
        <v>-1520054</v>
      </c>
      <c r="Y72" s="119" cm="1">
        <f t="array" ref="Y72">SUMPRODUCT(($I67:Y67))-SUMPRODUCT(($I67:Y67)*($I$6:Y$6&lt;=(Y$6-$E14)))</f>
        <v>-1520054</v>
      </c>
      <c r="Z72" s="119" cm="1">
        <f t="array" ref="Z72">SUMPRODUCT(($I67:Z67))-SUMPRODUCT(($I67:Z67)*($I$6:Z$6&lt;=(Z$6-$E14)))</f>
        <v>-1520054</v>
      </c>
      <c r="AA72" s="119" cm="1">
        <f t="array" ref="AA72">SUMPRODUCT(($I67:AA67))-SUMPRODUCT(($I67:AA67)*($I$6:AA$6&lt;=(AA$6-$E14)))</f>
        <v>-1520054</v>
      </c>
      <c r="AB72" s="119" cm="1">
        <f t="array" ref="AB72">SUMPRODUCT(($I67:AB67))-SUMPRODUCT(($I67:AB67)*($I$6:AB$6&lt;=(AB$6-$E14)))</f>
        <v>-1520054</v>
      </c>
      <c r="AC72" s="119" cm="1">
        <f t="array" ref="AC72">SUMPRODUCT(($I67:AC67))-SUMPRODUCT(($I67:AC67)*($I$6:AC$6&lt;=(AC$6-$E14)))</f>
        <v>-1520054</v>
      </c>
      <c r="AD72" s="119" cm="1">
        <f t="array" ref="AD72">SUMPRODUCT(($I67:AD67))-SUMPRODUCT(($I67:AD67)*($I$6:AD$6&lt;=(AD$6-$E14)))</f>
        <v>-1520054</v>
      </c>
      <c r="AE72" s="119" cm="1">
        <f t="array" ref="AE72">SUMPRODUCT(($I67:AE67))-SUMPRODUCT(($I67:AE67)*($I$6:AE$6&lt;=(AE$6-$E14)))</f>
        <v>-1520054</v>
      </c>
      <c r="AF72" s="119" cm="1">
        <f t="array" ref="AF72">SUMPRODUCT(($I67:AF67))-SUMPRODUCT(($I67:AF67)*($I$6:AF$6&lt;=(AF$6-$E14)))</f>
        <v>-1520054</v>
      </c>
      <c r="AG72" s="119" cm="1">
        <f t="array" ref="AG72">SUMPRODUCT(($I67:AG67))-SUMPRODUCT(($I67:AG67)*($I$6:AG$6&lt;=(AG$6-$E14)))</f>
        <v>-1520054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Augment EHK033 to create a new feeder (EHK011)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-32402.770380734761</v>
      </c>
      <c r="N77" s="119">
        <f t="shared" si="8"/>
        <v>-64805.540761469521</v>
      </c>
      <c r="O77" s="119">
        <f t="shared" si="8"/>
        <v>-64805.540761469521</v>
      </c>
      <c r="P77" s="119">
        <f t="shared" si="8"/>
        <v>-64805.540761469521</v>
      </c>
      <c r="Q77" s="119">
        <f t="shared" si="8"/>
        <v>-64805.540761469521</v>
      </c>
      <c r="R77" s="119">
        <f t="shared" si="8"/>
        <v>-64805.540761469521</v>
      </c>
      <c r="S77" s="119">
        <f t="shared" si="8"/>
        <v>-64805.540761469521</v>
      </c>
      <c r="T77" s="119">
        <f t="shared" si="8"/>
        <v>-64805.540761469521</v>
      </c>
      <c r="U77" s="119">
        <f t="shared" si="8"/>
        <v>-64805.540761469521</v>
      </c>
      <c r="V77" s="119">
        <f t="shared" si="8"/>
        <v>-64805.540761469521</v>
      </c>
      <c r="W77" s="119">
        <f t="shared" si="8"/>
        <v>-64805.540761469521</v>
      </c>
      <c r="X77" s="119">
        <f t="shared" si="8"/>
        <v>-64805.540761469521</v>
      </c>
      <c r="Y77" s="119">
        <f t="shared" si="8"/>
        <v>-64805.540761469521</v>
      </c>
      <c r="Z77" s="119">
        <f t="shared" si="8"/>
        <v>-64805.540761469521</v>
      </c>
      <c r="AA77" s="119">
        <f t="shared" si="8"/>
        <v>-64805.540761469521</v>
      </c>
      <c r="AB77" s="119">
        <f t="shared" si="8"/>
        <v>-64805.540761469521</v>
      </c>
      <c r="AC77" s="119">
        <f t="shared" si="8"/>
        <v>-64805.540761469521</v>
      </c>
      <c r="AD77" s="119">
        <f t="shared" si="8"/>
        <v>-64805.540761469521</v>
      </c>
      <c r="AE77" s="119">
        <f t="shared" si="8"/>
        <v>-64805.540761469521</v>
      </c>
      <c r="AF77" s="119">
        <f t="shared" si="8"/>
        <v>-64805.540761469521</v>
      </c>
      <c r="AG77" s="119">
        <f t="shared" si="8"/>
        <v>-64805.540761469521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-32402.770380734761</v>
      </c>
      <c r="N80" s="176">
        <f t="shared" si="11"/>
        <v>-64805.540761469521</v>
      </c>
      <c r="O80" s="176">
        <f t="shared" si="11"/>
        <v>-64805.540761469521</v>
      </c>
      <c r="P80" s="176">
        <f t="shared" si="11"/>
        <v>-64805.540761469521</v>
      </c>
      <c r="Q80" s="176">
        <f t="shared" si="11"/>
        <v>-64805.540761469521</v>
      </c>
      <c r="R80" s="176">
        <f t="shared" si="11"/>
        <v>-64805.540761469521</v>
      </c>
      <c r="S80" s="176">
        <f t="shared" si="11"/>
        <v>-64805.540761469521</v>
      </c>
      <c r="T80" s="176">
        <f t="shared" si="11"/>
        <v>-64805.540761469521</v>
      </c>
      <c r="U80" s="176">
        <f t="shared" si="11"/>
        <v>-64805.540761469521</v>
      </c>
      <c r="V80" s="176">
        <f t="shared" si="11"/>
        <v>-64805.540761469521</v>
      </c>
      <c r="W80" s="176">
        <f t="shared" si="11"/>
        <v>-64805.540761469521</v>
      </c>
      <c r="X80" s="176">
        <f t="shared" si="11"/>
        <v>-64805.540761469521</v>
      </c>
      <c r="Y80" s="176">
        <f t="shared" si="11"/>
        <v>-64805.540761469521</v>
      </c>
      <c r="Z80" s="176">
        <f t="shared" si="11"/>
        <v>-64805.540761469521</v>
      </c>
      <c r="AA80" s="176">
        <f t="shared" si="11"/>
        <v>-64805.540761469521</v>
      </c>
      <c r="AB80" s="176">
        <f t="shared" si="11"/>
        <v>-64805.540761469521</v>
      </c>
      <c r="AC80" s="176">
        <f>SUM(AC77:AC79)</f>
        <v>-64805.540761469521</v>
      </c>
      <c r="AD80" s="176">
        <f>SUM(AD77:AD79)</f>
        <v>-64805.540761469521</v>
      </c>
      <c r="AE80" s="176">
        <f>SUM(AE77:AE79)</f>
        <v>-64805.540761469521</v>
      </c>
      <c r="AF80" s="176">
        <f>SUM(AF77:AF79)</f>
        <v>-64805.540761469521</v>
      </c>
      <c r="AG80" s="176">
        <f>SUM(AG77:AG79)</f>
        <v>-64805.540761469521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-32402.770380734761</v>
      </c>
      <c r="N82" s="119">
        <f t="shared" si="13"/>
        <v>-64805.540761469521</v>
      </c>
      <c r="O82" s="119">
        <f t="shared" si="13"/>
        <v>-64805.540761469521</v>
      </c>
      <c r="P82" s="119">
        <f t="shared" si="13"/>
        <v>-64805.540761469521</v>
      </c>
      <c r="Q82" s="119">
        <f t="shared" si="13"/>
        <v>-64805.540761469521</v>
      </c>
      <c r="R82" s="119">
        <f t="shared" si="13"/>
        <v>-64805.540761469521</v>
      </c>
      <c r="S82" s="119">
        <f t="shared" si="13"/>
        <v>-64805.540761469521</v>
      </c>
      <c r="T82" s="119">
        <f t="shared" si="13"/>
        <v>-64805.540761469521</v>
      </c>
      <c r="U82" s="119">
        <f t="shared" si="13"/>
        <v>-64805.540761469521</v>
      </c>
      <c r="V82" s="119">
        <f t="shared" si="13"/>
        <v>-64805.540761469521</v>
      </c>
      <c r="W82" s="119">
        <f t="shared" si="13"/>
        <v>-64805.540761469521</v>
      </c>
      <c r="X82" s="119">
        <f t="shared" si="13"/>
        <v>-64805.540761469521</v>
      </c>
      <c r="Y82" s="119">
        <f t="shared" si="13"/>
        <v>-64805.540761469521</v>
      </c>
      <c r="Z82" s="119">
        <f t="shared" si="13"/>
        <v>-64805.540761469521</v>
      </c>
      <c r="AA82" s="119">
        <f t="shared" si="13"/>
        <v>-64805.540761469521</v>
      </c>
      <c r="AB82" s="119">
        <f t="shared" si="13"/>
        <v>-64805.540761469521</v>
      </c>
      <c r="AC82" s="119">
        <f>AC80</f>
        <v>-64805.540761469521</v>
      </c>
      <c r="AD82" s="119">
        <f>AD80</f>
        <v>-64805.540761469521</v>
      </c>
      <c r="AE82" s="119">
        <f>AE80</f>
        <v>-64805.540761469521</v>
      </c>
      <c r="AF82" s="119">
        <f>AF80</f>
        <v>-64805.540761469521</v>
      </c>
      <c r="AG82" s="119">
        <f>AG80</f>
        <v>-64805.540761469521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108768.1356805102</v>
      </c>
      <c r="O84" s="31">
        <f t="shared" si="15"/>
        <v>246651.42526685912</v>
      </c>
      <c r="P84" s="31">
        <f t="shared" si="15"/>
        <v>438363.94476323808</v>
      </c>
      <c r="Q84" s="31">
        <f t="shared" si="15"/>
        <v>438363.94476323808</v>
      </c>
      <c r="R84" s="31">
        <f t="shared" si="15"/>
        <v>438363.94476323808</v>
      </c>
      <c r="S84" s="31">
        <f t="shared" si="15"/>
        <v>438363.94476323808</v>
      </c>
      <c r="T84" s="31">
        <f t="shared" si="15"/>
        <v>438363.94476323808</v>
      </c>
      <c r="U84" s="31">
        <f t="shared" si="15"/>
        <v>438363.94476323808</v>
      </c>
      <c r="V84" s="31">
        <f t="shared" si="15"/>
        <v>438363.94476323808</v>
      </c>
      <c r="W84" s="31">
        <f t="shared" si="15"/>
        <v>438363.94476323808</v>
      </c>
      <c r="X84" s="31">
        <f t="shared" si="15"/>
        <v>438363.94476323808</v>
      </c>
      <c r="Y84" s="31">
        <f t="shared" si="15"/>
        <v>438363.94476323808</v>
      </c>
      <c r="Z84" s="31">
        <f t="shared" si="15"/>
        <v>438363.94476323808</v>
      </c>
      <c r="AA84" s="31">
        <f t="shared" si="15"/>
        <v>438363.94476323808</v>
      </c>
      <c r="AB84" s="31">
        <f t="shared" si="15"/>
        <v>438363.94476323808</v>
      </c>
      <c r="AC84" s="31">
        <f>AC64</f>
        <v>438363.94476323808</v>
      </c>
      <c r="AD84" s="31">
        <f>AD64</f>
        <v>438363.94476323808</v>
      </c>
      <c r="AE84" s="31">
        <f>AE64</f>
        <v>438363.94476323808</v>
      </c>
      <c r="AF84" s="31">
        <f>AF64</f>
        <v>438363.94476323808</v>
      </c>
      <c r="AG84" s="31">
        <f>AG64</f>
        <v>438363.94476323808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-32402.770380734761</v>
      </c>
      <c r="N87" s="179">
        <f t="shared" si="17"/>
        <v>43962.594919040675</v>
      </c>
      <c r="O87" s="179">
        <f t="shared" si="17"/>
        <v>181845.88450538961</v>
      </c>
      <c r="P87" s="179">
        <f t="shared" si="17"/>
        <v>373558.40400176856</v>
      </c>
      <c r="Q87" s="179">
        <f t="shared" si="17"/>
        <v>373558.40400176856</v>
      </c>
      <c r="R87" s="179">
        <f t="shared" si="17"/>
        <v>373558.40400176856</v>
      </c>
      <c r="S87" s="179">
        <f t="shared" si="17"/>
        <v>373558.40400176856</v>
      </c>
      <c r="T87" s="179">
        <f t="shared" si="17"/>
        <v>373558.40400176856</v>
      </c>
      <c r="U87" s="179">
        <f t="shared" si="17"/>
        <v>373558.40400176856</v>
      </c>
      <c r="V87" s="179">
        <f t="shared" si="17"/>
        <v>373558.40400176856</v>
      </c>
      <c r="W87" s="179">
        <f t="shared" si="17"/>
        <v>373558.40400176856</v>
      </c>
      <c r="X87" s="179">
        <f t="shared" si="17"/>
        <v>373558.40400176856</v>
      </c>
      <c r="Y87" s="179">
        <f t="shared" si="17"/>
        <v>373558.40400176856</v>
      </c>
      <c r="Z87" s="179">
        <f t="shared" si="17"/>
        <v>373558.40400176856</v>
      </c>
      <c r="AA87" s="179">
        <f t="shared" si="17"/>
        <v>373558.40400176856</v>
      </c>
      <c r="AB87" s="179">
        <f t="shared" si="17"/>
        <v>373558.40400176856</v>
      </c>
      <c r="AC87" s="179">
        <f>SUM(AC82:AC86)</f>
        <v>373558.40400176856</v>
      </c>
      <c r="AD87" s="179">
        <f>SUM(AD82:AD86)</f>
        <v>373558.40400176856</v>
      </c>
      <c r="AE87" s="179">
        <f>SUM(AE82:AE86)</f>
        <v>373558.40400176856</v>
      </c>
      <c r="AF87" s="179">
        <f>SUM(AF82:AF86)</f>
        <v>373558.40400176856</v>
      </c>
      <c r="AG87" s="179">
        <f>SUM(AG82:AG86)</f>
        <v>373558.40400176856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4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193</v>
      </c>
      <c r="D92" s="236"/>
      <c r="E92" s="236"/>
      <c r="F92" s="236"/>
      <c r="G92" s="237">
        <f>IF(_xlfn.MINIFS($G$90:$G$91, $G$90:$G$91, "&gt;"&amp;0)=0, $A$4, _xlfn.MINIFS($G$90:$G$91, $G$90:$G$91, "&gt;"&amp;0))</f>
        <v>4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-32402.770380734761</v>
      </c>
      <c r="N106" s="31">
        <f t="shared" si="18"/>
        <v>43962.594919040675</v>
      </c>
      <c r="O106" s="31">
        <f t="shared" si="18"/>
        <v>181845.88450538961</v>
      </c>
      <c r="P106" s="31">
        <f t="shared" si="18"/>
        <v>373558.40400176856</v>
      </c>
      <c r="Q106" s="31">
        <f t="shared" si="18"/>
        <v>373558.40400176856</v>
      </c>
      <c r="R106" s="31">
        <f t="shared" si="18"/>
        <v>373558.40400176856</v>
      </c>
      <c r="S106" s="31">
        <f t="shared" si="18"/>
        <v>373558.40400176856</v>
      </c>
      <c r="T106" s="31">
        <f t="shared" si="18"/>
        <v>373558.40400176856</v>
      </c>
      <c r="U106" s="31">
        <f t="shared" si="18"/>
        <v>373558.40400176856</v>
      </c>
      <c r="V106" s="31">
        <f t="shared" si="18"/>
        <v>373558.40400176856</v>
      </c>
      <c r="W106" s="31">
        <f t="shared" si="18"/>
        <v>373558.40400176856</v>
      </c>
      <c r="X106" s="31">
        <f t="shared" si="18"/>
        <v>373558.40400176856</v>
      </c>
      <c r="Y106" s="31">
        <f t="shared" si="18"/>
        <v>373558.40400176856</v>
      </c>
      <c r="Z106" s="31">
        <f t="shared" si="18"/>
        <v>373558.40400176856</v>
      </c>
      <c r="AA106" s="31">
        <f t="shared" si="18"/>
        <v>373558.40400176856</v>
      </c>
      <c r="AB106" s="31">
        <f t="shared" si="18"/>
        <v>373558.40400176856</v>
      </c>
      <c r="AC106" s="31">
        <f t="shared" si="18"/>
        <v>373558.40400176856</v>
      </c>
      <c r="AD106" s="31">
        <f t="shared" si="18"/>
        <v>373558.40400176856</v>
      </c>
      <c r="AE106" s="31">
        <f t="shared" si="18"/>
        <v>373558.40400176856</v>
      </c>
      <c r="AF106" s="31">
        <f t="shared" si="18"/>
        <v>373558.40400176856</v>
      </c>
      <c r="AG106" s="31">
        <f t="shared" si="18"/>
        <v>373558.40400176856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-32402.770380734761</v>
      </c>
      <c r="N107" s="31">
        <f t="shared" si="19"/>
        <v>-64805.540761469521</v>
      </c>
      <c r="O107" s="31">
        <f t="shared" si="19"/>
        <v>-64805.540761469521</v>
      </c>
      <c r="P107" s="31">
        <f t="shared" si="19"/>
        <v>-64805.540761469521</v>
      </c>
      <c r="Q107" s="31">
        <f t="shared" si="19"/>
        <v>-64805.540761469521</v>
      </c>
      <c r="R107" s="31">
        <f t="shared" si="19"/>
        <v>-64805.540761469521</v>
      </c>
      <c r="S107" s="31">
        <f t="shared" si="19"/>
        <v>-64805.540761469521</v>
      </c>
      <c r="T107" s="31">
        <f t="shared" si="19"/>
        <v>-64805.540761469521</v>
      </c>
      <c r="U107" s="31">
        <f t="shared" si="19"/>
        <v>-64805.540761469521</v>
      </c>
      <c r="V107" s="31">
        <f t="shared" si="19"/>
        <v>-64805.540761469521</v>
      </c>
      <c r="W107" s="31">
        <f t="shared" si="19"/>
        <v>-64805.540761469521</v>
      </c>
      <c r="X107" s="31">
        <f t="shared" si="19"/>
        <v>-64805.540761469521</v>
      </c>
      <c r="Y107" s="31">
        <f t="shared" si="19"/>
        <v>-64805.540761469521</v>
      </c>
      <c r="Z107" s="31">
        <f t="shared" si="19"/>
        <v>-64805.540761469521</v>
      </c>
      <c r="AA107" s="31">
        <f t="shared" si="19"/>
        <v>-64805.540761469521</v>
      </c>
      <c r="AB107" s="31">
        <f t="shared" si="19"/>
        <v>-64805.540761469521</v>
      </c>
      <c r="AC107" s="31">
        <f t="shared" si="19"/>
        <v>-64805.540761469521</v>
      </c>
      <c r="AD107" s="31">
        <f t="shared" si="19"/>
        <v>-64805.540761469521</v>
      </c>
      <c r="AE107" s="31">
        <f t="shared" si="19"/>
        <v>-64805.540761469521</v>
      </c>
      <c r="AF107" s="31">
        <f t="shared" si="19"/>
        <v>-64805.540761469521</v>
      </c>
      <c r="AG107" s="31">
        <f t="shared" si="19"/>
        <v>-64805.540761469521</v>
      </c>
    </row>
    <row r="108" spans="1:43" x14ac:dyDescent="0.2">
      <c r="C108" s="1" t="s">
        <v>241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108768.1356805102</v>
      </c>
      <c r="O108" s="31">
        <f t="shared" si="20"/>
        <v>246651.42526685912</v>
      </c>
      <c r="P108" s="31">
        <f t="shared" si="20"/>
        <v>438363.94476323808</v>
      </c>
      <c r="Q108" s="31">
        <f t="shared" si="20"/>
        <v>438363.94476323808</v>
      </c>
      <c r="R108" s="31">
        <f t="shared" si="20"/>
        <v>438363.94476323808</v>
      </c>
      <c r="S108" s="31">
        <f t="shared" si="20"/>
        <v>438363.94476323808</v>
      </c>
      <c r="T108" s="31">
        <f t="shared" si="20"/>
        <v>438363.94476323808</v>
      </c>
      <c r="U108" s="31">
        <f t="shared" si="20"/>
        <v>438363.94476323808</v>
      </c>
      <c r="V108" s="31">
        <f t="shared" si="20"/>
        <v>438363.94476323808</v>
      </c>
      <c r="W108" s="31">
        <f t="shared" si="20"/>
        <v>438363.94476323808</v>
      </c>
      <c r="X108" s="31">
        <f t="shared" si="20"/>
        <v>438363.94476323808</v>
      </c>
      <c r="Y108" s="31">
        <f t="shared" si="20"/>
        <v>438363.94476323808</v>
      </c>
      <c r="Z108" s="31">
        <f t="shared" si="20"/>
        <v>438363.94476323808</v>
      </c>
      <c r="AA108" s="31">
        <f t="shared" si="20"/>
        <v>438363.94476323808</v>
      </c>
      <c r="AB108" s="31">
        <f t="shared" si="20"/>
        <v>438363.94476323808</v>
      </c>
      <c r="AC108" s="31">
        <f t="shared" si="20"/>
        <v>438363.94476323808</v>
      </c>
      <c r="AD108" s="31">
        <f t="shared" si="20"/>
        <v>438363.94476323808</v>
      </c>
      <c r="AE108" s="31">
        <f t="shared" si="20"/>
        <v>438363.94476323808</v>
      </c>
      <c r="AF108" s="31">
        <f t="shared" si="20"/>
        <v>438363.94476323808</v>
      </c>
      <c r="AG108" s="31">
        <f t="shared" si="20"/>
        <v>438363.94476323808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-35643.047418808237</v>
      </c>
      <c r="N110" s="31" cm="1">
        <f t="array" ref="N110">N$106+IF($C110&lt;&gt;0,SUMPRODUCT((N$107:N$108)*TRANSPOSE(($D110:$E110))),0)</f>
        <v>37482.040842893723</v>
      </c>
      <c r="O110" s="31" cm="1">
        <f t="array" ref="O110">O$106+IF($C110&lt;&gt;0,SUMPRODUCT((O$107:O$108)*TRANSPOSE(($D110:$E110))),0)</f>
        <v>175365.33042924266</v>
      </c>
      <c r="P110" s="31" cm="1">
        <f t="array" ref="P110">P$106+IF($C110&lt;&gt;0,SUMPRODUCT((P$107:P$108)*TRANSPOSE(($D110:$E110))),0)</f>
        <v>367077.84992562159</v>
      </c>
      <c r="Q110" s="31" cm="1">
        <f t="array" ref="Q110">Q$106+IF($C110&lt;&gt;0,SUMPRODUCT((Q$107:Q$108)*TRANSPOSE(($D110:$E110))),0)</f>
        <v>367077.84992562159</v>
      </c>
      <c r="R110" s="31" cm="1">
        <f t="array" ref="R110">R$106+IF($C110&lt;&gt;0,SUMPRODUCT((R$107:R$108)*TRANSPOSE(($D110:$E110))),0)</f>
        <v>367077.84992562159</v>
      </c>
      <c r="S110" s="31" cm="1">
        <f t="array" ref="S110">S$106+IF($C110&lt;&gt;0,SUMPRODUCT((S$107:S$108)*TRANSPOSE(($D110:$E110))),0)</f>
        <v>367077.84992562159</v>
      </c>
      <c r="T110" s="31" cm="1">
        <f t="array" ref="T110">T$106+IF($C110&lt;&gt;0,SUMPRODUCT((T$107:T$108)*TRANSPOSE(($D110:$E110))),0)</f>
        <v>367077.84992562159</v>
      </c>
      <c r="U110" s="31" cm="1">
        <f t="array" ref="U110">U$106+IF($C110&lt;&gt;0,SUMPRODUCT((U$107:U$108)*TRANSPOSE(($D110:$E110))),0)</f>
        <v>367077.84992562159</v>
      </c>
      <c r="V110" s="31" cm="1">
        <f t="array" ref="V110">V$106+IF($C110&lt;&gt;0,SUMPRODUCT((V$107:V$108)*TRANSPOSE(($D110:$E110))),0)</f>
        <v>367077.84992562159</v>
      </c>
      <c r="W110" s="31" cm="1">
        <f t="array" ref="W110">W$106+IF($C110&lt;&gt;0,SUMPRODUCT((W$107:W$108)*TRANSPOSE(($D110:$E110))),0)</f>
        <v>367077.84992562159</v>
      </c>
      <c r="X110" s="31" cm="1">
        <f t="array" ref="X110">X$106+IF($C110&lt;&gt;0,SUMPRODUCT((X$107:X$108)*TRANSPOSE(($D110:$E110))),0)</f>
        <v>367077.84992562159</v>
      </c>
      <c r="Y110" s="31" cm="1">
        <f t="array" ref="Y110">Y$106+IF($C110&lt;&gt;0,SUMPRODUCT((Y$107:Y$108)*TRANSPOSE(($D110:$E110))),0)</f>
        <v>367077.84992562159</v>
      </c>
      <c r="Z110" s="31" cm="1">
        <f t="array" ref="Z110">Z$106+IF($C110&lt;&gt;0,SUMPRODUCT((Z$107:Z$108)*TRANSPOSE(($D110:$E110))),0)</f>
        <v>367077.84992562159</v>
      </c>
      <c r="AA110" s="31" cm="1">
        <f t="array" ref="AA110">AA$106+IF($C110&lt;&gt;0,SUMPRODUCT((AA$107:AA$108)*TRANSPOSE(($D110:$E110))),0)</f>
        <v>367077.84992562159</v>
      </c>
      <c r="AB110" s="31" cm="1">
        <f t="array" ref="AB110">AB$106+IF($C110&lt;&gt;0,SUMPRODUCT((AB$107:AB$108)*TRANSPOSE(($D110:$E110))),0)</f>
        <v>367077.84992562159</v>
      </c>
      <c r="AC110" s="31" cm="1">
        <f t="array" ref="AC110">AC$106+IF($C110&lt;&gt;0,SUMPRODUCT((AC$107:AC$108)*TRANSPOSE(($D110:$E110))),0)</f>
        <v>367077.84992562159</v>
      </c>
      <c r="AD110" s="31" cm="1">
        <f t="array" ref="AD110">AD$106+IF($C110&lt;&gt;0,SUMPRODUCT((AD$107:AD$108)*TRANSPOSE(($D110:$E110))),0)</f>
        <v>367077.84992562159</v>
      </c>
      <c r="AE110" s="31" cm="1">
        <f t="array" ref="AE110">AE$106+IF($C110&lt;&gt;0,SUMPRODUCT((AE$107:AE$108)*TRANSPOSE(($D110:$E110))),0)</f>
        <v>367077.84992562159</v>
      </c>
      <c r="AF110" s="31" cm="1">
        <f t="array" ref="AF110">AF$106+IF($C110&lt;&gt;0,SUMPRODUCT((AF$107:AF$108)*TRANSPOSE(($D110:$E110))),0)</f>
        <v>367077.84992562159</v>
      </c>
      <c r="AG110" s="31" cm="1">
        <f t="array" ref="AG110">AG$106+IF($C110&lt;&gt;0,SUMPRODUCT((AG$107:AG$108)*TRANSPOSE(($D110:$E110))),0)</f>
        <v>367077.84992562159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-29162.493342661284</v>
      </c>
      <c r="N111" s="31" cm="1">
        <f t="array" ref="N111">N$106+IF($C111&lt;&gt;0,SUMPRODUCT((N$107:N$108)*TRANSPOSE(($D111:$E111))),0)</f>
        <v>50443.148995187628</v>
      </c>
      <c r="O111" s="31" cm="1">
        <f t="array" ref="O111">O$106+IF($C111&lt;&gt;0,SUMPRODUCT((O$107:O$108)*TRANSPOSE(($D111:$E111))),0)</f>
        <v>188326.43858153655</v>
      </c>
      <c r="P111" s="31" cm="1">
        <f t="array" ref="P111">P$106+IF($C111&lt;&gt;0,SUMPRODUCT((P$107:P$108)*TRANSPOSE(($D111:$E111))),0)</f>
        <v>380038.95807791554</v>
      </c>
      <c r="Q111" s="31" cm="1">
        <f t="array" ref="Q111">Q$106+IF($C111&lt;&gt;0,SUMPRODUCT((Q$107:Q$108)*TRANSPOSE(($D111:$E111))),0)</f>
        <v>380038.95807791554</v>
      </c>
      <c r="R111" s="31" cm="1">
        <f t="array" ref="R111">R$106+IF($C111&lt;&gt;0,SUMPRODUCT((R$107:R$108)*TRANSPOSE(($D111:$E111))),0)</f>
        <v>380038.95807791554</v>
      </c>
      <c r="S111" s="31" cm="1">
        <f t="array" ref="S111">S$106+IF($C111&lt;&gt;0,SUMPRODUCT((S$107:S$108)*TRANSPOSE(($D111:$E111))),0)</f>
        <v>380038.95807791554</v>
      </c>
      <c r="T111" s="31" cm="1">
        <f t="array" ref="T111">T$106+IF($C111&lt;&gt;0,SUMPRODUCT((T$107:T$108)*TRANSPOSE(($D111:$E111))),0)</f>
        <v>380038.95807791554</v>
      </c>
      <c r="U111" s="31" cm="1">
        <f t="array" ref="U111">U$106+IF($C111&lt;&gt;0,SUMPRODUCT((U$107:U$108)*TRANSPOSE(($D111:$E111))),0)</f>
        <v>380038.95807791554</v>
      </c>
      <c r="V111" s="31" cm="1">
        <f t="array" ref="V111">V$106+IF($C111&lt;&gt;0,SUMPRODUCT((V$107:V$108)*TRANSPOSE(($D111:$E111))),0)</f>
        <v>380038.95807791554</v>
      </c>
      <c r="W111" s="31" cm="1">
        <f t="array" ref="W111">W$106+IF($C111&lt;&gt;0,SUMPRODUCT((W$107:W$108)*TRANSPOSE(($D111:$E111))),0)</f>
        <v>380038.95807791554</v>
      </c>
      <c r="X111" s="31" cm="1">
        <f t="array" ref="X111">X$106+IF($C111&lt;&gt;0,SUMPRODUCT((X$107:X$108)*TRANSPOSE(($D111:$E111))),0)</f>
        <v>380038.95807791554</v>
      </c>
      <c r="Y111" s="31" cm="1">
        <f t="array" ref="Y111">Y$106+IF($C111&lt;&gt;0,SUMPRODUCT((Y$107:Y$108)*TRANSPOSE(($D111:$E111))),0)</f>
        <v>380038.95807791554</v>
      </c>
      <c r="Z111" s="31" cm="1">
        <f t="array" ref="Z111">Z$106+IF($C111&lt;&gt;0,SUMPRODUCT((Z$107:Z$108)*TRANSPOSE(($D111:$E111))),0)</f>
        <v>380038.95807791554</v>
      </c>
      <c r="AA111" s="31" cm="1">
        <f t="array" ref="AA111">AA$106+IF($C111&lt;&gt;0,SUMPRODUCT((AA$107:AA$108)*TRANSPOSE(($D111:$E111))),0)</f>
        <v>380038.95807791554</v>
      </c>
      <c r="AB111" s="31" cm="1">
        <f t="array" ref="AB111">AB$106+IF($C111&lt;&gt;0,SUMPRODUCT((AB$107:AB$108)*TRANSPOSE(($D111:$E111))),0)</f>
        <v>380038.95807791554</v>
      </c>
      <c r="AC111" s="31" cm="1">
        <f t="array" ref="AC111">AC$106+IF($C111&lt;&gt;0,SUMPRODUCT((AC$107:AC$108)*TRANSPOSE(($D111:$E111))),0)</f>
        <v>380038.95807791554</v>
      </c>
      <c r="AD111" s="31" cm="1">
        <f t="array" ref="AD111">AD$106+IF($C111&lt;&gt;0,SUMPRODUCT((AD$107:AD$108)*TRANSPOSE(($D111:$E111))),0)</f>
        <v>380038.95807791554</v>
      </c>
      <c r="AE111" s="31" cm="1">
        <f t="array" ref="AE111">AE$106+IF($C111&lt;&gt;0,SUMPRODUCT((AE$107:AE$108)*TRANSPOSE(($D111:$E111))),0)</f>
        <v>380038.95807791554</v>
      </c>
      <c r="AF111" s="31" cm="1">
        <f t="array" ref="AF111">AF$106+IF($C111&lt;&gt;0,SUMPRODUCT((AF$107:AF$108)*TRANSPOSE(($D111:$E111))),0)</f>
        <v>380038.95807791554</v>
      </c>
      <c r="AG111" s="31" cm="1">
        <f t="array" ref="AG111">AG$106+IF($C111&lt;&gt;0,SUMPRODUCT((AG$107:AG$108)*TRANSPOSE(($D111:$E111))),0)</f>
        <v>380038.95807791554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-32402.770380734761</v>
      </c>
      <c r="N112" s="31" cm="1">
        <f t="array" ref="N112">N$106+IF($C112&lt;&gt;0,SUMPRODUCT((N$107:N$108)*TRANSPOSE(($D112:$E112))),0)</f>
        <v>54839.408487091699</v>
      </c>
      <c r="O112" s="31" cm="1">
        <f t="array" ref="O112">O$106+IF($C112&lt;&gt;0,SUMPRODUCT((O$107:O$108)*TRANSPOSE(($D112:$E112))),0)</f>
        <v>206511.02703207551</v>
      </c>
      <c r="P112" s="31" cm="1">
        <f t="array" ref="P112">P$106+IF($C112&lt;&gt;0,SUMPRODUCT((P$107:P$108)*TRANSPOSE(($D112:$E112))),0)</f>
        <v>417394.79847809236</v>
      </c>
      <c r="Q112" s="31" cm="1">
        <f t="array" ref="Q112">Q$106+IF($C112&lt;&gt;0,SUMPRODUCT((Q$107:Q$108)*TRANSPOSE(($D112:$E112))),0)</f>
        <v>417394.79847809236</v>
      </c>
      <c r="R112" s="31" cm="1">
        <f t="array" ref="R112">R$106+IF($C112&lt;&gt;0,SUMPRODUCT((R$107:R$108)*TRANSPOSE(($D112:$E112))),0)</f>
        <v>417394.79847809236</v>
      </c>
      <c r="S112" s="31" cm="1">
        <f t="array" ref="S112">S$106+IF($C112&lt;&gt;0,SUMPRODUCT((S$107:S$108)*TRANSPOSE(($D112:$E112))),0)</f>
        <v>417394.79847809236</v>
      </c>
      <c r="T112" s="31" cm="1">
        <f t="array" ref="T112">T$106+IF($C112&lt;&gt;0,SUMPRODUCT((T$107:T$108)*TRANSPOSE(($D112:$E112))),0)</f>
        <v>417394.79847809236</v>
      </c>
      <c r="U112" s="31" cm="1">
        <f t="array" ref="U112">U$106+IF($C112&lt;&gt;0,SUMPRODUCT((U$107:U$108)*TRANSPOSE(($D112:$E112))),0)</f>
        <v>417394.79847809236</v>
      </c>
      <c r="V112" s="31" cm="1">
        <f t="array" ref="V112">V$106+IF($C112&lt;&gt;0,SUMPRODUCT((V$107:V$108)*TRANSPOSE(($D112:$E112))),0)</f>
        <v>417394.79847809236</v>
      </c>
      <c r="W112" s="31" cm="1">
        <f t="array" ref="W112">W$106+IF($C112&lt;&gt;0,SUMPRODUCT((W$107:W$108)*TRANSPOSE(($D112:$E112))),0)</f>
        <v>417394.79847809236</v>
      </c>
      <c r="X112" s="31" cm="1">
        <f t="array" ref="X112">X$106+IF($C112&lt;&gt;0,SUMPRODUCT((X$107:X$108)*TRANSPOSE(($D112:$E112))),0)</f>
        <v>417394.79847809236</v>
      </c>
      <c r="Y112" s="31" cm="1">
        <f t="array" ref="Y112">Y$106+IF($C112&lt;&gt;0,SUMPRODUCT((Y$107:Y$108)*TRANSPOSE(($D112:$E112))),0)</f>
        <v>417394.79847809236</v>
      </c>
      <c r="Z112" s="31" cm="1">
        <f t="array" ref="Z112">Z$106+IF($C112&lt;&gt;0,SUMPRODUCT((Z$107:Z$108)*TRANSPOSE(($D112:$E112))),0)</f>
        <v>417394.79847809236</v>
      </c>
      <c r="AA112" s="31" cm="1">
        <f t="array" ref="AA112">AA$106+IF($C112&lt;&gt;0,SUMPRODUCT((AA$107:AA$108)*TRANSPOSE(($D112:$E112))),0)</f>
        <v>417394.79847809236</v>
      </c>
      <c r="AB112" s="31" cm="1">
        <f t="array" ref="AB112">AB$106+IF($C112&lt;&gt;0,SUMPRODUCT((AB$107:AB$108)*TRANSPOSE(($D112:$E112))),0)</f>
        <v>417394.79847809236</v>
      </c>
      <c r="AC112" s="31" cm="1">
        <f t="array" ref="AC112">AC$106+IF($C112&lt;&gt;0,SUMPRODUCT((AC$107:AC$108)*TRANSPOSE(($D112:$E112))),0)</f>
        <v>417394.79847809236</v>
      </c>
      <c r="AD112" s="31" cm="1">
        <f t="array" ref="AD112">AD$106+IF($C112&lt;&gt;0,SUMPRODUCT((AD$107:AD$108)*TRANSPOSE(($D112:$E112))),0)</f>
        <v>417394.79847809236</v>
      </c>
      <c r="AE112" s="31" cm="1">
        <f t="array" ref="AE112">AE$106+IF($C112&lt;&gt;0,SUMPRODUCT((AE$107:AE$108)*TRANSPOSE(($D112:$E112))),0)</f>
        <v>417394.79847809236</v>
      </c>
      <c r="AF112" s="31" cm="1">
        <f t="array" ref="AF112">AF$106+IF($C112&lt;&gt;0,SUMPRODUCT((AF$107:AF$108)*TRANSPOSE(($D112:$E112))),0)</f>
        <v>417394.79847809236</v>
      </c>
      <c r="AG112" s="31" cm="1">
        <f t="array" ref="AG112">AG$106+IF($C112&lt;&gt;0,SUMPRODUCT((AG$107:AG$108)*TRANSPOSE(($D112:$E112))),0)</f>
        <v>417394.79847809236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-32402.770380734761</v>
      </c>
      <c r="N113" s="31" cm="1">
        <f t="array" ref="N113">N$106+IF($C113&lt;&gt;0,SUMPRODUCT((N$107:N$108)*TRANSPOSE(($D113:$E113))),0)</f>
        <v>33085.781350989651</v>
      </c>
      <c r="O113" s="31" cm="1">
        <f t="array" ref="O113">O$106+IF($C113&lt;&gt;0,SUMPRODUCT((O$107:O$108)*TRANSPOSE(($D113:$E113))),0)</f>
        <v>157180.74197870371</v>
      </c>
      <c r="P113" s="31" cm="1">
        <f t="array" ref="P113">P$106+IF($C113&lt;&gt;0,SUMPRODUCT((P$107:P$108)*TRANSPOSE(($D113:$E113))),0)</f>
        <v>329722.00952544477</v>
      </c>
      <c r="Q113" s="31" cm="1">
        <f t="array" ref="Q113">Q$106+IF($C113&lt;&gt;0,SUMPRODUCT((Q$107:Q$108)*TRANSPOSE(($D113:$E113))),0)</f>
        <v>329722.00952544477</v>
      </c>
      <c r="R113" s="31" cm="1">
        <f t="array" ref="R113">R$106+IF($C113&lt;&gt;0,SUMPRODUCT((R$107:R$108)*TRANSPOSE(($D113:$E113))),0)</f>
        <v>329722.00952544477</v>
      </c>
      <c r="S113" s="31" cm="1">
        <f t="array" ref="S113">S$106+IF($C113&lt;&gt;0,SUMPRODUCT((S$107:S$108)*TRANSPOSE(($D113:$E113))),0)</f>
        <v>329722.00952544477</v>
      </c>
      <c r="T113" s="31" cm="1">
        <f t="array" ref="T113">T$106+IF($C113&lt;&gt;0,SUMPRODUCT((T$107:T$108)*TRANSPOSE(($D113:$E113))),0)</f>
        <v>329722.00952544477</v>
      </c>
      <c r="U113" s="31" cm="1">
        <f t="array" ref="U113">U$106+IF($C113&lt;&gt;0,SUMPRODUCT((U$107:U$108)*TRANSPOSE(($D113:$E113))),0)</f>
        <v>329722.00952544477</v>
      </c>
      <c r="V113" s="31" cm="1">
        <f t="array" ref="V113">V$106+IF($C113&lt;&gt;0,SUMPRODUCT((V$107:V$108)*TRANSPOSE(($D113:$E113))),0)</f>
        <v>329722.00952544477</v>
      </c>
      <c r="W113" s="31" cm="1">
        <f t="array" ref="W113">W$106+IF($C113&lt;&gt;0,SUMPRODUCT((W$107:W$108)*TRANSPOSE(($D113:$E113))),0)</f>
        <v>329722.00952544477</v>
      </c>
      <c r="X113" s="31" cm="1">
        <f t="array" ref="X113">X$106+IF($C113&lt;&gt;0,SUMPRODUCT((X$107:X$108)*TRANSPOSE(($D113:$E113))),0)</f>
        <v>329722.00952544477</v>
      </c>
      <c r="Y113" s="31" cm="1">
        <f t="array" ref="Y113">Y$106+IF($C113&lt;&gt;0,SUMPRODUCT((Y$107:Y$108)*TRANSPOSE(($D113:$E113))),0)</f>
        <v>329722.00952544477</v>
      </c>
      <c r="Z113" s="31" cm="1">
        <f t="array" ref="Z113">Z$106+IF($C113&lt;&gt;0,SUMPRODUCT((Z$107:Z$108)*TRANSPOSE(($D113:$E113))),0)</f>
        <v>329722.00952544477</v>
      </c>
      <c r="AA113" s="31" cm="1">
        <f t="array" ref="AA113">AA$106+IF($C113&lt;&gt;0,SUMPRODUCT((AA$107:AA$108)*TRANSPOSE(($D113:$E113))),0)</f>
        <v>329722.00952544477</v>
      </c>
      <c r="AB113" s="31" cm="1">
        <f t="array" ref="AB113">AB$106+IF($C113&lt;&gt;0,SUMPRODUCT((AB$107:AB$108)*TRANSPOSE(($D113:$E113))),0)</f>
        <v>329722.00952544477</v>
      </c>
      <c r="AC113" s="31" cm="1">
        <f t="array" ref="AC113">AC$106+IF($C113&lt;&gt;0,SUMPRODUCT((AC$107:AC$108)*TRANSPOSE(($D113:$E113))),0)</f>
        <v>329722.00952544477</v>
      </c>
      <c r="AD113" s="31" cm="1">
        <f t="array" ref="AD113">AD$106+IF($C113&lt;&gt;0,SUMPRODUCT((AD$107:AD$108)*TRANSPOSE(($D113:$E113))),0)</f>
        <v>329722.00952544477</v>
      </c>
      <c r="AE113" s="31" cm="1">
        <f t="array" ref="AE113">AE$106+IF($C113&lt;&gt;0,SUMPRODUCT((AE$107:AE$108)*TRANSPOSE(($D113:$E113))),0)</f>
        <v>329722.00952544477</v>
      </c>
      <c r="AF113" s="31" cm="1">
        <f t="array" ref="AF113">AF$106+IF($C113&lt;&gt;0,SUMPRODUCT((AF$107:AF$108)*TRANSPOSE(($D113:$E113))),0)</f>
        <v>329722.00952544477</v>
      </c>
      <c r="AG113" s="31" cm="1">
        <f t="array" ref="AG113">AG$106+IF($C113&lt;&gt;0,SUMPRODUCT((AG$107:AG$108)*TRANSPOSE(($D113:$E113))),0)</f>
        <v>329722.00952544477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-35643.047418808237</v>
      </c>
      <c r="N114" s="31" cm="1">
        <f t="array" ref="N114">N$106+IF($C114&lt;&gt;0,SUMPRODUCT((N$107:N$108)*TRANSPOSE(($D114:$E114))),0)</f>
        <v>26605.227274842702</v>
      </c>
      <c r="O114" s="31" cm="1">
        <f t="array" ref="O114">O$106+IF($C114&lt;&gt;0,SUMPRODUCT((O$107:O$108)*TRANSPOSE(($D114:$E114))),0)</f>
        <v>150700.18790255673</v>
      </c>
      <c r="P114" s="31" cm="1">
        <f t="array" ref="P114">P$106+IF($C114&lt;&gt;0,SUMPRODUCT((P$107:P$108)*TRANSPOSE(($D114:$E114))),0)</f>
        <v>323241.45544929779</v>
      </c>
      <c r="Q114" s="31" cm="1">
        <f t="array" ref="Q114">Q$106+IF($C114&lt;&gt;0,SUMPRODUCT((Q$107:Q$108)*TRANSPOSE(($D114:$E114))),0)</f>
        <v>323241.45544929779</v>
      </c>
      <c r="R114" s="31" cm="1">
        <f t="array" ref="R114">R$106+IF($C114&lt;&gt;0,SUMPRODUCT((R$107:R$108)*TRANSPOSE(($D114:$E114))),0)</f>
        <v>323241.45544929779</v>
      </c>
      <c r="S114" s="31" cm="1">
        <f t="array" ref="S114">S$106+IF($C114&lt;&gt;0,SUMPRODUCT((S$107:S$108)*TRANSPOSE(($D114:$E114))),0)</f>
        <v>323241.45544929779</v>
      </c>
      <c r="T114" s="31" cm="1">
        <f t="array" ref="T114">T$106+IF($C114&lt;&gt;0,SUMPRODUCT((T$107:T$108)*TRANSPOSE(($D114:$E114))),0)</f>
        <v>323241.45544929779</v>
      </c>
      <c r="U114" s="31" cm="1">
        <f t="array" ref="U114">U$106+IF($C114&lt;&gt;0,SUMPRODUCT((U$107:U$108)*TRANSPOSE(($D114:$E114))),0)</f>
        <v>323241.45544929779</v>
      </c>
      <c r="V114" s="31" cm="1">
        <f t="array" ref="V114">V$106+IF($C114&lt;&gt;0,SUMPRODUCT((V$107:V$108)*TRANSPOSE(($D114:$E114))),0)</f>
        <v>323241.45544929779</v>
      </c>
      <c r="W114" s="31" cm="1">
        <f t="array" ref="W114">W$106+IF($C114&lt;&gt;0,SUMPRODUCT((W$107:W$108)*TRANSPOSE(($D114:$E114))),0)</f>
        <v>323241.45544929779</v>
      </c>
      <c r="X114" s="31" cm="1">
        <f t="array" ref="X114">X$106+IF($C114&lt;&gt;0,SUMPRODUCT((X$107:X$108)*TRANSPOSE(($D114:$E114))),0)</f>
        <v>323241.45544929779</v>
      </c>
      <c r="Y114" s="31" cm="1">
        <f t="array" ref="Y114">Y$106+IF($C114&lt;&gt;0,SUMPRODUCT((Y$107:Y$108)*TRANSPOSE(($D114:$E114))),0)</f>
        <v>323241.45544929779</v>
      </c>
      <c r="Z114" s="31" cm="1">
        <f t="array" ref="Z114">Z$106+IF($C114&lt;&gt;0,SUMPRODUCT((Z$107:Z$108)*TRANSPOSE(($D114:$E114))),0)</f>
        <v>323241.45544929779</v>
      </c>
      <c r="AA114" s="31" cm="1">
        <f t="array" ref="AA114">AA$106+IF($C114&lt;&gt;0,SUMPRODUCT((AA$107:AA$108)*TRANSPOSE(($D114:$E114))),0)</f>
        <v>323241.45544929779</v>
      </c>
      <c r="AB114" s="31" cm="1">
        <f t="array" ref="AB114">AB$106+IF($C114&lt;&gt;0,SUMPRODUCT((AB$107:AB$108)*TRANSPOSE(($D114:$E114))),0)</f>
        <v>323241.45544929779</v>
      </c>
      <c r="AC114" s="31" cm="1">
        <f t="array" ref="AC114">AC$106+IF($C114&lt;&gt;0,SUMPRODUCT((AC$107:AC$108)*TRANSPOSE(($D114:$E114))),0)</f>
        <v>323241.45544929779</v>
      </c>
      <c r="AD114" s="31" cm="1">
        <f t="array" ref="AD114">AD$106+IF($C114&lt;&gt;0,SUMPRODUCT((AD$107:AD$108)*TRANSPOSE(($D114:$E114))),0)</f>
        <v>323241.45544929779</v>
      </c>
      <c r="AE114" s="31" cm="1">
        <f t="array" ref="AE114">AE$106+IF($C114&lt;&gt;0,SUMPRODUCT((AE$107:AE$108)*TRANSPOSE(($D114:$E114))),0)</f>
        <v>323241.45544929779</v>
      </c>
      <c r="AF114" s="31" cm="1">
        <f t="array" ref="AF114">AF$106+IF($C114&lt;&gt;0,SUMPRODUCT((AF$107:AF$108)*TRANSPOSE(($D114:$E114))),0)</f>
        <v>323241.45544929779</v>
      </c>
      <c r="AG114" s="31" cm="1">
        <f t="array" ref="AG114">AG$106+IF($C114&lt;&gt;0,SUMPRODUCT((AG$107:AG$108)*TRANSPOSE(($D114:$E114))),0)</f>
        <v>323241.45544929779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-32402.770380734761</v>
      </c>
      <c r="N115" s="31" cm="1">
        <f t="array" ref="N115">N$106+IF($C115&lt;&gt;0,SUMPRODUCT((N$107:N$108)*TRANSPOSE(($D115:$E115))),0)</f>
        <v>43962.594919040675</v>
      </c>
      <c r="O115" s="31" cm="1">
        <f t="array" ref="O115">O$106+IF($C115&lt;&gt;0,SUMPRODUCT((O$107:O$108)*TRANSPOSE(($D115:$E115))),0)</f>
        <v>181845.88450538961</v>
      </c>
      <c r="P115" s="31" cm="1">
        <f t="array" ref="P115">P$106+IF($C115&lt;&gt;0,SUMPRODUCT((P$107:P$108)*TRANSPOSE(($D115:$E115))),0)</f>
        <v>373558.40400176856</v>
      </c>
      <c r="Q115" s="31" cm="1">
        <f t="array" ref="Q115">Q$106+IF($C115&lt;&gt;0,SUMPRODUCT((Q$107:Q$108)*TRANSPOSE(($D115:$E115))),0)</f>
        <v>373558.40400176856</v>
      </c>
      <c r="R115" s="31" cm="1">
        <f t="array" ref="R115">R$106+IF($C115&lt;&gt;0,SUMPRODUCT((R$107:R$108)*TRANSPOSE(($D115:$E115))),0)</f>
        <v>373558.40400176856</v>
      </c>
      <c r="S115" s="31" cm="1">
        <f t="array" ref="S115">S$106+IF($C115&lt;&gt;0,SUMPRODUCT((S$107:S$108)*TRANSPOSE(($D115:$E115))),0)</f>
        <v>373558.40400176856</v>
      </c>
      <c r="T115" s="31" cm="1">
        <f t="array" ref="T115">T$106+IF($C115&lt;&gt;0,SUMPRODUCT((T$107:T$108)*TRANSPOSE(($D115:$E115))),0)</f>
        <v>373558.40400176856</v>
      </c>
      <c r="U115" s="31" cm="1">
        <f t="array" ref="U115">U$106+IF($C115&lt;&gt;0,SUMPRODUCT((U$107:U$108)*TRANSPOSE(($D115:$E115))),0)</f>
        <v>373558.40400176856</v>
      </c>
      <c r="V115" s="31" cm="1">
        <f t="array" ref="V115">V$106+IF($C115&lt;&gt;0,SUMPRODUCT((V$107:V$108)*TRANSPOSE(($D115:$E115))),0)</f>
        <v>373558.40400176856</v>
      </c>
      <c r="W115" s="31" cm="1">
        <f t="array" ref="W115">W$106+IF($C115&lt;&gt;0,SUMPRODUCT((W$107:W$108)*TRANSPOSE(($D115:$E115))),0)</f>
        <v>373558.40400176856</v>
      </c>
      <c r="X115" s="31" cm="1">
        <f t="array" ref="X115">X$106+IF($C115&lt;&gt;0,SUMPRODUCT((X$107:X$108)*TRANSPOSE(($D115:$E115))),0)</f>
        <v>373558.40400176856</v>
      </c>
      <c r="Y115" s="31" cm="1">
        <f t="array" ref="Y115">Y$106+IF($C115&lt;&gt;0,SUMPRODUCT((Y$107:Y$108)*TRANSPOSE(($D115:$E115))),0)</f>
        <v>373558.40400176856</v>
      </c>
      <c r="Z115" s="31" cm="1">
        <f t="array" ref="Z115">Z$106+IF($C115&lt;&gt;0,SUMPRODUCT((Z$107:Z$108)*TRANSPOSE(($D115:$E115))),0)</f>
        <v>373558.40400176856</v>
      </c>
      <c r="AA115" s="31" cm="1">
        <f t="array" ref="AA115">AA$106+IF($C115&lt;&gt;0,SUMPRODUCT((AA$107:AA$108)*TRANSPOSE(($D115:$E115))),0)</f>
        <v>373558.40400176856</v>
      </c>
      <c r="AB115" s="31" cm="1">
        <f t="array" ref="AB115">AB$106+IF($C115&lt;&gt;0,SUMPRODUCT((AB$107:AB$108)*TRANSPOSE(($D115:$E115))),0)</f>
        <v>373558.40400176856</v>
      </c>
      <c r="AC115" s="31" cm="1">
        <f t="array" ref="AC115">AC$106+IF($C115&lt;&gt;0,SUMPRODUCT((AC$107:AC$108)*TRANSPOSE(($D115:$E115))),0)</f>
        <v>373558.40400176856</v>
      </c>
      <c r="AD115" s="31" cm="1">
        <f t="array" ref="AD115">AD$106+IF($C115&lt;&gt;0,SUMPRODUCT((AD$107:AD$108)*TRANSPOSE(($D115:$E115))),0)</f>
        <v>373558.40400176856</v>
      </c>
      <c r="AE115" s="31" cm="1">
        <f t="array" ref="AE115">AE$106+IF($C115&lt;&gt;0,SUMPRODUCT((AE$107:AE$108)*TRANSPOSE(($D115:$E115))),0)</f>
        <v>373558.40400176856</v>
      </c>
      <c r="AF115" s="31" cm="1">
        <f t="array" ref="AF115">AF$106+IF($C115&lt;&gt;0,SUMPRODUCT((AF$107:AF$108)*TRANSPOSE(($D115:$E115))),0)</f>
        <v>373558.40400176856</v>
      </c>
      <c r="AG115" s="31" cm="1">
        <f t="array" ref="AG115">AG$106+IF($C115&lt;&gt;0,SUMPRODUCT((AG$107:AG$108)*TRANSPOSE(($D115:$E115))),0)</f>
        <v>373558.40400176856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-32402.770380734761</v>
      </c>
      <c r="N116" s="31" cm="1">
        <f t="array" ref="N116">N$106+IF($C116&lt;&gt;0,SUMPRODUCT((N$107:N$108)*TRANSPOSE(($D116:$E116))),0)</f>
        <v>43962.594919040675</v>
      </c>
      <c r="O116" s="31" cm="1">
        <f t="array" ref="O116">O$106+IF($C116&lt;&gt;0,SUMPRODUCT((O$107:O$108)*TRANSPOSE(($D116:$E116))),0)</f>
        <v>181845.88450538961</v>
      </c>
      <c r="P116" s="31" cm="1">
        <f t="array" ref="P116">P$106+IF($C116&lt;&gt;0,SUMPRODUCT((P$107:P$108)*TRANSPOSE(($D116:$E116))),0)</f>
        <v>373558.40400176856</v>
      </c>
      <c r="Q116" s="31" cm="1">
        <f t="array" ref="Q116">Q$106+IF($C116&lt;&gt;0,SUMPRODUCT((Q$107:Q$108)*TRANSPOSE(($D116:$E116))),0)</f>
        <v>373558.40400176856</v>
      </c>
      <c r="R116" s="31" cm="1">
        <f t="array" ref="R116">R$106+IF($C116&lt;&gt;0,SUMPRODUCT((R$107:R$108)*TRANSPOSE(($D116:$E116))),0)</f>
        <v>373558.40400176856</v>
      </c>
      <c r="S116" s="31" cm="1">
        <f t="array" ref="S116">S$106+IF($C116&lt;&gt;0,SUMPRODUCT((S$107:S$108)*TRANSPOSE(($D116:$E116))),0)</f>
        <v>373558.40400176856</v>
      </c>
      <c r="T116" s="31" cm="1">
        <f t="array" ref="T116">T$106+IF($C116&lt;&gt;0,SUMPRODUCT((T$107:T$108)*TRANSPOSE(($D116:$E116))),0)</f>
        <v>373558.40400176856</v>
      </c>
      <c r="U116" s="31" cm="1">
        <f t="array" ref="U116">U$106+IF($C116&lt;&gt;0,SUMPRODUCT((U$107:U$108)*TRANSPOSE(($D116:$E116))),0)</f>
        <v>373558.40400176856</v>
      </c>
      <c r="V116" s="31" cm="1">
        <f t="array" ref="V116">V$106+IF($C116&lt;&gt;0,SUMPRODUCT((V$107:V$108)*TRANSPOSE(($D116:$E116))),0)</f>
        <v>373558.40400176856</v>
      </c>
      <c r="W116" s="31" cm="1">
        <f t="array" ref="W116">W$106+IF($C116&lt;&gt;0,SUMPRODUCT((W$107:W$108)*TRANSPOSE(($D116:$E116))),0)</f>
        <v>373558.40400176856</v>
      </c>
      <c r="X116" s="31" cm="1">
        <f t="array" ref="X116">X$106+IF($C116&lt;&gt;0,SUMPRODUCT((X$107:X$108)*TRANSPOSE(($D116:$E116))),0)</f>
        <v>373558.40400176856</v>
      </c>
      <c r="Y116" s="31" cm="1">
        <f t="array" ref="Y116">Y$106+IF($C116&lt;&gt;0,SUMPRODUCT((Y$107:Y$108)*TRANSPOSE(($D116:$E116))),0)</f>
        <v>373558.40400176856</v>
      </c>
      <c r="Z116" s="31" cm="1">
        <f t="array" ref="Z116">Z$106+IF($C116&lt;&gt;0,SUMPRODUCT((Z$107:Z$108)*TRANSPOSE(($D116:$E116))),0)</f>
        <v>373558.40400176856</v>
      </c>
      <c r="AA116" s="31" cm="1">
        <f t="array" ref="AA116">AA$106+IF($C116&lt;&gt;0,SUMPRODUCT((AA$107:AA$108)*TRANSPOSE(($D116:$E116))),0)</f>
        <v>373558.40400176856</v>
      </c>
      <c r="AB116" s="31" cm="1">
        <f t="array" ref="AB116">AB$106+IF($C116&lt;&gt;0,SUMPRODUCT((AB$107:AB$108)*TRANSPOSE(($D116:$E116))),0)</f>
        <v>373558.40400176856</v>
      </c>
      <c r="AC116" s="31" cm="1">
        <f t="array" ref="AC116">AC$106+IF($C116&lt;&gt;0,SUMPRODUCT((AC$107:AC$108)*TRANSPOSE(($D116:$E116))),0)</f>
        <v>373558.40400176856</v>
      </c>
      <c r="AD116" s="31" cm="1">
        <f t="array" ref="AD116">AD$106+IF($C116&lt;&gt;0,SUMPRODUCT((AD$107:AD$108)*TRANSPOSE(($D116:$E116))),0)</f>
        <v>373558.40400176856</v>
      </c>
      <c r="AE116" s="31" cm="1">
        <f t="array" ref="AE116">AE$106+IF($C116&lt;&gt;0,SUMPRODUCT((AE$107:AE$108)*TRANSPOSE(($D116:$E116))),0)</f>
        <v>373558.40400176856</v>
      </c>
      <c r="AF116" s="31" cm="1">
        <f t="array" ref="AF116">AF$106+IF($C116&lt;&gt;0,SUMPRODUCT((AF$107:AF$108)*TRANSPOSE(($D116:$E116))),0)</f>
        <v>373558.40400176856</v>
      </c>
      <c r="AG116" s="31" cm="1">
        <f t="array" ref="AG116">AG$106+IF($C116&lt;&gt;0,SUMPRODUCT((AG$107:AG$108)*TRANSPOSE(($D116:$E116))),0)</f>
        <v>373558.40400176856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-32402.770380734761</v>
      </c>
      <c r="N117" s="31" cm="1">
        <f t="array" ref="N117">N$106+IF($C117&lt;&gt;0,SUMPRODUCT((N$107:N$108)*TRANSPOSE(($D117:$E117))),0)</f>
        <v>43962.594919040675</v>
      </c>
      <c r="O117" s="31" cm="1">
        <f t="array" ref="O117">O$106+IF($C117&lt;&gt;0,SUMPRODUCT((O$107:O$108)*TRANSPOSE(($D117:$E117))),0)</f>
        <v>181845.88450538961</v>
      </c>
      <c r="P117" s="31" cm="1">
        <f t="array" ref="P117">P$106+IF($C117&lt;&gt;0,SUMPRODUCT((P$107:P$108)*TRANSPOSE(($D117:$E117))),0)</f>
        <v>373558.40400176856</v>
      </c>
      <c r="Q117" s="31" cm="1">
        <f t="array" ref="Q117">Q$106+IF($C117&lt;&gt;0,SUMPRODUCT((Q$107:Q$108)*TRANSPOSE(($D117:$E117))),0)</f>
        <v>373558.40400176856</v>
      </c>
      <c r="R117" s="31" cm="1">
        <f t="array" ref="R117">R$106+IF($C117&lt;&gt;0,SUMPRODUCT((R$107:R$108)*TRANSPOSE(($D117:$E117))),0)</f>
        <v>373558.40400176856</v>
      </c>
      <c r="S117" s="31" cm="1">
        <f t="array" ref="S117">S$106+IF($C117&lt;&gt;0,SUMPRODUCT((S$107:S$108)*TRANSPOSE(($D117:$E117))),0)</f>
        <v>373558.40400176856</v>
      </c>
      <c r="T117" s="31" cm="1">
        <f t="array" ref="T117">T$106+IF($C117&lt;&gt;0,SUMPRODUCT((T$107:T$108)*TRANSPOSE(($D117:$E117))),0)</f>
        <v>373558.40400176856</v>
      </c>
      <c r="U117" s="31" cm="1">
        <f t="array" ref="U117">U$106+IF($C117&lt;&gt;0,SUMPRODUCT((U$107:U$108)*TRANSPOSE(($D117:$E117))),0)</f>
        <v>373558.40400176856</v>
      </c>
      <c r="V117" s="31" cm="1">
        <f t="array" ref="V117">V$106+IF($C117&lt;&gt;0,SUMPRODUCT((V$107:V$108)*TRANSPOSE(($D117:$E117))),0)</f>
        <v>373558.40400176856</v>
      </c>
      <c r="W117" s="31" cm="1">
        <f t="array" ref="W117">W$106+IF($C117&lt;&gt;0,SUMPRODUCT((W$107:W$108)*TRANSPOSE(($D117:$E117))),0)</f>
        <v>373558.40400176856</v>
      </c>
      <c r="X117" s="31" cm="1">
        <f t="array" ref="X117">X$106+IF($C117&lt;&gt;0,SUMPRODUCT((X$107:X$108)*TRANSPOSE(($D117:$E117))),0)</f>
        <v>373558.40400176856</v>
      </c>
      <c r="Y117" s="31" cm="1">
        <f t="array" ref="Y117">Y$106+IF($C117&lt;&gt;0,SUMPRODUCT((Y$107:Y$108)*TRANSPOSE(($D117:$E117))),0)</f>
        <v>373558.40400176856</v>
      </c>
      <c r="Z117" s="31" cm="1">
        <f t="array" ref="Z117">Z$106+IF($C117&lt;&gt;0,SUMPRODUCT((Z$107:Z$108)*TRANSPOSE(($D117:$E117))),0)</f>
        <v>373558.40400176856</v>
      </c>
      <c r="AA117" s="31" cm="1">
        <f t="array" ref="AA117">AA$106+IF($C117&lt;&gt;0,SUMPRODUCT((AA$107:AA$108)*TRANSPOSE(($D117:$E117))),0)</f>
        <v>373558.40400176856</v>
      </c>
      <c r="AB117" s="31" cm="1">
        <f t="array" ref="AB117">AB$106+IF($C117&lt;&gt;0,SUMPRODUCT((AB$107:AB$108)*TRANSPOSE(($D117:$E117))),0)</f>
        <v>373558.40400176856</v>
      </c>
      <c r="AC117" s="31" cm="1">
        <f t="array" ref="AC117">AC$106+IF($C117&lt;&gt;0,SUMPRODUCT((AC$107:AC$108)*TRANSPOSE(($D117:$E117))),0)</f>
        <v>373558.40400176856</v>
      </c>
      <c r="AD117" s="31" cm="1">
        <f t="array" ref="AD117">AD$106+IF($C117&lt;&gt;0,SUMPRODUCT((AD$107:AD$108)*TRANSPOSE(($D117:$E117))),0)</f>
        <v>373558.40400176856</v>
      </c>
      <c r="AE117" s="31" cm="1">
        <f t="array" ref="AE117">AE$106+IF($C117&lt;&gt;0,SUMPRODUCT((AE$107:AE$108)*TRANSPOSE(($D117:$E117))),0)</f>
        <v>373558.40400176856</v>
      </c>
      <c r="AF117" s="31" cm="1">
        <f t="array" ref="AF117">AF$106+IF($C117&lt;&gt;0,SUMPRODUCT((AF$107:AF$108)*TRANSPOSE(($D117:$E117))),0)</f>
        <v>373558.40400176856</v>
      </c>
      <c r="AG117" s="31" cm="1">
        <f t="array" ref="AG117">AG$106+IF($C117&lt;&gt;0,SUMPRODUCT((AG$107:AG$108)*TRANSPOSE(($D117:$E117))),0)</f>
        <v>373558.40400176856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14:E16">
    <cfRule type="expression" dxfId="10" priority="1">
      <formula>AND(SUM($I14:$AB14)&lt;&gt;0, E14=0)</formula>
    </cfRule>
  </conditionalFormatting>
  <conditionalFormatting sqref="E28">
    <cfRule type="expression" dxfId="9" priority="237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I30" sqref="I30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 xml:space="preserve">Eaglehawk new feeder 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45714.888915350864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B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>SUM(AC28:AC34)</f>
        <v>0</v>
      </c>
      <c r="AD36" s="170">
        <f>SUM(AD28:AD34)</f>
        <v>0</v>
      </c>
      <c r="AE36" s="170">
        <f>SUM(AE28:AE34)</f>
        <v>0</v>
      </c>
      <c r="AF36" s="170">
        <f>SUM(AF28:AF34)</f>
        <v>0</v>
      </c>
      <c r="AG36" s="170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5" t="s">
        <v>206</v>
      </c>
      <c r="E49" s="112">
        <f>Assumptions!G98</f>
        <v>0.35181336539087127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5" t="s">
        <v>206</v>
      </c>
      <c r="E50" s="112">
        <f>Assumptions!G99</f>
        <v>0.35181336539087127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&lt; Enter description &gt;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  <c r="AH77"/>
    </row>
    <row r="78" spans="1:34" x14ac:dyDescent="0.2">
      <c r="A78" s="8"/>
      <c r="B78" s="8"/>
      <c r="C78" s="4" t="str">
        <f>$C$76&amp;" - "&amp;C15</f>
        <v>Annualised capex - &lt; Enter description &gt;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>Annualised capex - &lt; Enter description &gt;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 t="shared" si="15"/>
        <v>0</v>
      </c>
      <c r="AD84" s="31">
        <f t="shared" si="15"/>
        <v>0</v>
      </c>
      <c r="AE84" s="31">
        <f t="shared" si="15"/>
        <v>0</v>
      </c>
      <c r="AF84" s="31">
        <f t="shared" si="15"/>
        <v>0</v>
      </c>
      <c r="AG84" s="31">
        <f t="shared" si="15"/>
        <v>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193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7" priority="1">
      <formula>AND(SUM($I14:$AB14)&lt;&gt;0, E14=0)</formula>
    </cfRule>
  </conditionalFormatting>
  <conditionalFormatting sqref="E28">
    <cfRule type="expression" dxfId="6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 xml:space="preserve">Eaglehawk new feeder 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45714.888915350864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0.35181336539087127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0.35181336539087127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193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4" priority="53">
      <formula>AND(SUM($I14:$AB14)&lt;&gt;0, E14=0)</formula>
    </cfRule>
  </conditionalFormatting>
  <conditionalFormatting sqref="E28">
    <cfRule type="expression" dxfId="3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 xml:space="preserve">Eaglehawk new feeder 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185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45714.888915350864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0.35181336539087127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0.35181336539087127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193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" priority="38">
      <formula>AND(SUM($I14:$AB14)&lt;&gt;0, E14=0)</formula>
    </cfRule>
  </conditionalFormatting>
  <conditionalFormatting sqref="E28">
    <cfRule type="expression" dxfId="0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 xml:space="preserve">Eaglehawk new feeder 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194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195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1</v>
      </c>
      <c r="AE7" s="101" t="b">
        <f t="shared" si="1"/>
        <v>1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153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5539244.6799861528</v>
      </c>
      <c r="G14" s="271">
        <f>output_dollars</f>
        <v>46203</v>
      </c>
      <c r="H14" s="272"/>
      <c r="I14" s="31">
        <f>'Option1 (base case)'!I$28*conv_2026</f>
        <v>647.6596056076088</v>
      </c>
      <c r="J14" s="31">
        <f>'Option1 (base case)'!J$28*conv_2026</f>
        <v>2334.4088679680031</v>
      </c>
      <c r="K14" s="31">
        <f>'Option1 (base case)'!K$28*conv_2026</f>
        <v>8205.1329794002486</v>
      </c>
      <c r="L14" s="31">
        <f>'Option1 (base case)'!L$28*conv_2026</f>
        <v>23807.493806406856</v>
      </c>
      <c r="M14" s="31">
        <f>'Option1 (base case)'!M$28*conv_2026</f>
        <v>49835.645978092281</v>
      </c>
      <c r="N14" s="31">
        <f>'Option1 (base case)'!N$28*conv_2026</f>
        <v>121049.43372599607</v>
      </c>
      <c r="O14" s="31">
        <f>'Option1 (base case)'!O$28*conv_2026</f>
        <v>274501.49043616565</v>
      </c>
      <c r="P14" s="31">
        <f>'Option1 (base case)'!P$28*conv_2026</f>
        <v>487860.77786007413</v>
      </c>
      <c r="Q14" s="31">
        <f>'Option1 (base case)'!Q$28*conv_2026</f>
        <v>487860.77786007413</v>
      </c>
      <c r="R14" s="31">
        <f>'Option1 (base case)'!R$28*conv_2026</f>
        <v>487860.77786007413</v>
      </c>
      <c r="S14" s="31">
        <f>'Option1 (base case)'!S$28*conv_2026</f>
        <v>487860.77786007413</v>
      </c>
      <c r="T14" s="31">
        <f>'Option1 (base case)'!T$28*conv_2026</f>
        <v>487860.77786007413</v>
      </c>
      <c r="U14" s="31">
        <f>'Option1 (base case)'!U$28*conv_2026</f>
        <v>487860.77786007413</v>
      </c>
      <c r="V14" s="31">
        <f>'Option1 (base case)'!V$28*conv_2026</f>
        <v>487860.77786007413</v>
      </c>
      <c r="W14" s="31">
        <f>'Option1 (base case)'!W$28*conv_2026</f>
        <v>487860.77786007413</v>
      </c>
      <c r="X14" s="31">
        <f>'Option1 (base case)'!X$28*conv_2026</f>
        <v>487860.77786007413</v>
      </c>
      <c r="Y14" s="31">
        <f>'Option1 (base case)'!Y$28*conv_2026</f>
        <v>487860.77786007413</v>
      </c>
      <c r="Z14" s="31">
        <f>'Option1 (base case)'!Z$28*conv_2026</f>
        <v>487860.77786007413</v>
      </c>
      <c r="AA14" s="31">
        <f>'Option1 (base case)'!AA$28*conv_2026</f>
        <v>487860.77786007413</v>
      </c>
      <c r="AB14" s="31">
        <f>'Option1 (base case)'!AB$28*conv_2026</f>
        <v>487860.77786007413</v>
      </c>
      <c r="AC14" s="31">
        <f>'Option1 (base case)'!AC$28*conv_2026</f>
        <v>487860.77786007413</v>
      </c>
      <c r="AD14" s="31">
        <f>'Option1 (base case)'!AD$28*conv_2026</f>
        <v>487860.77786007413</v>
      </c>
      <c r="AE14" s="31">
        <f>'Option1 (base case)'!AE$28*conv_2026</f>
        <v>487860.77786007413</v>
      </c>
      <c r="AF14" s="31">
        <f>'Option1 (base case)'!AF$28*conv_2026</f>
        <v>487860.77786007413</v>
      </c>
      <c r="AG14" s="31">
        <f>'Option1 (base case)'!AG$28*conv_2026</f>
        <v>487860.77786007413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5111857.2473640162</v>
      </c>
      <c r="G16" s="225">
        <f>output_dollars</f>
        <v>46203</v>
      </c>
      <c r="H16" s="31"/>
      <c r="I16" s="31">
        <f>'Option1 (base case)'!I$36*conv_2026</f>
        <v>647.6596056076088</v>
      </c>
      <c r="J16" s="31">
        <f>'Option1 (base case)'!J$36*conv_2026</f>
        <v>2334.4088679680031</v>
      </c>
      <c r="K16" s="31">
        <f>'Option1 (base case)'!K$36*conv_2026</f>
        <v>8205.1329794002486</v>
      </c>
      <c r="L16" s="31">
        <f>'Option1 (base case)'!L$36*conv_2026</f>
        <v>23807.493806406856</v>
      </c>
      <c r="M16" s="31">
        <f>'Option1 (base case)'!M$36*conv_2026</f>
        <v>49835.645978092281</v>
      </c>
      <c r="N16" s="31">
        <f>'Option1 (base case)'!N$36*conv_2026</f>
        <v>121049.43372599607</v>
      </c>
      <c r="O16" s="31">
        <f>'Option1 (base case)'!O$36*conv_2026</f>
        <v>274501.49043616565</v>
      </c>
      <c r="P16" s="31">
        <f>'Option1 (base case)'!P$36*conv_2026</f>
        <v>487860.77786007413</v>
      </c>
      <c r="Q16" s="31">
        <f>'Option1 (base case)'!Q$36*conv_2026</f>
        <v>487860.77786007413</v>
      </c>
      <c r="R16" s="31">
        <f>'Option1 (base case)'!R$36*conv_2026</f>
        <v>487860.77786007413</v>
      </c>
      <c r="S16" s="31">
        <f>'Option1 (base case)'!S$36*conv_2026</f>
        <v>487860.77786007413</v>
      </c>
      <c r="T16" s="31">
        <f>'Option1 (base case)'!T$36*conv_2026</f>
        <v>487860.77786007413</v>
      </c>
      <c r="U16" s="31">
        <f>'Option1 (base case)'!U$36*conv_2026</f>
        <v>487860.77786007413</v>
      </c>
      <c r="V16" s="31">
        <f>'Option1 (base case)'!V$36*conv_2026</f>
        <v>487860.77786007413</v>
      </c>
      <c r="W16" s="31">
        <f>'Option1 (base case)'!W$36*conv_2026</f>
        <v>487860.77786007413</v>
      </c>
      <c r="X16" s="31">
        <f>'Option1 (base case)'!X$36*conv_2026</f>
        <v>487860.77786007413</v>
      </c>
      <c r="Y16" s="31">
        <f>'Option1 (base case)'!Y$36*conv_2026</f>
        <v>487860.77786007413</v>
      </c>
      <c r="Z16" s="31">
        <f>'Option1 (base case)'!Z$36*conv_2026</f>
        <v>487860.77786007413</v>
      </c>
      <c r="AA16" s="31">
        <f>'Option1 (base case)'!AA$36*conv_2026</f>
        <v>487860.77786007413</v>
      </c>
      <c r="AB16" s="31">
        <f>'Option1 (base case)'!AB$36*conv_2026</f>
        <v>487860.77786007413</v>
      </c>
      <c r="AC16" s="31">
        <f>'Option1 (base case)'!AC$36*conv_2026</f>
        <v>487860.77786007413</v>
      </c>
      <c r="AD16" s="31">
        <f>'Option1 (base case)'!AD$36*conv_2026</f>
        <v>487860.77786007413</v>
      </c>
      <c r="AE16" s="31">
        <f>'Option1 (base case)'!AE$36*conv_2026</f>
        <v>487860.77786007413</v>
      </c>
      <c r="AF16" s="31">
        <f>'Option1 (base case)'!AF$36*conv_2026</f>
        <v>487860.77786007413</v>
      </c>
      <c r="AG16" s="31">
        <f>'Option1 (base case)'!AG$36*conv_2026</f>
        <v>487860.77786007413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189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190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74177.643436911996</v>
      </c>
      <c r="G28" s="271">
        <f>output_dollars</f>
        <v>46203</v>
      </c>
      <c r="H28" s="272"/>
      <c r="I28" s="31">
        <f>Option2!I$28*conv_2026</f>
        <v>647.6596056076088</v>
      </c>
      <c r="J28" s="31">
        <f>Option2!J$28*conv_2026</f>
        <v>2334.4088679680031</v>
      </c>
      <c r="K28" s="31">
        <f>Option2!K$28*conv_2026</f>
        <v>8205.1329794002486</v>
      </c>
      <c r="L28" s="31">
        <f>Option2!L$28*conv_2026</f>
        <v>23807.493806406856</v>
      </c>
      <c r="M28" s="31">
        <f>Option2!M$28*conv_2026</f>
        <v>49835.645978092281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-1474425.8548457916</v>
      </c>
      <c r="G29" s="225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-845843.65991806681</v>
      </c>
      <c r="M29" s="31">
        <f>SUM(Option2!M$67:M$69)*conv_2026*M$7</f>
        <v>-845843.65991806681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74177.643436911996</v>
      </c>
      <c r="G30" s="225">
        <f>output_dollars</f>
        <v>46203</v>
      </c>
      <c r="H30" s="31"/>
      <c r="I30" s="31">
        <f>Option2!I$36*conv_2026*I$7</f>
        <v>647.6596056076088</v>
      </c>
      <c r="J30" s="31">
        <f>Option2!J$36*conv_2026*J$7</f>
        <v>2334.4088679680031</v>
      </c>
      <c r="K30" s="31">
        <f>Option2!K$36*conv_2026*K$7</f>
        <v>8205.1329794002486</v>
      </c>
      <c r="L30" s="31">
        <f>Option2!L$36*conv_2026*L$7</f>
        <v>23807.493806406856</v>
      </c>
      <c r="M30" s="31">
        <f>Option2!M$36*conv_2026*M$7</f>
        <v>49835.645978092281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-845736.34316672734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0</v>
      </c>
      <c r="M32" s="31">
        <f>Option2!M$82*conv_2026*M$7</f>
        <v>-36061.452935652844</v>
      </c>
      <c r="N32" s="31">
        <f>Option2!N$82*conv_2026*N$7</f>
        <v>-72122.905871305687</v>
      </c>
      <c r="O32" s="31">
        <f>Option2!O$82*conv_2026*O$7</f>
        <v>-72122.905871305687</v>
      </c>
      <c r="P32" s="31">
        <f>Option2!P$82*conv_2026*P$7</f>
        <v>-72122.905871305687</v>
      </c>
      <c r="Q32" s="31">
        <f>Option2!Q$82*conv_2026*Q$7</f>
        <v>-72122.905871305687</v>
      </c>
      <c r="R32" s="31">
        <f>Option2!R$82*conv_2026*R$7</f>
        <v>-72122.905871305687</v>
      </c>
      <c r="S32" s="31">
        <f>Option2!S$82*conv_2026*S$7</f>
        <v>-72122.905871305687</v>
      </c>
      <c r="T32" s="31">
        <f>Option2!T$82*conv_2026*T$7</f>
        <v>-72122.905871305687</v>
      </c>
      <c r="U32" s="31">
        <f>Option2!U$82*conv_2026*U$7</f>
        <v>-72122.905871305687</v>
      </c>
      <c r="V32" s="31">
        <f>Option2!V$82*conv_2026*V$7</f>
        <v>-72122.905871305687</v>
      </c>
      <c r="W32" s="31">
        <f>Option2!W$82*conv_2026*W$7</f>
        <v>-72122.905871305687</v>
      </c>
      <c r="X32" s="31">
        <f>Option2!X$82*conv_2026*X$7</f>
        <v>-72122.905871305687</v>
      </c>
      <c r="Y32" s="31">
        <f>Option2!Y$82*conv_2026*Y$7</f>
        <v>-72122.905871305687</v>
      </c>
      <c r="Z32" s="31">
        <f>Option2!Z$82*conv_2026*Z$7</f>
        <v>-72122.905871305687</v>
      </c>
      <c r="AA32" s="31">
        <f>Option2!AA$82*conv_2026*AA$7</f>
        <v>-72122.905871305687</v>
      </c>
      <c r="AB32" s="31">
        <f>Option2!AB$82*conv_2026*AB$7</f>
        <v>-72122.905871305687</v>
      </c>
      <c r="AC32" s="31">
        <f>Option2!AC$82*conv_2026*AC$7</f>
        <v>-72122.905871305687</v>
      </c>
      <c r="AD32" s="31">
        <f>Option2!AD$82*conv_2026*AD$7</f>
        <v>-72122.905871305687</v>
      </c>
      <c r="AE32" s="31">
        <f>Option2!AE$82*conv_2026*AE$7</f>
        <v>-72122.905871305687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5037679.6039271047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0</v>
      </c>
      <c r="M34" s="31">
        <f>Option2!M$84*conv_2026*M$7</f>
        <v>0</v>
      </c>
      <c r="N34" s="31">
        <f>Option2!N$84*conv_2026*N$7</f>
        <v>121049.43372599607</v>
      </c>
      <c r="O34" s="31">
        <f>Option2!O$84*conv_2026*O$7</f>
        <v>274501.49043616565</v>
      </c>
      <c r="P34" s="31">
        <f>Option2!P$84*conv_2026*P$7</f>
        <v>487860.77786007413</v>
      </c>
      <c r="Q34" s="31">
        <f>Option2!Q$84*conv_2026*Q$7</f>
        <v>487860.77786007413</v>
      </c>
      <c r="R34" s="31">
        <f>Option2!R$84*conv_2026*R$7</f>
        <v>487860.77786007413</v>
      </c>
      <c r="S34" s="31">
        <f>Option2!S$84*conv_2026*S$7</f>
        <v>487860.77786007413</v>
      </c>
      <c r="T34" s="31">
        <f>Option2!T$84*conv_2026*T$7</f>
        <v>487860.77786007413</v>
      </c>
      <c r="U34" s="31">
        <f>Option2!U$84*conv_2026*U$7</f>
        <v>487860.77786007413</v>
      </c>
      <c r="V34" s="31">
        <f>Option2!V$84*conv_2026*V$7</f>
        <v>487860.77786007413</v>
      </c>
      <c r="W34" s="31">
        <f>Option2!W$84*conv_2026*W$7</f>
        <v>487860.77786007413</v>
      </c>
      <c r="X34" s="31">
        <f>Option2!X$84*conv_2026*X$7</f>
        <v>487860.77786007413</v>
      </c>
      <c r="Y34" s="31">
        <f>Option2!Y$84*conv_2026*Y$7</f>
        <v>487860.77786007413</v>
      </c>
      <c r="Z34" s="31">
        <f>Option2!Z$84*conv_2026*Z$7</f>
        <v>487860.77786007413</v>
      </c>
      <c r="AA34" s="31">
        <f>Option2!AA$84*conv_2026*AA$7</f>
        <v>487860.77786007413</v>
      </c>
      <c r="AB34" s="31">
        <f>Option2!AB$84*conv_2026*AB$7</f>
        <v>487860.77786007413</v>
      </c>
      <c r="AC34" s="31">
        <f>Option2!AC$84*conv_2026*AC$7</f>
        <v>487860.77786007413</v>
      </c>
      <c r="AD34" s="31">
        <f>Option2!AD$84*conv_2026*AD$7</f>
        <v>487860.77786007413</v>
      </c>
      <c r="AE34" s="31">
        <f>Option2!AE$84*conv_2026*AE$7</f>
        <v>487860.77786007413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0</v>
      </c>
      <c r="M36" s="52">
        <f t="shared" si="9"/>
        <v>-36061.452935652844</v>
      </c>
      <c r="N36" s="52">
        <f t="shared" si="9"/>
        <v>48926.527854690386</v>
      </c>
      <c r="O36" s="52">
        <f t="shared" si="9"/>
        <v>202378.58456485998</v>
      </c>
      <c r="P36" s="52">
        <f t="shared" si="9"/>
        <v>415737.87198876846</v>
      </c>
      <c r="Q36" s="52">
        <f t="shared" si="9"/>
        <v>415737.87198876846</v>
      </c>
      <c r="R36" s="52">
        <f t="shared" si="9"/>
        <v>415737.87198876846</v>
      </c>
      <c r="S36" s="52">
        <f t="shared" si="9"/>
        <v>415737.87198876846</v>
      </c>
      <c r="T36" s="52">
        <f t="shared" si="9"/>
        <v>415737.87198876846</v>
      </c>
      <c r="U36" s="52">
        <f t="shared" si="9"/>
        <v>415737.87198876846</v>
      </c>
      <c r="V36" s="52">
        <f t="shared" si="9"/>
        <v>415737.87198876846</v>
      </c>
      <c r="W36" s="52">
        <f t="shared" si="9"/>
        <v>415737.87198876846</v>
      </c>
      <c r="X36" s="52">
        <f t="shared" si="9"/>
        <v>415737.87198876846</v>
      </c>
      <c r="Y36" s="52">
        <f t="shared" si="9"/>
        <v>415737.87198876846</v>
      </c>
      <c r="Z36" s="52">
        <f t="shared" si="9"/>
        <v>415737.87198876846</v>
      </c>
      <c r="AA36" s="52">
        <f t="shared" si="9"/>
        <v>415737.87198876846</v>
      </c>
      <c r="AB36" s="52">
        <f t="shared" si="9"/>
        <v>415737.87198876846</v>
      </c>
      <c r="AC36" s="52">
        <f t="shared" si="9"/>
        <v>415737.87198876846</v>
      </c>
      <c r="AD36" s="52">
        <f t="shared" si="9"/>
        <v>415737.87198876846</v>
      </c>
      <c r="AE36" s="52">
        <f t="shared" si="9"/>
        <v>415737.87198876846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4191943.2607603776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189</v>
      </c>
      <c r="D38" s="38" t="str">
        <f t="shared" si="6"/>
        <v>Option 2PV of costs</v>
      </c>
      <c r="E38" s="1"/>
      <c r="F38" s="108">
        <f>SUM(F32:F33)</f>
        <v>-845736.34316672734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190</v>
      </c>
      <c r="D39" s="38" t="str">
        <f t="shared" si="6"/>
        <v>Option 2PV of benefits</v>
      </c>
      <c r="E39" s="1"/>
      <c r="F39" s="108">
        <f>SUM(F34:F35)</f>
        <v>5037679.6039271047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0</v>
      </c>
      <c r="G42" s="271">
        <f>output_dollars</f>
        <v>46203</v>
      </c>
      <c r="H42" s="272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0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5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0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0</v>
      </c>
      <c r="M46" s="31">
        <f>Option3!M$82*conv_2026*M$7</f>
        <v>0</v>
      </c>
      <c r="N46" s="31">
        <f>Option3!N$82*conv_2026*N$7</f>
        <v>0</v>
      </c>
      <c r="O46" s="31">
        <f>Option3!O$82*conv_2026*O$7</f>
        <v>0</v>
      </c>
      <c r="P46" s="31">
        <f>Option3!P$82*conv_2026*P$7</f>
        <v>0</v>
      </c>
      <c r="Q46" s="31">
        <f>Option3!Q$82*conv_2026*Q$7</f>
        <v>0</v>
      </c>
      <c r="R46" s="31">
        <f>Option3!R$82*conv_2026*R$7</f>
        <v>0</v>
      </c>
      <c r="S46" s="31">
        <f>Option3!S$82*conv_2026*S$7</f>
        <v>0</v>
      </c>
      <c r="T46" s="31">
        <f>Option3!T$82*conv_2026*T$7</f>
        <v>0</v>
      </c>
      <c r="U46" s="31">
        <f>Option3!U$82*conv_2026*U$7</f>
        <v>0</v>
      </c>
      <c r="V46" s="31">
        <f>Option3!V$82*conv_2026*V$7</f>
        <v>0</v>
      </c>
      <c r="W46" s="31">
        <f>Option3!W$82*conv_2026*W$7</f>
        <v>0</v>
      </c>
      <c r="X46" s="31">
        <f>Option3!X$82*conv_2026*X$7</f>
        <v>0</v>
      </c>
      <c r="Y46" s="31">
        <f>Option3!Y$82*conv_2026*Y$7</f>
        <v>0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0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0</v>
      </c>
      <c r="N48" s="31">
        <f>Option3!N$84*conv_2026*N$7</f>
        <v>0</v>
      </c>
      <c r="O48" s="31">
        <f>Option3!O$84*conv_2026*O$7</f>
        <v>0</v>
      </c>
      <c r="P48" s="31">
        <f>Option3!P$84*conv_2026*P$7</f>
        <v>0</v>
      </c>
      <c r="Q48" s="31">
        <f>Option3!Q$84*conv_2026*Q$7</f>
        <v>0</v>
      </c>
      <c r="R48" s="31">
        <f>Option3!R$84*conv_2026*R$7</f>
        <v>0</v>
      </c>
      <c r="S48" s="31">
        <f>Option3!S$84*conv_2026*S$7</f>
        <v>0</v>
      </c>
      <c r="T48" s="31">
        <f>Option3!T$84*conv_2026*T$7</f>
        <v>0</v>
      </c>
      <c r="U48" s="31">
        <f>Option3!U$84*conv_2026*U$7</f>
        <v>0</v>
      </c>
      <c r="V48" s="31">
        <f>Option3!V$84*conv_2026*V$7</f>
        <v>0</v>
      </c>
      <c r="W48" s="31">
        <f>Option3!W$84*conv_2026*W$7</f>
        <v>0</v>
      </c>
      <c r="X48" s="31">
        <f>Option3!X$84*conv_2026*X$7</f>
        <v>0</v>
      </c>
      <c r="Y48" s="31">
        <f>Option3!Y$84*conv_2026*Y$7</f>
        <v>0</v>
      </c>
      <c r="Z48" s="31">
        <f>Option3!Z$84*conv_2026*Z$7</f>
        <v>0</v>
      </c>
      <c r="AA48" s="31">
        <f>Option3!AA$84*conv_2026*AA$7</f>
        <v>0</v>
      </c>
      <c r="AB48" s="31">
        <f>Option3!AB$84*conv_2026*AB$7</f>
        <v>0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0</v>
      </c>
      <c r="M50" s="52">
        <f t="shared" si="13"/>
        <v>0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0</v>
      </c>
      <c r="Y50" s="52">
        <f t="shared" si="13"/>
        <v>0</v>
      </c>
      <c r="Z50" s="52">
        <f t="shared" si="13"/>
        <v>0</v>
      </c>
      <c r="AA50" s="52">
        <f t="shared" si="13"/>
        <v>0</v>
      </c>
      <c r="AB50" s="52">
        <f t="shared" si="13"/>
        <v>0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0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189</v>
      </c>
      <c r="D52" s="38" t="str">
        <f t="shared" si="11"/>
        <v>Option 3PV of costs</v>
      </c>
      <c r="E52" s="1"/>
      <c r="F52" s="108">
        <f>SUM(F46:F47)</f>
        <v>0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190</v>
      </c>
      <c r="D53" s="38" t="str">
        <f t="shared" si="11"/>
        <v>Option 3PV of benefits</v>
      </c>
      <c r="E53" s="1"/>
      <c r="F53" s="108">
        <f>SUM(F48:F49)</f>
        <v>0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189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190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189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190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202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7.2122905871305681E-2</v>
      </c>
      <c r="J91" s="297" cm="1">
        <f t="array" ref="J91">MAX($D91*INDEX(J$15:X$81, MATCH($A91&amp;$C91, $D$15:$D$81,0),))/mill_conv</f>
        <v>7.2122905871305681E-2</v>
      </c>
      <c r="K91" s="297" cm="1">
        <f t="array" ref="K91">MAX($D91*INDEX(K$15:Y$81, MATCH($A91&amp;$C91, $D$15:$D$81,0),))/mill_conv</f>
        <v>7.2122905871305681E-2</v>
      </c>
      <c r="L91" s="297" cm="1">
        <f t="array" ref="L91">MAX($D91*INDEX(L$15:Z$81, MATCH($A91&amp;$C91, $D$15:$D$81,0),))/mill_conv</f>
        <v>7.2122905871305681E-2</v>
      </c>
      <c r="M91" s="297" cm="1">
        <f t="array" ref="M91">MAX($D91*INDEX(M$15:AA$81, MATCH($A91&amp;$C91, $D$15:$D$81,0),))/mill_conv</f>
        <v>7.2122905871305681E-2</v>
      </c>
      <c r="N91" s="297" cm="1">
        <f t="array" ref="N91">MAX($D91*INDEX(N$15:AB$81, MATCH($A91&amp;$C91, $D$15:$D$81,0),))/mill_conv</f>
        <v>7.2122905871305681E-2</v>
      </c>
      <c r="O91" s="297" cm="1">
        <f t="array" ref="O91">MAX($D91*INDEX(O$15:AC$81, MATCH($A91&amp;$C91, $D$15:$D$81,0),))/mill_conv</f>
        <v>7.2122905871305681E-2</v>
      </c>
      <c r="P91" s="297" cm="1">
        <f t="array" ref="P91">MAX($D91*INDEX(P$15:AD$81, MATCH($A91&amp;$C91, $D$15:$D$81,0),))/mill_conv</f>
        <v>7.2122905871305681E-2</v>
      </c>
      <c r="Q91" s="297" cm="1">
        <f t="array" ref="Q91">MAX($D91*INDEX(Q$15:AE$81, MATCH($A91&amp;$C91, $D$15:$D$81,0),))/mill_conv</f>
        <v>7.2122905871305681E-2</v>
      </c>
      <c r="R91" s="297" cm="1">
        <f t="array" ref="R91">MAX($D91*INDEX(R$15:AF$81, MATCH($A91&amp;$C91, $D$15:$D$81,0),))/mill_conv</f>
        <v>7.2122905871305681E-2</v>
      </c>
      <c r="S91" s="297" cm="1">
        <f t="array" ref="S91">MAX($D91*INDEX(S$15:AG$81, MATCH($A91&amp;$C91, $D$15:$D$81,0),))/mill_conv</f>
        <v>7.2122905871305681E-2</v>
      </c>
      <c r="T91" s="297" cm="1">
        <f t="array" ref="T91">MAX($D91*INDEX(T$15:AH$81, MATCH($A91&amp;$C91, $D$15:$D$81,0),))/mill_conv</f>
        <v>7.2122905871305681E-2</v>
      </c>
      <c r="U91" s="297" cm="1">
        <f t="array" ref="U91">MAX($D91*INDEX(U$15:AI$81, MATCH($A91&amp;$C91, $D$15:$D$81,0),))/mill_conv</f>
        <v>7.2122905871305681E-2</v>
      </c>
      <c r="V91" s="297" cm="1">
        <f t="array" ref="V91">MAX($D91*INDEX(V$15:AJ$81, MATCH($A91&amp;$C91, $D$15:$D$81,0),))/mill_conv</f>
        <v>7.2122905871305681E-2</v>
      </c>
      <c r="W91" s="297" cm="1">
        <f t="array" ref="W91">MAX($D91*INDEX(W$15:AK$81, MATCH($A91&amp;$C91, $D$15:$D$81,0),))/mill_conv</f>
        <v>7.2122905871305681E-2</v>
      </c>
      <c r="X91" s="297" cm="1">
        <f t="array" ref="X91">MAX($D91*INDEX(X$15:AL$81, MATCH($A91&amp;$C91, $D$15:$D$81,0),))/mill_conv</f>
        <v>7.2122905871305681E-2</v>
      </c>
      <c r="Y91" s="297" cm="1">
        <f t="array" ref="Y91">MAX($D91*INDEX(Y$15:AM$81, MATCH($A91&amp;$C91, $D$15:$D$81,0),))/mill_conv</f>
        <v>7.2122905871305681E-2</v>
      </c>
      <c r="Z91" s="297" cm="1">
        <f t="array" ref="Z91">MAX($D91*INDEX(Z$15:AN$81, MATCH($A91&amp;$C91, $D$15:$D$81,0),))/mill_conv</f>
        <v>7.2122905871305681E-2</v>
      </c>
      <c r="AA91" s="297" cm="1">
        <f t="array" ref="AA91">MAX($D91*INDEX(AA$15:AO$81, MATCH($A91&amp;$C91, $D$15:$D$81,0),))/mill_conv</f>
        <v>7.2122905871305681E-2</v>
      </c>
      <c r="AB91" s="297" cm="1">
        <f t="array" ref="AB91">MAX($D91*INDEX(AB$15:AP$81, MATCH($A91&amp;$C91, $D$15:$D$81,0),))/mill_conv</f>
        <v>7.2122905871305681E-2</v>
      </c>
      <c r="AC91" s="297" cm="1">
        <f t="array" ref="AC91">MAX($D91*INDEX(AC$15:AQ$81, MATCH($A91&amp;$C91, $D$15:$D$81,0),))/mill_conv</f>
        <v>7.2122905871305681E-2</v>
      </c>
      <c r="AD91" s="297" cm="1">
        <f t="array" ref="AD91">MAX($D91*INDEX(AD$15:AR$81, MATCH($A91&amp;$C91, $D$15:$D$81,0),))/mill_conv</f>
        <v>7.2122905871305681E-2</v>
      </c>
      <c r="AE91" s="297" cm="1">
        <f t="array" ref="AE91">MAX($D91*INDEX(AE$15:AS$81, MATCH($A91&amp;$C91, $D$15:$D$81,0),))/mill_conv</f>
        <v>7.2122905871305681E-2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172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6.4765960560760885E-4</v>
      </c>
      <c r="J92" s="297">
        <f t="shared" si="23"/>
        <v>2.3344088679680031E-3</v>
      </c>
      <c r="K92" s="297">
        <f t="shared" si="23"/>
        <v>8.2051329794002488E-3</v>
      </c>
      <c r="L92" s="297">
        <f t="shared" si="23"/>
        <v>2.3807493806406857E-2</v>
      </c>
      <c r="M92" s="297">
        <f t="shared" si="23"/>
        <v>4.9835645978092279E-2</v>
      </c>
      <c r="N92" s="297">
        <f t="shared" si="23"/>
        <v>0.12104943372599608</v>
      </c>
      <c r="O92" s="297">
        <f t="shared" si="23"/>
        <v>0.27450149043616567</v>
      </c>
      <c r="P92" s="297">
        <f t="shared" si="23"/>
        <v>0.48786077786007415</v>
      </c>
      <c r="Q92" s="297">
        <f t="shared" si="23"/>
        <v>0.48786077786007415</v>
      </c>
      <c r="R92" s="297">
        <f t="shared" si="23"/>
        <v>0.48786077786007415</v>
      </c>
      <c r="S92" s="297">
        <f t="shared" ref="S92:AG92" si="24">$D92*INDEX(S$15:S$81, MATCH($A92&amp;$C92, $D$15:$D$81,0))/mill_conv</f>
        <v>0.48786077786007415</v>
      </c>
      <c r="T92" s="297">
        <f t="shared" si="24"/>
        <v>0.48786077786007415</v>
      </c>
      <c r="U92" s="297">
        <f t="shared" si="24"/>
        <v>0.48786077786007415</v>
      </c>
      <c r="V92" s="297">
        <f t="shared" si="24"/>
        <v>0.48786077786007415</v>
      </c>
      <c r="W92" s="297">
        <f t="shared" si="24"/>
        <v>0.48786077786007415</v>
      </c>
      <c r="X92" s="297">
        <f t="shared" si="24"/>
        <v>0.48786077786007415</v>
      </c>
      <c r="Y92" s="297">
        <f t="shared" si="24"/>
        <v>0.48786077786007415</v>
      </c>
      <c r="Z92" s="297">
        <f t="shared" si="24"/>
        <v>0.48786077786007415</v>
      </c>
      <c r="AA92" s="297">
        <f t="shared" si="24"/>
        <v>0.48786077786007415</v>
      </c>
      <c r="AB92" s="297">
        <f t="shared" si="24"/>
        <v>0.48786077786007415</v>
      </c>
      <c r="AC92" s="297">
        <f t="shared" si="24"/>
        <v>0.48786077786007415</v>
      </c>
      <c r="AD92" s="297">
        <f t="shared" si="24"/>
        <v>0.48786077786007415</v>
      </c>
      <c r="AE92" s="297">
        <f t="shared" si="24"/>
        <v>0.48786077786007415</v>
      </c>
      <c r="AF92" s="297">
        <f t="shared" si="24"/>
        <v>0.48786077786007415</v>
      </c>
      <c r="AG92" s="297">
        <f t="shared" si="24"/>
        <v>0.48786077786007415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234</v>
      </c>
      <c r="B98" s="139"/>
      <c r="C98" s="196" t="s">
        <v>123</v>
      </c>
      <c r="D98" s="190">
        <f>MAX(H98:AG98)</f>
        <v>9.5890847634989509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1.272999006664749E-2</v>
      </c>
      <c r="J98" s="119">
        <f>INDEX('Option1 (base case)'!J$14:J$87, MATCH($C98, 'Option1 (base case)'!$C$14:$C$87,0))</f>
        <v>4.5883673218815563E-2</v>
      </c>
      <c r="K98" s="119">
        <f>INDEX('Option1 (base case)'!K$14:K$87, MATCH($C98, 'Option1 (base case)'!$C$14:$C$87,0))</f>
        <v>0.16127493581338118</v>
      </c>
      <c r="L98" s="119">
        <f>INDEX('Option1 (base case)'!L$14:L$87, MATCH($C98, 'Option1 (base case)'!$C$14:$C$87,0))</f>
        <v>0.46794513204664556</v>
      </c>
      <c r="M98" s="119">
        <f>INDEX('Option1 (base case)'!M$14:M$87, MATCH($C98, 'Option1 (base case)'!$C$14:$C$87,0))</f>
        <v>0.97953812893873426</v>
      </c>
      <c r="N98" s="119">
        <f>INDEX('Option1 (base case)'!N$14:N$87, MATCH($C98, 'Option1 (base case)'!$C$14:$C$87,0))</f>
        <v>2.3792715734673111</v>
      </c>
      <c r="O98" s="119">
        <f>INDEX('Option1 (base case)'!O$14:O$87, MATCH($C98, 'Option1 (base case)'!$C$14:$C$87,0))</f>
        <v>5.3954287349046721</v>
      </c>
      <c r="P98" s="119">
        <f>INDEX('Option1 (base case)'!P$14:P$87, MATCH($C98, 'Option1 (base case)'!$C$14:$C$87,0))</f>
        <v>9.5890847634989509</v>
      </c>
      <c r="Q98" s="119">
        <f>INDEX('Option1 (base case)'!Q$14:Q$87, MATCH($C98, 'Option1 (base case)'!$C$14:$C$87,0))</f>
        <v>9.5890847634989509</v>
      </c>
      <c r="R98" s="119">
        <f>INDEX('Option1 (base case)'!R$14:R$87, MATCH($C98, 'Option1 (base case)'!$C$14:$C$87,0))</f>
        <v>9.5890847634989509</v>
      </c>
      <c r="S98" s="119">
        <f>INDEX('Option1 (base case)'!S$14:S$87, MATCH($C98, 'Option1 (base case)'!$C$14:$C$87,0))</f>
        <v>9.5890847634989509</v>
      </c>
      <c r="T98" s="119">
        <f>INDEX('Option1 (base case)'!T$14:T$87, MATCH($C98, 'Option1 (base case)'!$C$14:$C$87,0))</f>
        <v>9.5890847634989509</v>
      </c>
      <c r="U98" s="119">
        <f>INDEX('Option1 (base case)'!U$14:U$87, MATCH($C98, 'Option1 (base case)'!$C$14:$C$87,0))</f>
        <v>9.5890847634989509</v>
      </c>
      <c r="V98" s="119">
        <f>INDEX('Option1 (base case)'!V$14:V$87, MATCH($C98, 'Option1 (base case)'!$C$14:$C$87,0))</f>
        <v>9.5890847634989509</v>
      </c>
      <c r="W98" s="119">
        <f>INDEX('Option1 (base case)'!W$14:W$87, MATCH($C98, 'Option1 (base case)'!$C$14:$C$87,0))</f>
        <v>9.5890847634989509</v>
      </c>
      <c r="X98" s="119">
        <f>INDEX('Option1 (base case)'!X$14:X$87, MATCH($C98, 'Option1 (base case)'!$C$14:$C$87,0))</f>
        <v>9.5890847634989509</v>
      </c>
      <c r="Y98" s="119">
        <f>INDEX('Option1 (base case)'!Y$14:Y$87, MATCH($C98, 'Option1 (base case)'!$C$14:$C$87,0))</f>
        <v>9.5890847634989509</v>
      </c>
      <c r="Z98" s="119">
        <f>INDEX('Option1 (base case)'!Z$14:Z$87, MATCH($C98, 'Option1 (base case)'!$C$14:$C$87,0))</f>
        <v>9.5890847634989509</v>
      </c>
      <c r="AA98" s="119">
        <f>INDEX('Option1 (base case)'!AA$14:AA$87, MATCH($C98, 'Option1 (base case)'!$C$14:$C$87,0))</f>
        <v>9.5890847634989509</v>
      </c>
      <c r="AB98" s="119">
        <f>INDEX('Option1 (base case)'!AB$14:AB$87, MATCH($C98, 'Option1 (base case)'!$C$14:$C$87,0))</f>
        <v>9.5890847634989509</v>
      </c>
      <c r="AC98" s="119">
        <f>INDEX('Option1 (base case)'!AC$14:AC$87, MATCH($C98, 'Option1 (base case)'!$C$14:$C$87,0))</f>
        <v>9.5890847634989509</v>
      </c>
      <c r="AD98" s="119">
        <f>INDEX('Option1 (base case)'!AD$14:AD$87, MATCH($C98, 'Option1 (base case)'!$C$14:$C$87,0))</f>
        <v>9.5890847634989509</v>
      </c>
      <c r="AE98" s="119">
        <f>INDEX('Option1 (base case)'!AE$14:AE$87, MATCH($C98, 'Option1 (base case)'!$C$14:$C$87,0))</f>
        <v>9.5890847634989509</v>
      </c>
      <c r="AF98" s="119">
        <f>INDEX('Option1 (base case)'!AF$14:AF$87, MATCH($C98, 'Option1 (base case)'!$C$14:$C$87,0))</f>
        <v>9.5890847634989509</v>
      </c>
      <c r="AG98" s="119">
        <f>INDEX('Option1 (base case)'!AG$14:AG$87, MATCH($C98, 'Option1 (base case)'!$C$14:$C$87,0))</f>
        <v>9.5890847634989509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0.43836394476323809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5.819500817903099E-4</v>
      </c>
      <c r="J99" s="119">
        <f>INDEX('Option1 (base case)'!J$14:J$87, MATCH($C99, 'Option1 (base case)'!$C$14:$C$87,0))/10^6</f>
        <v>2.0975670242264128E-3</v>
      </c>
      <c r="K99" s="119">
        <f>INDEX('Option1 (base case)'!K$14:K$87, MATCH($C99, 'Option1 (base case)'!$C$14:$C$87,0))/10^6</f>
        <v>7.3726657755390614E-3</v>
      </c>
      <c r="L99" s="119">
        <f>INDEX('Option1 (base case)'!L$14:L$87, MATCH($C99, 'Option1 (base case)'!$C$14:$C$87,0))/10^6</f>
        <v>2.1392059729991593E-2</v>
      </c>
      <c r="M99" s="119">
        <f>INDEX('Option1 (base case)'!M$14:M$87, MATCH($C99, 'Option1 (base case)'!$C$14:$C$87,0))/10^6</f>
        <v>4.4779476752784868E-2</v>
      </c>
      <c r="N99" s="119">
        <f>INDEX('Option1 (base case)'!N$14:N$87, MATCH($C99, 'Option1 (base case)'!$C$14:$C$87,0))/10^6</f>
        <v>0.10876813568051019</v>
      </c>
      <c r="O99" s="119">
        <f>INDEX('Option1 (base case)'!O$14:O$87, MATCH($C99, 'Option1 (base case)'!$C$14:$C$87,0))/10^6</f>
        <v>0.24665142526685913</v>
      </c>
      <c r="P99" s="119">
        <f>INDEX('Option1 (base case)'!P$14:P$87, MATCH($C99, 'Option1 (base case)'!$C$14:$C$87,0))/10^6</f>
        <v>0.43836394476323809</v>
      </c>
      <c r="Q99" s="119">
        <f>INDEX('Option1 (base case)'!Q$14:Q$87, MATCH($C99, 'Option1 (base case)'!$C$14:$C$87,0))/10^6</f>
        <v>0.43836394476323809</v>
      </c>
      <c r="R99" s="119">
        <f>INDEX('Option1 (base case)'!R$14:R$87, MATCH($C99, 'Option1 (base case)'!$C$14:$C$87,0))/10^6</f>
        <v>0.43836394476323809</v>
      </c>
      <c r="S99" s="119">
        <f>INDEX('Option1 (base case)'!S$14:S$87, MATCH($C99, 'Option1 (base case)'!$C$14:$C$87,0))/10^6</f>
        <v>0.43836394476323809</v>
      </c>
      <c r="T99" s="119">
        <f>INDEX('Option1 (base case)'!T$14:T$87, MATCH($C99, 'Option1 (base case)'!$C$14:$C$87,0))/10^6</f>
        <v>0.43836394476323809</v>
      </c>
      <c r="U99" s="119">
        <f>INDEX('Option1 (base case)'!U$14:U$87, MATCH($C99, 'Option1 (base case)'!$C$14:$C$87,0))/10^6</f>
        <v>0.43836394476323809</v>
      </c>
      <c r="V99" s="119">
        <f>INDEX('Option1 (base case)'!V$14:V$87, MATCH($C99, 'Option1 (base case)'!$C$14:$C$87,0))/10^6</f>
        <v>0.43836394476323809</v>
      </c>
      <c r="W99" s="119">
        <f>INDEX('Option1 (base case)'!W$14:W$87, MATCH($C99, 'Option1 (base case)'!$C$14:$C$87,0))/10^6</f>
        <v>0.43836394476323809</v>
      </c>
      <c r="X99" s="119">
        <f>INDEX('Option1 (base case)'!X$14:X$87, MATCH($C99, 'Option1 (base case)'!$C$14:$C$87,0))/10^6</f>
        <v>0.43836394476323809</v>
      </c>
      <c r="Y99" s="119">
        <f>INDEX('Option1 (base case)'!Y$14:Y$87, MATCH($C99, 'Option1 (base case)'!$C$14:$C$87,0))/10^6</f>
        <v>0.43836394476323809</v>
      </c>
      <c r="Z99" s="119">
        <f>INDEX('Option1 (base case)'!Z$14:Z$87, MATCH($C99, 'Option1 (base case)'!$C$14:$C$87,0))/10^6</f>
        <v>0.43836394476323809</v>
      </c>
      <c r="AA99" s="119">
        <f>INDEX('Option1 (base case)'!AA$14:AA$87, MATCH($C99, 'Option1 (base case)'!$C$14:$C$87,0))/10^6</f>
        <v>0.43836394476323809</v>
      </c>
      <c r="AB99" s="119">
        <f>INDEX('Option1 (base case)'!AB$14:AB$87, MATCH($C99, 'Option1 (base case)'!$C$14:$C$87,0))/10^6</f>
        <v>0.43836394476323809</v>
      </c>
      <c r="AC99" s="119">
        <f>INDEX('Option1 (base case)'!AC$14:AC$87, MATCH($C99, 'Option1 (base case)'!$C$14:$C$87,0))/10^6</f>
        <v>0.43836394476323809</v>
      </c>
      <c r="AD99" s="119">
        <f>INDEX('Option1 (base case)'!AD$14:AD$87, MATCH($C99, 'Option1 (base case)'!$C$14:$C$87,0))/10^6</f>
        <v>0.43836394476323809</v>
      </c>
      <c r="AE99" s="119">
        <f>INDEX('Option1 (base case)'!AE$14:AE$87, MATCH($C99, 'Option1 (base case)'!$C$14:$C$87,0))/10^6</f>
        <v>0.43836394476323809</v>
      </c>
      <c r="AF99" s="119">
        <f>INDEX('Option1 (base case)'!AF$14:AF$87, MATCH($C99, 'Option1 (base case)'!$C$14:$C$87,0))/10^6</f>
        <v>0.43836394476323809</v>
      </c>
      <c r="AG99" s="119">
        <f>INDEX('Option1 (base case)'!AG$14:AG$87, MATCH($C99, 'Option1 (base case)'!$C$14:$C$87,0))/10^6</f>
        <v>0.43836394476323809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 xml:space="preserve">Eaglehawk new feeder 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194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195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1</v>
      </c>
      <c r="AE7" s="255" t="b">
        <f>Consol!AE7</f>
        <v>1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153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415737.87198876846</v>
      </c>
      <c r="AA12" s="31">
        <f>Consol!AB36</f>
        <v>415737.87198876846</v>
      </c>
      <c r="AB12" s="31">
        <f>Consol!AC36</f>
        <v>415737.87198876846</v>
      </c>
      <c r="AC12" s="31">
        <f>Consol!AD36</f>
        <v>415737.87198876846</v>
      </c>
      <c r="AD12" s="31">
        <f>Consol!AE36</f>
        <v>415737.87198876846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142</v>
      </c>
      <c r="B14" s="253" t="s">
        <v>119</v>
      </c>
      <c r="C14" s="253" t="s">
        <v>188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142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142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142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142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142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142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142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142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188</v>
      </c>
      <c r="D28" s="253" t="str">
        <f>A28&amp;B28</f>
        <v>Option 2NPV</v>
      </c>
      <c r="E28" s="254"/>
      <c r="F28" s="31">
        <f>SUMPRODUCT($H28:$AG28, $H$5:$AG$5)</f>
        <v>4191943.2607603776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0</v>
      </c>
      <c r="M28" s="31">
        <f>(INDEX(Option2!M$106:M$117, MATCH($D28, Option2!$G$106:$G$117,0)))*conv_2026*M$7</f>
        <v>-36061.452935652844</v>
      </c>
      <c r="N28" s="31">
        <f>(INDEX(Option2!N$106:N$117, MATCH($D28, Option2!$G$106:$G$117,0)))*conv_2026*N$7</f>
        <v>48926.527854690394</v>
      </c>
      <c r="O28" s="31">
        <f>(INDEX(Option2!O$106:O$117, MATCH($D28, Option2!$G$106:$G$117,0)))*conv_2026*O$7</f>
        <v>202378.58456485998</v>
      </c>
      <c r="P28" s="31">
        <f>(INDEX(Option2!P$106:P$117, MATCH($D28, Option2!$G$106:$G$117,0)))*conv_2026*P$7</f>
        <v>415737.87198876846</v>
      </c>
      <c r="Q28" s="31">
        <f>(INDEX(Option2!Q$106:Q$117, MATCH($D28, Option2!$G$106:$G$117,0)))*conv_2026*Q$7</f>
        <v>415737.87198876846</v>
      </c>
      <c r="R28" s="31">
        <f>(INDEX(Option2!R$106:R$117, MATCH($D28, Option2!$G$106:$G$117,0)))*conv_2026*R$7</f>
        <v>415737.87198876846</v>
      </c>
      <c r="S28" s="31">
        <f>(INDEX(Option2!S$106:S$117, MATCH($D28, Option2!$G$106:$G$117,0)))*conv_2026*S$7</f>
        <v>415737.87198876846</v>
      </c>
      <c r="T28" s="31">
        <f>(INDEX(Option2!T$106:T$117, MATCH($D28, Option2!$G$106:$G$117,0)))*conv_2026*T$7</f>
        <v>415737.87198876846</v>
      </c>
      <c r="U28" s="31">
        <f>(INDEX(Option2!U$106:U$117, MATCH($D28, Option2!$G$106:$G$117,0)))*conv_2026*U$7</f>
        <v>415737.87198876846</v>
      </c>
      <c r="V28" s="31">
        <f>(INDEX(Option2!V$106:V$117, MATCH($D28, Option2!$G$106:$G$117,0)))*conv_2026*V$7</f>
        <v>415737.87198876846</v>
      </c>
      <c r="W28" s="31">
        <f>(INDEX(Option2!W$106:W$117, MATCH($D28, Option2!$G$106:$G$117,0)))*conv_2026*W$7</f>
        <v>415737.87198876846</v>
      </c>
      <c r="X28" s="31">
        <f>(INDEX(Option2!X$106:X$117, MATCH($D28, Option2!$G$106:$G$117,0)))*conv_2026*X$7</f>
        <v>415737.87198876846</v>
      </c>
      <c r="Y28" s="31">
        <f>(INDEX(Option2!Y$106:Y$117, MATCH($D28, Option2!$G$106:$G$117,0)))*conv_2026*Y$7</f>
        <v>415737.87198876846</v>
      </c>
      <c r="Z28" s="31">
        <f>(INDEX(Option2!Z$106:Z$117, MATCH($D28, Option2!$G$106:$G$117,0)))*conv_2026*Z$7</f>
        <v>415737.87198876846</v>
      </c>
      <c r="AA28" s="31">
        <f>(INDEX(Option2!AA$106:AA$117, MATCH($D28, Option2!$G$106:$G$117,0)))*conv_2026*AA$7</f>
        <v>415737.87198876846</v>
      </c>
      <c r="AB28" s="31">
        <f>(INDEX(Option2!AB$106:AB$117, MATCH($D28, Option2!$G$106:$G$117,0)))*conv_2026*AB$7</f>
        <v>415737.87198876846</v>
      </c>
      <c r="AC28" s="31">
        <f>(INDEX(Option2!AC$106:AC$117, MATCH($D28, Option2!$G$106:$G$117,0)))*conv_2026*AC$7</f>
        <v>415737.87198876846</v>
      </c>
      <c r="AD28" s="31">
        <f>(INDEX(Option2!AD$106:AD$117, MATCH($D28, Option2!$G$106:$G$117,0)))*conv_2026*AD$7</f>
        <v>415737.87198876846</v>
      </c>
      <c r="AE28" s="31">
        <f>(INDEX(Option2!AE$106:AE$117, MATCH($D28, Option2!$G$106:$G$117,0)))*conv_2026*AE$7</f>
        <v>415737.87198876846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4107369.6264437051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0</v>
      </c>
      <c r="M30" s="31">
        <f>IF($B30=0,0, (INDEX(Option2!M$106:M$117, MATCH($D30, Option2!$G$106:$G$117,0)))*conv_2026*M$7)</f>
        <v>-39667.598229218129</v>
      </c>
      <c r="N30" s="31">
        <f>IF($B30=0,0, (INDEX(Option2!N$106:N$117, MATCH($D30, Option2!$G$106:$G$117,0)))*conv_2026*N$7)</f>
        <v>41714.237267559824</v>
      </c>
      <c r="O30" s="31">
        <f>IF($B30=0,0, (INDEX(Option2!O$106:O$117, MATCH($D30, Option2!$G$106:$G$117,0)))*conv_2026*O$7)</f>
        <v>195166.29397772939</v>
      </c>
      <c r="P30" s="31">
        <f>IF($B30=0,0, (INDEX(Option2!P$106:P$117, MATCH($D30, Option2!$G$106:$G$117,0)))*conv_2026*P$7)</f>
        <v>408525.58140163787</v>
      </c>
      <c r="Q30" s="31">
        <f>IF($B30=0,0, (INDEX(Option2!Q$106:Q$117, MATCH($D30, Option2!$G$106:$G$117,0)))*conv_2026*Q$7)</f>
        <v>408525.58140163787</v>
      </c>
      <c r="R30" s="31">
        <f>IF($B30=0,0, (INDEX(Option2!R$106:R$117, MATCH($D30, Option2!$G$106:$G$117,0)))*conv_2026*R$7)</f>
        <v>408525.58140163787</v>
      </c>
      <c r="S30" s="31">
        <f>IF($B30=0,0, (INDEX(Option2!S$106:S$117, MATCH($D30, Option2!$G$106:$G$117,0)))*conv_2026*S$7)</f>
        <v>408525.58140163787</v>
      </c>
      <c r="T30" s="31">
        <f>IF($B30=0,0, (INDEX(Option2!T$106:T$117, MATCH($D30, Option2!$G$106:$G$117,0)))*conv_2026*T$7)</f>
        <v>408525.58140163787</v>
      </c>
      <c r="U30" s="31">
        <f>IF($B30=0,0, (INDEX(Option2!U$106:U$117, MATCH($D30, Option2!$G$106:$G$117,0)))*conv_2026*U$7)</f>
        <v>408525.58140163787</v>
      </c>
      <c r="V30" s="31">
        <f>IF($B30=0,0, (INDEX(Option2!V$106:V$117, MATCH($D30, Option2!$G$106:$G$117,0)))*conv_2026*V$7)</f>
        <v>408525.58140163787</v>
      </c>
      <c r="W30" s="31">
        <f>IF($B30=0,0, (INDEX(Option2!W$106:W$117, MATCH($D30, Option2!$G$106:$G$117,0)))*conv_2026*W$7)</f>
        <v>408525.58140163787</v>
      </c>
      <c r="X30" s="31">
        <f>IF($B30=0,0, (INDEX(Option2!X$106:X$117, MATCH($D30, Option2!$G$106:$G$117,0)))*conv_2026*X$7)</f>
        <v>408525.58140163787</v>
      </c>
      <c r="Y30" s="31">
        <f>IF($B30=0,0, (INDEX(Option2!Y$106:Y$117, MATCH($D30, Option2!$G$106:$G$117,0)))*conv_2026*Y$7)</f>
        <v>408525.58140163787</v>
      </c>
      <c r="Z30" s="31">
        <f>IF($B30=0,0, (INDEX(Option2!Z$106:Z$117, MATCH($D30, Option2!$G$106:$G$117,0)))*conv_2026*Z$7)</f>
        <v>408525.58140163787</v>
      </c>
      <c r="AA30" s="31">
        <f>IF($B30=0,0, (INDEX(Option2!AA$106:AA$117, MATCH($D30, Option2!$G$106:$G$117,0)))*conv_2026*AA$7)</f>
        <v>408525.58140163787</v>
      </c>
      <c r="AB30" s="31">
        <f>IF($B30=0,0, (INDEX(Option2!AB$106:AB$117, MATCH($D30, Option2!$G$106:$G$117,0)))*conv_2026*AB$7)</f>
        <v>408525.58140163787</v>
      </c>
      <c r="AC30" s="31">
        <f>IF($B30=0,0, (INDEX(Option2!AC$106:AC$117, MATCH($D30, Option2!$G$106:$G$117,0)))*conv_2026*AC$7)</f>
        <v>408525.58140163787</v>
      </c>
      <c r="AD30" s="31">
        <f>IF($B30=0,0, (INDEX(Option2!AD$106:AD$117, MATCH($D30, Option2!$G$106:$G$117,0)))*conv_2026*AD$7)</f>
        <v>408525.58140163787</v>
      </c>
      <c r="AE30" s="31">
        <f>IF($B30=0,0, (INDEX(Option2!AE$106:AE$117, MATCH($D30, Option2!$G$106:$G$117,0)))*conv_2026*AE$7)</f>
        <v>408525.58140163787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4276516.8950770516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0</v>
      </c>
      <c r="M31" s="31">
        <f>IF($B31=0,0, (INDEX(Option2!M$106:M$117, MATCH($D31, Option2!$G$106:$G$117,0)))*conv_2026*M$7)</f>
        <v>-32455.307642087555</v>
      </c>
      <c r="N31" s="31">
        <f>IF($B31=0,0, (INDEX(Option2!N$106:N$117, MATCH($D31, Option2!$G$106:$G$117,0)))*conv_2026*N$7)</f>
        <v>56138.818441820957</v>
      </c>
      <c r="O31" s="31">
        <f>IF($B31=0,0, (INDEX(Option2!O$106:O$117, MATCH($D31, Option2!$G$106:$G$117,0)))*conv_2026*O$7)</f>
        <v>209590.87515199053</v>
      </c>
      <c r="P31" s="31">
        <f>IF($B31=0,0, (INDEX(Option2!P$106:P$117, MATCH($D31, Option2!$G$106:$G$117,0)))*conv_2026*P$7)</f>
        <v>422950.1625758991</v>
      </c>
      <c r="Q31" s="31">
        <f>IF($B31=0,0, (INDEX(Option2!Q$106:Q$117, MATCH($D31, Option2!$G$106:$G$117,0)))*conv_2026*Q$7)</f>
        <v>422950.1625758991</v>
      </c>
      <c r="R31" s="31">
        <f>IF($B31=0,0, (INDEX(Option2!R$106:R$117, MATCH($D31, Option2!$G$106:$G$117,0)))*conv_2026*R$7)</f>
        <v>422950.1625758991</v>
      </c>
      <c r="S31" s="31">
        <f>IF($B31=0,0, (INDEX(Option2!S$106:S$117, MATCH($D31, Option2!$G$106:$G$117,0)))*conv_2026*S$7)</f>
        <v>422950.1625758991</v>
      </c>
      <c r="T31" s="31">
        <f>IF($B31=0,0, (INDEX(Option2!T$106:T$117, MATCH($D31, Option2!$G$106:$G$117,0)))*conv_2026*T$7)</f>
        <v>422950.1625758991</v>
      </c>
      <c r="U31" s="31">
        <f>IF($B31=0,0, (INDEX(Option2!U$106:U$117, MATCH($D31, Option2!$G$106:$G$117,0)))*conv_2026*U$7)</f>
        <v>422950.1625758991</v>
      </c>
      <c r="V31" s="31">
        <f>IF($B31=0,0, (INDEX(Option2!V$106:V$117, MATCH($D31, Option2!$G$106:$G$117,0)))*conv_2026*V$7)</f>
        <v>422950.1625758991</v>
      </c>
      <c r="W31" s="31">
        <f>IF($B31=0,0, (INDEX(Option2!W$106:W$117, MATCH($D31, Option2!$G$106:$G$117,0)))*conv_2026*W$7)</f>
        <v>422950.1625758991</v>
      </c>
      <c r="X31" s="31">
        <f>IF($B31=0,0, (INDEX(Option2!X$106:X$117, MATCH($D31, Option2!$G$106:$G$117,0)))*conv_2026*X$7)</f>
        <v>422950.1625758991</v>
      </c>
      <c r="Y31" s="31">
        <f>IF($B31=0,0, (INDEX(Option2!Y$106:Y$117, MATCH($D31, Option2!$G$106:$G$117,0)))*conv_2026*Y$7)</f>
        <v>422950.1625758991</v>
      </c>
      <c r="Z31" s="31">
        <f>IF($B31=0,0, (INDEX(Option2!Z$106:Z$117, MATCH($D31, Option2!$G$106:$G$117,0)))*conv_2026*Z$7)</f>
        <v>422950.1625758991</v>
      </c>
      <c r="AA31" s="31">
        <f>IF($B31=0,0, (INDEX(Option2!AA$106:AA$117, MATCH($D31, Option2!$G$106:$G$117,0)))*conv_2026*AA$7)</f>
        <v>422950.1625758991</v>
      </c>
      <c r="AB31" s="31">
        <f>IF($B31=0,0, (INDEX(Option2!AB$106:AB$117, MATCH($D31, Option2!$G$106:$G$117,0)))*conv_2026*AB$7)</f>
        <v>422950.1625758991</v>
      </c>
      <c r="AC31" s="31">
        <f>IF($B31=0,0, (INDEX(Option2!AC$106:AC$117, MATCH($D31, Option2!$G$106:$G$117,0)))*conv_2026*AC$7)</f>
        <v>422950.1625758991</v>
      </c>
      <c r="AD31" s="31">
        <f>IF($B31=0,0, (INDEX(Option2!AD$106:AD$117, MATCH($D31, Option2!$G$106:$G$117,0)))*conv_2026*AD$7)</f>
        <v>422950.1625758991</v>
      </c>
      <c r="AE31" s="31">
        <f>IF($B31=0,0, (INDEX(Option2!AE$106:AE$117, MATCH($D31, Option2!$G$106:$G$117,0)))*conv_2026*AE$7)</f>
        <v>422950.1625758991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4695711.2211530879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0</v>
      </c>
      <c r="M32" s="31">
        <f>IF($B32=0,0, (INDEX(Option2!M$106:M$117, MATCH($D32, Option2!$G$106:$G$117,0)))*conv_2026*M$7)</f>
        <v>-36061.452935652844</v>
      </c>
      <c r="N32" s="31">
        <f>IF($B32=0,0, (INDEX(Option2!N$106:N$117, MATCH($D32, Option2!$G$106:$G$117,0)))*conv_2026*N$7)</f>
        <v>61031.47122729</v>
      </c>
      <c r="O32" s="31">
        <f>IF($B32=0,0, (INDEX(Option2!O$106:O$117, MATCH($D32, Option2!$G$106:$G$117,0)))*conv_2026*O$7)</f>
        <v>229828.73360847653</v>
      </c>
      <c r="P32" s="31">
        <f>IF($B32=0,0, (INDEX(Option2!P$106:P$117, MATCH($D32, Option2!$G$106:$G$117,0)))*conv_2026*P$7)</f>
        <v>464523.94977477589</v>
      </c>
      <c r="Q32" s="31">
        <f>IF($B32=0,0, (INDEX(Option2!Q$106:Q$117, MATCH($D32, Option2!$G$106:$G$117,0)))*conv_2026*Q$7)</f>
        <v>464523.94977477589</v>
      </c>
      <c r="R32" s="31">
        <f>IF($B32=0,0, (INDEX(Option2!R$106:R$117, MATCH($D32, Option2!$G$106:$G$117,0)))*conv_2026*R$7)</f>
        <v>464523.94977477589</v>
      </c>
      <c r="S32" s="31">
        <f>IF($B32=0,0, (INDEX(Option2!S$106:S$117, MATCH($D32, Option2!$G$106:$G$117,0)))*conv_2026*S$7)</f>
        <v>464523.94977477589</v>
      </c>
      <c r="T32" s="31">
        <f>IF($B32=0,0, (INDEX(Option2!T$106:T$117, MATCH($D32, Option2!$G$106:$G$117,0)))*conv_2026*T$7)</f>
        <v>464523.94977477589</v>
      </c>
      <c r="U32" s="31">
        <f>IF($B32=0,0, (INDEX(Option2!U$106:U$117, MATCH($D32, Option2!$G$106:$G$117,0)))*conv_2026*U$7)</f>
        <v>464523.94977477589</v>
      </c>
      <c r="V32" s="31">
        <f>IF($B32=0,0, (INDEX(Option2!V$106:V$117, MATCH($D32, Option2!$G$106:$G$117,0)))*conv_2026*V$7)</f>
        <v>464523.94977477589</v>
      </c>
      <c r="W32" s="31">
        <f>IF($B32=0,0, (INDEX(Option2!W$106:W$117, MATCH($D32, Option2!$G$106:$G$117,0)))*conv_2026*W$7)</f>
        <v>464523.94977477589</v>
      </c>
      <c r="X32" s="31">
        <f>IF($B32=0,0, (INDEX(Option2!X$106:X$117, MATCH($D32, Option2!$G$106:$G$117,0)))*conv_2026*X$7)</f>
        <v>464523.94977477589</v>
      </c>
      <c r="Y32" s="31">
        <f>IF($B32=0,0, (INDEX(Option2!Y$106:Y$117, MATCH($D32, Option2!$G$106:$G$117,0)))*conv_2026*Y$7)</f>
        <v>464523.94977477589</v>
      </c>
      <c r="Z32" s="31">
        <f>IF($B32=0,0, (INDEX(Option2!Z$106:Z$117, MATCH($D32, Option2!$G$106:$G$117,0)))*conv_2026*Z$7)</f>
        <v>464523.94977477589</v>
      </c>
      <c r="AA32" s="31">
        <f>IF($B32=0,0, (INDEX(Option2!AA$106:AA$117, MATCH($D32, Option2!$G$106:$G$117,0)))*conv_2026*AA$7)</f>
        <v>464523.94977477589</v>
      </c>
      <c r="AB32" s="31">
        <f>IF($B32=0,0, (INDEX(Option2!AB$106:AB$117, MATCH($D32, Option2!$G$106:$G$117,0)))*conv_2026*AB$7)</f>
        <v>464523.94977477589</v>
      </c>
      <c r="AC32" s="31">
        <f>IF($B32=0,0, (INDEX(Option2!AC$106:AC$117, MATCH($D32, Option2!$G$106:$G$117,0)))*conv_2026*AC$7)</f>
        <v>464523.94977477589</v>
      </c>
      <c r="AD32" s="31">
        <f>IF($B32=0,0, (INDEX(Option2!AD$106:AD$117, MATCH($D32, Option2!$G$106:$G$117,0)))*conv_2026*AD$7)</f>
        <v>464523.94977477589</v>
      </c>
      <c r="AE32" s="31">
        <f>IF($B32=0,0, (INDEX(Option2!AE$106:AE$117, MATCH($D32, Option2!$G$106:$G$117,0)))*conv_2026*AE$7)</f>
        <v>464523.94977477589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3688175.3003676669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0</v>
      </c>
      <c r="M33" s="31">
        <f>IF($B33=0,0, (INDEX(Option2!M$106:M$117, MATCH($D33, Option2!$G$106:$G$117,0)))*conv_2026*M$7)</f>
        <v>-36061.452935652844</v>
      </c>
      <c r="N33" s="31">
        <f>IF($B33=0,0, (INDEX(Option2!N$106:N$117, MATCH($D33, Option2!$G$106:$G$117,0)))*conv_2026*N$7)</f>
        <v>36821.584482090781</v>
      </c>
      <c r="O33" s="31">
        <f>IF($B33=0,0, (INDEX(Option2!O$106:O$117, MATCH($D33, Option2!$G$106:$G$117,0)))*conv_2026*O$7)</f>
        <v>174928.4355212434</v>
      </c>
      <c r="P33" s="31">
        <f>IF($B33=0,0, (INDEX(Option2!P$106:P$117, MATCH($D33, Option2!$G$106:$G$117,0)))*conv_2026*P$7)</f>
        <v>366951.79420276108</v>
      </c>
      <c r="Q33" s="31">
        <f>IF($B33=0,0, (INDEX(Option2!Q$106:Q$117, MATCH($D33, Option2!$G$106:$G$117,0)))*conv_2026*Q$7)</f>
        <v>366951.79420276108</v>
      </c>
      <c r="R33" s="31">
        <f>IF($B33=0,0, (INDEX(Option2!R$106:R$117, MATCH($D33, Option2!$G$106:$G$117,0)))*conv_2026*R$7)</f>
        <v>366951.79420276108</v>
      </c>
      <c r="S33" s="31">
        <f>IF($B33=0,0, (INDEX(Option2!S$106:S$117, MATCH($D33, Option2!$G$106:$G$117,0)))*conv_2026*S$7)</f>
        <v>366951.79420276108</v>
      </c>
      <c r="T33" s="31">
        <f>IF($B33=0,0, (INDEX(Option2!T$106:T$117, MATCH($D33, Option2!$G$106:$G$117,0)))*conv_2026*T$7)</f>
        <v>366951.79420276108</v>
      </c>
      <c r="U33" s="31">
        <f>IF($B33=0,0, (INDEX(Option2!U$106:U$117, MATCH($D33, Option2!$G$106:$G$117,0)))*conv_2026*U$7)</f>
        <v>366951.79420276108</v>
      </c>
      <c r="V33" s="31">
        <f>IF($B33=0,0, (INDEX(Option2!V$106:V$117, MATCH($D33, Option2!$G$106:$G$117,0)))*conv_2026*V$7)</f>
        <v>366951.79420276108</v>
      </c>
      <c r="W33" s="31">
        <f>IF($B33=0,0, (INDEX(Option2!W$106:W$117, MATCH($D33, Option2!$G$106:$G$117,0)))*conv_2026*W$7)</f>
        <v>366951.79420276108</v>
      </c>
      <c r="X33" s="31">
        <f>IF($B33=0,0, (INDEX(Option2!X$106:X$117, MATCH($D33, Option2!$G$106:$G$117,0)))*conv_2026*X$7)</f>
        <v>366951.79420276108</v>
      </c>
      <c r="Y33" s="31">
        <f>IF($B33=0,0, (INDEX(Option2!Y$106:Y$117, MATCH($D33, Option2!$G$106:$G$117,0)))*conv_2026*Y$7)</f>
        <v>366951.79420276108</v>
      </c>
      <c r="Z33" s="31">
        <f>IF($B33=0,0, (INDEX(Option2!Z$106:Z$117, MATCH($D33, Option2!$G$106:$G$117,0)))*conv_2026*Z$7)</f>
        <v>366951.79420276108</v>
      </c>
      <c r="AA33" s="31">
        <f>IF($B33=0,0, (INDEX(Option2!AA$106:AA$117, MATCH($D33, Option2!$G$106:$G$117,0)))*conv_2026*AA$7)</f>
        <v>366951.79420276108</v>
      </c>
      <c r="AB33" s="31">
        <f>IF($B33=0,0, (INDEX(Option2!AB$106:AB$117, MATCH($D33, Option2!$G$106:$G$117,0)))*conv_2026*AB$7)</f>
        <v>366951.79420276108</v>
      </c>
      <c r="AC33" s="31">
        <f>IF($B33=0,0, (INDEX(Option2!AC$106:AC$117, MATCH($D33, Option2!$G$106:$G$117,0)))*conv_2026*AC$7)</f>
        <v>366951.79420276108</v>
      </c>
      <c r="AD33" s="31">
        <f>IF($B33=0,0, (INDEX(Option2!AD$106:AD$117, MATCH($D33, Option2!$G$106:$G$117,0)))*conv_2026*AD$7)</f>
        <v>366951.79420276108</v>
      </c>
      <c r="AE33" s="31">
        <f>IF($B33=0,0, (INDEX(Option2!AE$106:AE$117, MATCH($D33, Option2!$G$106:$G$117,0)))*conv_2026*AE$7)</f>
        <v>366951.79420276108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3603601.6660509943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0</v>
      </c>
      <c r="M34" s="31">
        <f>IF($B34=0,0, (INDEX(Option2!M$106:M$117, MATCH($D34, Option2!$G$106:$G$117,0)))*conv_2026*M$7)</f>
        <v>-39667.598229218129</v>
      </c>
      <c r="N34" s="31">
        <f>IF($B34=0,0, (INDEX(Option2!N$106:N$117, MATCH($D34, Option2!$G$106:$G$117,0)))*conv_2026*N$7)</f>
        <v>29609.293894960214</v>
      </c>
      <c r="O34" s="31">
        <f>IF($B34=0,0, (INDEX(Option2!O$106:O$117, MATCH($D34, Option2!$G$106:$G$117,0)))*conv_2026*O$7)</f>
        <v>167716.14493411282</v>
      </c>
      <c r="P34" s="31">
        <f>IF($B34=0,0, (INDEX(Option2!P$106:P$117, MATCH($D34, Option2!$G$106:$G$117,0)))*conv_2026*P$7)</f>
        <v>359739.5036156305</v>
      </c>
      <c r="Q34" s="31">
        <f>IF($B34=0,0, (INDEX(Option2!Q$106:Q$117, MATCH($D34, Option2!$G$106:$G$117,0)))*conv_2026*Q$7)</f>
        <v>359739.5036156305</v>
      </c>
      <c r="R34" s="31">
        <f>IF($B34=0,0, (INDEX(Option2!R$106:R$117, MATCH($D34, Option2!$G$106:$G$117,0)))*conv_2026*R$7)</f>
        <v>359739.5036156305</v>
      </c>
      <c r="S34" s="31">
        <f>IF($B34=0,0, (INDEX(Option2!S$106:S$117, MATCH($D34, Option2!$G$106:$G$117,0)))*conv_2026*S$7)</f>
        <v>359739.5036156305</v>
      </c>
      <c r="T34" s="31">
        <f>IF($B34=0,0, (INDEX(Option2!T$106:T$117, MATCH($D34, Option2!$G$106:$G$117,0)))*conv_2026*T$7)</f>
        <v>359739.5036156305</v>
      </c>
      <c r="U34" s="31">
        <f>IF($B34=0,0, (INDEX(Option2!U$106:U$117, MATCH($D34, Option2!$G$106:$G$117,0)))*conv_2026*U$7)</f>
        <v>359739.5036156305</v>
      </c>
      <c r="V34" s="31">
        <f>IF($B34=0,0, (INDEX(Option2!V$106:V$117, MATCH($D34, Option2!$G$106:$G$117,0)))*conv_2026*V$7)</f>
        <v>359739.5036156305</v>
      </c>
      <c r="W34" s="31">
        <f>IF($B34=0,0, (INDEX(Option2!W$106:W$117, MATCH($D34, Option2!$G$106:$G$117,0)))*conv_2026*W$7)</f>
        <v>359739.5036156305</v>
      </c>
      <c r="X34" s="31">
        <f>IF($B34=0,0, (INDEX(Option2!X$106:X$117, MATCH($D34, Option2!$G$106:$G$117,0)))*conv_2026*X$7)</f>
        <v>359739.5036156305</v>
      </c>
      <c r="Y34" s="31">
        <f>IF($B34=0,0, (INDEX(Option2!Y$106:Y$117, MATCH($D34, Option2!$G$106:$G$117,0)))*conv_2026*Y$7)</f>
        <v>359739.5036156305</v>
      </c>
      <c r="Z34" s="31">
        <f>IF($B34=0,0, (INDEX(Option2!Z$106:Z$117, MATCH($D34, Option2!$G$106:$G$117,0)))*conv_2026*Z$7)</f>
        <v>359739.5036156305</v>
      </c>
      <c r="AA34" s="31">
        <f>IF($B34=0,0, (INDEX(Option2!AA$106:AA$117, MATCH($D34, Option2!$G$106:$G$117,0)))*conv_2026*AA$7)</f>
        <v>359739.5036156305</v>
      </c>
      <c r="AB34" s="31">
        <f>IF($B34=0,0, (INDEX(Option2!AB$106:AB$117, MATCH($D34, Option2!$G$106:$G$117,0)))*conv_2026*AB$7)</f>
        <v>359739.5036156305</v>
      </c>
      <c r="AC34" s="31">
        <f>IF($B34=0,0, (INDEX(Option2!AC$106:AC$117, MATCH($D34, Option2!$G$106:$G$117,0)))*conv_2026*AC$7)</f>
        <v>359739.5036156305</v>
      </c>
      <c r="AD34" s="31">
        <f>IF($B34=0,0, (INDEX(Option2!AD$106:AD$117, MATCH($D34, Option2!$G$106:$G$117,0)))*conv_2026*AD$7)</f>
        <v>359739.5036156305</v>
      </c>
      <c r="AE34" s="31">
        <f>IF($B34=0,0, (INDEX(Option2!AE$106:AE$117, MATCH($D34, Option2!$G$106:$G$117,0)))*conv_2026*AE$7)</f>
        <v>359739.5036156305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4191943.2607603776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0</v>
      </c>
      <c r="M35" s="31">
        <f>IF($B35=0,0, (INDEX(Option2!M$106:M$117, MATCH($D35, Option2!$G$106:$G$117,0)))*conv_2026*M$7)</f>
        <v>-36061.452935652844</v>
      </c>
      <c r="N35" s="31">
        <f>IF($B35=0,0, (INDEX(Option2!N$106:N$117, MATCH($D35, Option2!$G$106:$G$117,0)))*conv_2026*N$7)</f>
        <v>48926.527854690394</v>
      </c>
      <c r="O35" s="31">
        <f>IF($B35=0,0, (INDEX(Option2!O$106:O$117, MATCH($D35, Option2!$G$106:$G$117,0)))*conv_2026*O$7)</f>
        <v>202378.58456485998</v>
      </c>
      <c r="P35" s="31">
        <f>IF($B35=0,0, (INDEX(Option2!P$106:P$117, MATCH($D35, Option2!$G$106:$G$117,0)))*conv_2026*P$7)</f>
        <v>415737.87198876846</v>
      </c>
      <c r="Q35" s="31">
        <f>IF($B35=0,0, (INDEX(Option2!Q$106:Q$117, MATCH($D35, Option2!$G$106:$G$117,0)))*conv_2026*Q$7)</f>
        <v>415737.87198876846</v>
      </c>
      <c r="R35" s="31">
        <f>IF($B35=0,0, (INDEX(Option2!R$106:R$117, MATCH($D35, Option2!$G$106:$G$117,0)))*conv_2026*R$7)</f>
        <v>415737.87198876846</v>
      </c>
      <c r="S35" s="31">
        <f>IF($B35=0,0, (INDEX(Option2!S$106:S$117, MATCH($D35, Option2!$G$106:$G$117,0)))*conv_2026*S$7)</f>
        <v>415737.87198876846</v>
      </c>
      <c r="T35" s="31">
        <f>IF($B35=0,0, (INDEX(Option2!T$106:T$117, MATCH($D35, Option2!$G$106:$G$117,0)))*conv_2026*T$7)</f>
        <v>415737.87198876846</v>
      </c>
      <c r="U35" s="31">
        <f>IF($B35=0,0, (INDEX(Option2!U$106:U$117, MATCH($D35, Option2!$G$106:$G$117,0)))*conv_2026*U$7)</f>
        <v>415737.87198876846</v>
      </c>
      <c r="V35" s="31">
        <f>IF($B35=0,0, (INDEX(Option2!V$106:V$117, MATCH($D35, Option2!$G$106:$G$117,0)))*conv_2026*V$7)</f>
        <v>415737.87198876846</v>
      </c>
      <c r="W35" s="31">
        <f>IF($B35=0,0, (INDEX(Option2!W$106:W$117, MATCH($D35, Option2!$G$106:$G$117,0)))*conv_2026*W$7)</f>
        <v>415737.87198876846</v>
      </c>
      <c r="X35" s="31">
        <f>IF($B35=0,0, (INDEX(Option2!X$106:X$117, MATCH($D35, Option2!$G$106:$G$117,0)))*conv_2026*X$7)</f>
        <v>415737.87198876846</v>
      </c>
      <c r="Y35" s="31">
        <f>IF($B35=0,0, (INDEX(Option2!Y$106:Y$117, MATCH($D35, Option2!$G$106:$G$117,0)))*conv_2026*Y$7)</f>
        <v>415737.87198876846</v>
      </c>
      <c r="Z35" s="31">
        <f>IF($B35=0,0, (INDEX(Option2!Z$106:Z$117, MATCH($D35, Option2!$G$106:$G$117,0)))*conv_2026*Z$7)</f>
        <v>415737.87198876846</v>
      </c>
      <c r="AA35" s="31">
        <f>IF($B35=0,0, (INDEX(Option2!AA$106:AA$117, MATCH($D35, Option2!$G$106:$G$117,0)))*conv_2026*AA$7)</f>
        <v>415737.87198876846</v>
      </c>
      <c r="AB35" s="31">
        <f>IF($B35=0,0, (INDEX(Option2!AB$106:AB$117, MATCH($D35, Option2!$G$106:$G$117,0)))*conv_2026*AB$7)</f>
        <v>415737.87198876846</v>
      </c>
      <c r="AC35" s="31">
        <f>IF($B35=0,0, (INDEX(Option2!AC$106:AC$117, MATCH($D35, Option2!$G$106:$G$117,0)))*conv_2026*AC$7)</f>
        <v>415737.87198876846</v>
      </c>
      <c r="AD35" s="31">
        <f>IF($B35=0,0, (INDEX(Option2!AD$106:AD$117, MATCH($D35, Option2!$G$106:$G$117,0)))*conv_2026*AD$7)</f>
        <v>415737.87198876846</v>
      </c>
      <c r="AE35" s="31">
        <f>IF($B35=0,0, (INDEX(Option2!AE$106:AE$117, MATCH($D35, Option2!$G$106:$G$117,0)))*conv_2026*AE$7)</f>
        <v>415737.87198876846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4191943.2607603776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0</v>
      </c>
      <c r="M36" s="31">
        <f>IF($B36=0,0, (INDEX(Option2!M$106:M$117, MATCH($D36, Option2!$G$106:$G$117,0)))*conv_2026*M$7)</f>
        <v>-36061.452935652844</v>
      </c>
      <c r="N36" s="31">
        <f>IF($B36=0,0, (INDEX(Option2!N$106:N$117, MATCH($D36, Option2!$G$106:$G$117,0)))*conv_2026*N$7)</f>
        <v>48926.527854690394</v>
      </c>
      <c r="O36" s="31">
        <f>IF($B36=0,0, (INDEX(Option2!O$106:O$117, MATCH($D36, Option2!$G$106:$G$117,0)))*conv_2026*O$7)</f>
        <v>202378.58456485998</v>
      </c>
      <c r="P36" s="31">
        <f>IF($B36=0,0, (INDEX(Option2!P$106:P$117, MATCH($D36, Option2!$G$106:$G$117,0)))*conv_2026*P$7)</f>
        <v>415737.87198876846</v>
      </c>
      <c r="Q36" s="31">
        <f>IF($B36=0,0, (INDEX(Option2!Q$106:Q$117, MATCH($D36, Option2!$G$106:$G$117,0)))*conv_2026*Q$7)</f>
        <v>415737.87198876846</v>
      </c>
      <c r="R36" s="31">
        <f>IF($B36=0,0, (INDEX(Option2!R$106:R$117, MATCH($D36, Option2!$G$106:$G$117,0)))*conv_2026*R$7)</f>
        <v>415737.87198876846</v>
      </c>
      <c r="S36" s="31">
        <f>IF($B36=0,0, (INDEX(Option2!S$106:S$117, MATCH($D36, Option2!$G$106:$G$117,0)))*conv_2026*S$7)</f>
        <v>415737.87198876846</v>
      </c>
      <c r="T36" s="31">
        <f>IF($B36=0,0, (INDEX(Option2!T$106:T$117, MATCH($D36, Option2!$G$106:$G$117,0)))*conv_2026*T$7)</f>
        <v>415737.87198876846</v>
      </c>
      <c r="U36" s="31">
        <f>IF($B36=0,0, (INDEX(Option2!U$106:U$117, MATCH($D36, Option2!$G$106:$G$117,0)))*conv_2026*U$7)</f>
        <v>415737.87198876846</v>
      </c>
      <c r="V36" s="31">
        <f>IF($B36=0,0, (INDEX(Option2!V$106:V$117, MATCH($D36, Option2!$G$106:$G$117,0)))*conv_2026*V$7)</f>
        <v>415737.87198876846</v>
      </c>
      <c r="W36" s="31">
        <f>IF($B36=0,0, (INDEX(Option2!W$106:W$117, MATCH($D36, Option2!$G$106:$G$117,0)))*conv_2026*W$7)</f>
        <v>415737.87198876846</v>
      </c>
      <c r="X36" s="31">
        <f>IF($B36=0,0, (INDEX(Option2!X$106:X$117, MATCH($D36, Option2!$G$106:$G$117,0)))*conv_2026*X$7)</f>
        <v>415737.87198876846</v>
      </c>
      <c r="Y36" s="31">
        <f>IF($B36=0,0, (INDEX(Option2!Y$106:Y$117, MATCH($D36, Option2!$G$106:$G$117,0)))*conv_2026*Y$7)</f>
        <v>415737.87198876846</v>
      </c>
      <c r="Z36" s="31">
        <f>IF($B36=0,0, (INDEX(Option2!Z$106:Z$117, MATCH($D36, Option2!$G$106:$G$117,0)))*conv_2026*Z$7)</f>
        <v>415737.87198876846</v>
      </c>
      <c r="AA36" s="31">
        <f>IF($B36=0,0, (INDEX(Option2!AA$106:AA$117, MATCH($D36, Option2!$G$106:$G$117,0)))*conv_2026*AA$7)</f>
        <v>415737.87198876846</v>
      </c>
      <c r="AB36" s="31">
        <f>IF($B36=0,0, (INDEX(Option2!AB$106:AB$117, MATCH($D36, Option2!$G$106:$G$117,0)))*conv_2026*AB$7)</f>
        <v>415737.87198876846</v>
      </c>
      <c r="AC36" s="31">
        <f>IF($B36=0,0, (INDEX(Option2!AC$106:AC$117, MATCH($D36, Option2!$G$106:$G$117,0)))*conv_2026*AC$7)</f>
        <v>415737.87198876846</v>
      </c>
      <c r="AD36" s="31">
        <f>IF($B36=0,0, (INDEX(Option2!AD$106:AD$117, MATCH($D36, Option2!$G$106:$G$117,0)))*conv_2026*AD$7)</f>
        <v>415737.87198876846</v>
      </c>
      <c r="AE36" s="31">
        <f>IF($B36=0,0, (INDEX(Option2!AE$106:AE$117, MATCH($D36, Option2!$G$106:$G$117,0)))*conv_2026*AE$7)</f>
        <v>415737.87198876846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4191943.2607603776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0</v>
      </c>
      <c r="M37" s="31">
        <f>IF($B37=0,0, (INDEX(Option2!M$106:M$117, MATCH($D37, Option2!$G$106:$G$117,0)))*conv_2026*M$7)</f>
        <v>-36061.452935652844</v>
      </c>
      <c r="N37" s="31">
        <f>IF($B37=0,0, (INDEX(Option2!N$106:N$117, MATCH($D37, Option2!$G$106:$G$117,0)))*conv_2026*N$7)</f>
        <v>48926.527854690394</v>
      </c>
      <c r="O37" s="31">
        <f>IF($B37=0,0, (INDEX(Option2!O$106:O$117, MATCH($D37, Option2!$G$106:$G$117,0)))*conv_2026*O$7)</f>
        <v>202378.58456485998</v>
      </c>
      <c r="P37" s="31">
        <f>IF($B37=0,0, (INDEX(Option2!P$106:P$117, MATCH($D37, Option2!$G$106:$G$117,0)))*conv_2026*P$7)</f>
        <v>415737.87198876846</v>
      </c>
      <c r="Q37" s="31">
        <f>IF($B37=0,0, (INDEX(Option2!Q$106:Q$117, MATCH($D37, Option2!$G$106:$G$117,0)))*conv_2026*Q$7)</f>
        <v>415737.87198876846</v>
      </c>
      <c r="R37" s="31">
        <f>IF($B37=0,0, (INDEX(Option2!R$106:R$117, MATCH($D37, Option2!$G$106:$G$117,0)))*conv_2026*R$7)</f>
        <v>415737.87198876846</v>
      </c>
      <c r="S37" s="31">
        <f>IF($B37=0,0, (INDEX(Option2!S$106:S$117, MATCH($D37, Option2!$G$106:$G$117,0)))*conv_2026*S$7)</f>
        <v>415737.87198876846</v>
      </c>
      <c r="T37" s="31">
        <f>IF($B37=0,0, (INDEX(Option2!T$106:T$117, MATCH($D37, Option2!$G$106:$G$117,0)))*conv_2026*T$7)</f>
        <v>415737.87198876846</v>
      </c>
      <c r="U37" s="31">
        <f>IF($B37=0,0, (INDEX(Option2!U$106:U$117, MATCH($D37, Option2!$G$106:$G$117,0)))*conv_2026*U$7)</f>
        <v>415737.87198876846</v>
      </c>
      <c r="V37" s="31">
        <f>IF($B37=0,0, (INDEX(Option2!V$106:V$117, MATCH($D37, Option2!$G$106:$G$117,0)))*conv_2026*V$7)</f>
        <v>415737.87198876846</v>
      </c>
      <c r="W37" s="31">
        <f>IF($B37=0,0, (INDEX(Option2!W$106:W$117, MATCH($D37, Option2!$G$106:$G$117,0)))*conv_2026*W$7)</f>
        <v>415737.87198876846</v>
      </c>
      <c r="X37" s="31">
        <f>IF($B37=0,0, (INDEX(Option2!X$106:X$117, MATCH($D37, Option2!$G$106:$G$117,0)))*conv_2026*X$7)</f>
        <v>415737.87198876846</v>
      </c>
      <c r="Y37" s="31">
        <f>IF($B37=0,0, (INDEX(Option2!Y$106:Y$117, MATCH($D37, Option2!$G$106:$G$117,0)))*conv_2026*Y$7)</f>
        <v>415737.87198876846</v>
      </c>
      <c r="Z37" s="31">
        <f>IF($B37=0,0, (INDEX(Option2!Z$106:Z$117, MATCH($D37, Option2!$G$106:$G$117,0)))*conv_2026*Z$7)</f>
        <v>415737.87198876846</v>
      </c>
      <c r="AA37" s="31">
        <f>IF($B37=0,0, (INDEX(Option2!AA$106:AA$117, MATCH($D37, Option2!$G$106:$G$117,0)))*conv_2026*AA$7)</f>
        <v>415737.87198876846</v>
      </c>
      <c r="AB37" s="31">
        <f>IF($B37=0,0, (INDEX(Option2!AB$106:AB$117, MATCH($D37, Option2!$G$106:$G$117,0)))*conv_2026*AB$7)</f>
        <v>415737.87198876846</v>
      </c>
      <c r="AC37" s="31">
        <f>IF($B37=0,0, (INDEX(Option2!AC$106:AC$117, MATCH($D37, Option2!$G$106:$G$117,0)))*conv_2026*AC$7)</f>
        <v>415737.87198876846</v>
      </c>
      <c r="AD37" s="31">
        <f>IF($B37=0,0, (INDEX(Option2!AD$106:AD$117, MATCH($D37, Option2!$G$106:$G$117,0)))*conv_2026*AD$7)</f>
        <v>415737.87198876846</v>
      </c>
      <c r="AE37" s="31">
        <f>IF($B37=0,0, (INDEX(Option2!AE$106:AE$117, MATCH($D37, Option2!$G$106:$G$117,0)))*conv_2026*AE$7)</f>
        <v>415737.87198876846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0</v>
      </c>
      <c r="M40" s="31">
        <f>Consol!M50</f>
        <v>0</v>
      </c>
      <c r="N40" s="31">
        <f>Consol!N50</f>
        <v>0</v>
      </c>
      <c r="O40" s="31">
        <f>Consol!O50</f>
        <v>0</v>
      </c>
      <c r="P40" s="31">
        <f>Consol!P50</f>
        <v>0</v>
      </c>
      <c r="Q40" s="31">
        <f>Consol!Q50</f>
        <v>0</v>
      </c>
      <c r="R40" s="31">
        <f>Consol!R50</f>
        <v>0</v>
      </c>
      <c r="S40" s="31">
        <f>Consol!S50</f>
        <v>0</v>
      </c>
      <c r="T40" s="31">
        <f>Consol!T50</f>
        <v>0</v>
      </c>
      <c r="U40" s="31">
        <f>Consol!U50</f>
        <v>0</v>
      </c>
      <c r="V40" s="31">
        <f>Consol!V50</f>
        <v>0</v>
      </c>
      <c r="W40" s="31">
        <f>Consol!W50</f>
        <v>0</v>
      </c>
      <c r="X40" s="31">
        <f>Consol!X50</f>
        <v>0</v>
      </c>
      <c r="Y40" s="31">
        <f>Consol!Y50</f>
        <v>0</v>
      </c>
      <c r="Z40" s="31">
        <f>Consol!Z50</f>
        <v>0</v>
      </c>
      <c r="AA40" s="31">
        <f>Consol!AA50</f>
        <v>0</v>
      </c>
      <c r="AB40" s="31">
        <f>Consol!AB50</f>
        <v>0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188</v>
      </c>
      <c r="D42" s="253" t="str">
        <f>A42&amp;B42</f>
        <v>Option 3NPV</v>
      </c>
      <c r="E42" s="254"/>
      <c r="F42" s="31">
        <f t="shared" ref="F42:F51" si="4">SUMPRODUCT($H42:$AG42, $H$5:$AG$5)</f>
        <v>0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0</v>
      </c>
      <c r="M42" s="31">
        <f>(INDEX(Option3!M$106:M$117, MATCH($D42, Option3!$G$106:$G$117,0)))*conv_2026*M$7</f>
        <v>0</v>
      </c>
      <c r="N42" s="31">
        <f>(INDEX(Option3!N$106:N$117, MATCH($D42, Option3!$G$106:$G$117,0)))*conv_2026*N$7</f>
        <v>0</v>
      </c>
      <c r="O42" s="31">
        <f>(INDEX(Option3!O$106:O$117, MATCH($D42, Option3!$G$106:$G$117,0)))*conv_2026*O$7</f>
        <v>0</v>
      </c>
      <c r="P42" s="31">
        <f>(INDEX(Option3!P$106:P$117, MATCH($D42, Option3!$G$106:$G$117,0)))*conv_2026*P$7</f>
        <v>0</v>
      </c>
      <c r="Q42" s="31">
        <f>(INDEX(Option3!Q$106:Q$117, MATCH($D42, Option3!$G$106:$G$117,0)))*conv_2026*Q$7</f>
        <v>0</v>
      </c>
      <c r="R42" s="31">
        <f>(INDEX(Option3!R$106:R$117, MATCH($D42, Option3!$G$106:$G$117,0)))*conv_2026*R$7</f>
        <v>0</v>
      </c>
      <c r="S42" s="31">
        <f>(INDEX(Option3!S$106:S$117, MATCH($D42, Option3!$G$106:$G$117,0)))*conv_2026*S$7</f>
        <v>0</v>
      </c>
      <c r="T42" s="31">
        <f>(INDEX(Option3!T$106:T$117, MATCH($D42, Option3!$G$106:$G$117,0)))*conv_2026*T$7</f>
        <v>0</v>
      </c>
      <c r="U42" s="31">
        <f>(INDEX(Option3!U$106:U$117, MATCH($D42, Option3!$G$106:$G$117,0)))*conv_2026*U$7</f>
        <v>0</v>
      </c>
      <c r="V42" s="31">
        <f>(INDEX(Option3!V$106:V$117, MATCH($D42, Option3!$G$106:$G$117,0)))*conv_2026*V$7</f>
        <v>0</v>
      </c>
      <c r="W42" s="31">
        <f>(INDEX(Option3!W$106:W$117, MATCH($D42, Option3!$G$106:$G$117,0)))*conv_2026*W$7</f>
        <v>0</v>
      </c>
      <c r="X42" s="31">
        <f>(INDEX(Option3!X$106:X$117, MATCH($D42, Option3!$G$106:$G$117,0)))*conv_2026*X$7</f>
        <v>0</v>
      </c>
      <c r="Y42" s="31">
        <f>(INDEX(Option3!Y$106:Y$117, MATCH($D42, Option3!$G$106:$G$117,0)))*conv_2026*Y$7</f>
        <v>0</v>
      </c>
      <c r="Z42" s="31">
        <f>(INDEX(Option3!Z$106:Z$117, MATCH($D42, Option3!$G$106:$G$117,0)))*conv_2026*Z$7</f>
        <v>0</v>
      </c>
      <c r="AA42" s="31">
        <f>(INDEX(Option3!AA$106:AA$117, MATCH($D42, Option3!$G$106:$G$117,0)))*conv_2026*AA$7</f>
        <v>0</v>
      </c>
      <c r="AB42" s="31">
        <f>(INDEX(Option3!AB$106:AB$117, MATCH($D42, Option3!$G$106:$G$117,0)))*conv_2026*AB$7</f>
        <v>0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0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0</v>
      </c>
      <c r="M44" s="31">
        <f>(INDEX(Option3!M$106:M$117, MATCH($D44, Option3!$G$106:$G$117,0)))*conv_2026*M$7</f>
        <v>0</v>
      </c>
      <c r="N44" s="31">
        <f>(INDEX(Option3!N$106:N$117, MATCH($D44, Option3!$G$106:$G$117,0)))*conv_2026*N$7</f>
        <v>0</v>
      </c>
      <c r="O44" s="31">
        <f>(INDEX(Option3!O$106:O$117, MATCH($D44, Option3!$G$106:$G$117,0)))*conv_2026*O$7</f>
        <v>0</v>
      </c>
      <c r="P44" s="31">
        <f>(INDEX(Option3!P$106:P$117, MATCH($D44, Option3!$G$106:$G$117,0)))*conv_2026*P$7</f>
        <v>0</v>
      </c>
      <c r="Q44" s="31">
        <f>(INDEX(Option3!Q$106:Q$117, MATCH($D44, Option3!$G$106:$G$117,0)))*conv_2026*Q$7</f>
        <v>0</v>
      </c>
      <c r="R44" s="31">
        <f>(INDEX(Option3!R$106:R$117, MATCH($D44, Option3!$G$106:$G$117,0)))*conv_2026*R$7</f>
        <v>0</v>
      </c>
      <c r="S44" s="31">
        <f>(INDEX(Option3!S$106:S$117, MATCH($D44, Option3!$G$106:$G$117,0)))*conv_2026*S$7</f>
        <v>0</v>
      </c>
      <c r="T44" s="31">
        <f>(INDEX(Option3!T$106:T$117, MATCH($D44, Option3!$G$106:$G$117,0)))*conv_2026*T$7</f>
        <v>0</v>
      </c>
      <c r="U44" s="31">
        <f>(INDEX(Option3!U$106:U$117, MATCH($D44, Option3!$G$106:$G$117,0)))*conv_2026*U$7</f>
        <v>0</v>
      </c>
      <c r="V44" s="31">
        <f>(INDEX(Option3!V$106:V$117, MATCH($D44, Option3!$G$106:$G$117,0)))*conv_2026*V$7</f>
        <v>0</v>
      </c>
      <c r="W44" s="31">
        <f>(INDEX(Option3!W$106:W$117, MATCH($D44, Option3!$G$106:$G$117,0)))*conv_2026*W$7</f>
        <v>0</v>
      </c>
      <c r="X44" s="31">
        <f>(INDEX(Option3!X$106:X$117, MATCH($D44, Option3!$G$106:$G$117,0)))*conv_2026*X$7</f>
        <v>0</v>
      </c>
      <c r="Y44" s="31">
        <f>(INDEX(Option3!Y$106:Y$117, MATCH($D44, Option3!$G$106:$G$117,0)))*conv_2026*Y$7</f>
        <v>0</v>
      </c>
      <c r="Z44" s="31">
        <f>(INDEX(Option3!Z$106:Z$117, MATCH($D44, Option3!$G$106:$G$117,0)))*conv_2026*Z$7</f>
        <v>0</v>
      </c>
      <c r="AA44" s="31">
        <f>(INDEX(Option3!AA$106:AA$117, MATCH($D44, Option3!$G$106:$G$117,0)))*conv_2026*AA$7</f>
        <v>0</v>
      </c>
      <c r="AB44" s="31">
        <f>(INDEX(Option3!AB$106:AB$117, MATCH($D44, Option3!$G$106:$G$117,0)))*conv_2026*AB$7</f>
        <v>0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0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0</v>
      </c>
      <c r="M45" s="31">
        <f>(INDEX(Option3!M$106:M$117, MATCH($D45, Option3!$G$106:$G$117,0)))*conv_2026*M$7</f>
        <v>0</v>
      </c>
      <c r="N45" s="31">
        <f>(INDEX(Option3!N$106:N$117, MATCH($D45, Option3!$G$106:$G$117,0)))*conv_2026*N$7</f>
        <v>0</v>
      </c>
      <c r="O45" s="31">
        <f>(INDEX(Option3!O$106:O$117, MATCH($D45, Option3!$G$106:$G$117,0)))*conv_2026*O$7</f>
        <v>0</v>
      </c>
      <c r="P45" s="31">
        <f>(INDEX(Option3!P$106:P$117, MATCH($D45, Option3!$G$106:$G$117,0)))*conv_2026*P$7</f>
        <v>0</v>
      </c>
      <c r="Q45" s="31">
        <f>(INDEX(Option3!Q$106:Q$117, MATCH($D45, Option3!$G$106:$G$117,0)))*conv_2026*Q$7</f>
        <v>0</v>
      </c>
      <c r="R45" s="31">
        <f>(INDEX(Option3!R$106:R$117, MATCH($D45, Option3!$G$106:$G$117,0)))*conv_2026*R$7</f>
        <v>0</v>
      </c>
      <c r="S45" s="31">
        <f>(INDEX(Option3!S$106:S$117, MATCH($D45, Option3!$G$106:$G$117,0)))*conv_2026*S$7</f>
        <v>0</v>
      </c>
      <c r="T45" s="31">
        <f>(INDEX(Option3!T$106:T$117, MATCH($D45, Option3!$G$106:$G$117,0)))*conv_2026*T$7</f>
        <v>0</v>
      </c>
      <c r="U45" s="31">
        <f>(INDEX(Option3!U$106:U$117, MATCH($D45, Option3!$G$106:$G$117,0)))*conv_2026*U$7</f>
        <v>0</v>
      </c>
      <c r="V45" s="31">
        <f>(INDEX(Option3!V$106:V$117, MATCH($D45, Option3!$G$106:$G$117,0)))*conv_2026*V$7</f>
        <v>0</v>
      </c>
      <c r="W45" s="31">
        <f>(INDEX(Option3!W$106:W$117, MATCH($D45, Option3!$G$106:$G$117,0)))*conv_2026*W$7</f>
        <v>0</v>
      </c>
      <c r="X45" s="31">
        <f>(INDEX(Option3!X$106:X$117, MATCH($D45, Option3!$G$106:$G$117,0)))*conv_2026*X$7</f>
        <v>0</v>
      </c>
      <c r="Y45" s="31">
        <f>(INDEX(Option3!Y$106:Y$117, MATCH($D45, Option3!$G$106:$G$117,0)))*conv_2026*Y$7</f>
        <v>0</v>
      </c>
      <c r="Z45" s="31">
        <f>(INDEX(Option3!Z$106:Z$117, MATCH($D45, Option3!$G$106:$G$117,0)))*conv_2026*Z$7</f>
        <v>0</v>
      </c>
      <c r="AA45" s="31">
        <f>(INDEX(Option3!AA$106:AA$117, MATCH($D45, Option3!$G$106:$G$117,0)))*conv_2026*AA$7</f>
        <v>0</v>
      </c>
      <c r="AB45" s="31">
        <f>(INDEX(Option3!AB$106:AB$117, MATCH($D45, Option3!$G$106:$G$117,0)))*conv_2026*AB$7</f>
        <v>0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0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0</v>
      </c>
      <c r="M46" s="31">
        <f>(INDEX(Option3!M$106:M$117, MATCH($D46, Option3!$G$106:$G$117,0)))*conv_2026*M$7</f>
        <v>0</v>
      </c>
      <c r="N46" s="31">
        <f>(INDEX(Option3!N$106:N$117, MATCH($D46, Option3!$G$106:$G$117,0)))*conv_2026*N$7</f>
        <v>0</v>
      </c>
      <c r="O46" s="31">
        <f>(INDEX(Option3!O$106:O$117, MATCH($D46, Option3!$G$106:$G$117,0)))*conv_2026*O$7</f>
        <v>0</v>
      </c>
      <c r="P46" s="31">
        <f>(INDEX(Option3!P$106:P$117, MATCH($D46, Option3!$G$106:$G$117,0)))*conv_2026*P$7</f>
        <v>0</v>
      </c>
      <c r="Q46" s="31">
        <f>(INDEX(Option3!Q$106:Q$117, MATCH($D46, Option3!$G$106:$G$117,0)))*conv_2026*Q$7</f>
        <v>0</v>
      </c>
      <c r="R46" s="31">
        <f>(INDEX(Option3!R$106:R$117, MATCH($D46, Option3!$G$106:$G$117,0)))*conv_2026*R$7</f>
        <v>0</v>
      </c>
      <c r="S46" s="31">
        <f>(INDEX(Option3!S$106:S$117, MATCH($D46, Option3!$G$106:$G$117,0)))*conv_2026*S$7</f>
        <v>0</v>
      </c>
      <c r="T46" s="31">
        <f>(INDEX(Option3!T$106:T$117, MATCH($D46, Option3!$G$106:$G$117,0)))*conv_2026*T$7</f>
        <v>0</v>
      </c>
      <c r="U46" s="31">
        <f>(INDEX(Option3!U$106:U$117, MATCH($D46, Option3!$G$106:$G$117,0)))*conv_2026*U$7</f>
        <v>0</v>
      </c>
      <c r="V46" s="31">
        <f>(INDEX(Option3!V$106:V$117, MATCH($D46, Option3!$G$106:$G$117,0)))*conv_2026*V$7</f>
        <v>0</v>
      </c>
      <c r="W46" s="31">
        <f>(INDEX(Option3!W$106:W$117, MATCH($D46, Option3!$G$106:$G$117,0)))*conv_2026*W$7</f>
        <v>0</v>
      </c>
      <c r="X46" s="31">
        <f>(INDEX(Option3!X$106:X$117, MATCH($D46, Option3!$G$106:$G$117,0)))*conv_2026*X$7</f>
        <v>0</v>
      </c>
      <c r="Y46" s="31">
        <f>(INDEX(Option3!Y$106:Y$117, MATCH($D46, Option3!$G$106:$G$117,0)))*conv_2026*Y$7</f>
        <v>0</v>
      </c>
      <c r="Z46" s="31">
        <f>(INDEX(Option3!Z$106:Z$117, MATCH($D46, Option3!$G$106:$G$117,0)))*conv_2026*Z$7</f>
        <v>0</v>
      </c>
      <c r="AA46" s="31">
        <f>(INDEX(Option3!AA$106:AA$117, MATCH($D46, Option3!$G$106:$G$117,0)))*conv_2026*AA$7</f>
        <v>0</v>
      </c>
      <c r="AB46" s="31">
        <f>(INDEX(Option3!AB$106:AB$117, MATCH($D46, Option3!$G$106:$G$117,0)))*conv_2026*AB$7</f>
        <v>0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0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0</v>
      </c>
      <c r="M47" s="31">
        <f>(INDEX(Option3!M$106:M$117, MATCH($D47, Option3!$G$106:$G$117,0)))*conv_2026*M$7</f>
        <v>0</v>
      </c>
      <c r="N47" s="31">
        <f>(INDEX(Option3!N$106:N$117, MATCH($D47, Option3!$G$106:$G$117,0)))*conv_2026*N$7</f>
        <v>0</v>
      </c>
      <c r="O47" s="31">
        <f>(INDEX(Option3!O$106:O$117, MATCH($D47, Option3!$G$106:$G$117,0)))*conv_2026*O$7</f>
        <v>0</v>
      </c>
      <c r="P47" s="31">
        <f>(INDEX(Option3!P$106:P$117, MATCH($D47, Option3!$G$106:$G$117,0)))*conv_2026*P$7</f>
        <v>0</v>
      </c>
      <c r="Q47" s="31">
        <f>(INDEX(Option3!Q$106:Q$117, MATCH($D47, Option3!$G$106:$G$117,0)))*conv_2026*Q$7</f>
        <v>0</v>
      </c>
      <c r="R47" s="31">
        <f>(INDEX(Option3!R$106:R$117, MATCH($D47, Option3!$G$106:$G$117,0)))*conv_2026*R$7</f>
        <v>0</v>
      </c>
      <c r="S47" s="31">
        <f>(INDEX(Option3!S$106:S$117, MATCH($D47, Option3!$G$106:$G$117,0)))*conv_2026*S$7</f>
        <v>0</v>
      </c>
      <c r="T47" s="31">
        <f>(INDEX(Option3!T$106:T$117, MATCH($D47, Option3!$G$106:$G$117,0)))*conv_2026*T$7</f>
        <v>0</v>
      </c>
      <c r="U47" s="31">
        <f>(INDEX(Option3!U$106:U$117, MATCH($D47, Option3!$G$106:$G$117,0)))*conv_2026*U$7</f>
        <v>0</v>
      </c>
      <c r="V47" s="31">
        <f>(INDEX(Option3!V$106:V$117, MATCH($D47, Option3!$G$106:$G$117,0)))*conv_2026*V$7</f>
        <v>0</v>
      </c>
      <c r="W47" s="31">
        <f>(INDEX(Option3!W$106:W$117, MATCH($D47, Option3!$G$106:$G$117,0)))*conv_2026*W$7</f>
        <v>0</v>
      </c>
      <c r="X47" s="31">
        <f>(INDEX(Option3!X$106:X$117, MATCH($D47, Option3!$G$106:$G$117,0)))*conv_2026*X$7</f>
        <v>0</v>
      </c>
      <c r="Y47" s="31">
        <f>(INDEX(Option3!Y$106:Y$117, MATCH($D47, Option3!$G$106:$G$117,0)))*conv_2026*Y$7</f>
        <v>0</v>
      </c>
      <c r="Z47" s="31">
        <f>(INDEX(Option3!Z$106:Z$117, MATCH($D47, Option3!$G$106:$G$117,0)))*conv_2026*Z$7</f>
        <v>0</v>
      </c>
      <c r="AA47" s="31">
        <f>(INDEX(Option3!AA$106:AA$117, MATCH($D47, Option3!$G$106:$G$117,0)))*conv_2026*AA$7</f>
        <v>0</v>
      </c>
      <c r="AB47" s="31">
        <f>(INDEX(Option3!AB$106:AB$117, MATCH($D47, Option3!$G$106:$G$117,0)))*conv_2026*AB$7</f>
        <v>0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0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0</v>
      </c>
      <c r="M48" s="31">
        <f>(INDEX(Option3!M$106:M$117, MATCH($D48, Option3!$G$106:$G$117,0)))*conv_2026*M$7</f>
        <v>0</v>
      </c>
      <c r="N48" s="31">
        <f>(INDEX(Option3!N$106:N$117, MATCH($D48, Option3!$G$106:$G$117,0)))*conv_2026*N$7</f>
        <v>0</v>
      </c>
      <c r="O48" s="31">
        <f>(INDEX(Option3!O$106:O$117, MATCH($D48, Option3!$G$106:$G$117,0)))*conv_2026*O$7</f>
        <v>0</v>
      </c>
      <c r="P48" s="31">
        <f>(INDEX(Option3!P$106:P$117, MATCH($D48, Option3!$G$106:$G$117,0)))*conv_2026*P$7</f>
        <v>0</v>
      </c>
      <c r="Q48" s="31">
        <f>(INDEX(Option3!Q$106:Q$117, MATCH($D48, Option3!$G$106:$G$117,0)))*conv_2026*Q$7</f>
        <v>0</v>
      </c>
      <c r="R48" s="31">
        <f>(INDEX(Option3!R$106:R$117, MATCH($D48, Option3!$G$106:$G$117,0)))*conv_2026*R$7</f>
        <v>0</v>
      </c>
      <c r="S48" s="31">
        <f>(INDEX(Option3!S$106:S$117, MATCH($D48, Option3!$G$106:$G$117,0)))*conv_2026*S$7</f>
        <v>0</v>
      </c>
      <c r="T48" s="31">
        <f>(INDEX(Option3!T$106:T$117, MATCH($D48, Option3!$G$106:$G$117,0)))*conv_2026*T$7</f>
        <v>0</v>
      </c>
      <c r="U48" s="31">
        <f>(INDEX(Option3!U$106:U$117, MATCH($D48, Option3!$G$106:$G$117,0)))*conv_2026*U$7</f>
        <v>0</v>
      </c>
      <c r="V48" s="31">
        <f>(INDEX(Option3!V$106:V$117, MATCH($D48, Option3!$G$106:$G$117,0)))*conv_2026*V$7</f>
        <v>0</v>
      </c>
      <c r="W48" s="31">
        <f>(INDEX(Option3!W$106:W$117, MATCH($D48, Option3!$G$106:$G$117,0)))*conv_2026*W$7</f>
        <v>0</v>
      </c>
      <c r="X48" s="31">
        <f>(INDEX(Option3!X$106:X$117, MATCH($D48, Option3!$G$106:$G$117,0)))*conv_2026*X$7</f>
        <v>0</v>
      </c>
      <c r="Y48" s="31">
        <f>(INDEX(Option3!Y$106:Y$117, MATCH($D48, Option3!$G$106:$G$117,0)))*conv_2026*Y$7</f>
        <v>0</v>
      </c>
      <c r="Z48" s="31">
        <f>(INDEX(Option3!Z$106:Z$117, MATCH($D48, Option3!$G$106:$G$117,0)))*conv_2026*Z$7</f>
        <v>0</v>
      </c>
      <c r="AA48" s="31">
        <f>(INDEX(Option3!AA$106:AA$117, MATCH($D48, Option3!$G$106:$G$117,0)))*conv_2026*AA$7</f>
        <v>0</v>
      </c>
      <c r="AB48" s="31">
        <f>(INDEX(Option3!AB$106:AB$117, MATCH($D48, Option3!$G$106:$G$117,0)))*conv_2026*AB$7</f>
        <v>0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0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0</v>
      </c>
      <c r="M49" s="31">
        <f>(INDEX(Option3!M$106:M$117, MATCH($D49, Option3!$G$106:$G$117,0)))*conv_2026*M$7</f>
        <v>0</v>
      </c>
      <c r="N49" s="31">
        <f>(INDEX(Option3!N$106:N$117, MATCH($D49, Option3!$G$106:$G$117,0)))*conv_2026*N$7</f>
        <v>0</v>
      </c>
      <c r="O49" s="31">
        <f>(INDEX(Option3!O$106:O$117, MATCH($D49, Option3!$G$106:$G$117,0)))*conv_2026*O$7</f>
        <v>0</v>
      </c>
      <c r="P49" s="31">
        <f>(INDEX(Option3!P$106:P$117, MATCH($D49, Option3!$G$106:$G$117,0)))*conv_2026*P$7</f>
        <v>0</v>
      </c>
      <c r="Q49" s="31">
        <f>(INDEX(Option3!Q$106:Q$117, MATCH($D49, Option3!$G$106:$G$117,0)))*conv_2026*Q$7</f>
        <v>0</v>
      </c>
      <c r="R49" s="31">
        <f>(INDEX(Option3!R$106:R$117, MATCH($D49, Option3!$G$106:$G$117,0)))*conv_2026*R$7</f>
        <v>0</v>
      </c>
      <c r="S49" s="31">
        <f>(INDEX(Option3!S$106:S$117, MATCH($D49, Option3!$G$106:$G$117,0)))*conv_2026*S$7</f>
        <v>0</v>
      </c>
      <c r="T49" s="31">
        <f>(INDEX(Option3!T$106:T$117, MATCH($D49, Option3!$G$106:$G$117,0)))*conv_2026*T$7</f>
        <v>0</v>
      </c>
      <c r="U49" s="31">
        <f>(INDEX(Option3!U$106:U$117, MATCH($D49, Option3!$G$106:$G$117,0)))*conv_2026*U$7</f>
        <v>0</v>
      </c>
      <c r="V49" s="31">
        <f>(INDEX(Option3!V$106:V$117, MATCH($D49, Option3!$G$106:$G$117,0)))*conv_2026*V$7</f>
        <v>0</v>
      </c>
      <c r="W49" s="31">
        <f>(INDEX(Option3!W$106:W$117, MATCH($D49, Option3!$G$106:$G$117,0)))*conv_2026*W$7</f>
        <v>0</v>
      </c>
      <c r="X49" s="31">
        <f>(INDEX(Option3!X$106:X$117, MATCH($D49, Option3!$G$106:$G$117,0)))*conv_2026*X$7</f>
        <v>0</v>
      </c>
      <c r="Y49" s="31">
        <f>(INDEX(Option3!Y$106:Y$117, MATCH($D49, Option3!$G$106:$G$117,0)))*conv_2026*Y$7</f>
        <v>0</v>
      </c>
      <c r="Z49" s="31">
        <f>(INDEX(Option3!Z$106:Z$117, MATCH($D49, Option3!$G$106:$G$117,0)))*conv_2026*Z$7</f>
        <v>0</v>
      </c>
      <c r="AA49" s="31">
        <f>(INDEX(Option3!AA$106:AA$117, MATCH($D49, Option3!$G$106:$G$117,0)))*conv_2026*AA$7</f>
        <v>0</v>
      </c>
      <c r="AB49" s="31">
        <f>(INDEX(Option3!AB$106:AB$117, MATCH($D49, Option3!$G$106:$G$117,0)))*conv_2026*AB$7</f>
        <v>0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0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0</v>
      </c>
      <c r="M50" s="31">
        <f>(INDEX(Option3!M$106:M$117, MATCH($D50, Option3!$G$106:$G$117,0)))*conv_2026*M$7</f>
        <v>0</v>
      </c>
      <c r="N50" s="31">
        <f>(INDEX(Option3!N$106:N$117, MATCH($D50, Option3!$G$106:$G$117,0)))*conv_2026*N$7</f>
        <v>0</v>
      </c>
      <c r="O50" s="31">
        <f>(INDEX(Option3!O$106:O$117, MATCH($D50, Option3!$G$106:$G$117,0)))*conv_2026*O$7</f>
        <v>0</v>
      </c>
      <c r="P50" s="31">
        <f>(INDEX(Option3!P$106:P$117, MATCH($D50, Option3!$G$106:$G$117,0)))*conv_2026*P$7</f>
        <v>0</v>
      </c>
      <c r="Q50" s="31">
        <f>(INDEX(Option3!Q$106:Q$117, MATCH($D50, Option3!$G$106:$G$117,0)))*conv_2026*Q$7</f>
        <v>0</v>
      </c>
      <c r="R50" s="31">
        <f>(INDEX(Option3!R$106:R$117, MATCH($D50, Option3!$G$106:$G$117,0)))*conv_2026*R$7</f>
        <v>0</v>
      </c>
      <c r="S50" s="31">
        <f>(INDEX(Option3!S$106:S$117, MATCH($D50, Option3!$G$106:$G$117,0)))*conv_2026*S$7</f>
        <v>0</v>
      </c>
      <c r="T50" s="31">
        <f>(INDEX(Option3!T$106:T$117, MATCH($D50, Option3!$G$106:$G$117,0)))*conv_2026*T$7</f>
        <v>0</v>
      </c>
      <c r="U50" s="31">
        <f>(INDEX(Option3!U$106:U$117, MATCH($D50, Option3!$G$106:$G$117,0)))*conv_2026*U$7</f>
        <v>0</v>
      </c>
      <c r="V50" s="31">
        <f>(INDEX(Option3!V$106:V$117, MATCH($D50, Option3!$G$106:$G$117,0)))*conv_2026*V$7</f>
        <v>0</v>
      </c>
      <c r="W50" s="31">
        <f>(INDEX(Option3!W$106:W$117, MATCH($D50, Option3!$G$106:$G$117,0)))*conv_2026*W$7</f>
        <v>0</v>
      </c>
      <c r="X50" s="31">
        <f>(INDEX(Option3!X$106:X$117, MATCH($D50, Option3!$G$106:$G$117,0)))*conv_2026*X$7</f>
        <v>0</v>
      </c>
      <c r="Y50" s="31">
        <f>(INDEX(Option3!Y$106:Y$117, MATCH($D50, Option3!$G$106:$G$117,0)))*conv_2026*Y$7</f>
        <v>0</v>
      </c>
      <c r="Z50" s="31">
        <f>(INDEX(Option3!Z$106:Z$117, MATCH($D50, Option3!$G$106:$G$117,0)))*conv_2026*Z$7</f>
        <v>0</v>
      </c>
      <c r="AA50" s="31">
        <f>(INDEX(Option3!AA$106:AA$117, MATCH($D50, Option3!$G$106:$G$117,0)))*conv_2026*AA$7</f>
        <v>0</v>
      </c>
      <c r="AB50" s="31">
        <f>(INDEX(Option3!AB$106:AB$117, MATCH($D50, Option3!$G$106:$G$117,0)))*conv_2026*AB$7</f>
        <v>0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0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0</v>
      </c>
      <c r="M51" s="31">
        <f>(INDEX(Option3!M$106:M$117, MATCH($D51, Option3!$G$106:$G$117,0)))*conv_2026*M$7</f>
        <v>0</v>
      </c>
      <c r="N51" s="31">
        <f>(INDEX(Option3!N$106:N$117, MATCH($D51, Option3!$G$106:$G$117,0)))*conv_2026*N$7</f>
        <v>0</v>
      </c>
      <c r="O51" s="31">
        <f>(INDEX(Option3!O$106:O$117, MATCH($D51, Option3!$G$106:$G$117,0)))*conv_2026*O$7</f>
        <v>0</v>
      </c>
      <c r="P51" s="31">
        <f>(INDEX(Option3!P$106:P$117, MATCH($D51, Option3!$G$106:$G$117,0)))*conv_2026*P$7</f>
        <v>0</v>
      </c>
      <c r="Q51" s="31">
        <f>(INDEX(Option3!Q$106:Q$117, MATCH($D51, Option3!$G$106:$G$117,0)))*conv_2026*Q$7</f>
        <v>0</v>
      </c>
      <c r="R51" s="31">
        <f>(INDEX(Option3!R$106:R$117, MATCH($D51, Option3!$G$106:$G$117,0)))*conv_2026*R$7</f>
        <v>0</v>
      </c>
      <c r="S51" s="31">
        <f>(INDEX(Option3!S$106:S$117, MATCH($D51, Option3!$G$106:$G$117,0)))*conv_2026*S$7</f>
        <v>0</v>
      </c>
      <c r="T51" s="31">
        <f>(INDEX(Option3!T$106:T$117, MATCH($D51, Option3!$G$106:$G$117,0)))*conv_2026*T$7</f>
        <v>0</v>
      </c>
      <c r="U51" s="31">
        <f>(INDEX(Option3!U$106:U$117, MATCH($D51, Option3!$G$106:$G$117,0)))*conv_2026*U$7</f>
        <v>0</v>
      </c>
      <c r="V51" s="31">
        <f>(INDEX(Option3!V$106:V$117, MATCH($D51, Option3!$G$106:$G$117,0)))*conv_2026*V$7</f>
        <v>0</v>
      </c>
      <c r="W51" s="31">
        <f>(INDEX(Option3!W$106:W$117, MATCH($D51, Option3!$G$106:$G$117,0)))*conv_2026*W$7</f>
        <v>0</v>
      </c>
      <c r="X51" s="31">
        <f>(INDEX(Option3!X$106:X$117, MATCH($D51, Option3!$G$106:$G$117,0)))*conv_2026*X$7</f>
        <v>0</v>
      </c>
      <c r="Y51" s="31">
        <f>(INDEX(Option3!Y$106:Y$117, MATCH($D51, Option3!$G$106:$G$117,0)))*conv_2026*Y$7</f>
        <v>0</v>
      </c>
      <c r="Z51" s="31">
        <f>(INDEX(Option3!Z$106:Z$117, MATCH($D51, Option3!$G$106:$G$117,0)))*conv_2026*Z$7</f>
        <v>0</v>
      </c>
      <c r="AA51" s="31">
        <f>(INDEX(Option3!AA$106:AA$117, MATCH($D51, Option3!$G$106:$G$117,0)))*conv_2026*AA$7</f>
        <v>0</v>
      </c>
      <c r="AB51" s="31">
        <f>(INDEX(Option3!AB$106:AB$117, MATCH($D51, Option3!$G$106:$G$117,0)))*conv_2026*AB$7</f>
        <v>0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188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154</v>
      </c>
      <c r="B70" s="253" t="s">
        <v>119</v>
      </c>
      <c r="C70" s="253" t="s">
        <v>188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154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154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154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154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154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154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154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154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159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1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228</v>
      </c>
      <c r="K89" s="283" t="s">
        <v>229</v>
      </c>
    </row>
    <row r="90" spans="1:34" s="8" customFormat="1" x14ac:dyDescent="0.2">
      <c r="A90" s="261" t="s">
        <v>119</v>
      </c>
      <c r="B90" s="261" t="s">
        <v>219</v>
      </c>
      <c r="C90" s="105">
        <f t="shared" ref="C90:G98" si="10">IF(OR($B90=0,C$88),"", INDEX($F$14:$F$81, MATCH(C$89&amp;$A90,$D$14:$D$81,0))/10^6)</f>
        <v>0</v>
      </c>
      <c r="D90" s="105">
        <f t="shared" si="10"/>
        <v>4.1919432607603779</v>
      </c>
      <c r="E90" s="105" t="str">
        <f t="shared" si="10"/>
        <v/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4.1919432607603779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4.1073696264437052</v>
      </c>
      <c r="E91" s="105" t="str">
        <f t="shared" si="10"/>
        <v/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4.1073696264437052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4.2765168950770516</v>
      </c>
      <c r="E92" s="105" t="str">
        <f t="shared" si="10"/>
        <v/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4.2765168950770516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4.695711221153088</v>
      </c>
      <c r="E93" s="105" t="str">
        <f t="shared" si="10"/>
        <v/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4.695711221153088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3.6881753003676669</v>
      </c>
      <c r="E94" s="105" t="str">
        <f t="shared" si="10"/>
        <v/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3.6881753003676669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3.6036016660509942</v>
      </c>
      <c r="E95" s="105" t="str">
        <f t="shared" si="10"/>
        <v/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3.6036016660509942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 xml:space="preserve">Eaglehawk new feeder 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2026-27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193</v>
      </c>
      <c r="D31" s="194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4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 t="str">
        <f>Option3!$G$92</f>
        <v>Not used</v>
      </c>
      <c r="D33" s="10" t="b">
        <f>NOT(Data!C11)</f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154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193</v>
      </c>
      <c r="C38" s="195" cm="1">
        <f t="array" ref="C38">IF(OR(NOT(Data!$C$10:$C$13)), _xlfn.MINIFS($C$32:$C$35,$D$32:$D$35,TRUE), 0)</f>
        <v>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39" t="s">
        <v>211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 xml:space="preserve">Eaglehawk new feeder 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199</v>
      </c>
      <c r="F8" s="8" t="s">
        <v>227</v>
      </c>
      <c r="T8"/>
      <c r="U8"/>
      <c r="V8"/>
    </row>
    <row r="9" spans="1:27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146</v>
      </c>
      <c r="B11" s="86" t="s">
        <v>132</v>
      </c>
      <c r="C11" s="87" t="b">
        <f>SUM(Option3!I$17:AB$17, Option3!I$19:AB$19)=0</f>
        <v>1</v>
      </c>
      <c r="D11" s="8" t="str">
        <f>IF(C11, $C$8, "")</f>
        <v>Not used</v>
      </c>
      <c r="F11" s="8" t="b">
        <f>C11</f>
        <v>1</v>
      </c>
      <c r="T11"/>
      <c r="U11"/>
      <c r="V11"/>
      <c r="W11"/>
      <c r="Z11"/>
      <c r="AA11"/>
    </row>
    <row r="12" spans="1:27" x14ac:dyDescent="0.2">
      <c r="A12" s="27" t="s">
        <v>147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E68"/>
      <c r="F68"/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3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2025-01-29T12:54:24Z</dcterms:modified>
</cp:coreProperties>
</file>