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84CC148B-DA1A-41F3-AC3B-02E9BE3F09A1}" xr6:coauthVersionLast="47" xr6:coauthVersionMax="47" xr10:uidLastSave="{00000000-0000-0000-0000-000000000000}"/>
  <bookViews>
    <workbookView xWindow="2985" yWindow="750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2" l="1"/>
  <c r="C14" i="81"/>
  <c r="C14" i="68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<sst xmlns="http://schemas.openxmlformats.org/spreadsheetml/2006/main" count="750" uniqueCount="251">
  <si>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</si>
  <si>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</si>
  <si>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</si>
  <si>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</si>
  <si>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</si>
  <si>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</si>
  <si>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</si>
  <si>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</si>
  <si>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</si>
  <si>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</si>
  <si>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</si>
  <si>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</si>
  <si>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</si>
  <si>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</si>
  <si>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</si>
  <si>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</si>
  <si>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</si>
  <si>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</si>
  <si>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</si>
  <si>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</si>
  <si>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</si>
  <si>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</si>
  <si>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</si>
  <si>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</si>
  <si>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</si>
  <si>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</si>
  <si>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</si>
  <si>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</si>
  <si>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</si>
  <si>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</si>
  <si>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</si>
  <si>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</si>
  <si>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</si>
  <si>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</si>
  <si>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</si>
  <si>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</si>
  <si>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</si>
  <si>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</si>
  <si>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</si>
  <si>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</si>
  <si>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</si>
  <si>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</si>
  <si>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</si>
  <si>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</si>
  <si>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</si>
  <si>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</si>
  <si>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</si>
  <si>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</si>
  <si>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</si>
  <si>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</si>
  <si>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</si>
  <si>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</si>
  <si>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</si>
  <si>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</si>
  <si>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</si>
  <si>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</si>
  <si>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</si>
  <si>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</si>
  <si>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</si>
  <si>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</si>
  <si>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</si>
  <si>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</si>
  <si>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</si>
  <si>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</si>
  <si>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</si>
  <si>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</si>
  <si>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</si>
  <si>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</si>
  <si>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</si>
  <si>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</si>
  <si>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</si>
  <si>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</si>
  <si>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</si>
  <si>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</si>
  <si>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</si>
  <si>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</si>
  <si>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</si>
  <si>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</si>
  <si>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</si>
  <si>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</si>
  <si>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</si>
  <si>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</si>
  <si>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</si>
  <si>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</si>
  <si>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</si>
  <si>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</si>
  <si>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</si>
  <si>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</si>
  <si>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</si>
  <si>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</si>
  <si>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</si>
  <si>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</si>
  <si>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</si>
  <si>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</si>
  <si>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</si>
  <si>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</si>
  <si>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</si>
  <si>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</si>
  <si>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</si>
  <si>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</si>
  <si>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</si>
  <si>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</si>
  <si>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</si>
  <si>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</si>
  <si>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</si>
  <si>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</si>
  <si>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</si>
  <si>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</si>
  <si>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</si>
  <si>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</si>
  <si>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</si>
  <si>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</si>
  <si>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</si>
  <si>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</si>
  <si>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</si>
  <si>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</si>
  <si>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</si>
  <si>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</si>
  <si>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</si>
  <si>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</si>
  <si>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</si>
  <si>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</si>
  <si>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</si>
  <si>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</si>
  <si>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</si>
  <si>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</si>
  <si>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</si>
  <si>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</si>
  <si>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</si>
  <si>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</si>
  <si>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</si>
  <si>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</si>
  <si>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</si>
  <si>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</si>
  <si>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</si>
  <si>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</si>
  <si>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</si>
  <si>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</si>
  <si>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</si>
  <si>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Werribee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</si>
  <si>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</si>
  <si>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</si>
  <si>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</si>
  <si>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</si>
  <si>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</si>
  <si>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</si>
  <si>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</si>
  <si>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</si>
  <si>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</si>
  <si>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</si>
  <si>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</si>
  <si>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</si>
  <si>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</si>
  <si>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</si>
  <si>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</si>
  <si>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</si>
  <si>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</si>
  <si>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</si>
  <si>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</si>
  <si>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</si>
  <si>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</si>
  <si>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</si>
  <si>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</si>
  <si>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</si>
  <si>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</si>
  <si>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</si>
  <si>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</si>
  <si>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</si>
  <si>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</si>
  <si>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</si>
  <si>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</si>
  <si>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</si>
  <si>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</si>
  <si>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</si>
  <si>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</si>
  <si>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</si>
  <si>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</si>
  <si>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</si>
  <si>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</si>
  <si>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</si>
  <si>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</si>
  <si>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</si>
  <si>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</si>
  <si>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</si>
  <si>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</si>
  <si>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</si>
  <si>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</si>
  <si>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</si>
  <si>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</si>
  <si>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</si>
  <si>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</si>
  <si>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</si>
  <si>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</si>
  <si>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</si>
  <si>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</si>
  <si>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</si>
  <si>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</si>
  <si>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</si>
  <si>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</si>
  <si>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</si>
  <si>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</si>
  <si>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</si>
  <si>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</si>
  <si>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</si>
  <si>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</si>
  <si>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</si>
  <si>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</si>
  <si>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</si>
  <si>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</si>
  <si>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</si>
  <si>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</si>
  <si>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</si>
  <si>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</si>
  <si>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</si>
  <si>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</si>
  <si>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</si>
  <si>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</si>
  <si>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</si>
  <si>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</si>
  <si>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</si>
  <si>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</si>
  <si>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</si>
  <si>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</si>
  <si>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</si>
  <si>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</si>
  <si>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</si>
  <si>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</si>
  <si>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</si>
  <si>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</si>
  <si>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</si>
  <si>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</si>
  <si>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</si>
  <si>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</si>
  <si>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</si>
  <si>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</si>
  <si>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</si>
  <si>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</si>
  <si>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</si>
  <si>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</si>
  <si>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</si>
  <si>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</si>
  <si>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</si>
  <si>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</si>
  <si>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</si>
  <si>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</si>
  <si>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</si>
  <si>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</si>
  <si>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New PCK zone substation</t>
  </si>
  <si>
    <t>WBE</t>
  </si>
  <si>
    <t>New feeder from MTC to WBE</t>
  </si>
  <si>
    <t>Melton new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</si>
</sst>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294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0" applyFont="1"/>
    <xf numFmtId="0" fontId="22" fillId="0" borderId="0" xfId="8" applyFont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/>
    <xf numFmtId="0" fontId="35" fillId="0" borderId="0" xfId="18" applyFont="1"/>
    <xf numFmtId="0" fontId="15" fillId="13" borderId="4" xfId="18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10" fontId="27" fillId="2" borderId="0" xfId="23" applyNumberFormat="1"/>
    <xf numFmtId="171" fontId="33" fillId="2" borderId="0" xfId="18" applyNumberFormat="1" applyFont="1" applyFill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14" fontId="15" fillId="0" borderId="0" xfId="18" applyNumberFormat="1"/>
    <xf numFmtId="14" fontId="15" fillId="0" borderId="7" xfId="18" applyNumberFormat="1" applyBorder="1"/>
    <xf numFmtId="14" fontId="27" fillId="2" borderId="0" xfId="18" applyNumberFormat="1" applyFont="1" applyFill="1"/>
    <xf numFmtId="10" fontId="34" fillId="0" borderId="0" xfId="23" applyNumberFormat="1" applyFont="1" applyFill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173" fontId="15" fillId="0" borderId="0" xfId="18" applyNumberForma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Alignment="1">
      <alignment horizontal="right" vertical="center"/>
    </xf>
    <xf numFmtId="177" fontId="34" fillId="2" borderId="0" xfId="18" applyNumberFormat="1" applyFont="1" applyFill="1" applyAlignment="1">
      <alignment horizontal="right" vertical="center"/>
    </xf>
    <xf numFmtId="173" fontId="16" fillId="0" borderId="0" xfId="18" applyNumberFormat="1" applyFont="1" applyAlignment="1">
      <alignment horizontal="right" vertical="center"/>
    </xf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39" fillId="0" borderId="0" xfId="8" applyFont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Alignment="1">
      <alignment vertical="top" wrapText="1"/>
    </xf>
    <xf numFmtId="178" fontId="16" fillId="13" borderId="0" xfId="18" applyNumberFormat="1" applyFont="1" applyFill="1" applyAlignment="1">
      <alignment horizontal="right" vertical="center"/>
    </xf>
    <xf numFmtId="179" fontId="16" fillId="0" borderId="0" xfId="18" applyNumberFormat="1" applyFont="1" applyAlignment="1">
      <alignment horizontal="right" vertical="center"/>
    </xf>
    <xf numFmtId="176" fontId="30" fillId="0" borderId="0" xfId="18" applyNumberFormat="1" applyFont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Alignment="1">
      <alignment vertical="center"/>
    </xf>
    <xf numFmtId="169" fontId="21" fillId="0" borderId="8" xfId="22" applyNumberFormat="1">
      <alignment horizontal="right"/>
    </xf>
    <xf numFmtId="170" fontId="21" fillId="0" borderId="8" xfId="22" applyNumberFormat="1">
      <alignment horizontal="right"/>
    </xf>
    <xf numFmtId="0" fontId="48" fillId="0" borderId="0" xfId="8" applyFont="1"/>
    <xf numFmtId="0" fontId="36" fillId="0" borderId="7" xfId="18" applyFont="1" applyBorder="1" applyAlignment="1">
      <alignment horizontal="right" vertical="center"/>
    </xf>
    <xf numFmtId="0" fontId="22" fillId="0" borderId="0" xfId="8" applyFont="1" applyAlignment="1">
      <alignment horizontal="left"/>
    </xf>
    <xf numFmtId="0" fontId="17" fillId="0" borderId="4" xfId="0" applyFont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Alignment="1">
      <alignment horizontal="right" vertical="center"/>
    </xf>
    <xf numFmtId="167" fontId="15" fillId="14" borderId="0" xfId="18" applyNumberFormat="1" applyFill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2" fontId="15" fillId="0" borderId="0" xfId="18" applyNumberFormat="1"/>
    <xf numFmtId="178" fontId="30" fillId="0" borderId="0" xfId="18" applyNumberFormat="1" applyFont="1" applyAlignment="1">
      <alignment horizontal="right" vertical="center"/>
    </xf>
    <xf numFmtId="178" fontId="57" fillId="0" borderId="0" xfId="18" applyNumberFormat="1" applyFont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Alignment="1">
      <alignment horizontal="center"/>
    </xf>
    <xf numFmtId="167" fontId="34" fillId="2" borderId="0" xfId="18" applyNumberFormat="1" applyFont="1" applyFill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Alignment="1">
      <alignment horizontal="left" vertical="center"/>
    </xf>
    <xf numFmtId="0" fontId="17" fillId="0" borderId="0" xfId="0" applyFont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Border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Border="1" applyAlignment="1">
      <alignment horizontal="right" vertical="center"/>
    </xf>
    <xf numFmtId="0" fontId="15" fillId="0" borderId="11" xfId="0" applyFont="1" applyBorder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Border="1" applyAlignment="1">
      <alignment horizontal="center"/>
    </xf>
    <xf numFmtId="188" fontId="15" fillId="0" borderId="7" xfId="18" applyNumberFormat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Alignment="1">
      <alignment horizontal="left"/>
    </xf>
    <xf numFmtId="0" fontId="62" fillId="0" borderId="0" xfId="18" applyFont="1" applyAlignment="1">
      <alignment vertical="center"/>
    </xf>
    <xf numFmtId="168" fontId="64" fillId="0" borderId="0" xfId="18" applyNumberFormat="1" applyFont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Border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Alignment="1">
      <alignment vertical="center"/>
    </xf>
    <xf numFmtId="0" fontId="36" fillId="0" borderId="0" xfId="18" applyFont="1" applyAlignment="1">
      <alignment horizontal="right" vertical="center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Alignment="1">
      <alignment horizontal="left"/>
    </xf>
    <xf numFmtId="9" fontId="15" fillId="0" borderId="0" xfId="18" applyNumberFormat="1"/>
    <xf numFmtId="0" fontId="34" fillId="0" borderId="0" xfId="18" applyFont="1" applyAlignment="1">
      <alignment vertical="center"/>
    </xf>
    <xf numFmtId="171" fontId="39" fillId="0" borderId="0" xfId="8" applyNumberFormat="1" applyFont="1" applyAlignment="1">
      <alignment horizontal="right"/>
    </xf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181" fontId="15" fillId="0" borderId="0" xfId="0" applyNumberFormat="1" applyFont="1" applyAlignment="1">
      <alignment horizontal="left"/>
    </xf>
    <xf numFmtId="181" fontId="15" fillId="0" borderId="14" xfId="0" applyNumberFormat="1" applyFont="1" applyBorder="1" applyAlignment="1">
      <alignment horizontal="left"/>
    </xf>
    <xf numFmtId="191" fontId="15" fillId="0" borderId="0" xfId="0" applyNumberFormat="1" applyFont="1" applyAlignment="1">
      <alignment horizontal="center"/>
    </xf>
    <xf numFmtId="0" fontId="79" fillId="0" borderId="0" xfId="0" applyFont="1"/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81" fontId="80" fillId="0" borderId="0" xfId="0" applyNumberFormat="1" applyFont="1" applyAlignment="1">
      <alignment horizontal="center"/>
    </xf>
    <xf numFmtId="179" fontId="23" fillId="0" borderId="0" xfId="0" applyNumberFormat="1" applyFont="1"/>
    <xf numFmtId="0" fontId="27" fillId="2" borderId="0" xfId="18" applyFont="1" applyFill="1"/>
    <xf numFmtId="181" fontId="17" fillId="0" borderId="14" xfId="0" applyNumberFormat="1" applyFont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191" fontId="81" fillId="0" borderId="14" xfId="0" applyNumberFormat="1" applyFont="1" applyBorder="1" applyAlignment="1">
      <alignment horizontal="center"/>
    </xf>
    <xf numFmtId="188" fontId="23" fillId="0" borderId="7" xfId="18" applyNumberFormat="1" applyFont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ill="1" applyBorder="1" applyAlignment="1">
      <alignment horizontal="left" vertical="top"/>
    </xf>
    <xf numFmtId="0" fontId="15" fillId="0" borderId="4" xfId="18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Alignment="1">
      <alignment horizontal="left" vertical="top" wrapText="1"/>
    </xf>
    <xf numFmtId="0" fontId="0" fillId="0" borderId="0" xfId="0" applyAlignment="1">
      <alignment horizontal="left" vertical="top" wrapText="1"/>
    </xf>
    <xf numFmtId="185" fontId="27" fillId="2" borderId="13" xfId="23" applyNumberFormat="1" applyBorder="1" applyAlignment="1">
      <alignment horizontal="left"/>
    </xf>
    <xf numFmtId="185" fontId="27" fillId="2" borderId="14" xfId="23" applyNumberFormat="1" applyBorder="1" applyAlignment="1">
      <alignment horizontal="left"/>
    </xf>
    <xf numFmtId="185" fontId="27" fillId="2" borderId="15" xfId="23" applyNumberFormat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0.16606658089092222</c:v>
                </c:pt>
                <c:pt idx="1">
                  <c:v>0.16606658089092222</c:v>
                </c:pt>
                <c:pt idx="2">
                  <c:v>0.16606658089092222</c:v>
                </c:pt>
                <c:pt idx="3">
                  <c:v>0.16606658089092222</c:v>
                </c:pt>
                <c:pt idx="4">
                  <c:v>0.16606658089092222</c:v>
                </c:pt>
                <c:pt idx="5">
                  <c:v>0.16606658089092222</c:v>
                </c:pt>
                <c:pt idx="6">
                  <c:v>0.16606658089092222</c:v>
                </c:pt>
                <c:pt idx="7">
                  <c:v>0.16606658089092222</c:v>
                </c:pt>
                <c:pt idx="8">
                  <c:v>0.16606658089092222</c:v>
                </c:pt>
                <c:pt idx="9">
                  <c:v>0.16606658089092222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</c:v>
                </c:pt>
                <c:pt idx="1">
                  <c:v>5.6317262593239014E-4</c:v>
                </c:pt>
                <c:pt idx="2">
                  <c:v>8.4443016424363779E-3</c:v>
                </c:pt>
                <c:pt idx="3">
                  <c:v>2.1223240190355215E-2</c:v>
                </c:pt>
                <c:pt idx="4">
                  <c:v>4.7550225236559815E-2</c:v>
                </c:pt>
                <c:pt idx="5">
                  <c:v>0.11794595152579798</c:v>
                </c:pt>
                <c:pt idx="6">
                  <c:v>0.24665590576331808</c:v>
                </c:pt>
                <c:pt idx="7">
                  <c:v>0.40362969821343664</c:v>
                </c:pt>
                <c:pt idx="8">
                  <c:v>0.40362969821343664</c:v>
                </c:pt>
                <c:pt idx="9">
                  <c:v>0.40362969821343664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62326388888894E-2"/>
          <c:y val="8.5556894243641227E-2"/>
          <c:w val="0.89773680555555535"/>
          <c:h val="0.75634236947791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</c:v>
                </c:pt>
                <c:pt idx="1">
                  <c:v>5.0603488759492241E-4</c:v>
                </c:pt>
                <c:pt idx="2">
                  <c:v>7.5875691318862248E-3</c:v>
                </c:pt>
                <c:pt idx="3">
                  <c:v>1.9069996426665386E-2</c:v>
                </c:pt>
                <c:pt idx="4">
                  <c:v>4.2725927672458426E-2</c:v>
                </c:pt>
                <c:pt idx="5">
                  <c:v>0.10597952310593768</c:v>
                </c:pt>
                <c:pt idx="6">
                  <c:v>0.22163096677669286</c:v>
                </c:pt>
                <c:pt idx="7">
                  <c:v>0.36267868777757228</c:v>
                </c:pt>
                <c:pt idx="8">
                  <c:v>0.36267868777757228</c:v>
                </c:pt>
                <c:pt idx="9">
                  <c:v>0.36267868777757228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09" customWidth="1"/>
    <col min="2" max="2" width="1.875" style="109" customWidth="1"/>
    <col min="3" max="3" width="14" style="109" customWidth="1"/>
    <col min="4" max="4" width="8" style="109" customWidth="1"/>
    <col min="5" max="5" width="9.375" style="109" customWidth="1"/>
    <col min="6" max="11" width="8" style="109" customWidth="1"/>
    <col min="12" max="19" width="8" style="109" hidden="1" customWidth="1"/>
    <col min="20" max="16384" width="0" style="109" hidden="1"/>
  </cols>
  <sheetData>
    <row r="1" spans="1:19" x14ac:dyDescent="0.25">
      <c r="A1" s="264"/>
    </row>
    <row r="2" spans="1:19" ht="23.25" x14ac:dyDescent="0.35">
      <c r="A2" s="264"/>
      <c r="C2" s="265" t="s">
        <v>3</v>
      </c>
      <c r="D2" s="266"/>
      <c r="E2" s="266"/>
    </row>
    <row r="3" spans="1:19" ht="15.75" x14ac:dyDescent="0.25">
      <c r="A3" s="264"/>
      <c r="C3" s="267" t="s">
        <v>242</v>
      </c>
      <c r="D3" s="266"/>
      <c r="E3" s="266"/>
    </row>
    <row r="4" spans="1:19" x14ac:dyDescent="0.25">
      <c r="A4" s="264"/>
      <c r="D4" s="266"/>
      <c r="E4" s="266"/>
    </row>
    <row r="5" spans="1:19" x14ac:dyDescent="0.25">
      <c r="A5" s="264"/>
      <c r="C5" s="268" t="s">
        <v>250</v>
      </c>
    </row>
    <row r="6" spans="1:19" x14ac:dyDescent="0.25">
      <c r="A6" s="264"/>
      <c r="C6" s="269" t="s">
        <v>243</v>
      </c>
      <c r="D6" s="282">
        <v>3.07</v>
      </c>
      <c r="E6" s="269"/>
    </row>
    <row r="7" spans="1:19" x14ac:dyDescent="0.25">
      <c r="A7" s="264"/>
      <c r="F7" s="270"/>
      <c r="G7" s="270"/>
      <c r="H7" s="270"/>
      <c r="J7" s="270"/>
      <c r="K7" s="270"/>
      <c r="L7" s="270"/>
      <c r="M7" s="270"/>
      <c r="N7" s="270"/>
      <c r="O7" s="270"/>
      <c r="P7" s="270"/>
      <c r="Q7" s="270"/>
      <c r="R7" s="270"/>
      <c r="S7" s="270"/>
    </row>
    <row r="8" spans="1:19" x14ac:dyDescent="0.25">
      <c r="A8" s="264"/>
      <c r="C8" s="271">
        <v>45688</v>
      </c>
      <c r="F8" s="270"/>
      <c r="G8" s="270"/>
      <c r="H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1:19" x14ac:dyDescent="0.25">
      <c r="A9" s="264"/>
      <c r="C9" s="272"/>
      <c r="D9" s="272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</row>
    <row r="10" spans="1:19" x14ac:dyDescent="0.25">
      <c r="A10" s="264"/>
      <c r="C10" s="272"/>
      <c r="D10" s="272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</row>
    <row r="11" spans="1:19" x14ac:dyDescent="0.25">
      <c r="A11" s="264"/>
      <c r="C11" s="272"/>
      <c r="D11" s="272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</row>
    <row r="12" spans="1:19" x14ac:dyDescent="0.25">
      <c r="A12" s="264"/>
      <c r="C12" s="272"/>
      <c r="D12" s="272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</row>
    <row r="13" spans="1:19" x14ac:dyDescent="0.25">
      <c r="A13" s="264"/>
      <c r="C13" s="272"/>
      <c r="D13" s="272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</row>
    <row r="14" spans="1:19" x14ac:dyDescent="0.25">
      <c r="A14" s="264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</row>
    <row r="15" spans="1:19" x14ac:dyDescent="0.25">
      <c r="A15" s="264"/>
      <c r="C15" s="268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</row>
    <row r="16" spans="1:19" x14ac:dyDescent="0.25">
      <c r="A16" s="264"/>
      <c r="C16" s="268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1:19" x14ac:dyDescent="0.25">
      <c r="A17" s="264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19" x14ac:dyDescent="0.25">
      <c r="A18" s="264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1:19" x14ac:dyDescent="0.25">
      <c r="A19" s="264"/>
      <c r="C19" s="270"/>
      <c r="D19" s="270"/>
      <c r="E19" s="270"/>
      <c r="F19" s="270"/>
      <c r="G19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1:19" x14ac:dyDescent="0.25">
      <c r="A20" s="264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1:19" ht="16.5" customHeight="1" x14ac:dyDescent="0.25">
      <c r="A21" s="264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1:19" x14ac:dyDescent="0.25">
      <c r="A22" s="264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</row>
    <row r="23" spans="1:19" x14ac:dyDescent="0.25">
      <c r="A23" s="264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1:19" x14ac:dyDescent="0.25">
      <c r="A24" s="264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</row>
    <row r="25" spans="1:19" x14ac:dyDescent="0.25">
      <c r="A25" s="264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1:19" x14ac:dyDescent="0.25">
      <c r="A26" s="264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</row>
    <row r="27" spans="1:19" x14ac:dyDescent="0.25">
      <c r="A27" s="264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19" x14ac:dyDescent="0.25">
      <c r="A28" s="264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x14ac:dyDescent="0.25">
      <c r="A29" s="264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x14ac:dyDescent="0.25">
      <c r="A30" s="264"/>
      <c r="C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</row>
    <row r="31" spans="1:19" x14ac:dyDescent="0.25">
      <c r="A31" s="264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</row>
    <row r="32" spans="1:19" x14ac:dyDescent="0.25">
      <c r="A32" s="264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</row>
    <row r="33" spans="1:19" x14ac:dyDescent="0.25">
      <c r="A33" s="264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</row>
    <row r="34" spans="1:19" x14ac:dyDescent="0.25">
      <c r="A34" s="26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1:19" x14ac:dyDescent="0.25">
      <c r="A35" s="264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</row>
    <row r="36" spans="1:19" x14ac:dyDescent="0.25">
      <c r="A36" s="264"/>
    </row>
    <row r="37" spans="1:19" x14ac:dyDescent="0.25">
      <c r="A37" s="264"/>
    </row>
    <row r="38" spans="1:19" x14ac:dyDescent="0.25">
      <c r="A38" s="264"/>
    </row>
    <row r="39" spans="1:19" x14ac:dyDescent="0.25">
      <c r="A39" s="264"/>
    </row>
    <row r="40" spans="1:19" x14ac:dyDescent="0.25">
      <c r="A40" s="264">
        <f ca="1">_xlfn.SHEETS()</f>
        <v>12</v>
      </c>
    </row>
    <row r="41" spans="1:19" x14ac:dyDescent="0.25">
      <c r="A41" s="2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D31" sqref="D31"/>
    </sheetView>
  </sheetViews>
  <sheetFormatPr defaultColWidth="0" defaultRowHeight="12" zeroHeight="1" x14ac:dyDescent="0.2"/>
  <cols>
    <col min="1" max="1" width="1.875" style="8" customWidth="1"/>
    <col min="2" max="2" width="2" style="8" customWidth="1"/>
    <col min="3" max="3" width="21.625" style="8" customWidth="1"/>
    <col min="4" max="4" width="34.625" style="8" customWidth="1"/>
    <col min="5" max="5" width="15.25" style="8" customWidth="1"/>
    <col min="6" max="9" width="13.125" style="8" customWidth="1"/>
    <col min="10" max="10" width="11.75" style="8" customWidth="1"/>
    <col min="11" max="11" width="1.75" style="8" customWidth="1"/>
    <col min="12" max="12" width="14.625" style="8" customWidth="1"/>
    <col min="13" max="13" width="2.25" style="8" customWidth="1"/>
    <col min="14" max="14" width="8.75" style="8" hidden="1" customWidth="1"/>
    <col min="15" max="16384" width="9" style="8" hidden="1"/>
  </cols>
  <sheetData>
    <row r="1" spans="1:1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s="6" customFormat="1" ht="18.75" x14ac:dyDescent="0.3">
      <c r="A2" s="50" t="str">
        <f>proj</f>
        <v>Melton new feeder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s="2" customFormat="1" ht="18.75" x14ac:dyDescent="0.3">
      <c r="A3" s="178" t="s">
        <v>16</v>
      </c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6"/>
    </row>
    <row r="4" spans="1:13" s="2" customFormat="1" ht="18.75" x14ac:dyDescent="0.3">
      <c r="A4" s="31"/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6"/>
    </row>
    <row r="5" spans="1:13" s="2" customFormat="1" ht="15" x14ac:dyDescent="0.25">
      <c r="A5" s="17" t="s">
        <v>159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6"/>
    </row>
    <row r="6" spans="1:13" s="2" customFormat="1" ht="12.75" x14ac:dyDescent="0.2">
      <c r="A6" s="7"/>
      <c r="B6" s="7"/>
      <c r="C6" s="7"/>
      <c r="D6" s="4"/>
      <c r="E6" s="4"/>
      <c r="F6" s="7"/>
      <c r="G6" s="7"/>
      <c r="H6" s="7"/>
      <c r="I6" s="7"/>
      <c r="J6" s="7"/>
      <c r="K6" s="7"/>
      <c r="L6" s="7"/>
    </row>
    <row r="7" spans="1:13" s="2" customFormat="1" ht="12.75" x14ac:dyDescent="0.2">
      <c r="G7" s="131" t="s">
        <v>189</v>
      </c>
      <c r="H7" s="131" t="s">
        <v>190</v>
      </c>
      <c r="I7" s="131" t="s">
        <v>119</v>
      </c>
    </row>
    <row r="8" spans="1:13" s="2" customFormat="1" ht="12.75" x14ac:dyDescent="0.2">
      <c r="C8" s="26" t="s">
        <v>1</v>
      </c>
      <c r="D8" s="26"/>
      <c r="E8" s="26"/>
      <c r="F8" s="26"/>
      <c r="G8" s="160">
        <f>output_dollars</f>
        <v>46203</v>
      </c>
      <c r="H8" s="160">
        <f>output_dollars</f>
        <v>46203</v>
      </c>
      <c r="I8" s="160">
        <f>output_dollars</f>
        <v>46203</v>
      </c>
    </row>
    <row r="9" spans="1:13" s="2" customFormat="1" ht="12.75" x14ac:dyDescent="0.2">
      <c r="C9" s="65" t="str" cm="1">
        <f t="array" ref="C9:C13">options</f>
        <v>Option 1 (base case)</v>
      </c>
      <c r="D9" s="284" t="str">
        <f>INDEX(Assumptions!$E$14:$E$18, MATCH(C9, Assumptions!$C$14:$C$18,0))</f>
        <v>No change to existing practices</v>
      </c>
      <c r="E9" s="285"/>
      <c r="F9" s="285"/>
      <c r="G9" s="91">
        <f>IF(Data!$C9, "", INDEX(Consol!$F$15:$F$82, MATCH($C9&amp;G$7, Consol!$D$15:$D$82,0))/mill_conv)</f>
        <v>0</v>
      </c>
      <c r="H9" s="91">
        <f>IF(Data!$C9, "", INDEX(Consol!$F$15:$F$82, MATCH($C9&amp;H$7, Consol!$D$15:$D$82,0))/mill_conv)</f>
        <v>0</v>
      </c>
      <c r="I9" s="91">
        <f>IF(Data!$C9, "", INDEX(Consol!$F$15:$F$82, MATCH($C9&amp;I$7, Consol!$D$15:$D$82,0))/mill_conv)</f>
        <v>0</v>
      </c>
    </row>
    <row r="10" spans="1:13" s="2" customFormat="1" ht="12.75" customHeight="1" x14ac:dyDescent="0.2">
      <c r="C10" s="65" t="str">
        <v>Option 2</v>
      </c>
      <c r="D10" s="286" t="str">
        <f>INDEX(Assumptions!$E$14:$E$18, MATCH(C10, Assumptions!$C$14:$C$18,0))</f>
        <v>New feeder from MTC to WBE</v>
      </c>
      <c r="E10" s="287"/>
      <c r="F10" s="287"/>
      <c r="G10" s="91">
        <f>IF(Data!$C10, "", INDEX(Consol!$F$15:$F$82, MATCH($C10&amp;G$7, Consol!$D$15:$D$82,0))/mill_conv)</f>
        <v>-1.9473500290670893</v>
      </c>
      <c r="H10" s="91">
        <f>IF(Data!$C10, "", INDEX(Consol!$F$15:$F$82, MATCH($C10&amp;H$7, Consol!$D$15:$D$82,0))/mill_conv)</f>
        <v>4.1982640656521468</v>
      </c>
      <c r="I10" s="91">
        <f>IF(Data!$C10, "", INDEX(Consol!$F$15:$F$82, MATCH($C10&amp;I$7, Consol!$D$15:$D$82,0))/mill_conv)</f>
        <v>2.2509140365850566</v>
      </c>
    </row>
    <row r="11" spans="1:13" s="2" customFormat="1" ht="12.75" x14ac:dyDescent="0.2">
      <c r="C11" s="65" t="str">
        <v>Option 3</v>
      </c>
      <c r="D11" s="286" t="str">
        <f>INDEX(Assumptions!$E$14:$E$18, MATCH(C11, Assumptions!$C$14:$C$18,0))</f>
        <v>New PCK zone substation</v>
      </c>
      <c r="E11" s="287"/>
      <c r="F11" s="287"/>
      <c r="G11" s="91">
        <f>IF(Data!$C11, "", INDEX(Consol!$F$15:$F$82, MATCH($C11&amp;G$7, Consol!$D$15:$D$82,0))/mill_conv)</f>
        <v>-32.079338666172944</v>
      </c>
      <c r="H11" s="91">
        <f>IF(Data!$C11, "", INDEX(Consol!$F$15:$F$82, MATCH($C11&amp;H$7, Consol!$D$15:$D$82,0))/mill_conv)</f>
        <v>4.1006502892936796</v>
      </c>
      <c r="I11" s="91">
        <f>IF(Data!$C11, "", INDEX(Consol!$F$15:$F$82, MATCH($C11&amp;I$7, Consol!$D$15:$D$82,0))/mill_conv)</f>
        <v>-27.978688376879262</v>
      </c>
    </row>
    <row r="12" spans="1:13" s="2" customFormat="1" ht="12.75" x14ac:dyDescent="0.2">
      <c r="C12" s="65" t="str">
        <v>Option 4</v>
      </c>
      <c r="D12" s="286">
        <f>INDEX(Assumptions!$E$14:$E$18, MATCH(C12, Assumptions!$C$14:$C$18,0))</f>
        <v>0</v>
      </c>
      <c r="E12" s="287"/>
      <c r="F12" s="287"/>
      <c r="G12" s="91" t="str">
        <f>IF(Data!$C12, "", INDEX(Consol!$F$15:$F$82, MATCH($C12&amp;G$7, Consol!$D$15:$D$82,0))/mill_conv)</f>
        <v/>
      </c>
      <c r="H12" s="91" t="str">
        <f>IF(Data!$C12, "", INDEX(Consol!$F$15:$F$82, MATCH($C12&amp;H$7, Consol!$D$15:$D$82,0))/mill_conv)</f>
        <v/>
      </c>
      <c r="I12" s="91" t="str">
        <f>IF(Data!$C12, "", INDEX(Consol!$F$15:$F$82, MATCH($C12&amp;I$7, Consol!$D$15:$D$82,0))/mill_conv)</f>
        <v/>
      </c>
    </row>
    <row r="13" spans="1:13" s="2" customFormat="1" ht="12.75" x14ac:dyDescent="0.2">
      <c r="C13" s="65" t="str">
        <v>Option 5</v>
      </c>
      <c r="D13" s="286">
        <f>INDEX(Assumptions!$E$14:$E$18, MATCH(C13, Assumptions!$C$14:$C$18,0))</f>
        <v>0</v>
      </c>
      <c r="E13" s="287"/>
      <c r="F13" s="287"/>
      <c r="G13" s="91" t="str">
        <f>IF(Data!$C13, "", INDEX(Consol!$F$15:$F$82, MATCH($C13&amp;G$7, Consol!$D$15:$D$82,0))/mill_conv)</f>
        <v/>
      </c>
      <c r="H13" s="91" t="str">
        <f>IF(Data!$C13, "", INDEX(Consol!$F$15:$F$82, MATCH($C13&amp;H$7, Consol!$D$15:$D$82,0))/mill_conv)</f>
        <v/>
      </c>
      <c r="I13" s="91" t="str">
        <f>IF(Data!$C13, "", INDEX(Consol!$F$15:$F$82, MATCH($C13&amp;I$7, Consol!$D$15:$D$82,0))/mill_conv)</f>
        <v/>
      </c>
    </row>
    <row r="14" spans="1:13" s="2" customFormat="1" ht="12.75" x14ac:dyDescent="0.2">
      <c r="C14" s="65"/>
      <c r="D14" s="65"/>
      <c r="E14" s="65"/>
      <c r="F14" s="80"/>
      <c r="H14" s="7"/>
    </row>
    <row r="15" spans="1:13" s="2" customFormat="1" ht="12.75" x14ac:dyDescent="0.2">
      <c r="C15" s="65"/>
      <c r="D15" s="65"/>
      <c r="E15" s="65"/>
      <c r="F15" s="80"/>
      <c r="G15"/>
      <c r="I15" s="7"/>
    </row>
    <row r="16" spans="1:13" s="2" customFormat="1" ht="12.75" x14ac:dyDescent="0.2">
      <c r="G16" s="131" t="s">
        <v>119</v>
      </c>
      <c r="H16"/>
      <c r="J16" s="7"/>
    </row>
    <row r="17" spans="1:13" s="2" customFormat="1" ht="12.75" x14ac:dyDescent="0.2">
      <c r="C17" s="24" t="s">
        <v>24</v>
      </c>
      <c r="D17" s="26"/>
      <c r="E17" s="26"/>
      <c r="F17" s="26"/>
      <c r="G17" s="160">
        <f>output_dollars</f>
        <v>46203</v>
      </c>
      <c r="H17"/>
      <c r="J17" s="7"/>
    </row>
    <row r="18" spans="1:13" s="2" customFormat="1" ht="12.75" x14ac:dyDescent="0.2">
      <c r="C18" s="32" t="str">
        <f>INDEX($C$9:$C$13,MATCH(G18, $I$9:$I$13,0))</f>
        <v>Option 2</v>
      </c>
      <c r="D18" s="283" t="str">
        <f>INDEX($D$9:$D$13,MATCH(G18, $I$9:$I$13,0))</f>
        <v>New feeder from MTC to WBE</v>
      </c>
      <c r="E18" s="283"/>
      <c r="F18" s="283"/>
      <c r="G18" s="92">
        <f>_xlfn.MAXIFS(I9:I13, IF(compliance, Data!$F$9:$F$13, Data!$C$9:$C$13),FALSE)</f>
        <v>2.2509140365850566</v>
      </c>
      <c r="H18"/>
    </row>
    <row r="19" spans="1:13" s="2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7" t="s">
        <v>88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6"/>
    </row>
    <row r="24" spans="1:13" x14ac:dyDescent="0.2"/>
    <row r="25" spans="1:13" s="6" customFormat="1" ht="12.75" x14ac:dyDescent="0.2">
      <c r="C25" s="12" t="s">
        <v>28</v>
      </c>
    </row>
    <row r="26" spans="1:13" s="6" customFormat="1" ht="12.75" x14ac:dyDescent="0.2">
      <c r="C26" s="81" t="str">
        <f>C18</f>
        <v>Option 2</v>
      </c>
    </row>
    <row r="27" spans="1:13" s="6" customFormat="1" ht="12.75" x14ac:dyDescent="0.2"/>
    <row r="28" spans="1:13" s="6" customFormat="1" ht="12.75" x14ac:dyDescent="0.2"/>
    <row r="29" spans="1:13" s="6" customFormat="1" ht="12.75" x14ac:dyDescent="0.2">
      <c r="C29" s="47" t="s">
        <v>29</v>
      </c>
      <c r="D29" s="245">
        <f>output_dollars</f>
        <v>46203</v>
      </c>
      <c r="E29" s="161"/>
      <c r="F29" s="49" t="str">
        <f>Assumptions!K89</f>
        <v>2026-27</v>
      </c>
      <c r="G29" s="49" t="str">
        <f>Assumptions!L89</f>
        <v>2027-28</v>
      </c>
      <c r="H29" s="49" t="str">
        <f>Assumptions!M89</f>
        <v>2028-29</v>
      </c>
      <c r="I29" s="49" t="str">
        <f>Assumptions!N89</f>
        <v>2029-30</v>
      </c>
      <c r="J29" s="49" t="str">
        <f>Assumptions!O89</f>
        <v>2030-31</v>
      </c>
      <c r="L29" s="49" t="s">
        <v>141</v>
      </c>
    </row>
    <row r="30" spans="1:13" s="6" customFormat="1" ht="12.75" x14ac:dyDescent="0.2">
      <c r="C30" s="4" t="s">
        <v>30</v>
      </c>
      <c r="F30" s="93">
        <f>-INDEX(Consol!$I$15:$Q$82,MATCH($C$26&amp;$C30,Consol!$D$15:$D$82,0), MATCH(F$29, Consol!$I$9:$Q$9,0))/mill_conv</f>
        <v>0</v>
      </c>
      <c r="G30" s="93">
        <f>-INDEX(Consol!$I$15:$Q$82,MATCH($C$26&amp;$C30,Consol!$D$15:$D$82,0), MATCH(G$29, Consol!$I$9:$Q$9,0))/mill_conv</f>
        <v>0</v>
      </c>
      <c r="H30" s="93">
        <f>-INDEX(Consol!$I$15:$Q$82,MATCH($C$26&amp;$C30,Consol!$D$15:$D$82,0), MATCH(H$29, Consol!$I$9:$Q$9,0))/mill_conv</f>
        <v>0</v>
      </c>
      <c r="I30" s="93">
        <f>-INDEX(Consol!$I$15:$Q$82,MATCH($C$26&amp;$C30,Consol!$D$15:$D$82,0), MATCH(I$29, Consol!$I$9:$Q$9,0))/mill_conv</f>
        <v>1.9475971312290443</v>
      </c>
      <c r="J30" s="93">
        <f>-INDEX(Consol!$I$15:$Q$82,MATCH($C$26&amp;$C30,Consol!$D$15:$D$82,0), MATCH(J$29, Consol!$I$9:$Q$9,0))/mill_conv</f>
        <v>1.9475971312290443</v>
      </c>
      <c r="K30" s="162"/>
      <c r="L30" s="162">
        <f>SUM(F30:J30)</f>
        <v>3.8951942624580886</v>
      </c>
    </row>
    <row r="31" spans="1:13" s="6" customFormat="1" ht="12.75" x14ac:dyDescent="0.2">
      <c r="C31" s="4" t="s">
        <v>31</v>
      </c>
      <c r="D31" s="10"/>
      <c r="E31" s="10"/>
      <c r="F31" s="93">
        <f>-INDEX(Consol!$I$15:$Q$82,MATCH($C$26&amp;$C31,Consol!$D$15:$D$82,0), MATCH(F$29, Consol!$I$9:$Q$9,0))/mill_conv</f>
        <v>0</v>
      </c>
      <c r="G31" s="93">
        <f>-INDEX(Consol!$I$15:$Q$82,MATCH($C$26&amp;$C31,Consol!$D$15:$D$82,0), MATCH(G$29, Consol!$I$9:$Q$9,0))/mill_conv</f>
        <v>0</v>
      </c>
      <c r="H31" s="93">
        <f>-INDEX(Consol!$I$15:$Q$82,MATCH($C$26&amp;$C31,Consol!$D$15:$D$82,0), MATCH(H$29, Consol!$I$9:$Q$9,0))/mill_conv</f>
        <v>0</v>
      </c>
      <c r="I31" s="93">
        <f>-INDEX(Consol!$I$15:$Q$82,MATCH($C$26&amp;$C31,Consol!$D$15:$D$82,0), MATCH(I$29, Consol!$I$9:$Q$9,0))/mill_conv</f>
        <v>0</v>
      </c>
      <c r="J31" s="93">
        <f>-INDEX(Consol!$I$15:$Q$82,MATCH($C$26&amp;$C31,Consol!$D$15:$D$82,0), MATCH(J$29, Consol!$I$9:$Q$9,0))/mill_conv</f>
        <v>0</v>
      </c>
      <c r="K31" s="162"/>
      <c r="L31" s="162">
        <f>SUM(F31:J31)</f>
        <v>0</v>
      </c>
    </row>
    <row r="32" spans="1:13" s="6" customFormat="1" ht="12.75" x14ac:dyDescent="0.2"/>
    <row r="33" spans="1:12" s="6" customFormat="1" ht="12.75" x14ac:dyDescent="0.2"/>
    <row r="34" spans="1:12" s="6" customFormat="1" ht="12.75" x14ac:dyDescent="0.2"/>
    <row r="35" spans="1:12" s="6" customFormat="1" ht="15" x14ac:dyDescent="0.25">
      <c r="A35" s="17" t="s">
        <v>158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6" customFormat="1" ht="12.75" x14ac:dyDescent="0.2"/>
    <row r="37" spans="1:12" s="6" customFormat="1" ht="12.75" x14ac:dyDescent="0.2">
      <c r="C37" s="6" t="s">
        <v>233</v>
      </c>
      <c r="D37" s="10"/>
      <c r="E37" s="10"/>
      <c r="F37" s="276" t="s">
        <v>239</v>
      </c>
    </row>
    <row r="38" spans="1:12" s="6" customFormat="1" ht="12.75" x14ac:dyDescent="0.2"/>
    <row r="39" spans="1:12" s="6" customFormat="1" ht="12.75" x14ac:dyDescent="0.2"/>
    <row r="40" spans="1:12" s="6" customFormat="1" ht="12.75" x14ac:dyDescent="0.2"/>
    <row r="41" spans="1:12" s="6" customFormat="1" ht="12.75" x14ac:dyDescent="0.2"/>
    <row r="42" spans="1:12" s="6" customFormat="1" ht="12.75" x14ac:dyDescent="0.2"/>
    <row r="43" spans="1:12" s="6" customFormat="1" ht="12.75" x14ac:dyDescent="0.2"/>
    <row r="44" spans="1:12" s="6" customFormat="1" ht="12.75" x14ac:dyDescent="0.2"/>
    <row r="45" spans="1:12" s="6" customFormat="1" ht="12.75" x14ac:dyDescent="0.2"/>
    <row r="46" spans="1:12" s="6" customFormat="1" ht="12.75" x14ac:dyDescent="0.2"/>
    <row r="47" spans="1:12" s="6" customFormat="1" ht="12.75" x14ac:dyDescent="0.2"/>
    <row r="48" spans="1:12" s="6" customFormat="1" ht="12.75" x14ac:dyDescent="0.2"/>
    <row r="49" spans="1:12" s="6" customFormat="1" ht="12.75" x14ac:dyDescent="0.2"/>
    <row r="50" spans="1:12" s="6" customFormat="1" ht="12.75" x14ac:dyDescent="0.2"/>
    <row r="51" spans="1:12" s="6" customFormat="1" ht="12.75" x14ac:dyDescent="0.2"/>
    <row r="52" spans="1:12" s="6" customFormat="1" ht="12.75" x14ac:dyDescent="0.2"/>
    <row r="53" spans="1:12" s="6" customFormat="1" ht="12.75" x14ac:dyDescent="0.2"/>
    <row r="54" spans="1:12" s="6" customFormat="1" ht="12.75" x14ac:dyDescent="0.2"/>
    <row r="55" spans="1:12" s="6" customFormat="1" ht="12.75" x14ac:dyDescent="0.2"/>
    <row r="56" spans="1:12" s="6" customFormat="1" ht="12.75" x14ac:dyDescent="0.2"/>
    <row r="57" spans="1:12" s="6" customFormat="1" ht="12.75" x14ac:dyDescent="0.2"/>
    <row r="58" spans="1:12" s="6" customFormat="1" ht="12.75" x14ac:dyDescent="0.2"/>
    <row r="59" spans="1:12" s="6" customFormat="1" ht="12.75" x14ac:dyDescent="0.2"/>
    <row r="60" spans="1:12" s="6" customFormat="1" ht="12.75" x14ac:dyDescent="0.2"/>
    <row r="61" spans="1:12" s="6" customFormat="1" ht="12.75" x14ac:dyDescent="0.2"/>
    <row r="62" spans="1:12" s="6" customFormat="1" ht="12.75" x14ac:dyDescent="0.2"/>
    <row r="63" spans="1:12" s="6" customFormat="1" ht="15" x14ac:dyDescent="0.25">
      <c r="A63" s="17" t="s">
        <v>216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s="6" customFormat="1" ht="12.75" x14ac:dyDescent="0.2"/>
    <row r="65" spans="3:13" s="6" customFormat="1" ht="12.75" x14ac:dyDescent="0.2"/>
    <row r="66" spans="3:13" s="6" customFormat="1" ht="12.75" x14ac:dyDescent="0.2">
      <c r="C66" s="47" t="s">
        <v>220</v>
      </c>
      <c r="D66" s="161">
        <f>output_dollars</f>
        <v>46203</v>
      </c>
      <c r="E66" s="161"/>
      <c r="F66" s="49" t="str">
        <f>Sensitivity_calcs!C89</f>
        <v>Option 1 (base case)</v>
      </c>
      <c r="G66" s="49" t="str">
        <f>Sensitivity_calcs!D89</f>
        <v>Option 2</v>
      </c>
      <c r="H66" s="49" t="str">
        <f>Sensitivity_calcs!E89</f>
        <v>Option 3</v>
      </c>
      <c r="I66" s="49" t="str">
        <f>Sensitivity_calcs!F89</f>
        <v>Option 4</v>
      </c>
      <c r="J66" s="49" t="str">
        <f>Sensitivity_calcs!G89</f>
        <v>Option 5</v>
      </c>
      <c r="K66" s="228"/>
      <c r="L66" s="136" t="s">
        <v>218</v>
      </c>
      <c r="M66" s="228"/>
    </row>
    <row r="67" spans="3:13" s="6" customFormat="1" ht="12.75" x14ac:dyDescent="0.2">
      <c r="C67" s="242" t="str">
        <f>Sensitivity_calcs!B90</f>
        <v>None</v>
      </c>
      <c r="D67" s="230"/>
      <c r="E67" s="230"/>
      <c r="F67" s="243">
        <f>Sensitivity_calcs!C90</f>
        <v>0</v>
      </c>
      <c r="G67" s="243">
        <f>Sensitivity_calcs!D90</f>
        <v>2.2509140365850571</v>
      </c>
      <c r="H67" s="243">
        <f>Sensitivity_calcs!E90</f>
        <v>-27.978688376879262</v>
      </c>
      <c r="I67" s="243" t="str">
        <f>Sensitivity_calcs!F90</f>
        <v/>
      </c>
      <c r="J67" s="243" t="str">
        <f>Sensitivity_calcs!G90</f>
        <v/>
      </c>
      <c r="L67" s="244" t="str">
        <f>Sensitivity_calcs!K90</f>
        <v>Option 2</v>
      </c>
    </row>
    <row r="68" spans="3:13" s="6" customFormat="1" ht="12.75" x14ac:dyDescent="0.2">
      <c r="C68" s="229" t="str">
        <f>Sensitivity_calcs!B91</f>
        <v>Capex 10% higher</v>
      </c>
      <c r="D68" s="229"/>
      <c r="E68" s="229"/>
      <c r="F68" s="238">
        <f>Sensitivity_calcs!C91</f>
        <v>0</v>
      </c>
      <c r="G68" s="233">
        <f>Sensitivity_calcs!D91</f>
        <v>2.0561790336783483</v>
      </c>
      <c r="H68" s="233">
        <f>Sensitivity_calcs!E91</f>
        <v>-31.186622243496558</v>
      </c>
      <c r="I68" s="233" t="str">
        <f>Sensitivity_calcs!F91</f>
        <v/>
      </c>
      <c r="J68" s="233" t="str">
        <f>Sensitivity_calcs!G91</f>
        <v/>
      </c>
      <c r="L68" s="239" t="str">
        <f>Sensitivity_calcs!K91</f>
        <v>Option 2</v>
      </c>
    </row>
    <row r="69" spans="3:13" s="6" customFormat="1" ht="12.75" x14ac:dyDescent="0.2">
      <c r="C69" s="229" t="str">
        <f>Sensitivity_calcs!B92</f>
        <v>Capex 10% lower</v>
      </c>
      <c r="D69" s="229"/>
      <c r="E69" s="229"/>
      <c r="F69" s="93">
        <f>Sensitivity_calcs!C92</f>
        <v>0</v>
      </c>
      <c r="G69" s="234">
        <f>Sensitivity_calcs!D92</f>
        <v>2.4456490394917658</v>
      </c>
      <c r="H69" s="234">
        <f>Sensitivity_calcs!E92</f>
        <v>-24.770754510261973</v>
      </c>
      <c r="I69" s="234" t="str">
        <f>Sensitivity_calcs!F92</f>
        <v/>
      </c>
      <c r="J69" s="234" t="str">
        <f>Sensitivity_calcs!G92</f>
        <v/>
      </c>
      <c r="L69" s="239" t="str">
        <f>Sensitivity_calcs!K92</f>
        <v>Option 2</v>
      </c>
    </row>
    <row r="70" spans="3:13" s="6" customFormat="1" ht="12.75" x14ac:dyDescent="0.2">
      <c r="C70" s="229" t="str">
        <f>Sensitivity_calcs!B93</f>
        <v>Total benefits 10% higher</v>
      </c>
      <c r="D70" s="229"/>
      <c r="E70" s="229"/>
      <c r="F70" s="93">
        <f>Sensitivity_calcs!C93</f>
        <v>0</v>
      </c>
      <c r="G70" s="234">
        <f>Sensitivity_calcs!D93</f>
        <v>2.6707404431502719</v>
      </c>
      <c r="H70" s="234">
        <f>Sensitivity_calcs!E93</f>
        <v>-27.568623347949895</v>
      </c>
      <c r="I70" s="234" t="str">
        <f>Sensitivity_calcs!F93</f>
        <v/>
      </c>
      <c r="J70" s="234" t="str">
        <f>Sensitivity_calcs!G93</f>
        <v/>
      </c>
      <c r="L70" s="239" t="str">
        <f>Sensitivity_calcs!K93</f>
        <v>Option 2</v>
      </c>
    </row>
    <row r="71" spans="3:13" s="6" customFormat="1" ht="12.75" x14ac:dyDescent="0.2">
      <c r="C71" s="229" t="str">
        <f>Sensitivity_calcs!B94</f>
        <v>Total benefits 10% lower</v>
      </c>
      <c r="D71" s="229"/>
      <c r="E71" s="229"/>
      <c r="F71" s="93">
        <f>Sensitivity_calcs!C94</f>
        <v>0</v>
      </c>
      <c r="G71" s="234">
        <f>Sensitivity_calcs!D94</f>
        <v>1.8310876300198422</v>
      </c>
      <c r="H71" s="234">
        <f>Sensitivity_calcs!E94</f>
        <v>-28.388753405808629</v>
      </c>
      <c r="I71" s="234" t="str">
        <f>Sensitivity_calcs!F94</f>
        <v/>
      </c>
      <c r="J71" s="234" t="str">
        <f>Sensitivity_calcs!G94</f>
        <v/>
      </c>
      <c r="L71" s="239" t="str">
        <f>Sensitivity_calcs!K94</f>
        <v>Option 2</v>
      </c>
    </row>
    <row r="72" spans="3:13" s="6" customFormat="1" ht="12.75" x14ac:dyDescent="0.2">
      <c r="C72" s="229" t="str">
        <f>Sensitivity_calcs!B95</f>
        <v>Capex 10% higher &amp; Total benefits 10% lower</v>
      </c>
      <c r="D72" s="229"/>
      <c r="E72" s="229"/>
      <c r="F72" s="93">
        <f>Sensitivity_calcs!C95</f>
        <v>0</v>
      </c>
      <c r="G72" s="234">
        <f>Sensitivity_calcs!D95</f>
        <v>1.636352627113133</v>
      </c>
      <c r="H72" s="234">
        <f>Sensitivity_calcs!E95</f>
        <v>-31.596687272425925</v>
      </c>
      <c r="I72" s="234" t="str">
        <f>Sensitivity_calcs!F95</f>
        <v/>
      </c>
      <c r="J72" s="234" t="str">
        <f>Sensitivity_calcs!G95</f>
        <v/>
      </c>
      <c r="L72" s="239" t="str">
        <f>Sensitivity_calcs!K95</f>
        <v>Option 2</v>
      </c>
    </row>
    <row r="73" spans="3:13" s="6" customFormat="1" ht="12.75" x14ac:dyDescent="0.2">
      <c r="C73" s="229">
        <f>Sensitivity_calcs!B96</f>
        <v>0</v>
      </c>
      <c r="D73" s="229"/>
      <c r="E73" s="229"/>
      <c r="F73" s="93" t="str">
        <f>Sensitivity_calcs!C96</f>
        <v/>
      </c>
      <c r="G73" s="234" t="str">
        <f>Sensitivity_calcs!D96</f>
        <v/>
      </c>
      <c r="H73" s="234" t="str">
        <f>Sensitivity_calcs!E96</f>
        <v/>
      </c>
      <c r="I73" s="234" t="str">
        <f>Sensitivity_calcs!F96</f>
        <v/>
      </c>
      <c r="J73" s="234" t="str">
        <f>Sensitivity_calcs!G96</f>
        <v/>
      </c>
      <c r="L73" s="239" t="str">
        <f>Sensitivity_calcs!K96</f>
        <v/>
      </c>
    </row>
    <row r="74" spans="3:13" s="6" customFormat="1" ht="12.75" x14ac:dyDescent="0.2">
      <c r="C74" s="229">
        <f>Sensitivity_calcs!B97</f>
        <v>0</v>
      </c>
      <c r="D74" s="12"/>
      <c r="E74" s="12"/>
      <c r="F74" s="93" t="str">
        <f>Sensitivity_calcs!C97</f>
        <v/>
      </c>
      <c r="G74" s="234" t="str">
        <f>Sensitivity_calcs!D97</f>
        <v/>
      </c>
      <c r="H74" s="234" t="str">
        <f>Sensitivity_calcs!E97</f>
        <v/>
      </c>
      <c r="I74" s="234" t="str">
        <f>Sensitivity_calcs!F97</f>
        <v/>
      </c>
      <c r="J74" s="234" t="str">
        <f>Sensitivity_calcs!G97</f>
        <v/>
      </c>
      <c r="K74" s="231">
        <f>IF(C74=0,0, INDEX($F$66:$J$66, MATCH(MAX($F74:$I74),$F74:$I74,0)))</f>
        <v>0</v>
      </c>
      <c r="L74" s="239" t="str">
        <f>Sensitivity_calcs!K97</f>
        <v/>
      </c>
    </row>
    <row r="75" spans="3:13" s="6" customFormat="1" ht="12.75" x14ac:dyDescent="0.2">
      <c r="D75" s="229">
        <f>Sensitivity_calcs!B98</f>
        <v>0</v>
      </c>
      <c r="E75" s="229"/>
      <c r="F75" s="93" t="str">
        <f>Sensitivity_calcs!C98</f>
        <v/>
      </c>
      <c r="G75" s="234" t="str">
        <f>Sensitivity_calcs!D98</f>
        <v/>
      </c>
      <c r="H75" s="234" t="str">
        <f>Sensitivity_calcs!E98</f>
        <v/>
      </c>
      <c r="I75" s="234" t="str">
        <f>Sensitivity_calcs!F98</f>
        <v/>
      </c>
      <c r="J75" s="234" t="str">
        <f>Sensitivity_calcs!G98</f>
        <v/>
      </c>
      <c r="L75" s="239" t="str">
        <f>Sensitivity_calcs!K98</f>
        <v/>
      </c>
    </row>
    <row r="76" spans="3:13" s="6" customFormat="1" ht="12.75" x14ac:dyDescent="0.2">
      <c r="D76" s="229">
        <f>Sensitivity_calcs!B99</f>
        <v>0</v>
      </c>
      <c r="E76" s="229"/>
      <c r="F76" s="162"/>
      <c r="G76" s="93"/>
      <c r="H76" s="93"/>
      <c r="I76" s="93"/>
      <c r="J76" s="93"/>
    </row>
    <row r="77" spans="3:13" s="6" customFormat="1" ht="12.75" x14ac:dyDescent="0.2">
      <c r="G77" s="93"/>
      <c r="H77" s="93"/>
      <c r="I77" s="93"/>
      <c r="J77" s="93"/>
    </row>
    <row r="78" spans="3:13" s="6" customFormat="1" ht="12.75" x14ac:dyDescent="0.2"/>
    <row r="79" spans="3:13" s="6" customFormat="1" ht="12.75" x14ac:dyDescent="0.2"/>
    <row r="80" spans="3:13" s="6" customFormat="1" ht="12.75" x14ac:dyDescent="0.2"/>
    <row r="81" spans="4:6" s="6" customFormat="1" ht="12.75" x14ac:dyDescent="0.2">
      <c r="D81" s="217"/>
      <c r="E81" s="217"/>
      <c r="F81" s="217"/>
    </row>
    <row r="82" spans="4:6" s="6" customFormat="1" ht="12.75" x14ac:dyDescent="0.2">
      <c r="D82" s="217"/>
      <c r="E82" s="217"/>
      <c r="F82" s="217"/>
    </row>
    <row r="83" spans="4:6" s="6" customFormat="1" ht="12.75" hidden="1" x14ac:dyDescent="0.2">
      <c r="D83" s="217"/>
      <c r="E83" s="217"/>
      <c r="F83" s="217"/>
    </row>
    <row r="84" spans="4:6" s="6" customFormat="1" ht="12.75" hidden="1" x14ac:dyDescent="0.2"/>
    <row r="85" spans="4:6" s="6" customFormat="1" ht="12.75" hidden="1" x14ac:dyDescent="0.2"/>
    <row r="86" spans="4:6" s="6" customFormat="1" ht="12.75" hidden="1" x14ac:dyDescent="0.2"/>
    <row r="87" spans="4:6" s="6" customFormat="1" ht="12.75" hidden="1" x14ac:dyDescent="0.2"/>
    <row r="88" spans="4:6" s="6" customFormat="1" ht="12.75" hidden="1" x14ac:dyDescent="0.2"/>
    <row r="89" spans="4:6" s="6" customFormat="1" ht="12.75" hidden="1" x14ac:dyDescent="0.2"/>
    <row r="90" spans="4:6" s="6" customFormat="1" ht="12.75" hidden="1" x14ac:dyDescent="0.2"/>
    <row r="91" spans="4:6" s="6" customFormat="1" ht="12.75" hidden="1" x14ac:dyDescent="0.2"/>
    <row r="92" spans="4:6" s="6" customFormat="1" ht="12.75" hidden="1" x14ac:dyDescent="0.2"/>
    <row r="93" spans="4:6" s="6" customFormat="1" ht="12.75" hidden="1" x14ac:dyDescent="0.2"/>
    <row r="94" spans="4:6" s="6" customFormat="1" ht="12.75" hidden="1" x14ac:dyDescent="0.2"/>
    <row r="95" spans="4:6" s="6" customFormat="1" ht="12.75" hidden="1" x14ac:dyDescent="0.2"/>
    <row r="96" spans="4:6" s="6" customFormat="1" ht="12.75" hidden="1" x14ac:dyDescent="0.2"/>
    <row r="97" s="6" customFormat="1" ht="12.75" hidden="1" x14ac:dyDescent="0.2"/>
    <row r="98" s="6" customFormat="1" ht="12.75" hidden="1" x14ac:dyDescent="0.2"/>
    <row r="99" s="6" customFormat="1" ht="12.75" hidden="1" x14ac:dyDescent="0.2"/>
    <row r="100" s="6" customFormat="1" ht="12.75" hidden="1" x14ac:dyDescent="0.2"/>
    <row r="101" s="6" customFormat="1" ht="12.75" hidden="1" x14ac:dyDescent="0.2"/>
    <row r="102" s="6" customFormat="1" ht="12.75" hidden="1" x14ac:dyDescent="0.2"/>
    <row r="103" s="6" customFormat="1" ht="12.75" hidden="1" x14ac:dyDescent="0.2"/>
    <row r="104" s="6" customFormat="1" ht="12.75" hidden="1" x14ac:dyDescent="0.2"/>
    <row r="105" s="6" customFormat="1" ht="12.75" hidden="1" x14ac:dyDescent="0.2"/>
    <row r="106" s="6" customFormat="1" ht="12.75" hidden="1" x14ac:dyDescent="0.2"/>
    <row r="107" s="6" customFormat="1" ht="12.75" hidden="1" x14ac:dyDescent="0.2"/>
    <row r="108" s="6" customFormat="1" ht="12.75" hidden="1" x14ac:dyDescent="0.2"/>
    <row r="109" s="6" customFormat="1" ht="12.75" hidden="1" x14ac:dyDescent="0.2"/>
    <row r="110" s="6" customFormat="1" ht="12.75" hidden="1" x14ac:dyDescent="0.2"/>
    <row r="111" s="6" customFormat="1" ht="12.75" hidden="1" x14ac:dyDescent="0.2"/>
    <row r="112" s="6" customFormat="1" ht="12.75" hidden="1" x14ac:dyDescent="0.2"/>
    <row r="113" s="6" customFormat="1" ht="12.75" hidden="1" x14ac:dyDescent="0.2"/>
    <row r="114" s="6" customFormat="1" ht="12.75" hidden="1" x14ac:dyDescent="0.2"/>
    <row r="115" s="6" customFormat="1" ht="12.75" hidden="1" x14ac:dyDescent="0.2"/>
    <row r="116" s="6" customFormat="1" ht="12.75" hidden="1" x14ac:dyDescent="0.2"/>
    <row r="117" s="6" customFormat="1" ht="12.75" hidden="1" x14ac:dyDescent="0.2"/>
    <row r="118" s="6" customFormat="1" ht="12.75" hidden="1" x14ac:dyDescent="0.2"/>
    <row r="119" s="6" customFormat="1" ht="12.75" hidden="1" x14ac:dyDescent="0.2"/>
    <row r="120" s="6" customFormat="1" ht="12.75" hidden="1" x14ac:dyDescent="0.2"/>
    <row r="121" s="6" customFormat="1" ht="12.75" hidden="1" x14ac:dyDescent="0.2"/>
    <row r="122" s="6" customFormat="1" ht="12.75" hidden="1" x14ac:dyDescent="0.2"/>
    <row r="123" s="6" customFormat="1" ht="12.75" hidden="1" x14ac:dyDescent="0.2"/>
    <row r="124" s="6" customFormat="1" ht="12.75" hidden="1" x14ac:dyDescent="0.2"/>
    <row r="125" s="6" customFormat="1" ht="12.75" hidden="1" x14ac:dyDescent="0.2"/>
    <row r="126" s="6" customFormat="1" ht="12.75" hidden="1" x14ac:dyDescent="0.2"/>
    <row r="127" s="6" customFormat="1" ht="12.75" hidden="1" x14ac:dyDescent="0.2"/>
    <row r="128" s="6" customFormat="1" ht="12.75" hidden="1" x14ac:dyDescent="0.2"/>
    <row r="129" s="6" customFormat="1" ht="12.75" hidden="1" x14ac:dyDescent="0.2"/>
    <row r="130" s="6" customFormat="1" ht="12.75" hidden="1" x14ac:dyDescent="0.2"/>
    <row r="131" s="6" customFormat="1" ht="12.75" hidden="1" x14ac:dyDescent="0.2"/>
    <row r="132" s="6" customFormat="1" ht="12.75" hidden="1" x14ac:dyDescent="0.2"/>
    <row r="133" s="6" customFormat="1" ht="12.75" hidden="1" x14ac:dyDescent="0.2"/>
    <row r="134" s="6" customFormat="1" ht="12.75" hidden="1" x14ac:dyDescent="0.2"/>
    <row r="135" s="6" customFormat="1" ht="12.75" hidden="1" x14ac:dyDescent="0.2"/>
    <row r="136" s="6" customFormat="1" ht="12.75" hidden="1" x14ac:dyDescent="0.2"/>
    <row r="137" s="6" customFormat="1" ht="12.75" hidden="1" x14ac:dyDescent="0.2"/>
    <row r="138" s="6" customFormat="1" ht="12.75" hidden="1" x14ac:dyDescent="0.2"/>
    <row r="139" s="6" customFormat="1" ht="12.75" hidden="1" x14ac:dyDescent="0.2"/>
    <row r="140" s="6" customFormat="1" ht="12.75" hidden="1" x14ac:dyDescent="0.2"/>
    <row r="141" s="6" customFormat="1" ht="12.75" hidden="1" x14ac:dyDescent="0.2"/>
    <row r="142" s="6" customFormat="1" ht="12.75" hidden="1" x14ac:dyDescent="0.2"/>
    <row r="143" s="6" customFormat="1" ht="12.75" hidden="1" x14ac:dyDescent="0.2"/>
    <row r="144" s="6" customFormat="1" ht="12.75" hidden="1" x14ac:dyDescent="0.2"/>
    <row r="145" s="6" customFormat="1" ht="12.75" hidden="1" x14ac:dyDescent="0.2"/>
    <row r="146" s="6" customFormat="1" ht="12.75" hidden="1" x14ac:dyDescent="0.2"/>
    <row r="147" s="6" customFormat="1" ht="12.75" hidden="1" x14ac:dyDescent="0.2"/>
    <row r="148" s="6" customFormat="1" ht="12.75" hidden="1" x14ac:dyDescent="0.2"/>
    <row r="149" s="6" customFormat="1" ht="12.75" hidden="1" x14ac:dyDescent="0.2"/>
    <row r="150" s="6" customFormat="1" ht="12.75" hidden="1" x14ac:dyDescent="0.2"/>
    <row r="151" s="6" customFormat="1" ht="12.75" hidden="1" x14ac:dyDescent="0.2"/>
    <row r="152" s="6" customFormat="1" ht="12.75" hidden="1" x14ac:dyDescent="0.2"/>
    <row r="153" s="6" customFormat="1" ht="12.75" hidden="1" x14ac:dyDescent="0.2"/>
    <row r="154" s="6" customFormat="1" ht="12.75" hidden="1" x14ac:dyDescent="0.2"/>
    <row r="155" s="6" customFormat="1" ht="12.75" hidden="1" x14ac:dyDescent="0.2"/>
    <row r="156" s="6" customFormat="1" ht="12.75" hidden="1" x14ac:dyDescent="0.2"/>
    <row r="157" s="6" customFormat="1" ht="12.75" hidden="1" x14ac:dyDescent="0.2"/>
    <row r="158" s="6" customFormat="1" ht="12.75" hidden="1" x14ac:dyDescent="0.2"/>
    <row r="159" s="6" customFormat="1" ht="12.75" hidden="1" x14ac:dyDescent="0.2"/>
    <row r="160" s="6" customFormat="1" ht="12.75" hidden="1" x14ac:dyDescent="0.2"/>
    <row r="161" s="6" customFormat="1" ht="12.75" hidden="1" x14ac:dyDescent="0.2"/>
    <row r="162" s="6" customFormat="1" ht="12.75" hidden="1" x14ac:dyDescent="0.2"/>
    <row r="163" s="6" customFormat="1" ht="12.75" hidden="1" x14ac:dyDescent="0.2"/>
    <row r="164" s="6" customFormat="1" ht="12.75" hidden="1" x14ac:dyDescent="0.2"/>
    <row r="165" s="6" customFormat="1" ht="12.75" hidden="1" x14ac:dyDescent="0.2"/>
    <row r="166" s="6" customFormat="1" ht="12.75" hidden="1" x14ac:dyDescent="0.2"/>
    <row r="167" s="6" customFormat="1" ht="12.75" hidden="1" x14ac:dyDescent="0.2"/>
    <row r="168" s="6" customFormat="1" ht="12.75" hidden="1" x14ac:dyDescent="0.2"/>
    <row r="169" s="6" customFormat="1" ht="12.75" hidden="1" x14ac:dyDescent="0.2"/>
    <row r="170" s="6" customFormat="1" ht="12.75" hidden="1" x14ac:dyDescent="0.2"/>
    <row r="171" s="6" customFormat="1" ht="12.75" hidden="1" x14ac:dyDescent="0.2"/>
    <row r="172" s="6" customFormat="1" ht="12.75" hidden="1" x14ac:dyDescent="0.2"/>
    <row r="173" s="6" customFormat="1" ht="12.75" hidden="1" x14ac:dyDescent="0.2"/>
    <row r="174" s="6" customFormat="1" ht="12.75" hidden="1" x14ac:dyDescent="0.2"/>
    <row r="175" s="6" customFormat="1" ht="12.75" hidden="1" x14ac:dyDescent="0.2"/>
    <row r="176" s="6" customFormat="1" ht="12.75" hidden="1" x14ac:dyDescent="0.2"/>
    <row r="177" s="6" customFormat="1" ht="12.75" hidden="1" x14ac:dyDescent="0.2"/>
    <row r="178" s="6" customFormat="1" ht="12.75" hidden="1" x14ac:dyDescent="0.2"/>
    <row r="179" s="6" customFormat="1" ht="12.75" hidden="1" x14ac:dyDescent="0.2"/>
    <row r="180" s="6" customFormat="1" ht="12.75" hidden="1" x14ac:dyDescent="0.2"/>
    <row r="181" s="6" customFormat="1" ht="12.75" hidden="1" x14ac:dyDescent="0.2"/>
    <row r="182" s="6" customFormat="1" ht="12.75" hidden="1" x14ac:dyDescent="0.2"/>
    <row r="183" s="6" customFormat="1" ht="12.75" hidden="1" x14ac:dyDescent="0.2"/>
    <row r="184" s="6" customFormat="1" ht="12.75" hidden="1" x14ac:dyDescent="0.2"/>
    <row r="185" s="6" customFormat="1" ht="12.75" hidden="1" x14ac:dyDescent="0.2"/>
    <row r="186" s="6" customFormat="1" ht="12.75" hidden="1" x14ac:dyDescent="0.2"/>
    <row r="187" s="6" customFormat="1" ht="12.75" hidden="1" x14ac:dyDescent="0.2"/>
    <row r="188" s="6" customFormat="1" ht="12.75" hidden="1" x14ac:dyDescent="0.2"/>
    <row r="189" s="6" customFormat="1" ht="12.75" hidden="1" x14ac:dyDescent="0.2"/>
    <row r="190" s="6" customFormat="1" ht="12.75" hidden="1" x14ac:dyDescent="0.2"/>
    <row r="191" s="6" customFormat="1" ht="12.75" hidden="1" x14ac:dyDescent="0.2"/>
    <row r="192" s="6" customFormat="1" ht="12.75" hidden="1" x14ac:dyDescent="0.2"/>
    <row r="193" s="6" customFormat="1" ht="12.75" hidden="1" x14ac:dyDescent="0.2"/>
    <row r="194" s="6" customFormat="1" ht="12.75" hidden="1" x14ac:dyDescent="0.2"/>
    <row r="195" s="6" customFormat="1" ht="12.75" hidden="1" x14ac:dyDescent="0.2"/>
    <row r="196" s="6" customFormat="1" ht="12.75" hidden="1" x14ac:dyDescent="0.2"/>
    <row r="197" s="6" customFormat="1" ht="12.75" hidden="1" x14ac:dyDescent="0.2"/>
    <row r="198" s="6" customFormat="1" ht="12.75" hidden="1" x14ac:dyDescent="0.2"/>
    <row r="199" s="6" customFormat="1" ht="12.75" hidden="1" x14ac:dyDescent="0.2"/>
    <row r="200" s="6" customFormat="1" ht="12.75" hidden="1" x14ac:dyDescent="0.2"/>
    <row r="201" s="6" customFormat="1" ht="12.75" hidden="1" x14ac:dyDescent="0.2"/>
    <row r="202" s="6" customFormat="1" ht="12.75" hidden="1" x14ac:dyDescent="0.2"/>
    <row r="203" s="6" customFormat="1" ht="12.75" hidden="1" x14ac:dyDescent="0.2"/>
    <row r="204" s="6" customFormat="1" ht="12.75" hidden="1" x14ac:dyDescent="0.2"/>
    <row r="205" s="6" customFormat="1" ht="12.75" hidden="1" x14ac:dyDescent="0.2"/>
    <row r="206" s="6" customFormat="1" ht="12.75" hidden="1" x14ac:dyDescent="0.2"/>
    <row r="207" s="6" customFormat="1" ht="12.75" hidden="1" x14ac:dyDescent="0.2"/>
    <row r="208" s="6" customFormat="1" ht="12.75" hidden="1" x14ac:dyDescent="0.2"/>
    <row r="209" s="6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7" sqref="E7"/>
    </sheetView>
  </sheetViews>
  <sheetFormatPr defaultColWidth="9" defaultRowHeight="12.75" x14ac:dyDescent="0.2"/>
  <cols>
    <col min="1" max="1" width="3.625" style="6" customWidth="1"/>
    <col min="2" max="2" width="2.625" style="6" customWidth="1"/>
    <col min="3" max="3" width="18.75" style="6" customWidth="1"/>
    <col min="4" max="4" width="9.25" style="6" customWidth="1"/>
    <col min="5" max="5" width="16.375" style="6" customWidth="1"/>
    <col min="6" max="6" width="1.125" style="6" customWidth="1"/>
    <col min="7" max="7" width="14.75" style="6" customWidth="1"/>
    <col min="8" max="8" width="12.875" style="6" customWidth="1"/>
    <col min="9" max="9" width="11.5" style="6" customWidth="1"/>
    <col min="10" max="10" width="6.875" style="6" customWidth="1"/>
    <col min="11" max="16" width="8.125" style="6" customWidth="1"/>
    <col min="17" max="19" width="9" style="6"/>
    <col min="20" max="20" width="17.625" style="6" customWidth="1"/>
    <col min="21" max="16384" width="9" style="6"/>
  </cols>
  <sheetData>
    <row r="1" spans="1:16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x14ac:dyDescent="0.25">
      <c r="A2" s="50" t="str">
        <f>proj</f>
        <v>Melton new feeder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1:16" s="1" customFormat="1" ht="15" x14ac:dyDescent="0.2">
      <c r="A4" s="16" t="s">
        <v>44</v>
      </c>
      <c r="B4" s="16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</row>
    <row r="5" spans="1:16" s="1" customFormat="1" x14ac:dyDescent="0.2">
      <c r="M5" s="10"/>
      <c r="N5" s="10"/>
      <c r="O5" s="10"/>
      <c r="P5" s="10"/>
    </row>
    <row r="6" spans="1:16" ht="12.75" customHeight="1" x14ac:dyDescent="0.2">
      <c r="C6" s="12" t="s">
        <v>11</v>
      </c>
      <c r="D6" s="58"/>
      <c r="E6" s="11" t="s">
        <v>3</v>
      </c>
    </row>
    <row r="7" spans="1:16" s="1" customFormat="1" ht="12.75" customHeight="1" x14ac:dyDescent="0.2">
      <c r="M7" s="10"/>
      <c r="N7" s="10"/>
      <c r="O7" s="10"/>
      <c r="P7" s="10"/>
    </row>
    <row r="8" spans="1:16" x14ac:dyDescent="0.2">
      <c r="C8" s="12" t="s">
        <v>12</v>
      </c>
      <c r="D8" s="12"/>
      <c r="E8" s="291" t="s">
        <v>250</v>
      </c>
      <c r="F8" s="291"/>
      <c r="G8" s="291"/>
      <c r="H8" s="291"/>
      <c r="I8" s="1"/>
      <c r="J8" s="1"/>
    </row>
    <row r="9" spans="1:16" x14ac:dyDescent="0.2">
      <c r="C9" s="12"/>
      <c r="D9" s="12"/>
    </row>
    <row r="10" spans="1:16" s="1" customFormat="1" x14ac:dyDescent="0.2">
      <c r="C10" s="3" t="s">
        <v>13</v>
      </c>
      <c r="D10" s="58"/>
      <c r="E10" s="54" t="s">
        <v>36</v>
      </c>
      <c r="F10" s="6"/>
      <c r="G10" s="33">
        <v>2023</v>
      </c>
      <c r="I10" s="59"/>
      <c r="J10" s="59"/>
    </row>
    <row r="11" spans="1:16" x14ac:dyDescent="0.2">
      <c r="I11" s="59"/>
      <c r="J11" s="59"/>
    </row>
    <row r="12" spans="1:16" x14ac:dyDescent="0.2">
      <c r="H12" s="37"/>
      <c r="I12" s="37"/>
      <c r="J12" s="37"/>
    </row>
    <row r="13" spans="1:16" s="65" customFormat="1" x14ac:dyDescent="0.2">
      <c r="C13" s="66" t="s">
        <v>1</v>
      </c>
      <c r="D13" s="66"/>
      <c r="E13" s="66" t="s">
        <v>0</v>
      </c>
      <c r="F13" s="66"/>
      <c r="G13" s="66"/>
      <c r="H13" s="67"/>
      <c r="I13" s="67"/>
      <c r="J13" s="67"/>
      <c r="K13" s="67"/>
      <c r="L13"/>
    </row>
    <row r="14" spans="1:16" s="1" customFormat="1" ht="12.75" customHeight="1" x14ac:dyDescent="0.2">
      <c r="C14" s="55" t="str" cm="1">
        <f t="array" ref="C14:C18">options</f>
        <v>Option 1 (base case)</v>
      </c>
      <c r="D14" s="55"/>
      <c r="E14" s="292" t="s">
        <v>58</v>
      </c>
      <c r="F14" s="292"/>
      <c r="G14" s="292"/>
      <c r="H14" s="292"/>
      <c r="I14" s="292"/>
      <c r="J14" s="292"/>
      <c r="K14" s="292"/>
      <c r="L14"/>
    </row>
    <row r="15" spans="1:16" s="1" customFormat="1" ht="12.75" customHeight="1" x14ac:dyDescent="0.2">
      <c r="C15" s="55" t="str">
        <v>Option 2</v>
      </c>
      <c r="D15" s="55"/>
      <c r="E15" s="293" t="s">
        <v>249</v>
      </c>
      <c r="F15" s="293"/>
      <c r="G15" s="293"/>
      <c r="H15" s="293"/>
      <c r="I15" s="293"/>
      <c r="J15" s="293"/>
      <c r="K15" s="293"/>
      <c r="L15"/>
    </row>
    <row r="16" spans="1:16" s="1" customFormat="1" ht="12.75" customHeight="1" x14ac:dyDescent="0.2">
      <c r="C16" s="55" t="str">
        <v>Option 3</v>
      </c>
      <c r="D16" s="55"/>
      <c r="E16" s="293" t="s">
        <v>247</v>
      </c>
      <c r="F16" s="293"/>
      <c r="G16" s="293"/>
      <c r="H16" s="293"/>
      <c r="I16" s="293"/>
      <c r="J16" s="293"/>
      <c r="K16" s="293"/>
      <c r="L16"/>
    </row>
    <row r="17" spans="1:16" s="1" customFormat="1" ht="12.75" customHeight="1" x14ac:dyDescent="0.2">
      <c r="C17" s="55" t="str">
        <v>Option 4</v>
      </c>
      <c r="D17" s="55"/>
      <c r="E17" s="293"/>
      <c r="F17" s="293"/>
      <c r="G17" s="293"/>
      <c r="H17" s="293"/>
      <c r="I17" s="293"/>
      <c r="J17" s="293"/>
      <c r="K17" s="293"/>
      <c r="L17"/>
    </row>
    <row r="18" spans="1:16" s="1" customFormat="1" ht="12.75" customHeight="1" x14ac:dyDescent="0.2">
      <c r="C18" s="55" t="str">
        <v>Option 5</v>
      </c>
      <c r="D18" s="55"/>
      <c r="E18" s="293"/>
      <c r="F18" s="293"/>
      <c r="G18" s="293"/>
      <c r="H18" s="293"/>
      <c r="I18" s="293"/>
      <c r="J18" s="293"/>
      <c r="K18" s="29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46" t="s">
        <v>223</v>
      </c>
      <c r="D20"/>
      <c r="E20" s="247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52" t="s">
        <v>19</v>
      </c>
      <c r="F22" s="61" t="s">
        <v>65</v>
      </c>
      <c r="J22" s="61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6"/>
    </row>
    <row r="25" spans="1:16" s="1" customFormat="1" ht="15" x14ac:dyDescent="0.2">
      <c r="A25" s="16" t="s">
        <v>182</v>
      </c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</row>
    <row r="26" spans="1:16" s="1" customFormat="1" x14ac:dyDescent="0.2"/>
    <row r="27" spans="1:16" s="1" customFormat="1" x14ac:dyDescent="0.2">
      <c r="C27" s="1" t="s">
        <v>46</v>
      </c>
      <c r="G27" s="60">
        <f>EOMONTH(DATE(Assumptions!$G$10,INDEX(Data!$K$107:$K$108, MATCH(Assumptions!$E$10, Data!$J$107:$J$108,0)), 1),0)</f>
        <v>45291</v>
      </c>
      <c r="H27" s="61" t="s">
        <v>70</v>
      </c>
    </row>
    <row r="28" spans="1:16" s="1" customFormat="1" x14ac:dyDescent="0.2">
      <c r="C28" s="1" t="s">
        <v>183</v>
      </c>
      <c r="G28" s="256">
        <v>3.5000000000000003E-2</v>
      </c>
      <c r="H28" s="61" t="s">
        <v>66</v>
      </c>
      <c r="J28" s="61"/>
    </row>
    <row r="29" spans="1:16" s="1" customFormat="1" x14ac:dyDescent="0.2">
      <c r="C29" s="1" t="s">
        <v>61</v>
      </c>
      <c r="G29" s="257">
        <v>45291</v>
      </c>
      <c r="H29" s="61" t="s">
        <v>67</v>
      </c>
      <c r="J29" s="61"/>
    </row>
    <row r="30" spans="1:16" s="1" customFormat="1" x14ac:dyDescent="0.2">
      <c r="J30" s="61"/>
    </row>
    <row r="31" spans="1:16" x14ac:dyDescent="0.2">
      <c r="C31" s="6" t="s">
        <v>196</v>
      </c>
      <c r="G31" s="258">
        <v>20</v>
      </c>
      <c r="H31" s="61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259">
        <v>46203</v>
      </c>
      <c r="H33" s="61" t="s">
        <v>64</v>
      </c>
      <c r="J33" s="61"/>
    </row>
    <row r="34" spans="1:20" s="1" customFormat="1" x14ac:dyDescent="0.2">
      <c r="C34" s="1" t="s">
        <v>71</v>
      </c>
      <c r="G34" s="275">
        <v>45107</v>
      </c>
      <c r="H34" s="61" t="s">
        <v>72</v>
      </c>
      <c r="J34" s="61"/>
    </row>
    <row r="35" spans="1:20" s="1" customFormat="1" ht="13.5" x14ac:dyDescent="0.25">
      <c r="C35" s="1" t="s">
        <v>240</v>
      </c>
      <c r="G35" s="257">
        <v>45107</v>
      </c>
      <c r="H35" s="61"/>
      <c r="J35" s="61"/>
    </row>
    <row r="39" spans="1:20" s="1" customFormat="1" ht="15" x14ac:dyDescent="0.2">
      <c r="A39" s="16" t="s">
        <v>8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5"/>
      <c r="O39" s="15"/>
      <c r="P39" s="15"/>
    </row>
    <row r="40" spans="1:20" s="1" customFormat="1" x14ac:dyDescent="0.2">
      <c r="M40" s="10"/>
      <c r="N40" s="10"/>
      <c r="O40" s="10"/>
      <c r="P40" s="10"/>
    </row>
    <row r="41" spans="1:20" s="108" customFormat="1" x14ac:dyDescent="0.2">
      <c r="A41" s="107"/>
      <c r="B41" s="107"/>
      <c r="C41" s="1" t="s">
        <v>245</v>
      </c>
      <c r="D41" s="214" t="s">
        <v>246</v>
      </c>
      <c r="E41" s="278" t="s">
        <v>248</v>
      </c>
      <c r="F41" s="279"/>
      <c r="G41" s="280" t="s">
        <v>139</v>
      </c>
      <c r="H41" s="111">
        <v>39317.709531096138</v>
      </c>
      <c r="I41" s="281" t="s">
        <v>215</v>
      </c>
      <c r="J41" s="107"/>
      <c r="M41" s="107"/>
      <c r="N41" s="107"/>
      <c r="O41" s="107"/>
      <c r="P41" s="107"/>
      <c r="Q41" s="107"/>
      <c r="R41" s="107"/>
      <c r="S41" s="107"/>
      <c r="T41" s="107"/>
    </row>
    <row r="42" spans="1:20" s="10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07"/>
      <c r="N42" s="107"/>
      <c r="O42" s="107"/>
      <c r="P42" s="107"/>
      <c r="Q42" s="107"/>
      <c r="R42" s="107"/>
      <c r="S42" s="107"/>
      <c r="T42" s="107"/>
    </row>
    <row r="43" spans="1:20" s="10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07"/>
      <c r="N43" s="107"/>
      <c r="O43" s="107"/>
      <c r="P43" s="107"/>
      <c r="Q43" s="107"/>
      <c r="R43" s="107"/>
      <c r="S43" s="107"/>
      <c r="T43" s="107"/>
    </row>
    <row r="45" spans="1:20" ht="15" x14ac:dyDescent="0.2">
      <c r="A45" s="16" t="s">
        <v>149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5"/>
      <c r="N45" s="15"/>
      <c r="O45" s="15"/>
      <c r="P45" s="15"/>
    </row>
    <row r="48" spans="1:20" x14ac:dyDescent="0.2">
      <c r="B48" s="27" t="s">
        <v>174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50" spans="3:8" x14ac:dyDescent="0.2">
      <c r="C50" s="6" t="s">
        <v>148</v>
      </c>
      <c r="G50" s="260">
        <v>5400000</v>
      </c>
      <c r="H50" s="62">
        <v>45107</v>
      </c>
    </row>
    <row r="52" spans="3:8" x14ac:dyDescent="0.2">
      <c r="C52" s="6" t="s">
        <v>165</v>
      </c>
      <c r="G52" s="133">
        <v>0</v>
      </c>
      <c r="H52" s="62">
        <f>input_dollars</f>
        <v>45291</v>
      </c>
    </row>
    <row r="54" spans="3:8" x14ac:dyDescent="0.2">
      <c r="C54" s="12" t="str">
        <f>Data!A83</f>
        <v>Disproportionate factors applied to various bushfire and other risk valuations</v>
      </c>
    </row>
    <row r="55" spans="3:8" x14ac:dyDescent="0.2">
      <c r="C55" s="6" t="str">
        <f>Data!B85</f>
        <v>Harm to property from network</v>
      </c>
      <c r="G55" s="258">
        <f>Data!F85</f>
        <v>1</v>
      </c>
    </row>
    <row r="56" spans="3:8" x14ac:dyDescent="0.2">
      <c r="C56" s="6" t="str">
        <f>Data!B86</f>
        <v>Harm to property from bushfire</v>
      </c>
      <c r="G56" s="258">
        <f>Data!F86</f>
        <v>1</v>
      </c>
    </row>
    <row r="57" spans="3:8" x14ac:dyDescent="0.2">
      <c r="C57" s="6" t="str">
        <f>Data!B87</f>
        <v>Harm to environment</v>
      </c>
      <c r="G57" s="258">
        <f>Data!F87</f>
        <v>1</v>
      </c>
    </row>
    <row r="58" spans="3:8" x14ac:dyDescent="0.2">
      <c r="C58" s="6" t="str">
        <f>Data!B88</f>
        <v>Safety - Public trespass</v>
      </c>
      <c r="G58" s="258">
        <f>Data!F88</f>
        <v>1</v>
      </c>
    </row>
    <row r="59" spans="3:8" x14ac:dyDescent="0.2">
      <c r="C59" s="6" t="str">
        <f>Data!B89</f>
        <v>Safety - Single fatality or serious injury ^</v>
      </c>
      <c r="G59" s="258">
        <f>Data!F89</f>
        <v>3</v>
      </c>
    </row>
    <row r="60" spans="3:8" x14ac:dyDescent="0.2">
      <c r="C60" s="6" t="str">
        <f>Data!B90</f>
        <v>Safety from bushfire in HBRA</v>
      </c>
      <c r="G60" s="258">
        <f>Data!F90</f>
        <v>3</v>
      </c>
    </row>
    <row r="61" spans="3:8" x14ac:dyDescent="0.2">
      <c r="C61" s="6" t="str">
        <f>Data!B91</f>
        <v>Safety - Multiple fatality or serious injury ^</v>
      </c>
      <c r="G61" s="258">
        <f>Data!F91</f>
        <v>6</v>
      </c>
    </row>
    <row r="62" spans="3:8" x14ac:dyDescent="0.2">
      <c r="C62" s="6" t="str">
        <f>Data!B92</f>
        <v>Safety from bushfire (REFCL declared areas)</v>
      </c>
      <c r="G62" s="258">
        <f>Data!F92</f>
        <v>6</v>
      </c>
    </row>
    <row r="63" spans="3:8" x14ac:dyDescent="0.2">
      <c r="C63" s="6" t="str">
        <f>Data!B93</f>
        <v>Safety from bushfire (electric line construction areas)</v>
      </c>
      <c r="G63" s="258">
        <f>Data!F93</f>
        <v>10</v>
      </c>
    </row>
    <row r="64" spans="3:8" x14ac:dyDescent="0.2">
      <c r="E64"/>
      <c r="F64"/>
      <c r="G64"/>
      <c r="H64"/>
    </row>
    <row r="66" spans="2:16" x14ac:dyDescent="0.2">
      <c r="C66" s="72" t="s">
        <v>113</v>
      </c>
    </row>
    <row r="69" spans="2:16" x14ac:dyDescent="0.2">
      <c r="C69" s="47" t="s">
        <v>181</v>
      </c>
      <c r="D69" s="53"/>
      <c r="E69" s="53"/>
      <c r="F69" s="53"/>
      <c r="G69" s="136" t="s">
        <v>68</v>
      </c>
      <c r="H69" s="136" t="s">
        <v>166</v>
      </c>
      <c r="I69" s="136" t="s">
        <v>180</v>
      </c>
      <c r="J69" s="135" t="s">
        <v>184</v>
      </c>
      <c r="K69" s="136"/>
      <c r="L69" s="136"/>
      <c r="M69" s="136"/>
    </row>
    <row r="70" spans="2:16" x14ac:dyDescent="0.2">
      <c r="C70" s="6" t="s">
        <v>167</v>
      </c>
      <c r="G70" s="101">
        <f>G50*INDEX(hy_escalation, MATCH(input_dollars,hy_dates,0))/INDEX(hy_escalation, MATCH(H50,hy_dates,0))</f>
        <v>5607473.5197347086</v>
      </c>
      <c r="H70" s="141">
        <v>0</v>
      </c>
      <c r="I70" s="142">
        <v>0</v>
      </c>
      <c r="J70" s="288">
        <v>0</v>
      </c>
      <c r="K70" s="289"/>
      <c r="L70" s="289"/>
      <c r="M70" s="290"/>
    </row>
    <row r="71" spans="2:16" x14ac:dyDescent="0.2">
      <c r="C71" s="6" t="s">
        <v>168</v>
      </c>
      <c r="G71" s="101">
        <f>G52*INDEX(hy_escalation, MATCH(input_dollars,hy_dates,0))/INDEX(hy_escalation, MATCH(H52,hy_dates,0))</f>
        <v>0</v>
      </c>
      <c r="H71" s="140">
        <v>0</v>
      </c>
      <c r="I71" s="142">
        <v>0</v>
      </c>
      <c r="J71" s="288">
        <v>0</v>
      </c>
      <c r="K71" s="289"/>
      <c r="L71" s="289"/>
      <c r="M71" s="290"/>
    </row>
    <row r="72" spans="2:16" x14ac:dyDescent="0.2">
      <c r="I72" s="139"/>
      <c r="M72"/>
    </row>
    <row r="73" spans="2:16" x14ac:dyDescent="0.2">
      <c r="G73" s="143"/>
    </row>
    <row r="74" spans="2:16" x14ac:dyDescent="0.2">
      <c r="C74" s="72"/>
    </row>
    <row r="77" spans="2:16" x14ac:dyDescent="0.2">
      <c r="B77" s="27" t="s">
        <v>175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2:16" x14ac:dyDescent="0.2">
      <c r="C78" s="6" t="s">
        <v>169</v>
      </c>
      <c r="G78" s="133">
        <v>0</v>
      </c>
      <c r="H78" s="62">
        <f>input_dollars</f>
        <v>45291</v>
      </c>
    </row>
    <row r="79" spans="2:16" x14ac:dyDescent="0.2">
      <c r="C79" s="6" t="s">
        <v>170</v>
      </c>
      <c r="G79" s="133">
        <v>0</v>
      </c>
      <c r="H79" s="62">
        <f>input_dollars</f>
        <v>45291</v>
      </c>
    </row>
    <row r="81" spans="1:16" x14ac:dyDescent="0.2">
      <c r="C81" s="6" t="s">
        <v>171</v>
      </c>
      <c r="G81" s="137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6" t="s">
        <v>55</v>
      </c>
      <c r="B87" s="16"/>
      <c r="C87" s="14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5"/>
      <c r="O87" s="15"/>
      <c r="P87" s="15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27" t="s">
        <v>176</v>
      </c>
      <c r="C89" s="27"/>
      <c r="D89" s="27"/>
      <c r="E89" s="27"/>
      <c r="F89" s="27"/>
      <c r="G89" s="27"/>
      <c r="H89" s="47"/>
      <c r="I89" s="47"/>
      <c r="J89" s="47"/>
      <c r="K89" s="63" t="s">
        <v>19</v>
      </c>
      <c r="L89" s="63" t="s">
        <v>21</v>
      </c>
      <c r="M89" s="63" t="s">
        <v>20</v>
      </c>
      <c r="N89" s="63" t="s">
        <v>22</v>
      </c>
      <c r="O89" s="63" t="s">
        <v>93</v>
      </c>
      <c r="P89" s="63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1"/>
      <c r="H90" s="62">
        <f>G35</f>
        <v>45107</v>
      </c>
      <c r="I90" s="64" t="s">
        <v>62</v>
      </c>
      <c r="J90" s="64"/>
      <c r="K90" s="261">
        <v>2.4730486797759084E-2</v>
      </c>
      <c r="L90" s="261">
        <v>2.2340740091772258E-2</v>
      </c>
      <c r="M90" s="261">
        <v>2.0196329122153123E-2</v>
      </c>
      <c r="N90" s="261">
        <v>1.806294207659629E-2</v>
      </c>
      <c r="O90" s="261">
        <v>1.5913397615084226E-2</v>
      </c>
      <c r="P90" s="261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27" t="s">
        <v>177</v>
      </c>
      <c r="C93" s="27"/>
      <c r="D93" s="27"/>
      <c r="E93" s="27"/>
      <c r="F93" s="27"/>
      <c r="G93" s="63" t="s">
        <v>68</v>
      </c>
      <c r="H93" s="27"/>
      <c r="I93" s="27"/>
      <c r="J93" s="3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260">
        <v>151432.81740793545</v>
      </c>
      <c r="H94" s="62">
        <f t="shared" ref="H94:H101" si="0">custval_date</f>
        <v>45107</v>
      </c>
      <c r="I94" s="64" t="s">
        <v>53</v>
      </c>
      <c r="J94" s="64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260">
        <v>24590</v>
      </c>
      <c r="H95" s="62">
        <f t="shared" si="0"/>
        <v>45107</v>
      </c>
      <c r="I95" s="64" t="s">
        <v>53</v>
      </c>
      <c r="J95" s="64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260">
        <v>88.357719508603083</v>
      </c>
      <c r="H96" s="62">
        <f t="shared" si="0"/>
        <v>45107</v>
      </c>
      <c r="I96" s="64" t="s">
        <v>53</v>
      </c>
      <c r="J96" s="64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261">
        <v>0</v>
      </c>
      <c r="H97" s="62">
        <f t="shared" si="0"/>
        <v>45107</v>
      </c>
      <c r="I97" s="64" t="s">
        <v>78</v>
      </c>
      <c r="J97" s="64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261">
        <v>0.35181336539087127</v>
      </c>
      <c r="H98" s="62">
        <f t="shared" si="0"/>
        <v>45107</v>
      </c>
      <c r="I98" s="64" t="s">
        <v>79</v>
      </c>
      <c r="J98" s="64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261">
        <v>0.35181336539087127</v>
      </c>
      <c r="H99" s="62">
        <f t="shared" si="0"/>
        <v>45107</v>
      </c>
      <c r="I99" s="64" t="s">
        <v>79</v>
      </c>
      <c r="J99" s="64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261">
        <v>0</v>
      </c>
      <c r="H100" s="62">
        <f t="shared" si="0"/>
        <v>45107</v>
      </c>
      <c r="I100" s="64" t="s">
        <v>78</v>
      </c>
      <c r="J100" s="64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261">
        <v>0</v>
      </c>
      <c r="H101" s="62">
        <f t="shared" si="0"/>
        <v>45107</v>
      </c>
      <c r="I101" s="64" t="s">
        <v>78</v>
      </c>
      <c r="J101" s="64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6" t="s">
        <v>217</v>
      </c>
      <c r="B106" s="16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5"/>
      <c r="O106" s="15"/>
      <c r="P106" s="15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1"/>
      <c r="B110" s="148"/>
      <c r="C110" s="148"/>
      <c r="D110" s="53"/>
      <c r="E110" s="253"/>
      <c r="F110" s="148"/>
      <c r="G110" s="148" t="s">
        <v>17</v>
      </c>
      <c r="H110" s="14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6">
        <v>1</v>
      </c>
      <c r="C111" s="6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32"/>
      <c r="G111" s="262">
        <v>0.1</v>
      </c>
      <c r="H111" s="262">
        <v>0</v>
      </c>
      <c r="I111" s="227"/>
      <c r="J111"/>
      <c r="K111"/>
      <c r="L111"/>
      <c r="M111"/>
      <c r="N111"/>
      <c r="O111"/>
      <c r="P111"/>
    </row>
    <row r="112" spans="1:16" x14ac:dyDescent="0.2">
      <c r="B112" s="6">
        <v>2</v>
      </c>
      <c r="C112" s="6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32"/>
      <c r="G112" s="262">
        <v>-0.1</v>
      </c>
      <c r="H112" s="262">
        <v>0</v>
      </c>
      <c r="I112" s="227"/>
      <c r="J112"/>
      <c r="K112"/>
      <c r="L112"/>
      <c r="M112"/>
      <c r="N112"/>
      <c r="O112"/>
      <c r="P112"/>
    </row>
    <row r="113" spans="2:16" x14ac:dyDescent="0.2">
      <c r="B113" s="6">
        <v>3</v>
      </c>
      <c r="C113" s="6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32"/>
      <c r="G113" s="263">
        <v>0</v>
      </c>
      <c r="H113" s="262">
        <v>0.1</v>
      </c>
      <c r="I113" s="227"/>
      <c r="J113"/>
      <c r="K113"/>
      <c r="L113"/>
      <c r="M113"/>
      <c r="N113"/>
      <c r="O113"/>
      <c r="P113"/>
    </row>
    <row r="114" spans="2:16" x14ac:dyDescent="0.2">
      <c r="B114" s="6">
        <v>4</v>
      </c>
      <c r="C114" s="6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32"/>
      <c r="G114" s="263">
        <v>0</v>
      </c>
      <c r="H114" s="262">
        <v>-0.1</v>
      </c>
      <c r="I114" s="227"/>
      <c r="J114"/>
      <c r="K114"/>
      <c r="L114"/>
      <c r="M114"/>
      <c r="N114"/>
      <c r="O114"/>
      <c r="P114"/>
    </row>
    <row r="115" spans="2:16" x14ac:dyDescent="0.2">
      <c r="B115" s="6">
        <v>5</v>
      </c>
      <c r="C115" s="6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32"/>
      <c r="G115" s="262">
        <v>0.1</v>
      </c>
      <c r="H115" s="262">
        <v>-0.1</v>
      </c>
      <c r="I115" s="227"/>
      <c r="J115"/>
      <c r="K115"/>
      <c r="L115"/>
      <c r="M115"/>
      <c r="N115"/>
      <c r="O115"/>
      <c r="P115"/>
    </row>
    <row r="116" spans="2:16" x14ac:dyDescent="0.2">
      <c r="E116" s="232"/>
      <c r="H116"/>
      <c r="I116"/>
      <c r="J116"/>
      <c r="K116"/>
      <c r="L116"/>
      <c r="M116"/>
      <c r="N116"/>
      <c r="O116"/>
      <c r="P116"/>
    </row>
    <row r="117" spans="2:16" x14ac:dyDescent="0.2">
      <c r="E117" s="226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Melton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142</v>
      </c>
      <c r="B3" s="5"/>
      <c r="C3" s="114"/>
      <c r="D3" s="82"/>
    </row>
    <row r="4" spans="1:43" x14ac:dyDescent="0.2">
      <c r="A4" s="144"/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">
        <v>92</v>
      </c>
      <c r="B6" s="86"/>
      <c r="C6" s="87"/>
      <c r="D6" s="86"/>
      <c r="E6" s="88"/>
      <c r="F6" s="88"/>
      <c r="G6" s="88"/>
      <c r="H6" s="130">
        <v>0</v>
      </c>
      <c r="I6" s="89">
        <f t="shared" ref="I6:AG6" si="0">H6+1</f>
        <v>1</v>
      </c>
      <c r="J6" s="89">
        <f t="shared" si="0"/>
        <v>2</v>
      </c>
      <c r="K6" s="89">
        <f t="shared" si="0"/>
        <v>3</v>
      </c>
      <c r="L6" s="89">
        <f t="shared" si="0"/>
        <v>4</v>
      </c>
      <c r="M6" s="89">
        <f t="shared" si="0"/>
        <v>5</v>
      </c>
      <c r="N6" s="89">
        <f t="shared" si="0"/>
        <v>6</v>
      </c>
      <c r="O6" s="89">
        <f t="shared" si="0"/>
        <v>7</v>
      </c>
      <c r="P6" s="89">
        <f t="shared" si="0"/>
        <v>8</v>
      </c>
      <c r="Q6" s="89">
        <f t="shared" si="0"/>
        <v>9</v>
      </c>
      <c r="R6" s="89">
        <f t="shared" si="0"/>
        <v>10</v>
      </c>
      <c r="S6" s="89">
        <f t="shared" si="0"/>
        <v>11</v>
      </c>
      <c r="T6" s="89">
        <f t="shared" si="0"/>
        <v>12</v>
      </c>
      <c r="U6" s="89">
        <f t="shared" si="0"/>
        <v>13</v>
      </c>
      <c r="V6" s="89">
        <f t="shared" si="0"/>
        <v>14</v>
      </c>
      <c r="W6" s="89">
        <f t="shared" si="0"/>
        <v>15</v>
      </c>
      <c r="X6" s="89">
        <f t="shared" si="0"/>
        <v>16</v>
      </c>
      <c r="Y6" s="89">
        <f t="shared" si="0"/>
        <v>17</v>
      </c>
      <c r="Z6" s="89">
        <f t="shared" si="0"/>
        <v>18</v>
      </c>
      <c r="AA6" s="89">
        <f t="shared" si="0"/>
        <v>19</v>
      </c>
      <c r="AB6" s="89">
        <f t="shared" si="0"/>
        <v>20</v>
      </c>
      <c r="AC6" s="89">
        <f t="shared" si="0"/>
        <v>21</v>
      </c>
      <c r="AD6" s="89">
        <f t="shared" si="0"/>
        <v>22</v>
      </c>
      <c r="AE6" s="89">
        <f t="shared" si="0"/>
        <v>23</v>
      </c>
      <c r="AF6" s="89">
        <f t="shared" si="0"/>
        <v>24</v>
      </c>
      <c r="AG6" s="89">
        <f t="shared" si="0"/>
        <v>25</v>
      </c>
    </row>
    <row r="7" spans="1:43" hidden="1" outlineLevel="1" x14ac:dyDescent="0.2">
      <c r="A7" s="86" t="s">
        <v>127</v>
      </c>
      <c r="B7" s="86"/>
      <c r="G7" s="138" t="s">
        <v>63</v>
      </c>
      <c r="I7" s="87">
        <f>IF(ISBLANK(Assumptions!K90), H7,Assumptions!K90*thous_conv)</f>
        <v>24.730486797759085</v>
      </c>
      <c r="J7" s="87">
        <f>IF(ISBLANK(Assumptions!L90), I7,Assumptions!L90*thous_conv)</f>
        <v>22.340740091772258</v>
      </c>
      <c r="K7" s="87">
        <f>IF(ISBLANK(Assumptions!M90), J7,Assumptions!M90*thous_conv)</f>
        <v>20.196329122153124</v>
      </c>
      <c r="L7" s="87">
        <f>IF(ISBLANK(Assumptions!N90), K7,Assumptions!N90*thous_conv)</f>
        <v>18.06294207659629</v>
      </c>
      <c r="M7" s="87">
        <f>IF(ISBLANK(Assumptions!O90), L7,Assumptions!O90*thous_conv)</f>
        <v>15.913397615084225</v>
      </c>
      <c r="N7" s="87">
        <f>IF(ISBLANK(Assumptions!P90), M7,Assumptions!P90*thous_conv)</f>
        <v>13.715069432539002</v>
      </c>
      <c r="O7" s="87">
        <f>IF(ISBLANK(Assumptions!Q90), N7,Assumptions!Q90*thous_conv)</f>
        <v>13.715069432539002</v>
      </c>
      <c r="P7" s="87">
        <f>IF(ISBLANK(Assumptions!R90), O7,Assumptions!R90*thous_conv)</f>
        <v>13.715069432539002</v>
      </c>
      <c r="Q7" s="87">
        <f>IF(ISBLANK(Assumptions!S90), P7,Assumptions!S90*thous_conv)</f>
        <v>13.715069432539002</v>
      </c>
      <c r="R7" s="87">
        <f>IF(ISBLANK(Assumptions!T90), Q7,Assumptions!T90*thous_conv)</f>
        <v>13.715069432539002</v>
      </c>
      <c r="S7" s="87">
        <f>IF(ISBLANK(Assumptions!U90), R7,Assumptions!U90*thous_conv)</f>
        <v>13.715069432539002</v>
      </c>
      <c r="T7" s="87">
        <f>IF(ISBLANK(Assumptions!V90), S7,Assumptions!V90*thous_conv)</f>
        <v>13.715069432539002</v>
      </c>
      <c r="U7" s="87">
        <f>IF(ISBLANK(Assumptions!W90), T7,Assumptions!W90*thous_conv)</f>
        <v>13.715069432539002</v>
      </c>
      <c r="V7" s="87">
        <f>IF(ISBLANK(Assumptions!X90), U7,Assumptions!X90*thous_conv)</f>
        <v>13.715069432539002</v>
      </c>
      <c r="W7" s="87">
        <f>IF(ISBLANK(Assumptions!Y90), V7,Assumptions!Y90*thous_conv)</f>
        <v>13.715069432539002</v>
      </c>
      <c r="X7" s="87">
        <f>IF(ISBLANK(Assumptions!Z90), W7,Assumptions!Z90*thous_conv)</f>
        <v>13.715069432539002</v>
      </c>
      <c r="Y7" s="87">
        <f>IF(ISBLANK(Assumptions!AA90), X7,Assumptions!AA90*thous_conv)</f>
        <v>13.715069432539002</v>
      </c>
      <c r="Z7" s="87">
        <f>IF(ISBLANK(Assumptions!AB90), Y7,Assumptions!AB90*thous_conv)</f>
        <v>13.715069432539002</v>
      </c>
      <c r="AA7" s="87">
        <f>IF(ISBLANK(Assumptions!AC90), Z7,Assumptions!AC90*thous_conv)</f>
        <v>13.715069432539002</v>
      </c>
      <c r="AB7" s="87">
        <f>IF(ISBLANK(Assumptions!AD90), AA7,Assumptions!AD90*thous_conv)</f>
        <v>13.715069432539002</v>
      </c>
      <c r="AC7" s="87">
        <f>IF(ISBLANK(Assumptions!AE90), AB7,Assumptions!AE90*thous_conv)</f>
        <v>13.715069432539002</v>
      </c>
      <c r="AD7" s="87">
        <f>IF(ISBLANK(Assumptions!AF90), AC7,Assumptions!AF90*thous_conv)</f>
        <v>13.715069432539002</v>
      </c>
      <c r="AE7" s="87">
        <f>IF(ISBLANK(Assumptions!AG90), AD7,Assumptions!AG90*thous_conv)</f>
        <v>13.715069432539002</v>
      </c>
      <c r="AF7" s="87">
        <f>IF(ISBLANK(Assumptions!AH90), AE7,Assumptions!AH90*thous_conv)</f>
        <v>13.715069432539002</v>
      </c>
      <c r="AG7" s="87">
        <f>IF(ISBLANK(Assumptions!AI90), AF7,Assumptions!AI90*thous_conv)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57"/>
      <c r="B9" s="157"/>
      <c r="C9" s="157"/>
      <c r="D9" s="157"/>
      <c r="E9" s="157"/>
      <c r="F9" s="158"/>
      <c r="G9" s="157" t="s">
        <v>25</v>
      </c>
      <c r="H9" s="274">
        <f>DATE(LEFT(I9,4), 6,30)</f>
        <v>46203</v>
      </c>
      <c r="I9" s="159" t="str">
        <f>start</f>
        <v>2026-27</v>
      </c>
      <c r="J9" s="159" t="str">
        <f t="shared" ref="J9:AG9" si="1">LEFT(I9,4)+1&amp;"-"&amp;RIGHT(I9,2)+1</f>
        <v>2027-28</v>
      </c>
      <c r="K9" s="159" t="str">
        <f t="shared" si="1"/>
        <v>2028-29</v>
      </c>
      <c r="L9" s="159" t="str">
        <f t="shared" si="1"/>
        <v>2029-30</v>
      </c>
      <c r="M9" s="159" t="str">
        <f t="shared" si="1"/>
        <v>2030-31</v>
      </c>
      <c r="N9" s="159" t="str">
        <f t="shared" si="1"/>
        <v>2031-32</v>
      </c>
      <c r="O9" s="159" t="str">
        <f t="shared" si="1"/>
        <v>2032-33</v>
      </c>
      <c r="P9" s="159" t="str">
        <f t="shared" si="1"/>
        <v>2033-34</v>
      </c>
      <c r="Q9" s="159" t="str">
        <f t="shared" si="1"/>
        <v>2034-35</v>
      </c>
      <c r="R9" s="159" t="str">
        <f t="shared" si="1"/>
        <v>2035-36</v>
      </c>
      <c r="S9" s="159" t="str">
        <f t="shared" si="1"/>
        <v>2036-37</v>
      </c>
      <c r="T9" s="159" t="str">
        <f t="shared" si="1"/>
        <v>2037-38</v>
      </c>
      <c r="U9" s="159" t="str">
        <f t="shared" si="1"/>
        <v>2038-39</v>
      </c>
      <c r="V9" s="159" t="str">
        <f t="shared" si="1"/>
        <v>2039-40</v>
      </c>
      <c r="W9" s="159" t="str">
        <f t="shared" si="1"/>
        <v>2040-41</v>
      </c>
      <c r="X9" s="159" t="str">
        <f t="shared" si="1"/>
        <v>2041-42</v>
      </c>
      <c r="Y9" s="159" t="str">
        <f t="shared" si="1"/>
        <v>2042-43</v>
      </c>
      <c r="Z9" s="159" t="str">
        <f t="shared" si="1"/>
        <v>2043-44</v>
      </c>
      <c r="AA9" s="159" t="str">
        <f t="shared" si="1"/>
        <v>2044-45</v>
      </c>
      <c r="AB9" s="159" t="str">
        <f t="shared" si="1"/>
        <v>2045-46</v>
      </c>
      <c r="AC9" s="159" t="str">
        <f t="shared" si="1"/>
        <v>2046-47</v>
      </c>
      <c r="AD9" s="159" t="str">
        <f t="shared" si="1"/>
        <v>2047-48</v>
      </c>
      <c r="AE9" s="159" t="str">
        <f t="shared" si="1"/>
        <v>2048-49</v>
      </c>
      <c r="AF9" s="159" t="str">
        <f t="shared" si="1"/>
        <v>2049-50</v>
      </c>
      <c r="AG9" s="159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Assumptions!E14</f>
        <v>No change to existing practices</v>
      </c>
      <c r="D14"/>
      <c r="E14" s="127">
        <v>0</v>
      </c>
      <c r="G14" s="182">
        <f>input_dollars</f>
        <v>45291</v>
      </c>
      <c r="H14" s="2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AB17" si="2">SUM(I14:I16)</f>
        <v>0</v>
      </c>
      <c r="J17" s="94">
        <f t="shared" si="2"/>
        <v>0</v>
      </c>
      <c r="K17" s="94">
        <f t="shared" si="2"/>
        <v>0</v>
      </c>
      <c r="L17" s="94">
        <f t="shared" si="2"/>
        <v>0</v>
      </c>
      <c r="M17" s="94">
        <f t="shared" si="2"/>
        <v>0</v>
      </c>
      <c r="N17" s="94">
        <f t="shared" si="2"/>
        <v>0</v>
      </c>
      <c r="O17" s="94">
        <f t="shared" si="2"/>
        <v>0</v>
      </c>
      <c r="P17" s="94">
        <f t="shared" si="2"/>
        <v>0</v>
      </c>
      <c r="Q17" s="94">
        <f t="shared" si="2"/>
        <v>0</v>
      </c>
      <c r="R17" s="94">
        <f t="shared" si="2"/>
        <v>0</v>
      </c>
      <c r="S17" s="94">
        <f t="shared" si="2"/>
        <v>0</v>
      </c>
      <c r="T17" s="94">
        <f t="shared" si="2"/>
        <v>0</v>
      </c>
      <c r="U17" s="94">
        <f t="shared" si="2"/>
        <v>0</v>
      </c>
      <c r="V17" s="94">
        <f t="shared" si="2"/>
        <v>0</v>
      </c>
      <c r="W17" s="94">
        <f t="shared" si="2"/>
        <v>0</v>
      </c>
      <c r="X17" s="94">
        <f t="shared" si="2"/>
        <v>0</v>
      </c>
      <c r="Y17" s="94">
        <f t="shared" si="2"/>
        <v>0</v>
      </c>
      <c r="Z17" s="94">
        <f t="shared" si="2"/>
        <v>0</v>
      </c>
      <c r="AA17" s="94">
        <f t="shared" si="2"/>
        <v>0</v>
      </c>
      <c r="AB17" s="94">
        <f t="shared" si="2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1.2870406074766447E-2</v>
      </c>
      <c r="K27" s="145">
        <v>0.19298095495327017</v>
      </c>
      <c r="L27" s="145">
        <v>0.48502307621920449</v>
      </c>
      <c r="M27" s="145">
        <v>1.0866840459937461</v>
      </c>
      <c r="N27" s="145">
        <v>2.69546533533748</v>
      </c>
      <c r="O27" s="145">
        <v>5.6369246688036663</v>
      </c>
      <c r="P27" s="145">
        <v>9.2243086411412634</v>
      </c>
      <c r="Q27" s="145">
        <v>9.2243086411412634</v>
      </c>
      <c r="R27" s="145">
        <v>9.2243086411412634</v>
      </c>
      <c r="S27" s="145">
        <v>9.2243086411412634</v>
      </c>
      <c r="T27" s="145">
        <v>9.2243086411412634</v>
      </c>
      <c r="U27" s="145">
        <v>9.2243086411412634</v>
      </c>
      <c r="V27" s="145">
        <v>9.2243086411412634</v>
      </c>
      <c r="W27" s="145">
        <v>9.2243086411412634</v>
      </c>
      <c r="X27" s="145">
        <v>9.2243086411412634</v>
      </c>
      <c r="Y27" s="145">
        <v>9.2243086411412634</v>
      </c>
      <c r="Z27" s="145">
        <v>9.2243086411412634</v>
      </c>
      <c r="AA27" s="145">
        <v>9.2243086411412634</v>
      </c>
      <c r="AB27" s="145">
        <v>9.2243086411412634</v>
      </c>
      <c r="AC27" s="145">
        <v>9.2243086411412634</v>
      </c>
      <c r="AD27" s="145">
        <v>9.2243086411412634</v>
      </c>
      <c r="AE27" s="145">
        <v>9.2243086411412634</v>
      </c>
      <c r="AF27" s="145">
        <v>9.2243086411412634</v>
      </c>
      <c r="AG27" s="145">
        <v>9.2243086411412634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39317.709531096138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3">J27*$E$28</f>
        <v>506.0348875949224</v>
      </c>
      <c r="K28" s="28">
        <f t="shared" si="3"/>
        <v>7587.5691318862246</v>
      </c>
      <c r="L28" s="28">
        <f t="shared" si="3"/>
        <v>19069.996426665384</v>
      </c>
      <c r="M28" s="28">
        <f t="shared" si="3"/>
        <v>42725.927672458427</v>
      </c>
      <c r="N28" s="28">
        <f t="shared" si="3"/>
        <v>105979.52310593768</v>
      </c>
      <c r="O28" s="28">
        <f t="shared" si="3"/>
        <v>221630.96677669286</v>
      </c>
      <c r="P28" s="28">
        <f t="shared" si="3"/>
        <v>362678.68777757231</v>
      </c>
      <c r="Q28" s="28">
        <f t="shared" si="3"/>
        <v>362678.68777757231</v>
      </c>
      <c r="R28" s="28">
        <f t="shared" si="3"/>
        <v>362678.68777757231</v>
      </c>
      <c r="S28" s="28">
        <f t="shared" si="3"/>
        <v>362678.68777757231</v>
      </c>
      <c r="T28" s="28">
        <f t="shared" si="3"/>
        <v>362678.68777757231</v>
      </c>
      <c r="U28" s="28">
        <f t="shared" si="3"/>
        <v>362678.68777757231</v>
      </c>
      <c r="V28" s="28">
        <f t="shared" si="3"/>
        <v>362678.68777757231</v>
      </c>
      <c r="W28" s="28">
        <f t="shared" si="3"/>
        <v>362678.68777757231</v>
      </c>
      <c r="X28" s="28">
        <f t="shared" si="3"/>
        <v>362678.68777757231</v>
      </c>
      <c r="Y28" s="28">
        <f t="shared" si="3"/>
        <v>362678.68777757231</v>
      </c>
      <c r="Z28" s="28">
        <f t="shared" si="3"/>
        <v>362678.68777757231</v>
      </c>
      <c r="AA28" s="28">
        <f t="shared" si="3"/>
        <v>362678.68777757231</v>
      </c>
      <c r="AB28" s="28">
        <f t="shared" si="3"/>
        <v>362678.68777757231</v>
      </c>
      <c r="AC28" s="28">
        <f t="shared" si="3"/>
        <v>362678.68777757231</v>
      </c>
      <c r="AD28" s="28">
        <f t="shared" si="3"/>
        <v>362678.68777757231</v>
      </c>
      <c r="AE28" s="28">
        <f t="shared" si="3"/>
        <v>362678.68777757231</v>
      </c>
      <c r="AF28" s="28">
        <f t="shared" si="3"/>
        <v>362678.68777757231</v>
      </c>
      <c r="AG28" s="28">
        <f t="shared" si="3"/>
        <v>362678.68777757231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94">
        <f>SUM(I28:I34)</f>
        <v>0</v>
      </c>
      <c r="J36" s="94">
        <f t="shared" ref="J36:AB36" si="4">SUM(J28:J34)</f>
        <v>506.0348875949224</v>
      </c>
      <c r="K36" s="94">
        <f t="shared" si="4"/>
        <v>7587.5691318862246</v>
      </c>
      <c r="L36" s="94">
        <f t="shared" si="4"/>
        <v>19069.996426665384</v>
      </c>
      <c r="M36" s="94">
        <f t="shared" si="4"/>
        <v>42725.927672458427</v>
      </c>
      <c r="N36" s="94">
        <f t="shared" si="4"/>
        <v>105979.52310593768</v>
      </c>
      <c r="O36" s="94">
        <f t="shared" si="4"/>
        <v>221630.96677669286</v>
      </c>
      <c r="P36" s="94">
        <f t="shared" si="4"/>
        <v>362678.68777757231</v>
      </c>
      <c r="Q36" s="94">
        <f t="shared" si="4"/>
        <v>362678.68777757231</v>
      </c>
      <c r="R36" s="94">
        <f t="shared" si="4"/>
        <v>362678.68777757231</v>
      </c>
      <c r="S36" s="94">
        <f t="shared" si="4"/>
        <v>362678.68777757231</v>
      </c>
      <c r="T36" s="94">
        <f t="shared" si="4"/>
        <v>362678.68777757231</v>
      </c>
      <c r="U36" s="94">
        <f t="shared" si="4"/>
        <v>362678.68777757231</v>
      </c>
      <c r="V36" s="94">
        <f t="shared" si="4"/>
        <v>362678.68777757231</v>
      </c>
      <c r="W36" s="94">
        <f t="shared" si="4"/>
        <v>362678.68777757231</v>
      </c>
      <c r="X36" s="94">
        <f t="shared" si="4"/>
        <v>362678.68777757231</v>
      </c>
      <c r="Y36" s="94">
        <f t="shared" si="4"/>
        <v>362678.68777757231</v>
      </c>
      <c r="Z36" s="94">
        <f t="shared" si="4"/>
        <v>362678.68777757231</v>
      </c>
      <c r="AA36" s="94">
        <f t="shared" si="4"/>
        <v>362678.68777757231</v>
      </c>
      <c r="AB36" s="94">
        <f t="shared" si="4"/>
        <v>362678.68777757231</v>
      </c>
      <c r="AC36" s="94">
        <f>SUM(AC28:AC34)</f>
        <v>362678.68777757231</v>
      </c>
      <c r="AD36" s="94">
        <f>SUM(AD28:AD34)</f>
        <v>362678.68777757231</v>
      </c>
      <c r="AE36" s="94">
        <f>SUM(AE28:AE34)</f>
        <v>362678.68777757231</v>
      </c>
      <c r="AF36" s="94">
        <f>SUM(AF28:AF34)</f>
        <v>362678.68777757231</v>
      </c>
      <c r="AG36" s="94">
        <f>SUM(AG28:AG34)</f>
        <v>362678.68777757231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28">
        <f t="shared" ref="I42:AG42" si="5">I41*I7</f>
        <v>0</v>
      </c>
      <c r="J42" s="28">
        <f t="shared" si="5"/>
        <v>0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8">
        <f t="shared" si="5"/>
        <v>0</v>
      </c>
      <c r="P42" s="28">
        <f t="shared" si="5"/>
        <v>0</v>
      </c>
      <c r="Q42" s="28">
        <f t="shared" si="5"/>
        <v>0</v>
      </c>
      <c r="R42" s="28">
        <f t="shared" si="5"/>
        <v>0</v>
      </c>
      <c r="S42" s="28">
        <f t="shared" si="5"/>
        <v>0</v>
      </c>
      <c r="T42" s="28">
        <f t="shared" si="5"/>
        <v>0</v>
      </c>
      <c r="U42" s="28">
        <f t="shared" si="5"/>
        <v>0</v>
      </c>
      <c r="V42" s="28">
        <f t="shared" si="5"/>
        <v>0</v>
      </c>
      <c r="W42" s="28">
        <f t="shared" si="5"/>
        <v>0</v>
      </c>
      <c r="X42" s="28">
        <f t="shared" si="5"/>
        <v>0</v>
      </c>
      <c r="Y42" s="28">
        <f t="shared" si="5"/>
        <v>0</v>
      </c>
      <c r="Z42" s="28">
        <f t="shared" si="5"/>
        <v>0</v>
      </c>
      <c r="AA42" s="28">
        <f t="shared" si="5"/>
        <v>0</v>
      </c>
      <c r="AB42" s="28">
        <f t="shared" si="5"/>
        <v>0</v>
      </c>
      <c r="AC42" s="28">
        <f t="shared" si="5"/>
        <v>0</v>
      </c>
      <c r="AD42" s="28">
        <f t="shared" si="5"/>
        <v>0</v>
      </c>
      <c r="AE42" s="28">
        <f t="shared" si="5"/>
        <v>0</v>
      </c>
      <c r="AF42" s="28">
        <f t="shared" si="5"/>
        <v>0</v>
      </c>
      <c r="AG42" s="28">
        <f t="shared" si="5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94" cm="1">
        <f t="array" ref="I57">SUMPRODUCT((I$45:I$52)*($E$45:$E$52))+SUM(I54:I55)+I42</f>
        <v>0</v>
      </c>
      <c r="J57" s="94" cm="1">
        <f t="array" ref="J57">SUMPRODUCT((J$45:J$52)*($E$45:$E$52))+SUM(J54:J55)+J42</f>
        <v>0</v>
      </c>
      <c r="K57" s="94" cm="1">
        <f t="array" ref="K57">SUMPRODUCT((K$45:K$52)*($E$45:$E$52))+SUM(K54:K55)+K42</f>
        <v>0</v>
      </c>
      <c r="L57" s="94" cm="1">
        <f t="array" ref="L57">SUMPRODUCT((L$45:L$52)*($E$45:$E$52))+SUM(L54:L55)+L42</f>
        <v>0</v>
      </c>
      <c r="M57" s="94" cm="1">
        <f t="array" ref="M57">SUMPRODUCT((M$45:M$52)*($E$45:$E$52))+SUM(M54:M55)+M42</f>
        <v>0</v>
      </c>
      <c r="N57" s="94" cm="1">
        <f t="array" ref="N57">SUMPRODUCT((N$45:N$52)*($E$45:$E$52))+SUM(N54:N55)+N42</f>
        <v>0</v>
      </c>
      <c r="O57" s="94" cm="1">
        <f t="array" ref="O57">SUMPRODUCT((O$45:O$52)*($E$45:$E$52))+SUM(O54:O55)+O42</f>
        <v>0</v>
      </c>
      <c r="P57" s="94" cm="1">
        <f t="array" ref="P57">SUMPRODUCT((P$45:P$52)*($E$45:$E$52))+SUM(P54:P55)+P42</f>
        <v>0</v>
      </c>
      <c r="Q57" s="94" cm="1">
        <f t="array" ref="Q57">SUMPRODUCT((Q$45:Q$52)*($E$45:$E$52))+SUM(Q54:Q55)+Q42</f>
        <v>0</v>
      </c>
      <c r="R57" s="94" cm="1">
        <f t="array" ref="R57">SUMPRODUCT((R$45:R$52)*($E$45:$E$52))+SUM(R54:R55)+R42</f>
        <v>0</v>
      </c>
      <c r="S57" s="94" cm="1">
        <f t="array" ref="S57">SUMPRODUCT((S$45:S$52)*($E$45:$E$52))+SUM(S54:S55)+S42</f>
        <v>0</v>
      </c>
      <c r="T57" s="94" cm="1">
        <f t="array" ref="T57">SUMPRODUCT((T$45:T$52)*($E$45:$E$52))+SUM(T54:T55)+T42</f>
        <v>0</v>
      </c>
      <c r="U57" s="94" cm="1">
        <f t="array" ref="U57">SUMPRODUCT((U$45:U$52)*($E$45:$E$52))+SUM(U54:U55)+U42</f>
        <v>0</v>
      </c>
      <c r="V57" s="94" cm="1">
        <f t="array" ref="V57">SUMPRODUCT((V$45:V$52)*($E$45:$E$52))+SUM(V54:V55)+V42</f>
        <v>0</v>
      </c>
      <c r="W57" s="94" cm="1">
        <f t="array" ref="W57">SUMPRODUCT((W$45:W$52)*($E$45:$E$52))+SUM(W54:W55)+W42</f>
        <v>0</v>
      </c>
      <c r="X57" s="94" cm="1">
        <f t="array" ref="X57">SUMPRODUCT((X$45:X$52)*($E$45:$E$52))+SUM(X54:X55)+X42</f>
        <v>0</v>
      </c>
      <c r="Y57" s="94" cm="1">
        <f t="array" ref="Y57">SUMPRODUCT((Y$45:Y$52)*($E$45:$E$52))+SUM(Y54:Y55)+Y42</f>
        <v>0</v>
      </c>
      <c r="Z57" s="94" cm="1">
        <f t="array" ref="Z57">SUMPRODUCT((Z$45:Z$52)*($E$45:$E$52))+SUM(Z54:Z55)+Z42</f>
        <v>0</v>
      </c>
      <c r="AA57" s="94" cm="1">
        <f t="array" ref="AA57">SUMPRODUCT((AA$45:AA$52)*($E$45:$E$52))+SUM(AA54:AA55)+AA42</f>
        <v>0</v>
      </c>
      <c r="AB57" s="94" cm="1">
        <f t="array" ref="AB57">SUMPRODUCT((AB$45:AB$52)*($E$45:$E$52))+SUM(AB54:AB55)+AB42</f>
        <v>0</v>
      </c>
      <c r="AC57" s="94" cm="1">
        <f t="array" ref="AC57">SUMPRODUCT((AC$45:AC$52)*($E$45:$E$52))+SUM(AC54:AC55)+AC42</f>
        <v>0</v>
      </c>
      <c r="AD57" s="94" cm="1">
        <f t="array" ref="AD57">SUMPRODUCT((AD$45:AD$52)*($E$45:$E$52))+SUM(AD54:AD55)+AD42</f>
        <v>0</v>
      </c>
      <c r="AE57" s="94" cm="1">
        <f t="array" ref="AE57">SUMPRODUCT((AE$45:AE$52)*($E$45:$E$52))+SUM(AE54:AE55)+AE42</f>
        <v>0</v>
      </c>
      <c r="AF57" s="94" cm="1">
        <f t="array" ref="AF57">SUMPRODUCT((AF$45:AF$52)*($E$45:$E$52))+SUM(AF54:AF55)+AF42</f>
        <v>0</v>
      </c>
      <c r="AG57" s="94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</row>
    <row r="64" spans="1:43" x14ac:dyDescent="0.2">
      <c r="C64" s="4" t="s">
        <v>121</v>
      </c>
      <c r="G64" s="185">
        <f>input_dollars</f>
        <v>45291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No change to existing practices</v>
      </c>
      <c r="D67" s="34"/>
      <c r="F67" s="85"/>
      <c r="G67" s="185">
        <f>input_dollars</f>
        <v>45291</v>
      </c>
      <c r="H67" s="28"/>
      <c r="I67" s="28">
        <f t="shared" ref="I67:AG67" si="6">-I14</f>
        <v>0</v>
      </c>
      <c r="J67" s="28">
        <f t="shared" si="6"/>
        <v>0</v>
      </c>
      <c r="K67" s="28">
        <f t="shared" si="6"/>
        <v>0</v>
      </c>
      <c r="L67" s="28">
        <f t="shared" si="6"/>
        <v>0</v>
      </c>
      <c r="M67" s="28">
        <f t="shared" si="6"/>
        <v>0</v>
      </c>
      <c r="N67" s="28">
        <f t="shared" si="6"/>
        <v>0</v>
      </c>
      <c r="O67" s="28">
        <f t="shared" si="6"/>
        <v>0</v>
      </c>
      <c r="P67" s="28">
        <f t="shared" si="6"/>
        <v>0</v>
      </c>
      <c r="Q67" s="28">
        <f t="shared" si="6"/>
        <v>0</v>
      </c>
      <c r="R67" s="28">
        <f t="shared" si="6"/>
        <v>0</v>
      </c>
      <c r="S67" s="28">
        <f t="shared" si="6"/>
        <v>0</v>
      </c>
      <c r="T67" s="28">
        <f t="shared" si="6"/>
        <v>0</v>
      </c>
      <c r="U67" s="28">
        <f t="shared" si="6"/>
        <v>0</v>
      </c>
      <c r="V67" s="28">
        <f t="shared" si="6"/>
        <v>0</v>
      </c>
      <c r="W67" s="28">
        <f t="shared" si="6"/>
        <v>0</v>
      </c>
      <c r="X67" s="28">
        <f t="shared" si="6"/>
        <v>0</v>
      </c>
      <c r="Y67" s="28">
        <f t="shared" si="6"/>
        <v>0</v>
      </c>
      <c r="Z67" s="28">
        <f t="shared" si="6"/>
        <v>0</v>
      </c>
      <c r="AA67" s="28">
        <f t="shared" si="6"/>
        <v>0</v>
      </c>
      <c r="AB67" s="28">
        <f t="shared" si="6"/>
        <v>0</v>
      </c>
      <c r="AC67" s="28">
        <f t="shared" si="6"/>
        <v>0</v>
      </c>
      <c r="AD67" s="28">
        <f t="shared" si="6"/>
        <v>0</v>
      </c>
      <c r="AE67" s="28">
        <f t="shared" si="6"/>
        <v>0</v>
      </c>
      <c r="AF67" s="28">
        <f t="shared" si="6"/>
        <v>0</v>
      </c>
      <c r="AG67" s="28">
        <f t="shared" si="6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7">-I15</f>
        <v>0</v>
      </c>
      <c r="J68" s="28">
        <f t="shared" si="7"/>
        <v>0</v>
      </c>
      <c r="K68" s="28">
        <f t="shared" si="7"/>
        <v>0</v>
      </c>
      <c r="L68" s="28">
        <f t="shared" si="7"/>
        <v>0</v>
      </c>
      <c r="M68" s="28">
        <f t="shared" si="7"/>
        <v>0</v>
      </c>
      <c r="N68" s="28">
        <f t="shared" si="7"/>
        <v>0</v>
      </c>
      <c r="O68" s="28">
        <f t="shared" si="7"/>
        <v>0</v>
      </c>
      <c r="P68" s="28">
        <f t="shared" si="7"/>
        <v>0</v>
      </c>
      <c r="Q68" s="28">
        <f t="shared" si="7"/>
        <v>0</v>
      </c>
      <c r="R68" s="28">
        <f t="shared" si="7"/>
        <v>0</v>
      </c>
      <c r="S68" s="28">
        <f t="shared" si="7"/>
        <v>0</v>
      </c>
      <c r="T68" s="28">
        <f t="shared" si="7"/>
        <v>0</v>
      </c>
      <c r="U68" s="28">
        <f t="shared" si="7"/>
        <v>0</v>
      </c>
      <c r="V68" s="28">
        <f t="shared" si="7"/>
        <v>0</v>
      </c>
      <c r="W68" s="28">
        <f t="shared" si="7"/>
        <v>0</v>
      </c>
      <c r="X68" s="28">
        <f t="shared" si="7"/>
        <v>0</v>
      </c>
      <c r="Y68" s="28">
        <f t="shared" si="7"/>
        <v>0</v>
      </c>
      <c r="Z68" s="28">
        <f t="shared" si="7"/>
        <v>0</v>
      </c>
      <c r="AA68" s="28">
        <f t="shared" si="7"/>
        <v>0</v>
      </c>
      <c r="AB68" s="28">
        <f t="shared" si="7"/>
        <v>0</v>
      </c>
      <c r="AC68" s="28">
        <f t="shared" si="7"/>
        <v>0</v>
      </c>
      <c r="AD68" s="28">
        <f t="shared" si="7"/>
        <v>0</v>
      </c>
      <c r="AE68" s="28">
        <f t="shared" si="7"/>
        <v>0</v>
      </c>
      <c r="AF68" s="28">
        <f t="shared" si="7"/>
        <v>0</v>
      </c>
      <c r="AG68" s="28">
        <f t="shared" si="7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8">-I16</f>
        <v>0</v>
      </c>
      <c r="J69" s="28">
        <f t="shared" si="8"/>
        <v>0</v>
      </c>
      <c r="K69" s="28">
        <f t="shared" si="8"/>
        <v>0</v>
      </c>
      <c r="L69" s="28">
        <f t="shared" si="8"/>
        <v>0</v>
      </c>
      <c r="M69" s="28">
        <f t="shared" si="8"/>
        <v>0</v>
      </c>
      <c r="N69" s="28">
        <f t="shared" si="8"/>
        <v>0</v>
      </c>
      <c r="O69" s="28">
        <f t="shared" si="8"/>
        <v>0</v>
      </c>
      <c r="P69" s="28">
        <f t="shared" si="8"/>
        <v>0</v>
      </c>
      <c r="Q69" s="28">
        <f t="shared" si="8"/>
        <v>0</v>
      </c>
      <c r="R69" s="28">
        <f t="shared" si="8"/>
        <v>0</v>
      </c>
      <c r="S69" s="28">
        <f t="shared" si="8"/>
        <v>0</v>
      </c>
      <c r="T69" s="28">
        <f t="shared" si="8"/>
        <v>0</v>
      </c>
      <c r="U69" s="28">
        <f t="shared" si="8"/>
        <v>0</v>
      </c>
      <c r="V69" s="28">
        <f t="shared" si="8"/>
        <v>0</v>
      </c>
      <c r="W69" s="28">
        <f t="shared" si="8"/>
        <v>0</v>
      </c>
      <c r="X69" s="28">
        <f t="shared" si="8"/>
        <v>0</v>
      </c>
      <c r="Y69" s="28">
        <f t="shared" si="8"/>
        <v>0</v>
      </c>
      <c r="Z69" s="28">
        <f t="shared" si="8"/>
        <v>0</v>
      </c>
      <c r="AA69" s="28">
        <f t="shared" si="8"/>
        <v>0</v>
      </c>
      <c r="AB69" s="28">
        <f t="shared" si="8"/>
        <v>0</v>
      </c>
      <c r="AC69" s="28">
        <f t="shared" si="8"/>
        <v>0</v>
      </c>
      <c r="AD69" s="28">
        <f t="shared" si="8"/>
        <v>0</v>
      </c>
      <c r="AE69" s="28">
        <f t="shared" si="8"/>
        <v>0</v>
      </c>
      <c r="AF69" s="28">
        <f t="shared" si="8"/>
        <v>0</v>
      </c>
      <c r="AG69" s="28">
        <f t="shared" si="8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No change to existing practices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No change to existing practices</v>
      </c>
      <c r="D77" s="34"/>
      <c r="F77" s="85"/>
      <c r="G77" s="185">
        <f>input_dollars</f>
        <v>45291</v>
      </c>
      <c r="H77" s="28"/>
      <c r="I77" s="28">
        <f t="shared" ref="I77:AG77" si="9">IF($E14=0,0,-PMT(real_disc, $E14,H72,))</f>
        <v>0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10">IF($E15=0,0,-PMT(real_disc, $E15,H73,))</f>
        <v>0</v>
      </c>
      <c r="J78" s="28">
        <f t="shared" si="10"/>
        <v>0</v>
      </c>
      <c r="K78" s="28">
        <f t="shared" si="10"/>
        <v>0</v>
      </c>
      <c r="L78" s="28">
        <f t="shared" si="10"/>
        <v>0</v>
      </c>
      <c r="M78" s="28">
        <f t="shared" si="10"/>
        <v>0</v>
      </c>
      <c r="N78" s="28">
        <f t="shared" si="10"/>
        <v>0</v>
      </c>
      <c r="O78" s="28">
        <f t="shared" si="10"/>
        <v>0</v>
      </c>
      <c r="P78" s="28">
        <f t="shared" si="10"/>
        <v>0</v>
      </c>
      <c r="Q78" s="28">
        <f t="shared" si="10"/>
        <v>0</v>
      </c>
      <c r="R78" s="28">
        <f t="shared" si="10"/>
        <v>0</v>
      </c>
      <c r="S78" s="28">
        <f t="shared" si="10"/>
        <v>0</v>
      </c>
      <c r="T78" s="28">
        <f t="shared" si="10"/>
        <v>0</v>
      </c>
      <c r="U78" s="28">
        <f t="shared" si="10"/>
        <v>0</v>
      </c>
      <c r="V78" s="28">
        <f t="shared" si="10"/>
        <v>0</v>
      </c>
      <c r="W78" s="28">
        <f t="shared" si="10"/>
        <v>0</v>
      </c>
      <c r="X78" s="28">
        <f t="shared" si="10"/>
        <v>0</v>
      </c>
      <c r="Y78" s="28">
        <f t="shared" si="10"/>
        <v>0</v>
      </c>
      <c r="Z78" s="28">
        <f t="shared" si="10"/>
        <v>0</v>
      </c>
      <c r="AA78" s="28">
        <f t="shared" si="10"/>
        <v>0</v>
      </c>
      <c r="AB78" s="28">
        <f t="shared" si="10"/>
        <v>0</v>
      </c>
      <c r="AC78" s="28">
        <f t="shared" si="10"/>
        <v>0</v>
      </c>
      <c r="AD78" s="28">
        <f t="shared" si="10"/>
        <v>0</v>
      </c>
      <c r="AE78" s="28">
        <f t="shared" si="10"/>
        <v>0</v>
      </c>
      <c r="AF78" s="28">
        <f t="shared" si="10"/>
        <v>0</v>
      </c>
      <c r="AG78" s="28">
        <f t="shared" si="10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1">IF($E16=0,0,-PMT(real_disc, $E16,H74,))</f>
        <v>0</v>
      </c>
      <c r="J79" s="28">
        <f t="shared" si="11"/>
        <v>0</v>
      </c>
      <c r="K79" s="28">
        <f t="shared" si="11"/>
        <v>0</v>
      </c>
      <c r="L79" s="28">
        <f t="shared" si="11"/>
        <v>0</v>
      </c>
      <c r="M79" s="28">
        <f t="shared" si="11"/>
        <v>0</v>
      </c>
      <c r="N79" s="28">
        <f t="shared" si="11"/>
        <v>0</v>
      </c>
      <c r="O79" s="28">
        <f t="shared" si="11"/>
        <v>0</v>
      </c>
      <c r="P79" s="28">
        <f t="shared" si="11"/>
        <v>0</v>
      </c>
      <c r="Q79" s="28">
        <f t="shared" si="11"/>
        <v>0</v>
      </c>
      <c r="R79" s="28">
        <f t="shared" si="11"/>
        <v>0</v>
      </c>
      <c r="S79" s="28">
        <f t="shared" si="11"/>
        <v>0</v>
      </c>
      <c r="T79" s="28">
        <f t="shared" si="11"/>
        <v>0</v>
      </c>
      <c r="U79" s="28">
        <f t="shared" si="11"/>
        <v>0</v>
      </c>
      <c r="V79" s="28">
        <f t="shared" si="11"/>
        <v>0</v>
      </c>
      <c r="W79" s="28">
        <f t="shared" si="11"/>
        <v>0</v>
      </c>
      <c r="X79" s="28">
        <f t="shared" si="11"/>
        <v>0</v>
      </c>
      <c r="Y79" s="28">
        <f t="shared" si="11"/>
        <v>0</v>
      </c>
      <c r="Z79" s="28">
        <f t="shared" si="11"/>
        <v>0</v>
      </c>
      <c r="AA79" s="28">
        <f t="shared" si="11"/>
        <v>0</v>
      </c>
      <c r="AB79" s="28">
        <f t="shared" si="11"/>
        <v>0</v>
      </c>
      <c r="AC79" s="28">
        <f t="shared" si="11"/>
        <v>0</v>
      </c>
      <c r="AD79" s="28">
        <f t="shared" si="11"/>
        <v>0</v>
      </c>
      <c r="AE79" s="28">
        <f t="shared" si="11"/>
        <v>0</v>
      </c>
      <c r="AF79" s="28">
        <f t="shared" si="11"/>
        <v>0</v>
      </c>
      <c r="AG79" s="28">
        <f t="shared" si="11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2">SUM(J77:J79)</f>
        <v>0</v>
      </c>
      <c r="K80" s="152">
        <f t="shared" si="12"/>
        <v>0</v>
      </c>
      <c r="L80" s="152">
        <f t="shared" si="12"/>
        <v>0</v>
      </c>
      <c r="M80" s="152">
        <f t="shared" si="12"/>
        <v>0</v>
      </c>
      <c r="N80" s="152">
        <f t="shared" si="12"/>
        <v>0</v>
      </c>
      <c r="O80" s="152">
        <f t="shared" si="12"/>
        <v>0</v>
      </c>
      <c r="P80" s="152">
        <f t="shared" si="12"/>
        <v>0</v>
      </c>
      <c r="Q80" s="152">
        <f t="shared" si="12"/>
        <v>0</v>
      </c>
      <c r="R80" s="152">
        <f t="shared" si="12"/>
        <v>0</v>
      </c>
      <c r="S80" s="152">
        <f t="shared" si="12"/>
        <v>0</v>
      </c>
      <c r="T80" s="152">
        <f t="shared" si="12"/>
        <v>0</v>
      </c>
      <c r="U80" s="152">
        <f t="shared" si="12"/>
        <v>0</v>
      </c>
      <c r="V80" s="152">
        <f t="shared" si="12"/>
        <v>0</v>
      </c>
      <c r="W80" s="152">
        <f t="shared" si="12"/>
        <v>0</v>
      </c>
      <c r="X80" s="152">
        <f t="shared" si="12"/>
        <v>0</v>
      </c>
      <c r="Y80" s="152">
        <f t="shared" si="12"/>
        <v>0</v>
      </c>
      <c r="Z80" s="152">
        <f t="shared" si="12"/>
        <v>0</v>
      </c>
      <c r="AA80" s="152">
        <f t="shared" si="12"/>
        <v>0</v>
      </c>
      <c r="AB80" s="152">
        <f t="shared" si="12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3">input_dollars</f>
        <v>45291</v>
      </c>
      <c r="H82" s="28"/>
      <c r="I82" s="28">
        <f>I80</f>
        <v>0</v>
      </c>
      <c r="J82" s="28">
        <f t="shared" ref="J82:AB82" si="14">J80</f>
        <v>0</v>
      </c>
      <c r="K82" s="28">
        <f t="shared" si="14"/>
        <v>0</v>
      </c>
      <c r="L82" s="28">
        <f t="shared" si="14"/>
        <v>0</v>
      </c>
      <c r="M82" s="28">
        <f t="shared" si="14"/>
        <v>0</v>
      </c>
      <c r="N82" s="28">
        <f t="shared" si="14"/>
        <v>0</v>
      </c>
      <c r="O82" s="28">
        <f t="shared" si="14"/>
        <v>0</v>
      </c>
      <c r="P82" s="28">
        <f t="shared" si="14"/>
        <v>0</v>
      </c>
      <c r="Q82" s="28">
        <f t="shared" si="14"/>
        <v>0</v>
      </c>
      <c r="R82" s="28">
        <f t="shared" si="14"/>
        <v>0</v>
      </c>
      <c r="S82" s="28">
        <f t="shared" si="14"/>
        <v>0</v>
      </c>
      <c r="T82" s="28">
        <f t="shared" si="14"/>
        <v>0</v>
      </c>
      <c r="U82" s="28">
        <f t="shared" si="14"/>
        <v>0</v>
      </c>
      <c r="V82" s="28">
        <f t="shared" si="14"/>
        <v>0</v>
      </c>
      <c r="W82" s="28">
        <f t="shared" si="14"/>
        <v>0</v>
      </c>
      <c r="X82" s="28">
        <f t="shared" si="14"/>
        <v>0</v>
      </c>
      <c r="Y82" s="28">
        <f t="shared" si="14"/>
        <v>0</v>
      </c>
      <c r="Z82" s="28">
        <f t="shared" si="14"/>
        <v>0</v>
      </c>
      <c r="AA82" s="28">
        <f t="shared" si="14"/>
        <v>0</v>
      </c>
      <c r="AB82" s="28">
        <f t="shared" si="14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3"/>
        <v>45291</v>
      </c>
      <c r="H83" s="28"/>
      <c r="I83" s="28">
        <f t="shared" ref="I83:AG83" si="15">-I19</f>
        <v>0</v>
      </c>
      <c r="J83" s="28">
        <f t="shared" si="15"/>
        <v>0</v>
      </c>
      <c r="K83" s="28">
        <f t="shared" si="15"/>
        <v>0</v>
      </c>
      <c r="L83" s="28">
        <f t="shared" si="15"/>
        <v>0</v>
      </c>
      <c r="M83" s="28">
        <f t="shared" si="15"/>
        <v>0</v>
      </c>
      <c r="N83" s="28">
        <f t="shared" si="15"/>
        <v>0</v>
      </c>
      <c r="O83" s="28">
        <f t="shared" si="15"/>
        <v>0</v>
      </c>
      <c r="P83" s="28">
        <f t="shared" si="15"/>
        <v>0</v>
      </c>
      <c r="Q83" s="28">
        <f t="shared" si="15"/>
        <v>0</v>
      </c>
      <c r="R83" s="28">
        <f t="shared" si="15"/>
        <v>0</v>
      </c>
      <c r="S83" s="28">
        <f t="shared" si="15"/>
        <v>0</v>
      </c>
      <c r="T83" s="28">
        <f t="shared" si="15"/>
        <v>0</v>
      </c>
      <c r="U83" s="28">
        <f t="shared" si="15"/>
        <v>0</v>
      </c>
      <c r="V83" s="28">
        <f t="shared" si="15"/>
        <v>0</v>
      </c>
      <c r="W83" s="28">
        <f t="shared" si="15"/>
        <v>0</v>
      </c>
      <c r="X83" s="28">
        <f t="shared" si="15"/>
        <v>0</v>
      </c>
      <c r="Y83" s="28">
        <f t="shared" si="15"/>
        <v>0</v>
      </c>
      <c r="Z83" s="28">
        <f t="shared" si="15"/>
        <v>0</v>
      </c>
      <c r="AA83" s="28">
        <f t="shared" si="15"/>
        <v>0</v>
      </c>
      <c r="AB83" s="28">
        <f t="shared" si="15"/>
        <v>0</v>
      </c>
      <c r="AC83" s="28">
        <f t="shared" si="15"/>
        <v>0</v>
      </c>
      <c r="AD83" s="28">
        <f t="shared" si="15"/>
        <v>0</v>
      </c>
      <c r="AE83" s="28">
        <f t="shared" si="15"/>
        <v>0</v>
      </c>
      <c r="AF83" s="28">
        <f t="shared" si="15"/>
        <v>0</v>
      </c>
      <c r="AG83" s="28">
        <f t="shared" si="15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3"/>
        <v>45291</v>
      </c>
      <c r="H84" s="28"/>
      <c r="I84" s="28">
        <f>I64</f>
        <v>0</v>
      </c>
      <c r="J84" s="28">
        <f t="shared" ref="J84:AB84" si="16">J64</f>
        <v>0</v>
      </c>
      <c r="K84" s="28">
        <f t="shared" si="16"/>
        <v>0</v>
      </c>
      <c r="L84" s="28">
        <f t="shared" si="16"/>
        <v>0</v>
      </c>
      <c r="M84" s="28">
        <f t="shared" si="16"/>
        <v>0</v>
      </c>
      <c r="N84" s="28">
        <f t="shared" si="16"/>
        <v>0</v>
      </c>
      <c r="O84" s="28">
        <f t="shared" si="16"/>
        <v>0</v>
      </c>
      <c r="P84" s="28">
        <f t="shared" si="16"/>
        <v>0</v>
      </c>
      <c r="Q84" s="28">
        <f t="shared" si="16"/>
        <v>0</v>
      </c>
      <c r="R84" s="28">
        <f t="shared" si="16"/>
        <v>0</v>
      </c>
      <c r="S84" s="28">
        <f t="shared" si="16"/>
        <v>0</v>
      </c>
      <c r="T84" s="28">
        <f t="shared" si="16"/>
        <v>0</v>
      </c>
      <c r="U84" s="28">
        <f t="shared" si="16"/>
        <v>0</v>
      </c>
      <c r="V84" s="28">
        <f t="shared" si="16"/>
        <v>0</v>
      </c>
      <c r="W84" s="28">
        <f t="shared" si="16"/>
        <v>0</v>
      </c>
      <c r="X84" s="28">
        <f t="shared" si="16"/>
        <v>0</v>
      </c>
      <c r="Y84" s="28">
        <f t="shared" si="16"/>
        <v>0</v>
      </c>
      <c r="Z84" s="28">
        <f t="shared" si="16"/>
        <v>0</v>
      </c>
      <c r="AA84" s="28">
        <f t="shared" si="16"/>
        <v>0</v>
      </c>
      <c r="AB84" s="28">
        <f t="shared" si="16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3"/>
        <v>45291</v>
      </c>
      <c r="H85" s="28"/>
      <c r="I85" s="28">
        <f t="shared" ref="I85:AG85" si="17">I57</f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6" t="s">
        <v>188</v>
      </c>
      <c r="D87" s="154"/>
      <c r="E87" s="150"/>
      <c r="F87" s="155"/>
      <c r="G87" s="190">
        <f t="shared" si="13"/>
        <v>45291</v>
      </c>
      <c r="H87" s="155"/>
      <c r="I87" s="155">
        <f t="shared" ref="I87:AB87" si="18">SUM(I82:I86)</f>
        <v>0</v>
      </c>
      <c r="J87" s="155">
        <f t="shared" si="18"/>
        <v>0</v>
      </c>
      <c r="K87" s="155">
        <f t="shared" si="18"/>
        <v>0</v>
      </c>
      <c r="L87" s="155">
        <f t="shared" si="18"/>
        <v>0</v>
      </c>
      <c r="M87" s="155">
        <f t="shared" si="18"/>
        <v>0</v>
      </c>
      <c r="N87" s="155">
        <f t="shared" si="18"/>
        <v>0</v>
      </c>
      <c r="O87" s="155">
        <f t="shared" si="18"/>
        <v>0</v>
      </c>
      <c r="P87" s="155">
        <f t="shared" si="18"/>
        <v>0</v>
      </c>
      <c r="Q87" s="155">
        <f t="shared" si="18"/>
        <v>0</v>
      </c>
      <c r="R87" s="155">
        <f t="shared" si="18"/>
        <v>0</v>
      </c>
      <c r="S87" s="155">
        <f t="shared" si="18"/>
        <v>0</v>
      </c>
      <c r="T87" s="155">
        <f t="shared" si="18"/>
        <v>0</v>
      </c>
      <c r="U87" s="155">
        <f t="shared" si="18"/>
        <v>0</v>
      </c>
      <c r="V87" s="155">
        <f t="shared" si="18"/>
        <v>0</v>
      </c>
      <c r="W87" s="155">
        <f t="shared" si="18"/>
        <v>0</v>
      </c>
      <c r="X87" s="155">
        <f t="shared" si="18"/>
        <v>0</v>
      </c>
      <c r="Y87" s="155">
        <f t="shared" si="18"/>
        <v>0</v>
      </c>
      <c r="Z87" s="155">
        <f t="shared" si="18"/>
        <v>0</v>
      </c>
      <c r="AA87" s="155">
        <f t="shared" si="18"/>
        <v>0</v>
      </c>
      <c r="AB87" s="155">
        <f t="shared" si="18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19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19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/>
      <c r="D90" s="72"/>
      <c r="E90" s="205"/>
      <c r="F90" s="206"/>
      <c r="G90" s="20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205"/>
      <c r="D91" s="205"/>
      <c r="E91" s="205"/>
      <c r="F91" s="205"/>
      <c r="G91" s="205"/>
    </row>
    <row r="92" spans="1:33" x14ac:dyDescent="0.2">
      <c r="C92" s="205"/>
      <c r="D92" s="205"/>
      <c r="E92" s="205"/>
      <c r="F92" s="205"/>
      <c r="G92" s="205"/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1 (Base Case)NPV</v>
      </c>
      <c r="I106" s="28">
        <f>I87</f>
        <v>0</v>
      </c>
      <c r="J106" s="28">
        <f t="shared" ref="J106:AG106" si="19">J87</f>
        <v>0</v>
      </c>
      <c r="K106" s="28">
        <f t="shared" si="19"/>
        <v>0</v>
      </c>
      <c r="L106" s="28">
        <f t="shared" si="19"/>
        <v>0</v>
      </c>
      <c r="M106" s="28">
        <f t="shared" si="19"/>
        <v>0</v>
      </c>
      <c r="N106" s="28">
        <f t="shared" si="19"/>
        <v>0</v>
      </c>
      <c r="O106" s="28">
        <f t="shared" si="19"/>
        <v>0</v>
      </c>
      <c r="P106" s="28">
        <f t="shared" si="19"/>
        <v>0</v>
      </c>
      <c r="Q106" s="28">
        <f t="shared" si="19"/>
        <v>0</v>
      </c>
      <c r="R106" s="28">
        <f t="shared" si="19"/>
        <v>0</v>
      </c>
      <c r="S106" s="28">
        <f t="shared" si="19"/>
        <v>0</v>
      </c>
      <c r="T106" s="28">
        <f t="shared" si="19"/>
        <v>0</v>
      </c>
      <c r="U106" s="28">
        <f t="shared" si="19"/>
        <v>0</v>
      </c>
      <c r="V106" s="28">
        <f t="shared" si="19"/>
        <v>0</v>
      </c>
      <c r="W106" s="28">
        <f t="shared" si="19"/>
        <v>0</v>
      </c>
      <c r="X106" s="28">
        <f t="shared" si="19"/>
        <v>0</v>
      </c>
      <c r="Y106" s="28">
        <f t="shared" si="19"/>
        <v>0</v>
      </c>
      <c r="Z106" s="28">
        <f t="shared" si="19"/>
        <v>0</v>
      </c>
      <c r="AA106" s="28">
        <f t="shared" si="19"/>
        <v>0</v>
      </c>
      <c r="AB106" s="28">
        <f t="shared" si="19"/>
        <v>0</v>
      </c>
      <c r="AC106" s="28">
        <f t="shared" si="19"/>
        <v>0</v>
      </c>
      <c r="AD106" s="28">
        <f t="shared" si="19"/>
        <v>0</v>
      </c>
      <c r="AE106" s="28">
        <f t="shared" si="19"/>
        <v>0</v>
      </c>
      <c r="AF106" s="28">
        <f t="shared" si="19"/>
        <v>0</v>
      </c>
      <c r="AG106" s="28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20">J82</f>
        <v>0</v>
      </c>
      <c r="K107" s="28">
        <f t="shared" si="20"/>
        <v>0</v>
      </c>
      <c r="L107" s="28">
        <f t="shared" si="20"/>
        <v>0</v>
      </c>
      <c r="M107" s="28">
        <f t="shared" si="20"/>
        <v>0</v>
      </c>
      <c r="N107" s="28">
        <f t="shared" si="20"/>
        <v>0</v>
      </c>
      <c r="O107" s="28">
        <f t="shared" si="20"/>
        <v>0</v>
      </c>
      <c r="P107" s="28">
        <f t="shared" si="20"/>
        <v>0</v>
      </c>
      <c r="Q107" s="28">
        <f t="shared" si="20"/>
        <v>0</v>
      </c>
      <c r="R107" s="28">
        <f t="shared" si="20"/>
        <v>0</v>
      </c>
      <c r="S107" s="28">
        <f t="shared" si="20"/>
        <v>0</v>
      </c>
      <c r="T107" s="28">
        <f t="shared" si="20"/>
        <v>0</v>
      </c>
      <c r="U107" s="28">
        <f t="shared" si="20"/>
        <v>0</v>
      </c>
      <c r="V107" s="28">
        <f t="shared" si="20"/>
        <v>0</v>
      </c>
      <c r="W107" s="28">
        <f t="shared" si="20"/>
        <v>0</v>
      </c>
      <c r="X107" s="28">
        <f t="shared" si="20"/>
        <v>0</v>
      </c>
      <c r="Y107" s="28">
        <f t="shared" si="20"/>
        <v>0</v>
      </c>
      <c r="Z107" s="28">
        <f t="shared" si="20"/>
        <v>0</v>
      </c>
      <c r="AA107" s="28">
        <f t="shared" si="20"/>
        <v>0</v>
      </c>
      <c r="AB107" s="28">
        <f t="shared" si="20"/>
        <v>0</v>
      </c>
      <c r="AC107" s="28">
        <f t="shared" si="20"/>
        <v>0</v>
      </c>
      <c r="AD107" s="28">
        <f t="shared" si="20"/>
        <v>0</v>
      </c>
      <c r="AE107" s="28">
        <f t="shared" si="20"/>
        <v>0</v>
      </c>
      <c r="AF107" s="28">
        <f t="shared" si="20"/>
        <v>0</v>
      </c>
      <c r="AG107" s="28">
        <f t="shared" si="20"/>
        <v>0</v>
      </c>
    </row>
    <row r="108" spans="1:43" x14ac:dyDescent="0.2">
      <c r="C108" s="1" t="s">
        <v>241</v>
      </c>
      <c r="D108" s="223"/>
      <c r="E108" s="34"/>
      <c r="I108" s="28">
        <f>SUM(I84:I85)</f>
        <v>0</v>
      </c>
      <c r="J108" s="28">
        <f t="shared" ref="J108:AG108" si="21">SUM(J84:J85)</f>
        <v>0</v>
      </c>
      <c r="K108" s="28">
        <f t="shared" si="21"/>
        <v>0</v>
      </c>
      <c r="L108" s="28">
        <f t="shared" si="21"/>
        <v>0</v>
      </c>
      <c r="M108" s="28">
        <f t="shared" si="21"/>
        <v>0</v>
      </c>
      <c r="N108" s="28">
        <f t="shared" si="21"/>
        <v>0</v>
      </c>
      <c r="O108" s="28">
        <f t="shared" si="21"/>
        <v>0</v>
      </c>
      <c r="P108" s="28">
        <f t="shared" si="21"/>
        <v>0</v>
      </c>
      <c r="Q108" s="28">
        <f t="shared" si="21"/>
        <v>0</v>
      </c>
      <c r="R108" s="28">
        <f t="shared" si="21"/>
        <v>0</v>
      </c>
      <c r="S108" s="28">
        <f t="shared" si="21"/>
        <v>0</v>
      </c>
      <c r="T108" s="28">
        <f t="shared" si="21"/>
        <v>0</v>
      </c>
      <c r="U108" s="28">
        <f t="shared" si="21"/>
        <v>0</v>
      </c>
      <c r="V108" s="28">
        <f t="shared" si="21"/>
        <v>0</v>
      </c>
      <c r="W108" s="28">
        <f t="shared" si="21"/>
        <v>0</v>
      </c>
      <c r="X108" s="28">
        <f t="shared" si="21"/>
        <v>0</v>
      </c>
      <c r="Y108" s="28">
        <f t="shared" si="21"/>
        <v>0</v>
      </c>
      <c r="Z108" s="28">
        <f t="shared" si="21"/>
        <v>0</v>
      </c>
      <c r="AA108" s="28">
        <f t="shared" si="21"/>
        <v>0</v>
      </c>
      <c r="AB108" s="28">
        <f t="shared" si="21"/>
        <v>0</v>
      </c>
      <c r="AC108" s="28">
        <f t="shared" si="21"/>
        <v>0</v>
      </c>
      <c r="AD108" s="28">
        <f t="shared" si="21"/>
        <v>0</v>
      </c>
      <c r="AE108" s="28">
        <f t="shared" si="21"/>
        <v>0</v>
      </c>
      <c r="AF108" s="28">
        <f t="shared" si="21"/>
        <v>0</v>
      </c>
      <c r="AG108" s="28">
        <f t="shared" si="21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1 (Base Case)sens1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2">PROPER($A$3)&amp;A111</f>
        <v>Option 1 (Base Case)sens2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2"/>
        <v>Option 1 (Base Case)sens3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2"/>
        <v>Option 1 (Base Case)sens4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2"/>
        <v>Option 1 (Base Case)sens5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2"/>
        <v>Option 1 (Base Case)sens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2"/>
        <v>Option 1 (Base Case)sens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2"/>
        <v>Option 1 (Base Case)sens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5" sqref="C15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Melton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130</v>
      </c>
      <c r="B3" s="5"/>
      <c r="C3" s="176" t="str">
        <f>INDEX(Assumptions!$E$14:$E$18, MATCH(A3,_xlfn.ANCHORARRAY( Assumptions!$C$14),0))</f>
        <v>New feeder from MTC to WBE</v>
      </c>
    </row>
    <row r="4" spans="1:43" x14ac:dyDescent="0.2">
      <c r="A4" s="1" t="str">
        <f>(INDEX(Data!$D$9:$D$13, MATCH(A3, options,0)))</f>
        <v/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Assumptions!E15</f>
        <v>New feeder from MTC to WBE</v>
      </c>
      <c r="D14"/>
      <c r="E14" s="127">
        <v>50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1750000</v>
      </c>
      <c r="M14" s="29">
        <v>1750000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1750000</v>
      </c>
      <c r="M17" s="94">
        <f t="shared" si="0"/>
        <v>1750000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1.2870406074766447E-2</v>
      </c>
      <c r="K27" s="145">
        <v>0.19298095495327017</v>
      </c>
      <c r="L27" s="145">
        <v>0.48502307621920449</v>
      </c>
      <c r="M27" s="145">
        <v>1.0866840459937461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39317.709531096138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506.0348875949224</v>
      </c>
      <c r="K28" s="28">
        <f t="shared" si="2"/>
        <v>7587.5691318862246</v>
      </c>
      <c r="L28" s="28">
        <f t="shared" si="2"/>
        <v>19069.996426665384</v>
      </c>
      <c r="M28" s="28">
        <f t="shared" si="2"/>
        <v>42725.927672458427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506.0348875949224</v>
      </c>
      <c r="K36" s="147">
        <f t="shared" si="3"/>
        <v>7587.5691318862246</v>
      </c>
      <c r="L36" s="147">
        <f t="shared" si="3"/>
        <v>19069.996426665384</v>
      </c>
      <c r="M36" s="147">
        <f t="shared" si="3"/>
        <v>42725.927672458427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77">
        <v>0</v>
      </c>
      <c r="J45" s="277">
        <v>0</v>
      </c>
      <c r="K45" s="277">
        <v>0</v>
      </c>
      <c r="L45" s="277">
        <v>0</v>
      </c>
      <c r="M45" s="277">
        <v>0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0</v>
      </c>
      <c r="AC45" s="277">
        <v>0</v>
      </c>
      <c r="AD45" s="277">
        <v>0</v>
      </c>
      <c r="AE45" s="277">
        <v>0</v>
      </c>
      <c r="AF45" s="277">
        <v>0</v>
      </c>
      <c r="AG45" s="277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0</v>
      </c>
      <c r="AC46" s="277">
        <v>0</v>
      </c>
      <c r="AD46" s="277">
        <v>0</v>
      </c>
      <c r="AE46" s="277">
        <v>0</v>
      </c>
      <c r="AF46" s="277">
        <v>0</v>
      </c>
      <c r="AG46" s="277">
        <v>0</v>
      </c>
    </row>
    <row r="47" spans="1:16372" x14ac:dyDescent="0.2">
      <c r="C47" s="1" t="s">
        <v>5</v>
      </c>
      <c r="D47" s="180" t="s">
        <v>63</v>
      </c>
      <c r="E47" s="101">
        <f>Assumptions!G96</f>
        <v>88.357719508603083</v>
      </c>
      <c r="G47" s="182" t="s">
        <v>40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0</v>
      </c>
      <c r="AC47" s="277">
        <v>0</v>
      </c>
      <c r="AD47" s="277">
        <v>0</v>
      </c>
      <c r="AE47" s="277">
        <v>0</v>
      </c>
      <c r="AF47" s="277">
        <v>0</v>
      </c>
      <c r="AG47" s="277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0</v>
      </c>
    </row>
    <row r="49" spans="1:43" x14ac:dyDescent="0.2">
      <c r="C49" s="1" t="s">
        <v>9</v>
      </c>
      <c r="D49" s="180" t="s">
        <v>206</v>
      </c>
      <c r="E49" s="100">
        <f>Assumptions!G98</f>
        <v>0.35181336539087127</v>
      </c>
      <c r="G49" s="182" t="s">
        <v>207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277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0</v>
      </c>
    </row>
    <row r="50" spans="1:43" x14ac:dyDescent="0.2">
      <c r="C50" s="1" t="s">
        <v>10</v>
      </c>
      <c r="D50" s="180" t="s">
        <v>206</v>
      </c>
      <c r="E50" s="100">
        <f>Assumptions!G99</f>
        <v>0.35181336539087127</v>
      </c>
      <c r="G50" s="182" t="s">
        <v>207</v>
      </c>
      <c r="I50" s="277">
        <v>0</v>
      </c>
      <c r="J50" s="277">
        <v>0</v>
      </c>
      <c r="K50" s="277">
        <v>0</v>
      </c>
      <c r="L50" s="277">
        <v>0</v>
      </c>
      <c r="M50" s="277">
        <v>0</v>
      </c>
      <c r="N50" s="277">
        <v>0</v>
      </c>
      <c r="O50" s="277">
        <v>0</v>
      </c>
      <c r="P50" s="277">
        <v>0</v>
      </c>
      <c r="Q50" s="277">
        <v>0</v>
      </c>
      <c r="R50" s="277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277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105979.52310593768</v>
      </c>
      <c r="O64" s="112">
        <f>(1-INDEX(Data!$C$9:$C$13, MATCH($A$3, options,0)))*('Option1 (base case)'!O36-O36)</f>
        <v>221630.96677669286</v>
      </c>
      <c r="P64" s="112">
        <f>(1-INDEX(Data!$C$9:$C$13, MATCH($A$3, options,0)))*('Option1 (base case)'!P36-P36)</f>
        <v>362678.68777757231</v>
      </c>
      <c r="Q64" s="112">
        <f>(1-INDEX(Data!$C$9:$C$13, MATCH($A$3, options,0)))*('Option1 (base case)'!Q36-Q36)</f>
        <v>362678.68777757231</v>
      </c>
      <c r="R64" s="112">
        <f>(1-INDEX(Data!$C$9:$C$13, MATCH($A$3, options,0)))*('Option1 (base case)'!R36-R36)</f>
        <v>362678.68777757231</v>
      </c>
      <c r="S64" s="112">
        <f>(1-INDEX(Data!$C$9:$C$13, MATCH($A$3, options,0)))*('Option1 (base case)'!S36-S36)</f>
        <v>362678.68777757231</v>
      </c>
      <c r="T64" s="112">
        <f>(1-INDEX(Data!$C$9:$C$13, MATCH($A$3, options,0)))*('Option1 (base case)'!T36-T36)</f>
        <v>362678.68777757231</v>
      </c>
      <c r="U64" s="112">
        <f>(1-INDEX(Data!$C$9:$C$13, MATCH($A$3, options,0)))*('Option1 (base case)'!U36-U36)</f>
        <v>362678.68777757231</v>
      </c>
      <c r="V64" s="112">
        <f>(1-INDEX(Data!$C$9:$C$13, MATCH($A$3, options,0)))*('Option1 (base case)'!V36-V36)</f>
        <v>362678.68777757231</v>
      </c>
      <c r="W64" s="112">
        <f>(1-INDEX(Data!$C$9:$C$13, MATCH($A$3, options,0)))*('Option1 (base case)'!W36-W36)</f>
        <v>362678.68777757231</v>
      </c>
      <c r="X64" s="112">
        <f>(1-INDEX(Data!$C$9:$C$13, MATCH($A$3, options,0)))*('Option1 (base case)'!X36-X36)</f>
        <v>362678.68777757231</v>
      </c>
      <c r="Y64" s="112">
        <f>(1-INDEX(Data!$C$9:$C$13, MATCH($A$3, options,0)))*('Option1 (base case)'!Y36-Y36)</f>
        <v>362678.68777757231</v>
      </c>
      <c r="Z64" s="112">
        <f>(1-INDEX(Data!$C$9:$C$13, MATCH($A$3, options,0)))*('Option1 (base case)'!Z36-Z36)</f>
        <v>362678.68777757231</v>
      </c>
      <c r="AA64" s="112">
        <f>(1-INDEX(Data!$C$9:$C$13, MATCH($A$3, options,0)))*('Option1 (base case)'!AA36-AA36)</f>
        <v>362678.68777757231</v>
      </c>
      <c r="AB64" s="112">
        <f>(1-INDEX(Data!$C$9:$C$13, MATCH($A$3, options,0)))*('Option1 (base case)'!AB36-AB36)</f>
        <v>362678.68777757231</v>
      </c>
      <c r="AC64" s="112">
        <f>(1-INDEX(Data!$C$9:$C$13, MATCH($A$3, options,0)))*('Option1 (base case)'!AC36-AC36)</f>
        <v>362678.68777757231</v>
      </c>
      <c r="AD64" s="112">
        <f>(1-INDEX(Data!$C$9:$C$13, MATCH($A$3, options,0)))*('Option1 (base case)'!AD36-AD36)</f>
        <v>362678.68777757231</v>
      </c>
      <c r="AE64" s="112">
        <f>(1-INDEX(Data!$C$9:$C$13, MATCH($A$3, options,0)))*('Option1 (base case)'!AE36-AE36)</f>
        <v>362678.68777757231</v>
      </c>
      <c r="AF64" s="112">
        <f>(1-INDEX(Data!$C$9:$C$13, MATCH($A$3, options,0)))*('Option1 (base case)'!AF36-AF36)</f>
        <v>362678.68777757231</v>
      </c>
      <c r="AG64" s="112">
        <f>(1-INDEX(Data!$C$9:$C$13, MATCH($A$3, options,0)))*('Option1 (base case)'!AG36-AG36)</f>
        <v>362678.68777757231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New feeder from MTC to WBE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-1750000</v>
      </c>
      <c r="M67" s="28">
        <f t="shared" si="5"/>
        <v>-1750000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New feeder from MTC to WBE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-1750000</v>
      </c>
      <c r="M72" s="28" cm="1">
        <f t="array" ref="M72">SUMPRODUCT(($I67:M67))-SUMPRODUCT(($I67:M67)*($I$6:M$6&lt;=(M$6-$E14)))</f>
        <v>-3500000</v>
      </c>
      <c r="N72" s="28" cm="1">
        <f t="array" ref="N72">SUMPRODUCT(($I67:N67))-SUMPRODUCT(($I67:N67)*($I$6:N$6&lt;=(N$6-$E14)))</f>
        <v>-3500000</v>
      </c>
      <c r="O72" s="28" cm="1">
        <f t="array" ref="O72">SUMPRODUCT(($I67:O67))-SUMPRODUCT(($I67:O67)*($I$6:O$6&lt;=(O$6-$E14)))</f>
        <v>-3500000</v>
      </c>
      <c r="P72" s="28" cm="1">
        <f t="array" ref="P72">SUMPRODUCT(($I67:P67))-SUMPRODUCT(($I67:P67)*($I$6:P$6&lt;=(P$6-$E14)))</f>
        <v>-3500000</v>
      </c>
      <c r="Q72" s="28" cm="1">
        <f t="array" ref="Q72">SUMPRODUCT(($I67:Q67))-SUMPRODUCT(($I67:Q67)*($I$6:Q$6&lt;=(Q$6-$E14)))</f>
        <v>-3500000</v>
      </c>
      <c r="R72" s="28" cm="1">
        <f t="array" ref="R72">SUMPRODUCT(($I67:R67))-SUMPRODUCT(($I67:R67)*($I$6:R$6&lt;=(R$6-$E14)))</f>
        <v>-3500000</v>
      </c>
      <c r="S72" s="28" cm="1">
        <f t="array" ref="S72">SUMPRODUCT(($I67:S67))-SUMPRODUCT(($I67:S67)*($I$6:S$6&lt;=(S$6-$E14)))</f>
        <v>-3500000</v>
      </c>
      <c r="T72" s="28" cm="1">
        <f t="array" ref="T72">SUMPRODUCT(($I67:T67))-SUMPRODUCT(($I67:T67)*($I$6:T$6&lt;=(T$6-$E14)))</f>
        <v>-3500000</v>
      </c>
      <c r="U72" s="28" cm="1">
        <f t="array" ref="U72">SUMPRODUCT(($I67:U67))-SUMPRODUCT(($I67:U67)*($I$6:U$6&lt;=(U$6-$E14)))</f>
        <v>-3500000</v>
      </c>
      <c r="V72" s="28" cm="1">
        <f t="array" ref="V72">SUMPRODUCT(($I67:V67))-SUMPRODUCT(($I67:V67)*($I$6:V$6&lt;=(V$6-$E14)))</f>
        <v>-3500000</v>
      </c>
      <c r="W72" s="28" cm="1">
        <f t="array" ref="W72">SUMPRODUCT(($I67:W67))-SUMPRODUCT(($I67:W67)*($I$6:W$6&lt;=(W$6-$E14)))</f>
        <v>-3500000</v>
      </c>
      <c r="X72" s="28" cm="1">
        <f t="array" ref="X72">SUMPRODUCT(($I67:X67))-SUMPRODUCT(($I67:X67)*($I$6:X$6&lt;=(X$6-$E14)))</f>
        <v>-3500000</v>
      </c>
      <c r="Y72" s="28" cm="1">
        <f t="array" ref="Y72">SUMPRODUCT(($I67:Y67))-SUMPRODUCT(($I67:Y67)*($I$6:Y$6&lt;=(Y$6-$E14)))</f>
        <v>-3500000</v>
      </c>
      <c r="Z72" s="28" cm="1">
        <f t="array" ref="Z72">SUMPRODUCT(($I67:Z67))-SUMPRODUCT(($I67:Z67)*($I$6:Z$6&lt;=(Z$6-$E14)))</f>
        <v>-3500000</v>
      </c>
      <c r="AA72" s="28" cm="1">
        <f t="array" ref="AA72">SUMPRODUCT(($I67:AA67))-SUMPRODUCT(($I67:AA67)*($I$6:AA$6&lt;=(AA$6-$E14)))</f>
        <v>-3500000</v>
      </c>
      <c r="AB72" s="28" cm="1">
        <f t="array" ref="AB72">SUMPRODUCT(($I67:AB67))-SUMPRODUCT(($I67:AB67)*($I$6:AB$6&lt;=(AB$6-$E14)))</f>
        <v>-3500000</v>
      </c>
      <c r="AC72" s="28" cm="1">
        <f t="array" ref="AC72">SUMPRODUCT(($I67:AC67))-SUMPRODUCT(($I67:AC67)*($I$6:AC$6&lt;=(AC$6-$E14)))</f>
        <v>-3500000</v>
      </c>
      <c r="AD72" s="28" cm="1">
        <f t="array" ref="AD72">SUMPRODUCT(($I67:AD67))-SUMPRODUCT(($I67:AD67)*($I$6:AD$6&lt;=(AD$6-$E14)))</f>
        <v>-3500000</v>
      </c>
      <c r="AE72" s="28" cm="1">
        <f t="array" ref="AE72">SUMPRODUCT(($I67:AE67))-SUMPRODUCT(($I67:AE67)*($I$6:AE$6&lt;=(AE$6-$E14)))</f>
        <v>-3500000</v>
      </c>
      <c r="AF72" s="28" cm="1">
        <f t="array" ref="AF72">SUMPRODUCT(($I67:AF67))-SUMPRODUCT(($I67:AF67)*($I$6:AF$6&lt;=(AF$6-$E14)))</f>
        <v>-3500000</v>
      </c>
      <c r="AG72" s="28" cm="1">
        <f t="array" ref="AG72">SUMPRODUCT(($I67:AG67))-SUMPRODUCT(($I67:AG67)*($I$6:AG$6&lt;=(AG$6-$E14)))</f>
        <v>-3500000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New feeder from MTC to WBE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-74608.991741458958</v>
      </c>
      <c r="N77" s="28">
        <f t="shared" si="8"/>
        <v>-149217.98348291792</v>
      </c>
      <c r="O77" s="28">
        <f t="shared" si="8"/>
        <v>-149217.98348291792</v>
      </c>
      <c r="P77" s="28">
        <f t="shared" si="8"/>
        <v>-149217.98348291792</v>
      </c>
      <c r="Q77" s="28">
        <f t="shared" si="8"/>
        <v>-149217.98348291792</v>
      </c>
      <c r="R77" s="28">
        <f t="shared" si="8"/>
        <v>-149217.98348291792</v>
      </c>
      <c r="S77" s="28">
        <f t="shared" si="8"/>
        <v>-149217.98348291792</v>
      </c>
      <c r="T77" s="28">
        <f t="shared" si="8"/>
        <v>-149217.98348291792</v>
      </c>
      <c r="U77" s="28">
        <f t="shared" si="8"/>
        <v>-149217.98348291792</v>
      </c>
      <c r="V77" s="28">
        <f t="shared" si="8"/>
        <v>-149217.98348291792</v>
      </c>
      <c r="W77" s="28">
        <f t="shared" si="8"/>
        <v>-149217.98348291792</v>
      </c>
      <c r="X77" s="28">
        <f t="shared" si="8"/>
        <v>-149217.98348291792</v>
      </c>
      <c r="Y77" s="28">
        <f t="shared" si="8"/>
        <v>-149217.98348291792</v>
      </c>
      <c r="Z77" s="28">
        <f t="shared" si="8"/>
        <v>-149217.98348291792</v>
      </c>
      <c r="AA77" s="28">
        <f t="shared" si="8"/>
        <v>-149217.98348291792</v>
      </c>
      <c r="AB77" s="28">
        <f t="shared" si="8"/>
        <v>-149217.98348291792</v>
      </c>
      <c r="AC77" s="28">
        <f t="shared" si="8"/>
        <v>-149217.98348291792</v>
      </c>
      <c r="AD77" s="28">
        <f t="shared" si="8"/>
        <v>-149217.98348291792</v>
      </c>
      <c r="AE77" s="28">
        <f t="shared" si="8"/>
        <v>-149217.98348291792</v>
      </c>
      <c r="AF77" s="28">
        <f t="shared" si="8"/>
        <v>-149217.98348291792</v>
      </c>
      <c r="AG77" s="28">
        <f t="shared" si="8"/>
        <v>-149217.98348291792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-74608.991741458958</v>
      </c>
      <c r="N80" s="152">
        <f t="shared" si="11"/>
        <v>-149217.98348291792</v>
      </c>
      <c r="O80" s="152">
        <f t="shared" si="11"/>
        <v>-149217.98348291792</v>
      </c>
      <c r="P80" s="152">
        <f t="shared" si="11"/>
        <v>-149217.98348291792</v>
      </c>
      <c r="Q80" s="152">
        <f t="shared" si="11"/>
        <v>-149217.98348291792</v>
      </c>
      <c r="R80" s="152">
        <f t="shared" si="11"/>
        <v>-149217.98348291792</v>
      </c>
      <c r="S80" s="152">
        <f t="shared" si="11"/>
        <v>-149217.98348291792</v>
      </c>
      <c r="T80" s="152">
        <f t="shared" si="11"/>
        <v>-149217.98348291792</v>
      </c>
      <c r="U80" s="152">
        <f t="shared" si="11"/>
        <v>-149217.98348291792</v>
      </c>
      <c r="V80" s="152">
        <f t="shared" si="11"/>
        <v>-149217.98348291792</v>
      </c>
      <c r="W80" s="152">
        <f t="shared" si="11"/>
        <v>-149217.98348291792</v>
      </c>
      <c r="X80" s="152">
        <f t="shared" si="11"/>
        <v>-149217.98348291792</v>
      </c>
      <c r="Y80" s="152">
        <f t="shared" si="11"/>
        <v>-149217.98348291792</v>
      </c>
      <c r="Z80" s="152">
        <f t="shared" si="11"/>
        <v>-149217.98348291792</v>
      </c>
      <c r="AA80" s="152">
        <f t="shared" si="11"/>
        <v>-149217.98348291792</v>
      </c>
      <c r="AB80" s="152">
        <f t="shared" si="11"/>
        <v>-149217.98348291792</v>
      </c>
      <c r="AC80" s="152">
        <f>SUM(AC77:AC79)</f>
        <v>-149217.98348291792</v>
      </c>
      <c r="AD80" s="152">
        <f>SUM(AD77:AD79)</f>
        <v>-149217.98348291792</v>
      </c>
      <c r="AE80" s="152">
        <f>SUM(AE77:AE79)</f>
        <v>-149217.98348291792</v>
      </c>
      <c r="AF80" s="152">
        <f>SUM(AF77:AF79)</f>
        <v>-149217.98348291792</v>
      </c>
      <c r="AG80" s="152">
        <f>SUM(AG77:AG79)</f>
        <v>-149217.98348291792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-74608.991741458958</v>
      </c>
      <c r="N82" s="28">
        <f t="shared" si="13"/>
        <v>-149217.98348291792</v>
      </c>
      <c r="O82" s="28">
        <f t="shared" si="13"/>
        <v>-149217.98348291792</v>
      </c>
      <c r="P82" s="28">
        <f t="shared" si="13"/>
        <v>-149217.98348291792</v>
      </c>
      <c r="Q82" s="28">
        <f t="shared" si="13"/>
        <v>-149217.98348291792</v>
      </c>
      <c r="R82" s="28">
        <f t="shared" si="13"/>
        <v>-149217.98348291792</v>
      </c>
      <c r="S82" s="28">
        <f t="shared" si="13"/>
        <v>-149217.98348291792</v>
      </c>
      <c r="T82" s="28">
        <f t="shared" si="13"/>
        <v>-149217.98348291792</v>
      </c>
      <c r="U82" s="28">
        <f t="shared" si="13"/>
        <v>-149217.98348291792</v>
      </c>
      <c r="V82" s="28">
        <f t="shared" si="13"/>
        <v>-149217.98348291792</v>
      </c>
      <c r="W82" s="28">
        <f t="shared" si="13"/>
        <v>-149217.98348291792</v>
      </c>
      <c r="X82" s="28">
        <f t="shared" si="13"/>
        <v>-149217.98348291792</v>
      </c>
      <c r="Y82" s="28">
        <f t="shared" si="13"/>
        <v>-149217.98348291792</v>
      </c>
      <c r="Z82" s="28">
        <f t="shared" si="13"/>
        <v>-149217.98348291792</v>
      </c>
      <c r="AA82" s="28">
        <f t="shared" si="13"/>
        <v>-149217.98348291792</v>
      </c>
      <c r="AB82" s="28">
        <f t="shared" si="13"/>
        <v>-149217.98348291792</v>
      </c>
      <c r="AC82" s="28">
        <f>AC80</f>
        <v>-149217.98348291792</v>
      </c>
      <c r="AD82" s="28">
        <f>AD80</f>
        <v>-149217.98348291792</v>
      </c>
      <c r="AE82" s="28">
        <f>AE80</f>
        <v>-149217.98348291792</v>
      </c>
      <c r="AF82" s="28">
        <f>AF80</f>
        <v>-149217.98348291792</v>
      </c>
      <c r="AG82" s="28">
        <f>AG80</f>
        <v>-149217.98348291792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105979.52310593768</v>
      </c>
      <c r="O84" s="28">
        <f t="shared" si="15"/>
        <v>221630.96677669286</v>
      </c>
      <c r="P84" s="28">
        <f t="shared" si="15"/>
        <v>362678.68777757231</v>
      </c>
      <c r="Q84" s="28">
        <f t="shared" si="15"/>
        <v>362678.68777757231</v>
      </c>
      <c r="R84" s="28">
        <f t="shared" si="15"/>
        <v>362678.68777757231</v>
      </c>
      <c r="S84" s="28">
        <f t="shared" si="15"/>
        <v>362678.68777757231</v>
      </c>
      <c r="T84" s="28">
        <f t="shared" si="15"/>
        <v>362678.68777757231</v>
      </c>
      <c r="U84" s="28">
        <f t="shared" si="15"/>
        <v>362678.68777757231</v>
      </c>
      <c r="V84" s="28">
        <f t="shared" si="15"/>
        <v>362678.68777757231</v>
      </c>
      <c r="W84" s="28">
        <f t="shared" si="15"/>
        <v>362678.68777757231</v>
      </c>
      <c r="X84" s="28">
        <f t="shared" si="15"/>
        <v>362678.68777757231</v>
      </c>
      <c r="Y84" s="28">
        <f t="shared" si="15"/>
        <v>362678.68777757231</v>
      </c>
      <c r="Z84" s="28">
        <f t="shared" si="15"/>
        <v>362678.68777757231</v>
      </c>
      <c r="AA84" s="28">
        <f t="shared" si="15"/>
        <v>362678.68777757231</v>
      </c>
      <c r="AB84" s="28">
        <f t="shared" si="15"/>
        <v>362678.68777757231</v>
      </c>
      <c r="AC84" s="28">
        <f>AC64</f>
        <v>362678.68777757231</v>
      </c>
      <c r="AD84" s="28">
        <f>AD64</f>
        <v>362678.68777757231</v>
      </c>
      <c r="AE84" s="28">
        <f>AE64</f>
        <v>362678.68777757231</v>
      </c>
      <c r="AF84" s="28">
        <f>AF64</f>
        <v>362678.68777757231</v>
      </c>
      <c r="AG84" s="28">
        <f>AG64</f>
        <v>362678.68777757231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-74608.991741458958</v>
      </c>
      <c r="N87" s="155">
        <f t="shared" si="17"/>
        <v>-43238.460376980234</v>
      </c>
      <c r="O87" s="155">
        <f t="shared" si="17"/>
        <v>72412.983293774945</v>
      </c>
      <c r="P87" s="155">
        <f t="shared" si="17"/>
        <v>213460.7042946544</v>
      </c>
      <c r="Q87" s="155">
        <f t="shared" si="17"/>
        <v>213460.7042946544</v>
      </c>
      <c r="R87" s="155">
        <f t="shared" si="17"/>
        <v>213460.7042946544</v>
      </c>
      <c r="S87" s="155">
        <f t="shared" si="17"/>
        <v>213460.7042946544</v>
      </c>
      <c r="T87" s="155">
        <f t="shared" si="17"/>
        <v>213460.7042946544</v>
      </c>
      <c r="U87" s="155">
        <f t="shared" si="17"/>
        <v>213460.7042946544</v>
      </c>
      <c r="V87" s="155">
        <f t="shared" si="17"/>
        <v>213460.7042946544</v>
      </c>
      <c r="W87" s="155">
        <f t="shared" si="17"/>
        <v>213460.7042946544</v>
      </c>
      <c r="X87" s="155">
        <f t="shared" si="17"/>
        <v>213460.7042946544</v>
      </c>
      <c r="Y87" s="155">
        <f t="shared" si="17"/>
        <v>213460.7042946544</v>
      </c>
      <c r="Z87" s="155">
        <f t="shared" si="17"/>
        <v>213460.7042946544</v>
      </c>
      <c r="AA87" s="155">
        <f t="shared" si="17"/>
        <v>213460.7042946544</v>
      </c>
      <c r="AB87" s="155">
        <f t="shared" si="17"/>
        <v>213460.7042946544</v>
      </c>
      <c r="AC87" s="155">
        <f>SUM(AC82:AC86)</f>
        <v>213460.7042946544</v>
      </c>
      <c r="AD87" s="155">
        <f>SUM(AD82:AD86)</f>
        <v>213460.7042946544</v>
      </c>
      <c r="AE87" s="155">
        <f>SUM(AE82:AE86)</f>
        <v>213460.7042946544</v>
      </c>
      <c r="AF87" s="155">
        <f>SUM(AF82:AF86)</f>
        <v>213460.7042946544</v>
      </c>
      <c r="AG87" s="155">
        <f>SUM(AG82:AG86)</f>
        <v>213460.7042946544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4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A91" s="6"/>
      <c r="B91" s="6"/>
      <c r="C91" s="72"/>
      <c r="D91" s="208"/>
      <c r="E91" s="205"/>
      <c r="F91" s="206"/>
      <c r="G91" s="207"/>
      <c r="H91" s="30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</row>
    <row r="92" spans="1:33" x14ac:dyDescent="0.2">
      <c r="C92" s="209" t="s">
        <v>193</v>
      </c>
      <c r="D92" s="210"/>
      <c r="E92" s="210"/>
      <c r="F92" s="210"/>
      <c r="G92" s="211">
        <f>IF(_xlfn.MINIFS($G$90:$G$91, $G$90:$G$91, "&gt;"&amp;0)=0, $A$4, _xlfn.MINIFS($G$90:$G$91, $G$90:$G$91, "&gt;"&amp;0))</f>
        <v>4</v>
      </c>
    </row>
    <row r="94" spans="1:33" x14ac:dyDescent="0.2">
      <c r="G94" s="1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x14ac:dyDescent="0.2"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</row>
    <row r="96" spans="1:33" x14ac:dyDescent="0.2"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</row>
    <row r="97" spans="1:43" x14ac:dyDescent="0.2"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</row>
    <row r="98" spans="1:43" x14ac:dyDescent="0.2"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</row>
    <row r="99" spans="1:43" x14ac:dyDescent="0.2"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</row>
    <row r="100" spans="1:43" x14ac:dyDescent="0.2"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</row>
    <row r="101" spans="1:43" x14ac:dyDescent="0.2"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D105"/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2NPV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-74608.991741458958</v>
      </c>
      <c r="N106" s="28">
        <f t="shared" si="18"/>
        <v>-43238.460376980234</v>
      </c>
      <c r="O106" s="28">
        <f t="shared" si="18"/>
        <v>72412.983293774945</v>
      </c>
      <c r="P106" s="28">
        <f t="shared" si="18"/>
        <v>213460.7042946544</v>
      </c>
      <c r="Q106" s="28">
        <f t="shared" si="18"/>
        <v>213460.7042946544</v>
      </c>
      <c r="R106" s="28">
        <f t="shared" si="18"/>
        <v>213460.7042946544</v>
      </c>
      <c r="S106" s="28">
        <f t="shared" si="18"/>
        <v>213460.7042946544</v>
      </c>
      <c r="T106" s="28">
        <f t="shared" si="18"/>
        <v>213460.7042946544</v>
      </c>
      <c r="U106" s="28">
        <f t="shared" si="18"/>
        <v>213460.7042946544</v>
      </c>
      <c r="V106" s="28">
        <f t="shared" si="18"/>
        <v>213460.7042946544</v>
      </c>
      <c r="W106" s="28">
        <f t="shared" si="18"/>
        <v>213460.7042946544</v>
      </c>
      <c r="X106" s="28">
        <f t="shared" si="18"/>
        <v>213460.7042946544</v>
      </c>
      <c r="Y106" s="28">
        <f t="shared" si="18"/>
        <v>213460.7042946544</v>
      </c>
      <c r="Z106" s="28">
        <f t="shared" si="18"/>
        <v>213460.7042946544</v>
      </c>
      <c r="AA106" s="28">
        <f t="shared" si="18"/>
        <v>213460.7042946544</v>
      </c>
      <c r="AB106" s="28">
        <f t="shared" si="18"/>
        <v>213460.7042946544</v>
      </c>
      <c r="AC106" s="28">
        <f t="shared" si="18"/>
        <v>213460.7042946544</v>
      </c>
      <c r="AD106" s="28">
        <f t="shared" si="18"/>
        <v>213460.7042946544</v>
      </c>
      <c r="AE106" s="28">
        <f t="shared" si="18"/>
        <v>213460.7042946544</v>
      </c>
      <c r="AF106" s="28">
        <f t="shared" si="18"/>
        <v>213460.7042946544</v>
      </c>
      <c r="AG106" s="28">
        <f t="shared" si="18"/>
        <v>213460.7042946544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-74608.991741458958</v>
      </c>
      <c r="N107" s="28">
        <f t="shared" si="19"/>
        <v>-149217.98348291792</v>
      </c>
      <c r="O107" s="28">
        <f t="shared" si="19"/>
        <v>-149217.98348291792</v>
      </c>
      <c r="P107" s="28">
        <f t="shared" si="19"/>
        <v>-149217.98348291792</v>
      </c>
      <c r="Q107" s="28">
        <f t="shared" si="19"/>
        <v>-149217.98348291792</v>
      </c>
      <c r="R107" s="28">
        <f t="shared" si="19"/>
        <v>-149217.98348291792</v>
      </c>
      <c r="S107" s="28">
        <f t="shared" si="19"/>
        <v>-149217.98348291792</v>
      </c>
      <c r="T107" s="28">
        <f t="shared" si="19"/>
        <v>-149217.98348291792</v>
      </c>
      <c r="U107" s="28">
        <f t="shared" si="19"/>
        <v>-149217.98348291792</v>
      </c>
      <c r="V107" s="28">
        <f t="shared" si="19"/>
        <v>-149217.98348291792</v>
      </c>
      <c r="W107" s="28">
        <f t="shared" si="19"/>
        <v>-149217.98348291792</v>
      </c>
      <c r="X107" s="28">
        <f t="shared" si="19"/>
        <v>-149217.98348291792</v>
      </c>
      <c r="Y107" s="28">
        <f t="shared" si="19"/>
        <v>-149217.98348291792</v>
      </c>
      <c r="Z107" s="28">
        <f t="shared" si="19"/>
        <v>-149217.98348291792</v>
      </c>
      <c r="AA107" s="28">
        <f t="shared" si="19"/>
        <v>-149217.98348291792</v>
      </c>
      <c r="AB107" s="28">
        <f t="shared" si="19"/>
        <v>-149217.98348291792</v>
      </c>
      <c r="AC107" s="28">
        <f t="shared" si="19"/>
        <v>-149217.98348291792</v>
      </c>
      <c r="AD107" s="28">
        <f t="shared" si="19"/>
        <v>-149217.98348291792</v>
      </c>
      <c r="AE107" s="28">
        <f t="shared" si="19"/>
        <v>-149217.98348291792</v>
      </c>
      <c r="AF107" s="28">
        <f t="shared" si="19"/>
        <v>-149217.98348291792</v>
      </c>
      <c r="AG107" s="28">
        <f t="shared" si="19"/>
        <v>-149217.98348291792</v>
      </c>
    </row>
    <row r="108" spans="1:43" x14ac:dyDescent="0.2">
      <c r="C108" s="1" t="s">
        <v>241</v>
      </c>
      <c r="D108" s="223"/>
      <c r="E108" s="34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105979.52310593768</v>
      </c>
      <c r="O108" s="28">
        <f t="shared" si="20"/>
        <v>221630.96677669286</v>
      </c>
      <c r="P108" s="28">
        <f t="shared" si="20"/>
        <v>362678.68777757231</v>
      </c>
      <c r="Q108" s="28">
        <f t="shared" si="20"/>
        <v>362678.68777757231</v>
      </c>
      <c r="R108" s="28">
        <f t="shared" si="20"/>
        <v>362678.68777757231</v>
      </c>
      <c r="S108" s="28">
        <f t="shared" si="20"/>
        <v>362678.68777757231</v>
      </c>
      <c r="T108" s="28">
        <f t="shared" si="20"/>
        <v>362678.68777757231</v>
      </c>
      <c r="U108" s="28">
        <f t="shared" si="20"/>
        <v>362678.68777757231</v>
      </c>
      <c r="V108" s="28">
        <f t="shared" si="20"/>
        <v>362678.68777757231</v>
      </c>
      <c r="W108" s="28">
        <f t="shared" si="20"/>
        <v>362678.68777757231</v>
      </c>
      <c r="X108" s="28">
        <f t="shared" si="20"/>
        <v>362678.68777757231</v>
      </c>
      <c r="Y108" s="28">
        <f t="shared" si="20"/>
        <v>362678.68777757231</v>
      </c>
      <c r="Z108" s="28">
        <f t="shared" si="20"/>
        <v>362678.68777757231</v>
      </c>
      <c r="AA108" s="28">
        <f t="shared" si="20"/>
        <v>362678.68777757231</v>
      </c>
      <c r="AB108" s="28">
        <f t="shared" si="20"/>
        <v>362678.68777757231</v>
      </c>
      <c r="AC108" s="28">
        <f t="shared" si="20"/>
        <v>362678.68777757231</v>
      </c>
      <c r="AD108" s="28">
        <f t="shared" si="20"/>
        <v>362678.68777757231</v>
      </c>
      <c r="AE108" s="28">
        <f t="shared" si="20"/>
        <v>362678.68777757231</v>
      </c>
      <c r="AF108" s="28">
        <f t="shared" si="20"/>
        <v>362678.68777757231</v>
      </c>
      <c r="AG108" s="28">
        <f t="shared" si="20"/>
        <v>362678.68777757231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2sens1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-82069.890915604861</v>
      </c>
      <c r="N110" s="28" cm="1">
        <f t="array" ref="N110">N$106+IF($C110&lt;&gt;0,SUMPRODUCT((N$107:N$108)*TRANSPOSE(($D110:$E110))),0)</f>
        <v>-58160.258725272026</v>
      </c>
      <c r="O110" s="28" cm="1">
        <f t="array" ref="O110">O$106+IF($C110&lt;&gt;0,SUMPRODUCT((O$107:O$108)*TRANSPOSE(($D110:$E110))),0)</f>
        <v>57491.184945483154</v>
      </c>
      <c r="P110" s="28" cm="1">
        <f t="array" ref="P110">P$106+IF($C110&lt;&gt;0,SUMPRODUCT((P$107:P$108)*TRANSPOSE(($D110:$E110))),0)</f>
        <v>198538.90594636259</v>
      </c>
      <c r="Q110" s="28" cm="1">
        <f t="array" ref="Q110">Q$106+IF($C110&lt;&gt;0,SUMPRODUCT((Q$107:Q$108)*TRANSPOSE(($D110:$E110))),0)</f>
        <v>198538.90594636259</v>
      </c>
      <c r="R110" s="28" cm="1">
        <f t="array" ref="R110">R$106+IF($C110&lt;&gt;0,SUMPRODUCT((R$107:R$108)*TRANSPOSE(($D110:$E110))),0)</f>
        <v>198538.90594636259</v>
      </c>
      <c r="S110" s="28" cm="1">
        <f t="array" ref="S110">S$106+IF($C110&lt;&gt;0,SUMPRODUCT((S$107:S$108)*TRANSPOSE(($D110:$E110))),0)</f>
        <v>198538.90594636259</v>
      </c>
      <c r="T110" s="28" cm="1">
        <f t="array" ref="T110">T$106+IF($C110&lt;&gt;0,SUMPRODUCT((T$107:T$108)*TRANSPOSE(($D110:$E110))),0)</f>
        <v>198538.90594636259</v>
      </c>
      <c r="U110" s="28" cm="1">
        <f t="array" ref="U110">U$106+IF($C110&lt;&gt;0,SUMPRODUCT((U$107:U$108)*TRANSPOSE(($D110:$E110))),0)</f>
        <v>198538.90594636259</v>
      </c>
      <c r="V110" s="28" cm="1">
        <f t="array" ref="V110">V$106+IF($C110&lt;&gt;0,SUMPRODUCT((V$107:V$108)*TRANSPOSE(($D110:$E110))),0)</f>
        <v>198538.90594636259</v>
      </c>
      <c r="W110" s="28" cm="1">
        <f t="array" ref="W110">W$106+IF($C110&lt;&gt;0,SUMPRODUCT((W$107:W$108)*TRANSPOSE(($D110:$E110))),0)</f>
        <v>198538.90594636259</v>
      </c>
      <c r="X110" s="28" cm="1">
        <f t="array" ref="X110">X$106+IF($C110&lt;&gt;0,SUMPRODUCT((X$107:X$108)*TRANSPOSE(($D110:$E110))),0)</f>
        <v>198538.90594636259</v>
      </c>
      <c r="Y110" s="28" cm="1">
        <f t="array" ref="Y110">Y$106+IF($C110&lt;&gt;0,SUMPRODUCT((Y$107:Y$108)*TRANSPOSE(($D110:$E110))),0)</f>
        <v>198538.90594636259</v>
      </c>
      <c r="Z110" s="28" cm="1">
        <f t="array" ref="Z110">Z$106+IF($C110&lt;&gt;0,SUMPRODUCT((Z$107:Z$108)*TRANSPOSE(($D110:$E110))),0)</f>
        <v>198538.90594636259</v>
      </c>
      <c r="AA110" s="28" cm="1">
        <f t="array" ref="AA110">AA$106+IF($C110&lt;&gt;0,SUMPRODUCT((AA$107:AA$108)*TRANSPOSE(($D110:$E110))),0)</f>
        <v>198538.90594636259</v>
      </c>
      <c r="AB110" s="28" cm="1">
        <f t="array" ref="AB110">AB$106+IF($C110&lt;&gt;0,SUMPRODUCT((AB$107:AB$108)*TRANSPOSE(($D110:$E110))),0)</f>
        <v>198538.90594636259</v>
      </c>
      <c r="AC110" s="28" cm="1">
        <f t="array" ref="AC110">AC$106+IF($C110&lt;&gt;0,SUMPRODUCT((AC$107:AC$108)*TRANSPOSE(($D110:$E110))),0)</f>
        <v>198538.90594636259</v>
      </c>
      <c r="AD110" s="28" cm="1">
        <f t="array" ref="AD110">AD$106+IF($C110&lt;&gt;0,SUMPRODUCT((AD$107:AD$108)*TRANSPOSE(($D110:$E110))),0)</f>
        <v>198538.90594636259</v>
      </c>
      <c r="AE110" s="28" cm="1">
        <f t="array" ref="AE110">AE$106+IF($C110&lt;&gt;0,SUMPRODUCT((AE$107:AE$108)*TRANSPOSE(($D110:$E110))),0)</f>
        <v>198538.90594636259</v>
      </c>
      <c r="AF110" s="28" cm="1">
        <f t="array" ref="AF110">AF$106+IF($C110&lt;&gt;0,SUMPRODUCT((AF$107:AF$108)*TRANSPOSE(($D110:$E110))),0)</f>
        <v>198538.90594636259</v>
      </c>
      <c r="AG110" s="28" cm="1">
        <f t="array" ref="AG110">AG$106+IF($C110&lt;&gt;0,SUMPRODUCT((AG$107:AG$108)*TRANSPOSE(($D110:$E110))),0)</f>
        <v>198538.90594636259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2sens2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-67148.092567313055</v>
      </c>
      <c r="N111" s="28" cm="1">
        <f t="array" ref="N111">N$106+IF($C111&lt;&gt;0,SUMPRODUCT((N$107:N$108)*TRANSPOSE(($D111:$E111))),0)</f>
        <v>-28316.662028688443</v>
      </c>
      <c r="O111" s="28" cm="1">
        <f t="array" ref="O111">O$106+IF($C111&lt;&gt;0,SUMPRODUCT((O$107:O$108)*TRANSPOSE(($D111:$E111))),0)</f>
        <v>87334.781642066737</v>
      </c>
      <c r="P111" s="28" cm="1">
        <f t="array" ref="P111">P$106+IF($C111&lt;&gt;0,SUMPRODUCT((P$107:P$108)*TRANSPOSE(($D111:$E111))),0)</f>
        <v>228382.5026429462</v>
      </c>
      <c r="Q111" s="28" cm="1">
        <f t="array" ref="Q111">Q$106+IF($C111&lt;&gt;0,SUMPRODUCT((Q$107:Q$108)*TRANSPOSE(($D111:$E111))),0)</f>
        <v>228382.5026429462</v>
      </c>
      <c r="R111" s="28" cm="1">
        <f t="array" ref="R111">R$106+IF($C111&lt;&gt;0,SUMPRODUCT((R$107:R$108)*TRANSPOSE(($D111:$E111))),0)</f>
        <v>228382.5026429462</v>
      </c>
      <c r="S111" s="28" cm="1">
        <f t="array" ref="S111">S$106+IF($C111&lt;&gt;0,SUMPRODUCT((S$107:S$108)*TRANSPOSE(($D111:$E111))),0)</f>
        <v>228382.5026429462</v>
      </c>
      <c r="T111" s="28" cm="1">
        <f t="array" ref="T111">T$106+IF($C111&lt;&gt;0,SUMPRODUCT((T$107:T$108)*TRANSPOSE(($D111:$E111))),0)</f>
        <v>228382.5026429462</v>
      </c>
      <c r="U111" s="28" cm="1">
        <f t="array" ref="U111">U$106+IF($C111&lt;&gt;0,SUMPRODUCT((U$107:U$108)*TRANSPOSE(($D111:$E111))),0)</f>
        <v>228382.5026429462</v>
      </c>
      <c r="V111" s="28" cm="1">
        <f t="array" ref="V111">V$106+IF($C111&lt;&gt;0,SUMPRODUCT((V$107:V$108)*TRANSPOSE(($D111:$E111))),0)</f>
        <v>228382.5026429462</v>
      </c>
      <c r="W111" s="28" cm="1">
        <f t="array" ref="W111">W$106+IF($C111&lt;&gt;0,SUMPRODUCT((W$107:W$108)*TRANSPOSE(($D111:$E111))),0)</f>
        <v>228382.5026429462</v>
      </c>
      <c r="X111" s="28" cm="1">
        <f t="array" ref="X111">X$106+IF($C111&lt;&gt;0,SUMPRODUCT((X$107:X$108)*TRANSPOSE(($D111:$E111))),0)</f>
        <v>228382.5026429462</v>
      </c>
      <c r="Y111" s="28" cm="1">
        <f t="array" ref="Y111">Y$106+IF($C111&lt;&gt;0,SUMPRODUCT((Y$107:Y$108)*TRANSPOSE(($D111:$E111))),0)</f>
        <v>228382.5026429462</v>
      </c>
      <c r="Z111" s="28" cm="1">
        <f t="array" ref="Z111">Z$106+IF($C111&lt;&gt;0,SUMPRODUCT((Z$107:Z$108)*TRANSPOSE(($D111:$E111))),0)</f>
        <v>228382.5026429462</v>
      </c>
      <c r="AA111" s="28" cm="1">
        <f t="array" ref="AA111">AA$106+IF($C111&lt;&gt;0,SUMPRODUCT((AA$107:AA$108)*TRANSPOSE(($D111:$E111))),0)</f>
        <v>228382.5026429462</v>
      </c>
      <c r="AB111" s="28" cm="1">
        <f t="array" ref="AB111">AB$106+IF($C111&lt;&gt;0,SUMPRODUCT((AB$107:AB$108)*TRANSPOSE(($D111:$E111))),0)</f>
        <v>228382.5026429462</v>
      </c>
      <c r="AC111" s="28" cm="1">
        <f t="array" ref="AC111">AC$106+IF($C111&lt;&gt;0,SUMPRODUCT((AC$107:AC$108)*TRANSPOSE(($D111:$E111))),0)</f>
        <v>228382.5026429462</v>
      </c>
      <c r="AD111" s="28" cm="1">
        <f t="array" ref="AD111">AD$106+IF($C111&lt;&gt;0,SUMPRODUCT((AD$107:AD$108)*TRANSPOSE(($D111:$E111))),0)</f>
        <v>228382.5026429462</v>
      </c>
      <c r="AE111" s="28" cm="1">
        <f t="array" ref="AE111">AE$106+IF($C111&lt;&gt;0,SUMPRODUCT((AE$107:AE$108)*TRANSPOSE(($D111:$E111))),0)</f>
        <v>228382.5026429462</v>
      </c>
      <c r="AF111" s="28" cm="1">
        <f t="array" ref="AF111">AF$106+IF($C111&lt;&gt;0,SUMPRODUCT((AF$107:AF$108)*TRANSPOSE(($D111:$E111))),0)</f>
        <v>228382.5026429462</v>
      </c>
      <c r="AG111" s="28" cm="1">
        <f t="array" ref="AG111">AG$106+IF($C111&lt;&gt;0,SUMPRODUCT((AG$107:AG$108)*TRANSPOSE(($D111:$E111))),0)</f>
        <v>228382.5026429462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2sens3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-74608.991741458958</v>
      </c>
      <c r="N112" s="28" cm="1">
        <f t="array" ref="N112">N$106+IF($C112&lt;&gt;0,SUMPRODUCT((N$107:N$108)*TRANSPOSE(($D112:$E112))),0)</f>
        <v>-32640.508066386465</v>
      </c>
      <c r="O112" s="28" cm="1">
        <f t="array" ref="O112">O$106+IF($C112&lt;&gt;0,SUMPRODUCT((O$107:O$108)*TRANSPOSE(($D112:$E112))),0)</f>
        <v>94576.07997144424</v>
      </c>
      <c r="P112" s="28" cm="1">
        <f t="array" ref="P112">P$106+IF($C112&lt;&gt;0,SUMPRODUCT((P$107:P$108)*TRANSPOSE(($D112:$E112))),0)</f>
        <v>249728.57307241164</v>
      </c>
      <c r="Q112" s="28" cm="1">
        <f t="array" ref="Q112">Q$106+IF($C112&lt;&gt;0,SUMPRODUCT((Q$107:Q$108)*TRANSPOSE(($D112:$E112))),0)</f>
        <v>249728.57307241164</v>
      </c>
      <c r="R112" s="28" cm="1">
        <f t="array" ref="R112">R$106+IF($C112&lt;&gt;0,SUMPRODUCT((R$107:R$108)*TRANSPOSE(($D112:$E112))),0)</f>
        <v>249728.57307241164</v>
      </c>
      <c r="S112" s="28" cm="1">
        <f t="array" ref="S112">S$106+IF($C112&lt;&gt;0,SUMPRODUCT((S$107:S$108)*TRANSPOSE(($D112:$E112))),0)</f>
        <v>249728.57307241164</v>
      </c>
      <c r="T112" s="28" cm="1">
        <f t="array" ref="T112">T$106+IF($C112&lt;&gt;0,SUMPRODUCT((T$107:T$108)*TRANSPOSE(($D112:$E112))),0)</f>
        <v>249728.57307241164</v>
      </c>
      <c r="U112" s="28" cm="1">
        <f t="array" ref="U112">U$106+IF($C112&lt;&gt;0,SUMPRODUCT((U$107:U$108)*TRANSPOSE(($D112:$E112))),0)</f>
        <v>249728.57307241164</v>
      </c>
      <c r="V112" s="28" cm="1">
        <f t="array" ref="V112">V$106+IF($C112&lt;&gt;0,SUMPRODUCT((V$107:V$108)*TRANSPOSE(($D112:$E112))),0)</f>
        <v>249728.57307241164</v>
      </c>
      <c r="W112" s="28" cm="1">
        <f t="array" ref="W112">W$106+IF($C112&lt;&gt;0,SUMPRODUCT((W$107:W$108)*TRANSPOSE(($D112:$E112))),0)</f>
        <v>249728.57307241164</v>
      </c>
      <c r="X112" s="28" cm="1">
        <f t="array" ref="X112">X$106+IF($C112&lt;&gt;0,SUMPRODUCT((X$107:X$108)*TRANSPOSE(($D112:$E112))),0)</f>
        <v>249728.57307241164</v>
      </c>
      <c r="Y112" s="28" cm="1">
        <f t="array" ref="Y112">Y$106+IF($C112&lt;&gt;0,SUMPRODUCT((Y$107:Y$108)*TRANSPOSE(($D112:$E112))),0)</f>
        <v>249728.57307241164</v>
      </c>
      <c r="Z112" s="28" cm="1">
        <f t="array" ref="Z112">Z$106+IF($C112&lt;&gt;0,SUMPRODUCT((Z$107:Z$108)*TRANSPOSE(($D112:$E112))),0)</f>
        <v>249728.57307241164</v>
      </c>
      <c r="AA112" s="28" cm="1">
        <f t="array" ref="AA112">AA$106+IF($C112&lt;&gt;0,SUMPRODUCT((AA$107:AA$108)*TRANSPOSE(($D112:$E112))),0)</f>
        <v>249728.57307241164</v>
      </c>
      <c r="AB112" s="28" cm="1">
        <f t="array" ref="AB112">AB$106+IF($C112&lt;&gt;0,SUMPRODUCT((AB$107:AB$108)*TRANSPOSE(($D112:$E112))),0)</f>
        <v>249728.57307241164</v>
      </c>
      <c r="AC112" s="28" cm="1">
        <f t="array" ref="AC112">AC$106+IF($C112&lt;&gt;0,SUMPRODUCT((AC$107:AC$108)*TRANSPOSE(($D112:$E112))),0)</f>
        <v>249728.57307241164</v>
      </c>
      <c r="AD112" s="28" cm="1">
        <f t="array" ref="AD112">AD$106+IF($C112&lt;&gt;0,SUMPRODUCT((AD$107:AD$108)*TRANSPOSE(($D112:$E112))),0)</f>
        <v>249728.57307241164</v>
      </c>
      <c r="AE112" s="28" cm="1">
        <f t="array" ref="AE112">AE$106+IF($C112&lt;&gt;0,SUMPRODUCT((AE$107:AE$108)*TRANSPOSE(($D112:$E112))),0)</f>
        <v>249728.57307241164</v>
      </c>
      <c r="AF112" s="28" cm="1">
        <f t="array" ref="AF112">AF$106+IF($C112&lt;&gt;0,SUMPRODUCT((AF$107:AF$108)*TRANSPOSE(($D112:$E112))),0)</f>
        <v>249728.57307241164</v>
      </c>
      <c r="AG112" s="28" cm="1">
        <f t="array" ref="AG112">AG$106+IF($C112&lt;&gt;0,SUMPRODUCT((AG$107:AG$108)*TRANSPOSE(($D112:$E112))),0)</f>
        <v>249728.57307241164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2sens4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-74608.991741458958</v>
      </c>
      <c r="N113" s="28" cm="1">
        <f t="array" ref="N113">N$106+IF($C113&lt;&gt;0,SUMPRODUCT((N$107:N$108)*TRANSPOSE(($D113:$E113))),0)</f>
        <v>-53836.412687574004</v>
      </c>
      <c r="O113" s="28" cm="1">
        <f t="array" ref="O113">O$106+IF($C113&lt;&gt;0,SUMPRODUCT((O$107:O$108)*TRANSPOSE(($D113:$E113))),0)</f>
        <v>50249.886616105658</v>
      </c>
      <c r="P113" s="28" cm="1">
        <f t="array" ref="P113">P$106+IF($C113&lt;&gt;0,SUMPRODUCT((P$107:P$108)*TRANSPOSE(($D113:$E113))),0)</f>
        <v>177192.83551689715</v>
      </c>
      <c r="Q113" s="28" cm="1">
        <f t="array" ref="Q113">Q$106+IF($C113&lt;&gt;0,SUMPRODUCT((Q$107:Q$108)*TRANSPOSE(($D113:$E113))),0)</f>
        <v>177192.83551689715</v>
      </c>
      <c r="R113" s="28" cm="1">
        <f t="array" ref="R113">R$106+IF($C113&lt;&gt;0,SUMPRODUCT((R$107:R$108)*TRANSPOSE(($D113:$E113))),0)</f>
        <v>177192.83551689715</v>
      </c>
      <c r="S113" s="28" cm="1">
        <f t="array" ref="S113">S$106+IF($C113&lt;&gt;0,SUMPRODUCT((S$107:S$108)*TRANSPOSE(($D113:$E113))),0)</f>
        <v>177192.83551689715</v>
      </c>
      <c r="T113" s="28" cm="1">
        <f t="array" ref="T113">T$106+IF($C113&lt;&gt;0,SUMPRODUCT((T$107:T$108)*TRANSPOSE(($D113:$E113))),0)</f>
        <v>177192.83551689715</v>
      </c>
      <c r="U113" s="28" cm="1">
        <f t="array" ref="U113">U$106+IF($C113&lt;&gt;0,SUMPRODUCT((U$107:U$108)*TRANSPOSE(($D113:$E113))),0)</f>
        <v>177192.83551689715</v>
      </c>
      <c r="V113" s="28" cm="1">
        <f t="array" ref="V113">V$106+IF($C113&lt;&gt;0,SUMPRODUCT((V$107:V$108)*TRANSPOSE(($D113:$E113))),0)</f>
        <v>177192.83551689715</v>
      </c>
      <c r="W113" s="28" cm="1">
        <f t="array" ref="W113">W$106+IF($C113&lt;&gt;0,SUMPRODUCT((W$107:W$108)*TRANSPOSE(($D113:$E113))),0)</f>
        <v>177192.83551689715</v>
      </c>
      <c r="X113" s="28" cm="1">
        <f t="array" ref="X113">X$106+IF($C113&lt;&gt;0,SUMPRODUCT((X$107:X$108)*TRANSPOSE(($D113:$E113))),0)</f>
        <v>177192.83551689715</v>
      </c>
      <c r="Y113" s="28" cm="1">
        <f t="array" ref="Y113">Y$106+IF($C113&lt;&gt;0,SUMPRODUCT((Y$107:Y$108)*TRANSPOSE(($D113:$E113))),0)</f>
        <v>177192.83551689715</v>
      </c>
      <c r="Z113" s="28" cm="1">
        <f t="array" ref="Z113">Z$106+IF($C113&lt;&gt;0,SUMPRODUCT((Z$107:Z$108)*TRANSPOSE(($D113:$E113))),0)</f>
        <v>177192.83551689715</v>
      </c>
      <c r="AA113" s="28" cm="1">
        <f t="array" ref="AA113">AA$106+IF($C113&lt;&gt;0,SUMPRODUCT((AA$107:AA$108)*TRANSPOSE(($D113:$E113))),0)</f>
        <v>177192.83551689715</v>
      </c>
      <c r="AB113" s="28" cm="1">
        <f t="array" ref="AB113">AB$106+IF($C113&lt;&gt;0,SUMPRODUCT((AB$107:AB$108)*TRANSPOSE(($D113:$E113))),0)</f>
        <v>177192.83551689715</v>
      </c>
      <c r="AC113" s="28" cm="1">
        <f t="array" ref="AC113">AC$106+IF($C113&lt;&gt;0,SUMPRODUCT((AC$107:AC$108)*TRANSPOSE(($D113:$E113))),0)</f>
        <v>177192.83551689715</v>
      </c>
      <c r="AD113" s="28" cm="1">
        <f t="array" ref="AD113">AD$106+IF($C113&lt;&gt;0,SUMPRODUCT((AD$107:AD$108)*TRANSPOSE(($D113:$E113))),0)</f>
        <v>177192.83551689715</v>
      </c>
      <c r="AE113" s="28" cm="1">
        <f t="array" ref="AE113">AE$106+IF($C113&lt;&gt;0,SUMPRODUCT((AE$107:AE$108)*TRANSPOSE(($D113:$E113))),0)</f>
        <v>177192.83551689715</v>
      </c>
      <c r="AF113" s="28" cm="1">
        <f t="array" ref="AF113">AF$106+IF($C113&lt;&gt;0,SUMPRODUCT((AF$107:AF$108)*TRANSPOSE(($D113:$E113))),0)</f>
        <v>177192.83551689715</v>
      </c>
      <c r="AG113" s="28" cm="1">
        <f t="array" ref="AG113">AG$106+IF($C113&lt;&gt;0,SUMPRODUCT((AG$107:AG$108)*TRANSPOSE(($D113:$E113))),0)</f>
        <v>177192.83551689715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2sens5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-82069.890915604861</v>
      </c>
      <c r="N114" s="28" cm="1">
        <f t="array" ref="N114">N$106+IF($C114&lt;&gt;0,SUMPRODUCT((N$107:N$108)*TRANSPOSE(($D114:$E114))),0)</f>
        <v>-68758.211035865796</v>
      </c>
      <c r="O114" s="28" cm="1">
        <f t="array" ref="O114">O$106+IF($C114&lt;&gt;0,SUMPRODUCT((O$107:O$108)*TRANSPOSE(($D114:$E114))),0)</f>
        <v>35328.088267813866</v>
      </c>
      <c r="P114" s="28" cm="1">
        <f t="array" ref="P114">P$106+IF($C114&lt;&gt;0,SUMPRODUCT((P$107:P$108)*TRANSPOSE(($D114:$E114))),0)</f>
        <v>162271.03716860537</v>
      </c>
      <c r="Q114" s="28" cm="1">
        <f t="array" ref="Q114">Q$106+IF($C114&lt;&gt;0,SUMPRODUCT((Q$107:Q$108)*TRANSPOSE(($D114:$E114))),0)</f>
        <v>162271.03716860537</v>
      </c>
      <c r="R114" s="28" cm="1">
        <f t="array" ref="R114">R$106+IF($C114&lt;&gt;0,SUMPRODUCT((R$107:R$108)*TRANSPOSE(($D114:$E114))),0)</f>
        <v>162271.03716860537</v>
      </c>
      <c r="S114" s="28" cm="1">
        <f t="array" ref="S114">S$106+IF($C114&lt;&gt;0,SUMPRODUCT((S$107:S$108)*TRANSPOSE(($D114:$E114))),0)</f>
        <v>162271.03716860537</v>
      </c>
      <c r="T114" s="28" cm="1">
        <f t="array" ref="T114">T$106+IF($C114&lt;&gt;0,SUMPRODUCT((T$107:T$108)*TRANSPOSE(($D114:$E114))),0)</f>
        <v>162271.03716860537</v>
      </c>
      <c r="U114" s="28" cm="1">
        <f t="array" ref="U114">U$106+IF($C114&lt;&gt;0,SUMPRODUCT((U$107:U$108)*TRANSPOSE(($D114:$E114))),0)</f>
        <v>162271.03716860537</v>
      </c>
      <c r="V114" s="28" cm="1">
        <f t="array" ref="V114">V$106+IF($C114&lt;&gt;0,SUMPRODUCT((V$107:V$108)*TRANSPOSE(($D114:$E114))),0)</f>
        <v>162271.03716860537</v>
      </c>
      <c r="W114" s="28" cm="1">
        <f t="array" ref="W114">W$106+IF($C114&lt;&gt;0,SUMPRODUCT((W$107:W$108)*TRANSPOSE(($D114:$E114))),0)</f>
        <v>162271.03716860537</v>
      </c>
      <c r="X114" s="28" cm="1">
        <f t="array" ref="X114">X$106+IF($C114&lt;&gt;0,SUMPRODUCT((X$107:X$108)*TRANSPOSE(($D114:$E114))),0)</f>
        <v>162271.03716860537</v>
      </c>
      <c r="Y114" s="28" cm="1">
        <f t="array" ref="Y114">Y$106+IF($C114&lt;&gt;0,SUMPRODUCT((Y$107:Y$108)*TRANSPOSE(($D114:$E114))),0)</f>
        <v>162271.03716860537</v>
      </c>
      <c r="Z114" s="28" cm="1">
        <f t="array" ref="Z114">Z$106+IF($C114&lt;&gt;0,SUMPRODUCT((Z$107:Z$108)*TRANSPOSE(($D114:$E114))),0)</f>
        <v>162271.03716860537</v>
      </c>
      <c r="AA114" s="28" cm="1">
        <f t="array" ref="AA114">AA$106+IF($C114&lt;&gt;0,SUMPRODUCT((AA$107:AA$108)*TRANSPOSE(($D114:$E114))),0)</f>
        <v>162271.03716860537</v>
      </c>
      <c r="AB114" s="28" cm="1">
        <f t="array" ref="AB114">AB$106+IF($C114&lt;&gt;0,SUMPRODUCT((AB$107:AB$108)*TRANSPOSE(($D114:$E114))),0)</f>
        <v>162271.03716860537</v>
      </c>
      <c r="AC114" s="28" cm="1">
        <f t="array" ref="AC114">AC$106+IF($C114&lt;&gt;0,SUMPRODUCT((AC$107:AC$108)*TRANSPOSE(($D114:$E114))),0)</f>
        <v>162271.03716860537</v>
      </c>
      <c r="AD114" s="28" cm="1">
        <f t="array" ref="AD114">AD$106+IF($C114&lt;&gt;0,SUMPRODUCT((AD$107:AD$108)*TRANSPOSE(($D114:$E114))),0)</f>
        <v>162271.03716860537</v>
      </c>
      <c r="AE114" s="28" cm="1">
        <f t="array" ref="AE114">AE$106+IF($C114&lt;&gt;0,SUMPRODUCT((AE$107:AE$108)*TRANSPOSE(($D114:$E114))),0)</f>
        <v>162271.03716860537</v>
      </c>
      <c r="AF114" s="28" cm="1">
        <f t="array" ref="AF114">AF$106+IF($C114&lt;&gt;0,SUMPRODUCT((AF$107:AF$108)*TRANSPOSE(($D114:$E114))),0)</f>
        <v>162271.03716860537</v>
      </c>
      <c r="AG114" s="28" cm="1">
        <f t="array" ref="AG114">AG$106+IF($C114&lt;&gt;0,SUMPRODUCT((AG$107:AG$108)*TRANSPOSE(($D114:$E114))),0)</f>
        <v>162271.03716860537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2sens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-74608.991741458958</v>
      </c>
      <c r="N115" s="28" cm="1">
        <f t="array" ref="N115">N$106+IF($C115&lt;&gt;0,SUMPRODUCT((N$107:N$108)*TRANSPOSE(($D115:$E115))),0)</f>
        <v>-43238.460376980234</v>
      </c>
      <c r="O115" s="28" cm="1">
        <f t="array" ref="O115">O$106+IF($C115&lt;&gt;0,SUMPRODUCT((O$107:O$108)*TRANSPOSE(($D115:$E115))),0)</f>
        <v>72412.983293774945</v>
      </c>
      <c r="P115" s="28" cm="1">
        <f t="array" ref="P115">P$106+IF($C115&lt;&gt;0,SUMPRODUCT((P$107:P$108)*TRANSPOSE(($D115:$E115))),0)</f>
        <v>213460.7042946544</v>
      </c>
      <c r="Q115" s="28" cm="1">
        <f t="array" ref="Q115">Q$106+IF($C115&lt;&gt;0,SUMPRODUCT((Q$107:Q$108)*TRANSPOSE(($D115:$E115))),0)</f>
        <v>213460.7042946544</v>
      </c>
      <c r="R115" s="28" cm="1">
        <f t="array" ref="R115">R$106+IF($C115&lt;&gt;0,SUMPRODUCT((R$107:R$108)*TRANSPOSE(($D115:$E115))),0)</f>
        <v>213460.7042946544</v>
      </c>
      <c r="S115" s="28" cm="1">
        <f t="array" ref="S115">S$106+IF($C115&lt;&gt;0,SUMPRODUCT((S$107:S$108)*TRANSPOSE(($D115:$E115))),0)</f>
        <v>213460.7042946544</v>
      </c>
      <c r="T115" s="28" cm="1">
        <f t="array" ref="T115">T$106+IF($C115&lt;&gt;0,SUMPRODUCT((T$107:T$108)*TRANSPOSE(($D115:$E115))),0)</f>
        <v>213460.7042946544</v>
      </c>
      <c r="U115" s="28" cm="1">
        <f t="array" ref="U115">U$106+IF($C115&lt;&gt;0,SUMPRODUCT((U$107:U$108)*TRANSPOSE(($D115:$E115))),0)</f>
        <v>213460.7042946544</v>
      </c>
      <c r="V115" s="28" cm="1">
        <f t="array" ref="V115">V$106+IF($C115&lt;&gt;0,SUMPRODUCT((V$107:V$108)*TRANSPOSE(($D115:$E115))),0)</f>
        <v>213460.7042946544</v>
      </c>
      <c r="W115" s="28" cm="1">
        <f t="array" ref="W115">W$106+IF($C115&lt;&gt;0,SUMPRODUCT((W$107:W$108)*TRANSPOSE(($D115:$E115))),0)</f>
        <v>213460.7042946544</v>
      </c>
      <c r="X115" s="28" cm="1">
        <f t="array" ref="X115">X$106+IF($C115&lt;&gt;0,SUMPRODUCT((X$107:X$108)*TRANSPOSE(($D115:$E115))),0)</f>
        <v>213460.7042946544</v>
      </c>
      <c r="Y115" s="28" cm="1">
        <f t="array" ref="Y115">Y$106+IF($C115&lt;&gt;0,SUMPRODUCT((Y$107:Y$108)*TRANSPOSE(($D115:$E115))),0)</f>
        <v>213460.7042946544</v>
      </c>
      <c r="Z115" s="28" cm="1">
        <f t="array" ref="Z115">Z$106+IF($C115&lt;&gt;0,SUMPRODUCT((Z$107:Z$108)*TRANSPOSE(($D115:$E115))),0)</f>
        <v>213460.7042946544</v>
      </c>
      <c r="AA115" s="28" cm="1">
        <f t="array" ref="AA115">AA$106+IF($C115&lt;&gt;0,SUMPRODUCT((AA$107:AA$108)*TRANSPOSE(($D115:$E115))),0)</f>
        <v>213460.7042946544</v>
      </c>
      <c r="AB115" s="28" cm="1">
        <f t="array" ref="AB115">AB$106+IF($C115&lt;&gt;0,SUMPRODUCT((AB$107:AB$108)*TRANSPOSE(($D115:$E115))),0)</f>
        <v>213460.7042946544</v>
      </c>
      <c r="AC115" s="28" cm="1">
        <f t="array" ref="AC115">AC$106+IF($C115&lt;&gt;0,SUMPRODUCT((AC$107:AC$108)*TRANSPOSE(($D115:$E115))),0)</f>
        <v>213460.7042946544</v>
      </c>
      <c r="AD115" s="28" cm="1">
        <f t="array" ref="AD115">AD$106+IF($C115&lt;&gt;0,SUMPRODUCT((AD$107:AD$108)*TRANSPOSE(($D115:$E115))),0)</f>
        <v>213460.7042946544</v>
      </c>
      <c r="AE115" s="28" cm="1">
        <f t="array" ref="AE115">AE$106+IF($C115&lt;&gt;0,SUMPRODUCT((AE$107:AE$108)*TRANSPOSE(($D115:$E115))),0)</f>
        <v>213460.7042946544</v>
      </c>
      <c r="AF115" s="28" cm="1">
        <f t="array" ref="AF115">AF$106+IF($C115&lt;&gt;0,SUMPRODUCT((AF$107:AF$108)*TRANSPOSE(($D115:$E115))),0)</f>
        <v>213460.7042946544</v>
      </c>
      <c r="AG115" s="28" cm="1">
        <f t="array" ref="AG115">AG$106+IF($C115&lt;&gt;0,SUMPRODUCT((AG$107:AG$108)*TRANSPOSE(($D115:$E115))),0)</f>
        <v>213460.7042946544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2sens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-74608.991741458958</v>
      </c>
      <c r="N116" s="28" cm="1">
        <f t="array" ref="N116">N$106+IF($C116&lt;&gt;0,SUMPRODUCT((N$107:N$108)*TRANSPOSE(($D116:$E116))),0)</f>
        <v>-43238.460376980234</v>
      </c>
      <c r="O116" s="28" cm="1">
        <f t="array" ref="O116">O$106+IF($C116&lt;&gt;0,SUMPRODUCT((O$107:O$108)*TRANSPOSE(($D116:$E116))),0)</f>
        <v>72412.983293774945</v>
      </c>
      <c r="P116" s="28" cm="1">
        <f t="array" ref="P116">P$106+IF($C116&lt;&gt;0,SUMPRODUCT((P$107:P$108)*TRANSPOSE(($D116:$E116))),0)</f>
        <v>213460.7042946544</v>
      </c>
      <c r="Q116" s="28" cm="1">
        <f t="array" ref="Q116">Q$106+IF($C116&lt;&gt;0,SUMPRODUCT((Q$107:Q$108)*TRANSPOSE(($D116:$E116))),0)</f>
        <v>213460.7042946544</v>
      </c>
      <c r="R116" s="28" cm="1">
        <f t="array" ref="R116">R$106+IF($C116&lt;&gt;0,SUMPRODUCT((R$107:R$108)*TRANSPOSE(($D116:$E116))),0)</f>
        <v>213460.7042946544</v>
      </c>
      <c r="S116" s="28" cm="1">
        <f t="array" ref="S116">S$106+IF($C116&lt;&gt;0,SUMPRODUCT((S$107:S$108)*TRANSPOSE(($D116:$E116))),0)</f>
        <v>213460.7042946544</v>
      </c>
      <c r="T116" s="28" cm="1">
        <f t="array" ref="T116">T$106+IF($C116&lt;&gt;0,SUMPRODUCT((T$107:T$108)*TRANSPOSE(($D116:$E116))),0)</f>
        <v>213460.7042946544</v>
      </c>
      <c r="U116" s="28" cm="1">
        <f t="array" ref="U116">U$106+IF($C116&lt;&gt;0,SUMPRODUCT((U$107:U$108)*TRANSPOSE(($D116:$E116))),0)</f>
        <v>213460.7042946544</v>
      </c>
      <c r="V116" s="28" cm="1">
        <f t="array" ref="V116">V$106+IF($C116&lt;&gt;0,SUMPRODUCT((V$107:V$108)*TRANSPOSE(($D116:$E116))),0)</f>
        <v>213460.7042946544</v>
      </c>
      <c r="W116" s="28" cm="1">
        <f t="array" ref="W116">W$106+IF($C116&lt;&gt;0,SUMPRODUCT((W$107:W$108)*TRANSPOSE(($D116:$E116))),0)</f>
        <v>213460.7042946544</v>
      </c>
      <c r="X116" s="28" cm="1">
        <f t="array" ref="X116">X$106+IF($C116&lt;&gt;0,SUMPRODUCT((X$107:X$108)*TRANSPOSE(($D116:$E116))),0)</f>
        <v>213460.7042946544</v>
      </c>
      <c r="Y116" s="28" cm="1">
        <f t="array" ref="Y116">Y$106+IF($C116&lt;&gt;0,SUMPRODUCT((Y$107:Y$108)*TRANSPOSE(($D116:$E116))),0)</f>
        <v>213460.7042946544</v>
      </c>
      <c r="Z116" s="28" cm="1">
        <f t="array" ref="Z116">Z$106+IF($C116&lt;&gt;0,SUMPRODUCT((Z$107:Z$108)*TRANSPOSE(($D116:$E116))),0)</f>
        <v>213460.7042946544</v>
      </c>
      <c r="AA116" s="28" cm="1">
        <f t="array" ref="AA116">AA$106+IF($C116&lt;&gt;0,SUMPRODUCT((AA$107:AA$108)*TRANSPOSE(($D116:$E116))),0)</f>
        <v>213460.7042946544</v>
      </c>
      <c r="AB116" s="28" cm="1">
        <f t="array" ref="AB116">AB$106+IF($C116&lt;&gt;0,SUMPRODUCT((AB$107:AB$108)*TRANSPOSE(($D116:$E116))),0)</f>
        <v>213460.7042946544</v>
      </c>
      <c r="AC116" s="28" cm="1">
        <f t="array" ref="AC116">AC$106+IF($C116&lt;&gt;0,SUMPRODUCT((AC$107:AC$108)*TRANSPOSE(($D116:$E116))),0)</f>
        <v>213460.7042946544</v>
      </c>
      <c r="AD116" s="28" cm="1">
        <f t="array" ref="AD116">AD$106+IF($C116&lt;&gt;0,SUMPRODUCT((AD$107:AD$108)*TRANSPOSE(($D116:$E116))),0)</f>
        <v>213460.7042946544</v>
      </c>
      <c r="AE116" s="28" cm="1">
        <f t="array" ref="AE116">AE$106+IF($C116&lt;&gt;0,SUMPRODUCT((AE$107:AE$108)*TRANSPOSE(($D116:$E116))),0)</f>
        <v>213460.7042946544</v>
      </c>
      <c r="AF116" s="28" cm="1">
        <f t="array" ref="AF116">AF$106+IF($C116&lt;&gt;0,SUMPRODUCT((AF$107:AF$108)*TRANSPOSE(($D116:$E116))),0)</f>
        <v>213460.7042946544</v>
      </c>
      <c r="AG116" s="28" cm="1">
        <f t="array" ref="AG116">AG$106+IF($C116&lt;&gt;0,SUMPRODUCT((AG$107:AG$108)*TRANSPOSE(($D116:$E116))),0)</f>
        <v>213460.7042946544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2sens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-74608.991741458958</v>
      </c>
      <c r="N117" s="28" cm="1">
        <f t="array" ref="N117">N$106+IF($C117&lt;&gt;0,SUMPRODUCT((N$107:N$108)*TRANSPOSE(($D117:$E117))),0)</f>
        <v>-43238.460376980234</v>
      </c>
      <c r="O117" s="28" cm="1">
        <f t="array" ref="O117">O$106+IF($C117&lt;&gt;0,SUMPRODUCT((O$107:O$108)*TRANSPOSE(($D117:$E117))),0)</f>
        <v>72412.983293774945</v>
      </c>
      <c r="P117" s="28" cm="1">
        <f t="array" ref="P117">P$106+IF($C117&lt;&gt;0,SUMPRODUCT((P$107:P$108)*TRANSPOSE(($D117:$E117))),0)</f>
        <v>213460.7042946544</v>
      </c>
      <c r="Q117" s="28" cm="1">
        <f t="array" ref="Q117">Q$106+IF($C117&lt;&gt;0,SUMPRODUCT((Q$107:Q$108)*TRANSPOSE(($D117:$E117))),0)</f>
        <v>213460.7042946544</v>
      </c>
      <c r="R117" s="28" cm="1">
        <f t="array" ref="R117">R$106+IF($C117&lt;&gt;0,SUMPRODUCT((R$107:R$108)*TRANSPOSE(($D117:$E117))),0)</f>
        <v>213460.7042946544</v>
      </c>
      <c r="S117" s="28" cm="1">
        <f t="array" ref="S117">S$106+IF($C117&lt;&gt;0,SUMPRODUCT((S$107:S$108)*TRANSPOSE(($D117:$E117))),0)</f>
        <v>213460.7042946544</v>
      </c>
      <c r="T117" s="28" cm="1">
        <f t="array" ref="T117">T$106+IF($C117&lt;&gt;0,SUMPRODUCT((T$107:T$108)*TRANSPOSE(($D117:$E117))),0)</f>
        <v>213460.7042946544</v>
      </c>
      <c r="U117" s="28" cm="1">
        <f t="array" ref="U117">U$106+IF($C117&lt;&gt;0,SUMPRODUCT((U$107:U$108)*TRANSPOSE(($D117:$E117))),0)</f>
        <v>213460.7042946544</v>
      </c>
      <c r="V117" s="28" cm="1">
        <f t="array" ref="V117">V$106+IF($C117&lt;&gt;0,SUMPRODUCT((V$107:V$108)*TRANSPOSE(($D117:$E117))),0)</f>
        <v>213460.7042946544</v>
      </c>
      <c r="W117" s="28" cm="1">
        <f t="array" ref="W117">W$106+IF($C117&lt;&gt;0,SUMPRODUCT((W$107:W$108)*TRANSPOSE(($D117:$E117))),0)</f>
        <v>213460.7042946544</v>
      </c>
      <c r="X117" s="28" cm="1">
        <f t="array" ref="X117">X$106+IF($C117&lt;&gt;0,SUMPRODUCT((X$107:X$108)*TRANSPOSE(($D117:$E117))),0)</f>
        <v>213460.7042946544</v>
      </c>
      <c r="Y117" s="28" cm="1">
        <f t="array" ref="Y117">Y$106+IF($C117&lt;&gt;0,SUMPRODUCT((Y$107:Y$108)*TRANSPOSE(($D117:$E117))),0)</f>
        <v>213460.7042946544</v>
      </c>
      <c r="Z117" s="28" cm="1">
        <f t="array" ref="Z117">Z$106+IF($C117&lt;&gt;0,SUMPRODUCT((Z$107:Z$108)*TRANSPOSE(($D117:$E117))),0)</f>
        <v>213460.7042946544</v>
      </c>
      <c r="AA117" s="28" cm="1">
        <f t="array" ref="AA117">AA$106+IF($C117&lt;&gt;0,SUMPRODUCT((AA$107:AA$108)*TRANSPOSE(($D117:$E117))),0)</f>
        <v>213460.7042946544</v>
      </c>
      <c r="AB117" s="28" cm="1">
        <f t="array" ref="AB117">AB$106+IF($C117&lt;&gt;0,SUMPRODUCT((AB$107:AB$108)*TRANSPOSE(($D117:$E117))),0)</f>
        <v>213460.7042946544</v>
      </c>
      <c r="AC117" s="28" cm="1">
        <f t="array" ref="AC117">AC$106+IF($C117&lt;&gt;0,SUMPRODUCT((AC$107:AC$108)*TRANSPOSE(($D117:$E117))),0)</f>
        <v>213460.7042946544</v>
      </c>
      <c r="AD117" s="28" cm="1">
        <f t="array" ref="AD117">AD$106+IF($C117&lt;&gt;0,SUMPRODUCT((AD$107:AD$108)*TRANSPOSE(($D117:$E117))),0)</f>
        <v>213460.7042946544</v>
      </c>
      <c r="AE117" s="28" cm="1">
        <f t="array" ref="AE117">AE$106+IF($C117&lt;&gt;0,SUMPRODUCT((AE$107:AE$108)*TRANSPOSE(($D117:$E117))),0)</f>
        <v>213460.7042946544</v>
      </c>
      <c r="AF117" s="28" cm="1">
        <f t="array" ref="AF117">AF$106+IF($C117&lt;&gt;0,SUMPRODUCT((AF$107:AF$108)*TRANSPOSE(($D117:$E117))),0)</f>
        <v>213460.7042946544</v>
      </c>
      <c r="AG117" s="28" cm="1">
        <f t="array" ref="AG117">AG$106+IF($C117&lt;&gt;0,SUMPRODUCT((AG$107:AG$108)*TRANSPOSE(($D117:$E117))),0)</f>
        <v>213460.7042946544</v>
      </c>
    </row>
    <row r="118" spans="1:33" x14ac:dyDescent="0.2">
      <c r="E118" s="216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29" spans="9:12" x14ac:dyDescent="0.2">
      <c r="I129" s="220"/>
      <c r="J129" s="220"/>
      <c r="K129" s="220"/>
      <c r="L129" s="220"/>
    </row>
    <row r="130" spans="9:12" x14ac:dyDescent="0.2">
      <c r="I130" s="220"/>
      <c r="J130" s="220"/>
      <c r="K130" s="220"/>
      <c r="L130" s="220"/>
    </row>
    <row r="131" spans="9:12" x14ac:dyDescent="0.2">
      <c r="I131" s="220"/>
      <c r="J131" s="220"/>
      <c r="K131" s="220"/>
      <c r="L131" s="220"/>
    </row>
    <row r="132" spans="9:12" x14ac:dyDescent="0.2">
      <c r="I132" s="220"/>
      <c r="J132" s="220"/>
      <c r="K132" s="220"/>
      <c r="L132" s="220"/>
    </row>
    <row r="133" spans="9:12" x14ac:dyDescent="0.2">
      <c r="I133" s="220"/>
      <c r="J133" s="220"/>
      <c r="K133" s="220"/>
      <c r="L133" s="220"/>
    </row>
    <row r="134" spans="9:12" x14ac:dyDescent="0.2">
      <c r="I134" s="220"/>
      <c r="J134" s="220"/>
      <c r="K134" s="220"/>
      <c r="L134" s="220"/>
    </row>
    <row r="135" spans="9:12" x14ac:dyDescent="0.2">
      <c r="I135" s="220"/>
      <c r="J135" s="220"/>
      <c r="K135" s="220"/>
      <c r="L135" s="220"/>
    </row>
    <row r="136" spans="9:12" x14ac:dyDescent="0.2">
      <c r="I136" s="220"/>
      <c r="J136" s="220"/>
      <c r="K136" s="220"/>
      <c r="L136" s="220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5" sqref="C15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Melton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135</v>
      </c>
      <c r="B3" s="5"/>
      <c r="C3" s="176" t="str">
        <f>INDEX(Assumptions!$E$14:$E$18, MATCH(A3,_xlfn.ANCHORARRAY( Assumptions!$C$14),0))</f>
        <v>New PCK zone substation</v>
      </c>
    </row>
    <row r="4" spans="1:43" x14ac:dyDescent="0.2">
      <c r="A4" s="1" t="str">
        <f>(INDEX(Data!$D$9:$D$13, MATCH(A3, options,0)))</f>
        <v/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Assumptions!E16</f>
        <v>New PCK zone substation</v>
      </c>
      <c r="D14"/>
      <c r="E14" s="127">
        <v>50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31058735.5</v>
      </c>
      <c r="N14" s="29">
        <v>31058735.5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31058735.5</v>
      </c>
      <c r="N17" s="94">
        <f t="shared" si="0"/>
        <v>31058735.5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B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  <c r="AH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/>
    </row>
    <row r="20" spans="1:43" x14ac:dyDescent="0.2">
      <c r="G20" s="180"/>
      <c r="AH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1.2870406074766447E-2</v>
      </c>
      <c r="K27" s="145">
        <v>0.19298095495327017</v>
      </c>
      <c r="L27" s="145">
        <v>0.48502307621920449</v>
      </c>
      <c r="M27" s="145">
        <v>1.0866840459937461</v>
      </c>
      <c r="N27" s="145">
        <v>2.69546533533748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39317.709531096138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506.0348875949224</v>
      </c>
      <c r="K28" s="28">
        <f t="shared" si="2"/>
        <v>7587.5691318862246</v>
      </c>
      <c r="L28" s="28">
        <f t="shared" si="2"/>
        <v>19069.996426665384</v>
      </c>
      <c r="M28" s="28">
        <f t="shared" si="2"/>
        <v>42725.927672458427</v>
      </c>
      <c r="N28" s="28">
        <f t="shared" si="2"/>
        <v>105979.52310593768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B36" si="3">SUM(J28:J34)</f>
        <v>506.0348875949224</v>
      </c>
      <c r="K36" s="147">
        <f t="shared" si="3"/>
        <v>7587.5691318862246</v>
      </c>
      <c r="L36" s="147">
        <f t="shared" si="3"/>
        <v>19069.996426665384</v>
      </c>
      <c r="M36" s="147">
        <f t="shared" si="3"/>
        <v>42725.927672458427</v>
      </c>
      <c r="N36" s="147">
        <f t="shared" si="3"/>
        <v>105979.52310593768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>SUM(AC28:AC34)</f>
        <v>0</v>
      </c>
      <c r="AD36" s="147">
        <f>SUM(AD28:AD34)</f>
        <v>0</v>
      </c>
      <c r="AE36" s="147">
        <f>SUM(AE28:AE34)</f>
        <v>0</v>
      </c>
      <c r="AF36" s="147">
        <f>SUM(AF28:AF34)</f>
        <v>0</v>
      </c>
      <c r="AG36" s="147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/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/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/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/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/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/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/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/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/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/>
    </row>
    <row r="56" spans="1:43" x14ac:dyDescent="0.2">
      <c r="D56" s="180"/>
      <c r="G56" s="180"/>
      <c r="AH56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  <c r="AH57"/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221630.96677669286</v>
      </c>
      <c r="P64" s="112">
        <f>(1-INDEX(Data!$C$9:$C$13, MATCH($A$3, options,0)))*('Option1 (base case)'!P36-P36)</f>
        <v>362678.68777757231</v>
      </c>
      <c r="Q64" s="112">
        <f>(1-INDEX(Data!$C$9:$C$13, MATCH($A$3, options,0)))*('Option1 (base case)'!Q36-Q36)</f>
        <v>362678.68777757231</v>
      </c>
      <c r="R64" s="112">
        <f>(1-INDEX(Data!$C$9:$C$13, MATCH($A$3, options,0)))*('Option1 (base case)'!R36-R36)</f>
        <v>362678.68777757231</v>
      </c>
      <c r="S64" s="112">
        <f>(1-INDEX(Data!$C$9:$C$13, MATCH($A$3, options,0)))*('Option1 (base case)'!S36-S36)</f>
        <v>362678.68777757231</v>
      </c>
      <c r="T64" s="112">
        <f>(1-INDEX(Data!$C$9:$C$13, MATCH($A$3, options,0)))*('Option1 (base case)'!T36-T36)</f>
        <v>362678.68777757231</v>
      </c>
      <c r="U64" s="112">
        <f>(1-INDEX(Data!$C$9:$C$13, MATCH($A$3, options,0)))*('Option1 (base case)'!U36-U36)</f>
        <v>362678.68777757231</v>
      </c>
      <c r="V64" s="112">
        <f>(1-INDEX(Data!$C$9:$C$13, MATCH($A$3, options,0)))*('Option1 (base case)'!V36-V36)</f>
        <v>362678.68777757231</v>
      </c>
      <c r="W64" s="112">
        <f>(1-INDEX(Data!$C$9:$C$13, MATCH($A$3, options,0)))*('Option1 (base case)'!W36-W36)</f>
        <v>362678.68777757231</v>
      </c>
      <c r="X64" s="112">
        <f>(1-INDEX(Data!$C$9:$C$13, MATCH($A$3, options,0)))*('Option1 (base case)'!X36-X36)</f>
        <v>362678.68777757231</v>
      </c>
      <c r="Y64" s="112">
        <f>(1-INDEX(Data!$C$9:$C$13, MATCH($A$3, options,0)))*('Option1 (base case)'!Y36-Y36)</f>
        <v>362678.68777757231</v>
      </c>
      <c r="Z64" s="112">
        <f>(1-INDEX(Data!$C$9:$C$13, MATCH($A$3, options,0)))*('Option1 (base case)'!Z36-Z36)</f>
        <v>362678.68777757231</v>
      </c>
      <c r="AA64" s="112">
        <f>(1-INDEX(Data!$C$9:$C$13, MATCH($A$3, options,0)))*('Option1 (base case)'!AA36-AA36)</f>
        <v>362678.68777757231</v>
      </c>
      <c r="AB64" s="112">
        <f>(1-INDEX(Data!$C$9:$C$13, MATCH($A$3, options,0)))*('Option1 (base case)'!AB36-AB36)</f>
        <v>362678.68777757231</v>
      </c>
      <c r="AC64" s="112">
        <f>(1-INDEX(Data!$C$9:$C$13, MATCH($A$3, options,0)))*('Option1 (base case)'!AC36-AC36)</f>
        <v>362678.68777757231</v>
      </c>
      <c r="AD64" s="112">
        <f>(1-INDEX(Data!$C$9:$C$13, MATCH($A$3, options,0)))*('Option1 (base case)'!AD36-AD36)</f>
        <v>362678.68777757231</v>
      </c>
      <c r="AE64" s="112">
        <f>(1-INDEX(Data!$C$9:$C$13, MATCH($A$3, options,0)))*('Option1 (base case)'!AE36-AE36)</f>
        <v>362678.68777757231</v>
      </c>
      <c r="AF64" s="112">
        <f>(1-INDEX(Data!$C$9:$C$13, MATCH($A$3, options,0)))*('Option1 (base case)'!AF36-AF36)</f>
        <v>362678.68777757231</v>
      </c>
      <c r="AG64" s="112">
        <f>(1-INDEX(Data!$C$9:$C$13, MATCH($A$3, options,0)))*('Option1 (base case)'!AG36-AG36)</f>
        <v>362678.68777757231</v>
      </c>
      <c r="AH64"/>
    </row>
    <row r="65" spans="1:34" x14ac:dyDescent="0.2">
      <c r="G65" s="187"/>
      <c r="AH65"/>
    </row>
    <row r="66" spans="1:34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/>
    </row>
    <row r="67" spans="1:34" x14ac:dyDescent="0.2">
      <c r="A67" s="6"/>
      <c r="B67" s="6"/>
      <c r="C67" s="4" t="str">
        <f>C14</f>
        <v>New PCK zone substation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-31058735.5</v>
      </c>
      <c r="N67" s="28">
        <f t="shared" si="5"/>
        <v>-31058735.5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  <c r="AH67"/>
    </row>
    <row r="68" spans="1:34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  <c r="AH68"/>
    </row>
    <row r="69" spans="1:34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  <c r="AH69"/>
    </row>
    <row r="70" spans="1:34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/>
    </row>
    <row r="71" spans="1:34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/>
    </row>
    <row r="72" spans="1:34" x14ac:dyDescent="0.2">
      <c r="A72" s="6"/>
      <c r="B72" s="6"/>
      <c r="C72" s="4" t="str">
        <f>C14</f>
        <v>New PCK zone substation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-31058735.5</v>
      </c>
      <c r="N72" s="28" cm="1">
        <f t="array" ref="N72">SUMPRODUCT(($I67:N67))-SUMPRODUCT(($I67:N67)*($I$6:N$6&lt;=(N$6-$E14)))</f>
        <v>-62117471</v>
      </c>
      <c r="O72" s="28" cm="1">
        <f t="array" ref="O72">SUMPRODUCT(($I67:O67))-SUMPRODUCT(($I67:O67)*($I$6:O$6&lt;=(O$6-$E14)))</f>
        <v>-62117471</v>
      </c>
      <c r="P72" s="28" cm="1">
        <f t="array" ref="P72">SUMPRODUCT(($I67:P67))-SUMPRODUCT(($I67:P67)*($I$6:P$6&lt;=(P$6-$E14)))</f>
        <v>-62117471</v>
      </c>
      <c r="Q72" s="28" cm="1">
        <f t="array" ref="Q72">SUMPRODUCT(($I67:Q67))-SUMPRODUCT(($I67:Q67)*($I$6:Q$6&lt;=(Q$6-$E14)))</f>
        <v>-62117471</v>
      </c>
      <c r="R72" s="28" cm="1">
        <f t="array" ref="R72">SUMPRODUCT(($I67:R67))-SUMPRODUCT(($I67:R67)*($I$6:R$6&lt;=(R$6-$E14)))</f>
        <v>-62117471</v>
      </c>
      <c r="S72" s="28" cm="1">
        <f t="array" ref="S72">SUMPRODUCT(($I67:S67))-SUMPRODUCT(($I67:S67)*($I$6:S$6&lt;=(S$6-$E14)))</f>
        <v>-62117471</v>
      </c>
      <c r="T72" s="28" cm="1">
        <f t="array" ref="T72">SUMPRODUCT(($I67:T67))-SUMPRODUCT(($I67:T67)*($I$6:T$6&lt;=(T$6-$E14)))</f>
        <v>-62117471</v>
      </c>
      <c r="U72" s="28" cm="1">
        <f t="array" ref="U72">SUMPRODUCT(($I67:U67))-SUMPRODUCT(($I67:U67)*($I$6:U$6&lt;=(U$6-$E14)))</f>
        <v>-62117471</v>
      </c>
      <c r="V72" s="28" cm="1">
        <f t="array" ref="V72">SUMPRODUCT(($I67:V67))-SUMPRODUCT(($I67:V67)*($I$6:V$6&lt;=(V$6-$E14)))</f>
        <v>-62117471</v>
      </c>
      <c r="W72" s="28" cm="1">
        <f t="array" ref="W72">SUMPRODUCT(($I67:W67))-SUMPRODUCT(($I67:W67)*($I$6:W$6&lt;=(W$6-$E14)))</f>
        <v>-62117471</v>
      </c>
      <c r="X72" s="28" cm="1">
        <f t="array" ref="X72">SUMPRODUCT(($I67:X67))-SUMPRODUCT(($I67:X67)*($I$6:X$6&lt;=(X$6-$E14)))</f>
        <v>-62117471</v>
      </c>
      <c r="Y72" s="28" cm="1">
        <f t="array" ref="Y72">SUMPRODUCT(($I67:Y67))-SUMPRODUCT(($I67:Y67)*($I$6:Y$6&lt;=(Y$6-$E14)))</f>
        <v>-62117471</v>
      </c>
      <c r="Z72" s="28" cm="1">
        <f t="array" ref="Z72">SUMPRODUCT(($I67:Z67))-SUMPRODUCT(($I67:Z67)*($I$6:Z$6&lt;=(Z$6-$E14)))</f>
        <v>-62117471</v>
      </c>
      <c r="AA72" s="28" cm="1">
        <f t="array" ref="AA72">SUMPRODUCT(($I67:AA67))-SUMPRODUCT(($I67:AA67)*($I$6:AA$6&lt;=(AA$6-$E14)))</f>
        <v>-62117471</v>
      </c>
      <c r="AB72" s="28" cm="1">
        <f t="array" ref="AB72">SUMPRODUCT(($I67:AB67))-SUMPRODUCT(($I67:AB67)*($I$6:AB$6&lt;=(AB$6-$E14)))</f>
        <v>-62117471</v>
      </c>
      <c r="AC72" s="28" cm="1">
        <f t="array" ref="AC72">SUMPRODUCT(($I67:AC67))-SUMPRODUCT(($I67:AC67)*($I$6:AC$6&lt;=(AC$6-$E14)))</f>
        <v>-62117471</v>
      </c>
      <c r="AD72" s="28" cm="1">
        <f t="array" ref="AD72">SUMPRODUCT(($I67:AD67))-SUMPRODUCT(($I67:AD67)*($I$6:AD$6&lt;=(AD$6-$E14)))</f>
        <v>-62117471</v>
      </c>
      <c r="AE72" s="28" cm="1">
        <f t="array" ref="AE72">SUMPRODUCT(($I67:AE67))-SUMPRODUCT(($I67:AE67)*($I$6:AE$6&lt;=(AE$6-$E14)))</f>
        <v>-62117471</v>
      </c>
      <c r="AF72" s="28" cm="1">
        <f t="array" ref="AF72">SUMPRODUCT(($I67:AF67))-SUMPRODUCT(($I67:AF67)*($I$6:AF$6&lt;=(AF$6-$E14)))</f>
        <v>-62117471</v>
      </c>
      <c r="AG72" s="28" cm="1">
        <f t="array" ref="AG72">SUMPRODUCT(($I67:AG67))-SUMPRODUCT(($I67:AG67)*($I$6:AG$6&lt;=(AG$6-$E14)))</f>
        <v>-62117471</v>
      </c>
      <c r="AH72"/>
    </row>
    <row r="73" spans="1:34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  <c r="AH73"/>
    </row>
    <row r="74" spans="1:34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  <c r="AH74"/>
    </row>
    <row r="75" spans="1:34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/>
    </row>
    <row r="76" spans="1:34" x14ac:dyDescent="0.2">
      <c r="A76" s="6"/>
      <c r="B76" s="6"/>
      <c r="C76" s="126" t="s">
        <v>91</v>
      </c>
      <c r="D76" s="34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/>
    </row>
    <row r="77" spans="1:34" x14ac:dyDescent="0.2">
      <c r="A77" s="6"/>
      <c r="B77" s="6"/>
      <c r="C77" s="4" t="str">
        <f>$C$76&amp;" - "&amp;C14</f>
        <v>Annualised capex - New PCK zone substation</v>
      </c>
      <c r="D77" s="34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-1324149.1088112334</v>
      </c>
      <c r="O77" s="28">
        <f t="shared" si="8"/>
        <v>-2648298.2176224669</v>
      </c>
      <c r="P77" s="28">
        <f t="shared" si="8"/>
        <v>-2648298.2176224669</v>
      </c>
      <c r="Q77" s="28">
        <f t="shared" si="8"/>
        <v>-2648298.2176224669</v>
      </c>
      <c r="R77" s="28">
        <f t="shared" si="8"/>
        <v>-2648298.2176224669</v>
      </c>
      <c r="S77" s="28">
        <f t="shared" si="8"/>
        <v>-2648298.2176224669</v>
      </c>
      <c r="T77" s="28">
        <f t="shared" si="8"/>
        <v>-2648298.2176224669</v>
      </c>
      <c r="U77" s="28">
        <f t="shared" si="8"/>
        <v>-2648298.2176224669</v>
      </c>
      <c r="V77" s="28">
        <f t="shared" si="8"/>
        <v>-2648298.2176224669</v>
      </c>
      <c r="W77" s="28">
        <f t="shared" si="8"/>
        <v>-2648298.2176224669</v>
      </c>
      <c r="X77" s="28">
        <f t="shared" si="8"/>
        <v>-2648298.2176224669</v>
      </c>
      <c r="Y77" s="28">
        <f t="shared" si="8"/>
        <v>-2648298.2176224669</v>
      </c>
      <c r="Z77" s="28">
        <f t="shared" si="8"/>
        <v>-2648298.2176224669</v>
      </c>
      <c r="AA77" s="28">
        <f t="shared" si="8"/>
        <v>-2648298.2176224669</v>
      </c>
      <c r="AB77" s="28">
        <f t="shared" si="8"/>
        <v>-2648298.2176224669</v>
      </c>
      <c r="AC77" s="28">
        <f t="shared" si="8"/>
        <v>-2648298.2176224669</v>
      </c>
      <c r="AD77" s="28">
        <f t="shared" si="8"/>
        <v>-2648298.2176224669</v>
      </c>
      <c r="AE77" s="28">
        <f t="shared" si="8"/>
        <v>-2648298.2176224669</v>
      </c>
      <c r="AF77" s="28">
        <f t="shared" si="8"/>
        <v>-2648298.2176224669</v>
      </c>
      <c r="AG77" s="28">
        <f t="shared" si="8"/>
        <v>-2648298.2176224669</v>
      </c>
      <c r="AH77"/>
    </row>
    <row r="78" spans="1:34" x14ac:dyDescent="0.2">
      <c r="A78" s="6"/>
      <c r="B78" s="6"/>
      <c r="C78" s="4" t="str">
        <f>$C$76&amp;" - "&amp;C15</f>
        <v>Annualised capex - &lt; Enter description &gt;</v>
      </c>
      <c r="D78" s="34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  <c r="AH78"/>
    </row>
    <row r="79" spans="1:34" x14ac:dyDescent="0.2">
      <c r="A79" s="6"/>
      <c r="B79" s="6"/>
      <c r="C79" s="4" t="str">
        <f>$C$76&amp;" - "&amp;C16</f>
        <v>Annualised capex - &lt; Enter description &gt;</v>
      </c>
      <c r="D79" s="34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  <c r="AH79"/>
    </row>
    <row r="80" spans="1:34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-1324149.1088112334</v>
      </c>
      <c r="O80" s="152">
        <f t="shared" si="11"/>
        <v>-2648298.2176224669</v>
      </c>
      <c r="P80" s="152">
        <f t="shared" si="11"/>
        <v>-2648298.2176224669</v>
      </c>
      <c r="Q80" s="152">
        <f t="shared" si="11"/>
        <v>-2648298.2176224669</v>
      </c>
      <c r="R80" s="152">
        <f t="shared" si="11"/>
        <v>-2648298.2176224669</v>
      </c>
      <c r="S80" s="152">
        <f t="shared" si="11"/>
        <v>-2648298.2176224669</v>
      </c>
      <c r="T80" s="152">
        <f t="shared" si="11"/>
        <v>-2648298.2176224669</v>
      </c>
      <c r="U80" s="152">
        <f t="shared" si="11"/>
        <v>-2648298.2176224669</v>
      </c>
      <c r="V80" s="152">
        <f t="shared" si="11"/>
        <v>-2648298.2176224669</v>
      </c>
      <c r="W80" s="152">
        <f t="shared" si="11"/>
        <v>-2648298.2176224669</v>
      </c>
      <c r="X80" s="152">
        <f t="shared" si="11"/>
        <v>-2648298.2176224669</v>
      </c>
      <c r="Y80" s="152">
        <f t="shared" si="11"/>
        <v>-2648298.2176224669</v>
      </c>
      <c r="Z80" s="152">
        <f t="shared" si="11"/>
        <v>-2648298.2176224669</v>
      </c>
      <c r="AA80" s="152">
        <f t="shared" si="11"/>
        <v>-2648298.2176224669</v>
      </c>
      <c r="AB80" s="152">
        <f t="shared" si="11"/>
        <v>-2648298.2176224669</v>
      </c>
      <c r="AC80" s="152">
        <f>SUM(AC77:AC79)</f>
        <v>-2648298.2176224669</v>
      </c>
      <c r="AD80" s="152">
        <f>SUM(AD77:AD79)</f>
        <v>-2648298.2176224669</v>
      </c>
      <c r="AE80" s="152">
        <f>SUM(AE77:AE79)</f>
        <v>-2648298.2176224669</v>
      </c>
      <c r="AF80" s="152">
        <f>SUM(AF77:AF79)</f>
        <v>-2648298.2176224669</v>
      </c>
      <c r="AG80" s="152">
        <f>SUM(AG77:AG79)</f>
        <v>-2648298.2176224669</v>
      </c>
      <c r="AH80"/>
    </row>
    <row r="81" spans="1:34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-1324149.1088112334</v>
      </c>
      <c r="O82" s="28">
        <f t="shared" si="13"/>
        <v>-2648298.2176224669</v>
      </c>
      <c r="P82" s="28">
        <f t="shared" si="13"/>
        <v>-2648298.2176224669</v>
      </c>
      <c r="Q82" s="28">
        <f t="shared" si="13"/>
        <v>-2648298.2176224669</v>
      </c>
      <c r="R82" s="28">
        <f t="shared" si="13"/>
        <v>-2648298.2176224669</v>
      </c>
      <c r="S82" s="28">
        <f t="shared" si="13"/>
        <v>-2648298.2176224669</v>
      </c>
      <c r="T82" s="28">
        <f t="shared" si="13"/>
        <v>-2648298.2176224669</v>
      </c>
      <c r="U82" s="28">
        <f t="shared" si="13"/>
        <v>-2648298.2176224669</v>
      </c>
      <c r="V82" s="28">
        <f t="shared" si="13"/>
        <v>-2648298.2176224669</v>
      </c>
      <c r="W82" s="28">
        <f t="shared" si="13"/>
        <v>-2648298.2176224669</v>
      </c>
      <c r="X82" s="28">
        <f t="shared" si="13"/>
        <v>-2648298.2176224669</v>
      </c>
      <c r="Y82" s="28">
        <f t="shared" si="13"/>
        <v>-2648298.2176224669</v>
      </c>
      <c r="Z82" s="28">
        <f t="shared" si="13"/>
        <v>-2648298.2176224669</v>
      </c>
      <c r="AA82" s="28">
        <f t="shared" si="13"/>
        <v>-2648298.2176224669</v>
      </c>
      <c r="AB82" s="28">
        <f t="shared" si="13"/>
        <v>-2648298.2176224669</v>
      </c>
      <c r="AC82" s="28">
        <f>AC80</f>
        <v>-2648298.2176224669</v>
      </c>
      <c r="AD82" s="28">
        <f>AD80</f>
        <v>-2648298.2176224669</v>
      </c>
      <c r="AE82" s="28">
        <f>AE80</f>
        <v>-2648298.2176224669</v>
      </c>
      <c r="AF82" s="28">
        <f>AF80</f>
        <v>-2648298.2176224669</v>
      </c>
      <c r="AG82" s="28">
        <f>AG80</f>
        <v>-2648298.2176224669</v>
      </c>
      <c r="AH82"/>
    </row>
    <row r="83" spans="1:34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  <c r="AH83"/>
    </row>
    <row r="84" spans="1:34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 t="shared" ref="I84:AG84" si="15">I64</f>
        <v>0</v>
      </c>
      <c r="J84" s="28">
        <f t="shared" si="15"/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221630.96677669286</v>
      </c>
      <c r="P84" s="28">
        <f t="shared" si="15"/>
        <v>362678.68777757231</v>
      </c>
      <c r="Q84" s="28">
        <f t="shared" si="15"/>
        <v>362678.68777757231</v>
      </c>
      <c r="R84" s="28">
        <f t="shared" si="15"/>
        <v>362678.68777757231</v>
      </c>
      <c r="S84" s="28">
        <f t="shared" si="15"/>
        <v>362678.68777757231</v>
      </c>
      <c r="T84" s="28">
        <f t="shared" si="15"/>
        <v>362678.68777757231</v>
      </c>
      <c r="U84" s="28">
        <f t="shared" si="15"/>
        <v>362678.68777757231</v>
      </c>
      <c r="V84" s="28">
        <f t="shared" si="15"/>
        <v>362678.68777757231</v>
      </c>
      <c r="W84" s="28">
        <f t="shared" si="15"/>
        <v>362678.68777757231</v>
      </c>
      <c r="X84" s="28">
        <f t="shared" si="15"/>
        <v>362678.68777757231</v>
      </c>
      <c r="Y84" s="28">
        <f t="shared" si="15"/>
        <v>362678.68777757231</v>
      </c>
      <c r="Z84" s="28">
        <f t="shared" si="15"/>
        <v>362678.68777757231</v>
      </c>
      <c r="AA84" s="28">
        <f t="shared" si="15"/>
        <v>362678.68777757231</v>
      </c>
      <c r="AB84" s="28">
        <f t="shared" si="15"/>
        <v>362678.68777757231</v>
      </c>
      <c r="AC84" s="28">
        <f t="shared" si="15"/>
        <v>362678.68777757231</v>
      </c>
      <c r="AD84" s="28">
        <f t="shared" si="15"/>
        <v>362678.68777757231</v>
      </c>
      <c r="AE84" s="28">
        <f t="shared" si="15"/>
        <v>362678.68777757231</v>
      </c>
      <c r="AF84" s="28">
        <f t="shared" si="15"/>
        <v>362678.68777757231</v>
      </c>
      <c r="AG84" s="28">
        <f t="shared" si="15"/>
        <v>362678.68777757231</v>
      </c>
      <c r="AH84"/>
    </row>
    <row r="85" spans="1:34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  <c r="AH85"/>
    </row>
    <row r="86" spans="1:34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/>
    </row>
    <row r="87" spans="1:34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-1324149.1088112334</v>
      </c>
      <c r="O87" s="155">
        <f t="shared" si="17"/>
        <v>-2426667.2508457741</v>
      </c>
      <c r="P87" s="155">
        <f t="shared" si="17"/>
        <v>-2285619.5298448945</v>
      </c>
      <c r="Q87" s="155">
        <f t="shared" si="17"/>
        <v>-2285619.5298448945</v>
      </c>
      <c r="R87" s="155">
        <f t="shared" si="17"/>
        <v>-2285619.5298448945</v>
      </c>
      <c r="S87" s="155">
        <f t="shared" si="17"/>
        <v>-2285619.5298448945</v>
      </c>
      <c r="T87" s="155">
        <f t="shared" si="17"/>
        <v>-2285619.5298448945</v>
      </c>
      <c r="U87" s="155">
        <f t="shared" si="17"/>
        <v>-2285619.5298448945</v>
      </c>
      <c r="V87" s="155">
        <f t="shared" si="17"/>
        <v>-2285619.5298448945</v>
      </c>
      <c r="W87" s="155">
        <f t="shared" si="17"/>
        <v>-2285619.5298448945</v>
      </c>
      <c r="X87" s="155">
        <f t="shared" si="17"/>
        <v>-2285619.5298448945</v>
      </c>
      <c r="Y87" s="155">
        <f t="shared" si="17"/>
        <v>-2285619.5298448945</v>
      </c>
      <c r="Z87" s="155">
        <f t="shared" si="17"/>
        <v>-2285619.5298448945</v>
      </c>
      <c r="AA87" s="155">
        <f t="shared" si="17"/>
        <v>-2285619.5298448945</v>
      </c>
      <c r="AB87" s="155">
        <f t="shared" si="17"/>
        <v>-2285619.5298448945</v>
      </c>
      <c r="AC87" s="155">
        <f>SUM(AC82:AC86)</f>
        <v>-2285619.5298448945</v>
      </c>
      <c r="AD87" s="155">
        <f>SUM(AD82:AD86)</f>
        <v>-2285619.5298448945</v>
      </c>
      <c r="AE87" s="155">
        <f>SUM(AE82:AE86)</f>
        <v>-2285619.5298448945</v>
      </c>
      <c r="AF87" s="155">
        <f>SUM(AF82:AF86)</f>
        <v>-2285619.5298448945</v>
      </c>
      <c r="AG87" s="155">
        <f>SUM(AG82:AG86)</f>
        <v>-2285619.5298448945</v>
      </c>
      <c r="AH87"/>
    </row>
    <row r="88" spans="1:34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/>
    </row>
    <row r="89" spans="1:34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/>
    </row>
    <row r="90" spans="1:34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5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/>
    </row>
    <row r="91" spans="1:34" x14ac:dyDescent="0.2">
      <c r="C91" s="72"/>
      <c r="D91" s="208"/>
      <c r="E91" s="205"/>
      <c r="F91" s="205"/>
      <c r="G91" s="207"/>
    </row>
    <row r="92" spans="1:34" x14ac:dyDescent="0.2">
      <c r="C92" s="209" t="s">
        <v>193</v>
      </c>
      <c r="D92" s="210"/>
      <c r="E92" s="210"/>
      <c r="F92" s="210"/>
      <c r="G92" s="211">
        <f>IF(_xlfn.MINIFS($G$90:$G$91, $G$90:$G$91, "&gt;"&amp;0)=0, $A$4, _xlfn.MINIFS($G$90:$G$91, $G$90:$G$91, "&gt;"&amp;0))</f>
        <v>5</v>
      </c>
    </row>
    <row r="94" spans="1:34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3NPV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-1324149.1088112334</v>
      </c>
      <c r="O106" s="28">
        <f t="shared" si="18"/>
        <v>-2426667.2508457741</v>
      </c>
      <c r="P106" s="28">
        <f t="shared" si="18"/>
        <v>-2285619.5298448945</v>
      </c>
      <c r="Q106" s="28">
        <f t="shared" si="18"/>
        <v>-2285619.5298448945</v>
      </c>
      <c r="R106" s="28">
        <f t="shared" si="18"/>
        <v>-2285619.5298448945</v>
      </c>
      <c r="S106" s="28">
        <f t="shared" si="18"/>
        <v>-2285619.5298448945</v>
      </c>
      <c r="T106" s="28">
        <f t="shared" si="18"/>
        <v>-2285619.5298448945</v>
      </c>
      <c r="U106" s="28">
        <f t="shared" si="18"/>
        <v>-2285619.5298448945</v>
      </c>
      <c r="V106" s="28">
        <f t="shared" si="18"/>
        <v>-2285619.5298448945</v>
      </c>
      <c r="W106" s="28">
        <f t="shared" si="18"/>
        <v>-2285619.5298448945</v>
      </c>
      <c r="X106" s="28">
        <f t="shared" si="18"/>
        <v>-2285619.5298448945</v>
      </c>
      <c r="Y106" s="28">
        <f t="shared" si="18"/>
        <v>-2285619.5298448945</v>
      </c>
      <c r="Z106" s="28">
        <f t="shared" si="18"/>
        <v>-2285619.5298448945</v>
      </c>
      <c r="AA106" s="28">
        <f t="shared" si="18"/>
        <v>-2285619.5298448945</v>
      </c>
      <c r="AB106" s="28">
        <f t="shared" si="18"/>
        <v>-2285619.5298448945</v>
      </c>
      <c r="AC106" s="28">
        <f t="shared" si="18"/>
        <v>-2285619.5298448945</v>
      </c>
      <c r="AD106" s="28">
        <f t="shared" si="18"/>
        <v>-2285619.5298448945</v>
      </c>
      <c r="AE106" s="28">
        <f t="shared" si="18"/>
        <v>-2285619.5298448945</v>
      </c>
      <c r="AF106" s="28">
        <f t="shared" si="18"/>
        <v>-2285619.5298448945</v>
      </c>
      <c r="AG106" s="28">
        <f t="shared" si="18"/>
        <v>-2285619.5298448945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-1324149.1088112334</v>
      </c>
      <c r="O107" s="28">
        <f t="shared" si="19"/>
        <v>-2648298.2176224669</v>
      </c>
      <c r="P107" s="28">
        <f t="shared" si="19"/>
        <v>-2648298.2176224669</v>
      </c>
      <c r="Q107" s="28">
        <f t="shared" si="19"/>
        <v>-2648298.2176224669</v>
      </c>
      <c r="R107" s="28">
        <f t="shared" si="19"/>
        <v>-2648298.2176224669</v>
      </c>
      <c r="S107" s="28">
        <f t="shared" si="19"/>
        <v>-2648298.2176224669</v>
      </c>
      <c r="T107" s="28">
        <f t="shared" si="19"/>
        <v>-2648298.2176224669</v>
      </c>
      <c r="U107" s="28">
        <f t="shared" si="19"/>
        <v>-2648298.2176224669</v>
      </c>
      <c r="V107" s="28">
        <f t="shared" si="19"/>
        <v>-2648298.2176224669</v>
      </c>
      <c r="W107" s="28">
        <f t="shared" si="19"/>
        <v>-2648298.2176224669</v>
      </c>
      <c r="X107" s="28">
        <f t="shared" si="19"/>
        <v>-2648298.2176224669</v>
      </c>
      <c r="Y107" s="28">
        <f t="shared" si="19"/>
        <v>-2648298.2176224669</v>
      </c>
      <c r="Z107" s="28">
        <f t="shared" si="19"/>
        <v>-2648298.2176224669</v>
      </c>
      <c r="AA107" s="28">
        <f t="shared" si="19"/>
        <v>-2648298.2176224669</v>
      </c>
      <c r="AB107" s="28">
        <f t="shared" si="19"/>
        <v>-2648298.2176224669</v>
      </c>
      <c r="AC107" s="28">
        <f t="shared" si="19"/>
        <v>-2648298.2176224669</v>
      </c>
      <c r="AD107" s="28">
        <f t="shared" si="19"/>
        <v>-2648298.2176224669</v>
      </c>
      <c r="AE107" s="28">
        <f t="shared" si="19"/>
        <v>-2648298.2176224669</v>
      </c>
      <c r="AF107" s="28">
        <f t="shared" si="19"/>
        <v>-2648298.2176224669</v>
      </c>
      <c r="AG107" s="28">
        <f t="shared" si="19"/>
        <v>-2648298.2176224669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221630.96677669286</v>
      </c>
      <c r="P108" s="28">
        <f t="shared" si="20"/>
        <v>362678.68777757231</v>
      </c>
      <c r="Q108" s="28">
        <f t="shared" si="20"/>
        <v>362678.68777757231</v>
      </c>
      <c r="R108" s="28">
        <f t="shared" si="20"/>
        <v>362678.68777757231</v>
      </c>
      <c r="S108" s="28">
        <f t="shared" si="20"/>
        <v>362678.68777757231</v>
      </c>
      <c r="T108" s="28">
        <f t="shared" si="20"/>
        <v>362678.68777757231</v>
      </c>
      <c r="U108" s="28">
        <f t="shared" si="20"/>
        <v>362678.68777757231</v>
      </c>
      <c r="V108" s="28">
        <f t="shared" si="20"/>
        <v>362678.68777757231</v>
      </c>
      <c r="W108" s="28">
        <f t="shared" si="20"/>
        <v>362678.68777757231</v>
      </c>
      <c r="X108" s="28">
        <f t="shared" si="20"/>
        <v>362678.68777757231</v>
      </c>
      <c r="Y108" s="28">
        <f t="shared" si="20"/>
        <v>362678.68777757231</v>
      </c>
      <c r="Z108" s="28">
        <f t="shared" si="20"/>
        <v>362678.68777757231</v>
      </c>
      <c r="AA108" s="28">
        <f t="shared" si="20"/>
        <v>362678.68777757231</v>
      </c>
      <c r="AB108" s="28">
        <f t="shared" si="20"/>
        <v>362678.68777757231</v>
      </c>
      <c r="AC108" s="28">
        <f t="shared" si="20"/>
        <v>362678.68777757231</v>
      </c>
      <c r="AD108" s="28">
        <f t="shared" si="20"/>
        <v>362678.68777757231</v>
      </c>
      <c r="AE108" s="28">
        <f t="shared" si="20"/>
        <v>362678.68777757231</v>
      </c>
      <c r="AF108" s="28">
        <f t="shared" si="20"/>
        <v>362678.68777757231</v>
      </c>
      <c r="AG108" s="28">
        <f t="shared" si="20"/>
        <v>362678.68777757231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3sens1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-1456564.0196923567</v>
      </c>
      <c r="O110" s="28" cm="1">
        <f t="array" ref="O110">O$106+IF($C110&lt;&gt;0,SUMPRODUCT((O$107:O$108)*TRANSPOSE(($D110:$E110))),0)</f>
        <v>-2691497.0726080206</v>
      </c>
      <c r="P110" s="28" cm="1">
        <f t="array" ref="P110">P$106+IF($C110&lt;&gt;0,SUMPRODUCT((P$107:P$108)*TRANSPOSE(($D110:$E110))),0)</f>
        <v>-2550449.3516071411</v>
      </c>
      <c r="Q110" s="28" cm="1">
        <f t="array" ref="Q110">Q$106+IF($C110&lt;&gt;0,SUMPRODUCT((Q$107:Q$108)*TRANSPOSE(($D110:$E110))),0)</f>
        <v>-2550449.3516071411</v>
      </c>
      <c r="R110" s="28" cm="1">
        <f t="array" ref="R110">R$106+IF($C110&lt;&gt;0,SUMPRODUCT((R$107:R$108)*TRANSPOSE(($D110:$E110))),0)</f>
        <v>-2550449.3516071411</v>
      </c>
      <c r="S110" s="28" cm="1">
        <f t="array" ref="S110">S$106+IF($C110&lt;&gt;0,SUMPRODUCT((S$107:S$108)*TRANSPOSE(($D110:$E110))),0)</f>
        <v>-2550449.3516071411</v>
      </c>
      <c r="T110" s="28" cm="1">
        <f t="array" ref="T110">T$106+IF($C110&lt;&gt;0,SUMPRODUCT((T$107:T$108)*TRANSPOSE(($D110:$E110))),0)</f>
        <v>-2550449.3516071411</v>
      </c>
      <c r="U110" s="28" cm="1">
        <f t="array" ref="U110">U$106+IF($C110&lt;&gt;0,SUMPRODUCT((U$107:U$108)*TRANSPOSE(($D110:$E110))),0)</f>
        <v>-2550449.3516071411</v>
      </c>
      <c r="V110" s="28" cm="1">
        <f t="array" ref="V110">V$106+IF($C110&lt;&gt;0,SUMPRODUCT((V$107:V$108)*TRANSPOSE(($D110:$E110))),0)</f>
        <v>-2550449.3516071411</v>
      </c>
      <c r="W110" s="28" cm="1">
        <f t="array" ref="W110">W$106+IF($C110&lt;&gt;0,SUMPRODUCT((W$107:W$108)*TRANSPOSE(($D110:$E110))),0)</f>
        <v>-2550449.3516071411</v>
      </c>
      <c r="X110" s="28" cm="1">
        <f t="array" ref="X110">X$106+IF($C110&lt;&gt;0,SUMPRODUCT((X$107:X$108)*TRANSPOSE(($D110:$E110))),0)</f>
        <v>-2550449.3516071411</v>
      </c>
      <c r="Y110" s="28" cm="1">
        <f t="array" ref="Y110">Y$106+IF($C110&lt;&gt;0,SUMPRODUCT((Y$107:Y$108)*TRANSPOSE(($D110:$E110))),0)</f>
        <v>-2550449.3516071411</v>
      </c>
      <c r="Z110" s="28" cm="1">
        <f t="array" ref="Z110">Z$106+IF($C110&lt;&gt;0,SUMPRODUCT((Z$107:Z$108)*TRANSPOSE(($D110:$E110))),0)</f>
        <v>-2550449.3516071411</v>
      </c>
      <c r="AA110" s="28" cm="1">
        <f t="array" ref="AA110">AA$106+IF($C110&lt;&gt;0,SUMPRODUCT((AA$107:AA$108)*TRANSPOSE(($D110:$E110))),0)</f>
        <v>-2550449.3516071411</v>
      </c>
      <c r="AB110" s="28" cm="1">
        <f t="array" ref="AB110">AB$106+IF($C110&lt;&gt;0,SUMPRODUCT((AB$107:AB$108)*TRANSPOSE(($D110:$E110))),0)</f>
        <v>-2550449.3516071411</v>
      </c>
      <c r="AC110" s="28" cm="1">
        <f t="array" ref="AC110">AC$106+IF($C110&lt;&gt;0,SUMPRODUCT((AC$107:AC$108)*TRANSPOSE(($D110:$E110))),0)</f>
        <v>-2550449.3516071411</v>
      </c>
      <c r="AD110" s="28" cm="1">
        <f t="array" ref="AD110">AD$106+IF($C110&lt;&gt;0,SUMPRODUCT((AD$107:AD$108)*TRANSPOSE(($D110:$E110))),0)</f>
        <v>-2550449.3516071411</v>
      </c>
      <c r="AE110" s="28" cm="1">
        <f t="array" ref="AE110">AE$106+IF($C110&lt;&gt;0,SUMPRODUCT((AE$107:AE$108)*TRANSPOSE(($D110:$E110))),0)</f>
        <v>-2550449.3516071411</v>
      </c>
      <c r="AF110" s="28" cm="1">
        <f t="array" ref="AF110">AF$106+IF($C110&lt;&gt;0,SUMPRODUCT((AF$107:AF$108)*TRANSPOSE(($D110:$E110))),0)</f>
        <v>-2550449.3516071411</v>
      </c>
      <c r="AG110" s="28" cm="1">
        <f t="array" ref="AG110">AG$106+IF($C110&lt;&gt;0,SUMPRODUCT((AG$107:AG$108)*TRANSPOSE(($D110:$E110))),0)</f>
        <v>-2550449.3516071411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3sens2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-1191734.1979301102</v>
      </c>
      <c r="O111" s="28" cm="1">
        <f t="array" ref="O111">O$106+IF($C111&lt;&gt;0,SUMPRODUCT((O$107:O$108)*TRANSPOSE(($D111:$E111))),0)</f>
        <v>-2161837.4290835275</v>
      </c>
      <c r="P111" s="28" cm="1">
        <f t="array" ref="P111">P$106+IF($C111&lt;&gt;0,SUMPRODUCT((P$107:P$108)*TRANSPOSE(($D111:$E111))),0)</f>
        <v>-2020789.7080826478</v>
      </c>
      <c r="Q111" s="28" cm="1">
        <f t="array" ref="Q111">Q$106+IF($C111&lt;&gt;0,SUMPRODUCT((Q$107:Q$108)*TRANSPOSE(($D111:$E111))),0)</f>
        <v>-2020789.7080826478</v>
      </c>
      <c r="R111" s="28" cm="1">
        <f t="array" ref="R111">R$106+IF($C111&lt;&gt;0,SUMPRODUCT((R$107:R$108)*TRANSPOSE(($D111:$E111))),0)</f>
        <v>-2020789.7080826478</v>
      </c>
      <c r="S111" s="28" cm="1">
        <f t="array" ref="S111">S$106+IF($C111&lt;&gt;0,SUMPRODUCT((S$107:S$108)*TRANSPOSE(($D111:$E111))),0)</f>
        <v>-2020789.7080826478</v>
      </c>
      <c r="T111" s="28" cm="1">
        <f t="array" ref="T111">T$106+IF($C111&lt;&gt;0,SUMPRODUCT((T$107:T$108)*TRANSPOSE(($D111:$E111))),0)</f>
        <v>-2020789.7080826478</v>
      </c>
      <c r="U111" s="28" cm="1">
        <f t="array" ref="U111">U$106+IF($C111&lt;&gt;0,SUMPRODUCT((U$107:U$108)*TRANSPOSE(($D111:$E111))),0)</f>
        <v>-2020789.7080826478</v>
      </c>
      <c r="V111" s="28" cm="1">
        <f t="array" ref="V111">V$106+IF($C111&lt;&gt;0,SUMPRODUCT((V$107:V$108)*TRANSPOSE(($D111:$E111))),0)</f>
        <v>-2020789.7080826478</v>
      </c>
      <c r="W111" s="28" cm="1">
        <f t="array" ref="W111">W$106+IF($C111&lt;&gt;0,SUMPRODUCT((W$107:W$108)*TRANSPOSE(($D111:$E111))),0)</f>
        <v>-2020789.7080826478</v>
      </c>
      <c r="X111" s="28" cm="1">
        <f t="array" ref="X111">X$106+IF($C111&lt;&gt;0,SUMPRODUCT((X$107:X$108)*TRANSPOSE(($D111:$E111))),0)</f>
        <v>-2020789.7080826478</v>
      </c>
      <c r="Y111" s="28" cm="1">
        <f t="array" ref="Y111">Y$106+IF($C111&lt;&gt;0,SUMPRODUCT((Y$107:Y$108)*TRANSPOSE(($D111:$E111))),0)</f>
        <v>-2020789.7080826478</v>
      </c>
      <c r="Z111" s="28" cm="1">
        <f t="array" ref="Z111">Z$106+IF($C111&lt;&gt;0,SUMPRODUCT((Z$107:Z$108)*TRANSPOSE(($D111:$E111))),0)</f>
        <v>-2020789.7080826478</v>
      </c>
      <c r="AA111" s="28" cm="1">
        <f t="array" ref="AA111">AA$106+IF($C111&lt;&gt;0,SUMPRODUCT((AA$107:AA$108)*TRANSPOSE(($D111:$E111))),0)</f>
        <v>-2020789.7080826478</v>
      </c>
      <c r="AB111" s="28" cm="1">
        <f t="array" ref="AB111">AB$106+IF($C111&lt;&gt;0,SUMPRODUCT((AB$107:AB$108)*TRANSPOSE(($D111:$E111))),0)</f>
        <v>-2020789.7080826478</v>
      </c>
      <c r="AC111" s="28" cm="1">
        <f t="array" ref="AC111">AC$106+IF($C111&lt;&gt;0,SUMPRODUCT((AC$107:AC$108)*TRANSPOSE(($D111:$E111))),0)</f>
        <v>-2020789.7080826478</v>
      </c>
      <c r="AD111" s="28" cm="1">
        <f t="array" ref="AD111">AD$106+IF($C111&lt;&gt;0,SUMPRODUCT((AD$107:AD$108)*TRANSPOSE(($D111:$E111))),0)</f>
        <v>-2020789.7080826478</v>
      </c>
      <c r="AE111" s="28" cm="1">
        <f t="array" ref="AE111">AE$106+IF($C111&lt;&gt;0,SUMPRODUCT((AE$107:AE$108)*TRANSPOSE(($D111:$E111))),0)</f>
        <v>-2020789.7080826478</v>
      </c>
      <c r="AF111" s="28" cm="1">
        <f t="array" ref="AF111">AF$106+IF($C111&lt;&gt;0,SUMPRODUCT((AF$107:AF$108)*TRANSPOSE(($D111:$E111))),0)</f>
        <v>-2020789.7080826478</v>
      </c>
      <c r="AG111" s="28" cm="1">
        <f t="array" ref="AG111">AG$106+IF($C111&lt;&gt;0,SUMPRODUCT((AG$107:AG$108)*TRANSPOSE(($D111:$E111))),0)</f>
        <v>-2020789.7080826478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3sens3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-1324149.1088112334</v>
      </c>
      <c r="O112" s="28" cm="1">
        <f t="array" ref="O112">O$106+IF($C112&lt;&gt;0,SUMPRODUCT((O$107:O$108)*TRANSPOSE(($D112:$E112))),0)</f>
        <v>-2404504.1541681048</v>
      </c>
      <c r="P112" s="28" cm="1">
        <f t="array" ref="P112">P$106+IF($C112&lt;&gt;0,SUMPRODUCT((P$107:P$108)*TRANSPOSE(($D112:$E112))),0)</f>
        <v>-2249351.6610671375</v>
      </c>
      <c r="Q112" s="28" cm="1">
        <f t="array" ref="Q112">Q$106+IF($C112&lt;&gt;0,SUMPRODUCT((Q$107:Q$108)*TRANSPOSE(($D112:$E112))),0)</f>
        <v>-2249351.6610671375</v>
      </c>
      <c r="R112" s="28" cm="1">
        <f t="array" ref="R112">R$106+IF($C112&lt;&gt;0,SUMPRODUCT((R$107:R$108)*TRANSPOSE(($D112:$E112))),0)</f>
        <v>-2249351.6610671375</v>
      </c>
      <c r="S112" s="28" cm="1">
        <f t="array" ref="S112">S$106+IF($C112&lt;&gt;0,SUMPRODUCT((S$107:S$108)*TRANSPOSE(($D112:$E112))),0)</f>
        <v>-2249351.6610671375</v>
      </c>
      <c r="T112" s="28" cm="1">
        <f t="array" ref="T112">T$106+IF($C112&lt;&gt;0,SUMPRODUCT((T$107:T$108)*TRANSPOSE(($D112:$E112))),0)</f>
        <v>-2249351.6610671375</v>
      </c>
      <c r="U112" s="28" cm="1">
        <f t="array" ref="U112">U$106+IF($C112&lt;&gt;0,SUMPRODUCT((U$107:U$108)*TRANSPOSE(($D112:$E112))),0)</f>
        <v>-2249351.6610671375</v>
      </c>
      <c r="V112" s="28" cm="1">
        <f t="array" ref="V112">V$106+IF($C112&lt;&gt;0,SUMPRODUCT((V$107:V$108)*TRANSPOSE(($D112:$E112))),0)</f>
        <v>-2249351.6610671375</v>
      </c>
      <c r="W112" s="28" cm="1">
        <f t="array" ref="W112">W$106+IF($C112&lt;&gt;0,SUMPRODUCT((W$107:W$108)*TRANSPOSE(($D112:$E112))),0)</f>
        <v>-2249351.6610671375</v>
      </c>
      <c r="X112" s="28" cm="1">
        <f t="array" ref="X112">X$106+IF($C112&lt;&gt;0,SUMPRODUCT((X$107:X$108)*TRANSPOSE(($D112:$E112))),0)</f>
        <v>-2249351.6610671375</v>
      </c>
      <c r="Y112" s="28" cm="1">
        <f t="array" ref="Y112">Y$106+IF($C112&lt;&gt;0,SUMPRODUCT((Y$107:Y$108)*TRANSPOSE(($D112:$E112))),0)</f>
        <v>-2249351.6610671375</v>
      </c>
      <c r="Z112" s="28" cm="1">
        <f t="array" ref="Z112">Z$106+IF($C112&lt;&gt;0,SUMPRODUCT((Z$107:Z$108)*TRANSPOSE(($D112:$E112))),0)</f>
        <v>-2249351.6610671375</v>
      </c>
      <c r="AA112" s="28" cm="1">
        <f t="array" ref="AA112">AA$106+IF($C112&lt;&gt;0,SUMPRODUCT((AA$107:AA$108)*TRANSPOSE(($D112:$E112))),0)</f>
        <v>-2249351.6610671375</v>
      </c>
      <c r="AB112" s="28" cm="1">
        <f t="array" ref="AB112">AB$106+IF($C112&lt;&gt;0,SUMPRODUCT((AB$107:AB$108)*TRANSPOSE(($D112:$E112))),0)</f>
        <v>-2249351.6610671375</v>
      </c>
      <c r="AC112" s="28" cm="1">
        <f t="array" ref="AC112">AC$106+IF($C112&lt;&gt;0,SUMPRODUCT((AC$107:AC$108)*TRANSPOSE(($D112:$E112))),0)</f>
        <v>-2249351.6610671375</v>
      </c>
      <c r="AD112" s="28" cm="1">
        <f t="array" ref="AD112">AD$106+IF($C112&lt;&gt;0,SUMPRODUCT((AD$107:AD$108)*TRANSPOSE(($D112:$E112))),0)</f>
        <v>-2249351.6610671375</v>
      </c>
      <c r="AE112" s="28" cm="1">
        <f t="array" ref="AE112">AE$106+IF($C112&lt;&gt;0,SUMPRODUCT((AE$107:AE$108)*TRANSPOSE(($D112:$E112))),0)</f>
        <v>-2249351.6610671375</v>
      </c>
      <c r="AF112" s="28" cm="1">
        <f t="array" ref="AF112">AF$106+IF($C112&lt;&gt;0,SUMPRODUCT((AF$107:AF$108)*TRANSPOSE(($D112:$E112))),0)</f>
        <v>-2249351.6610671375</v>
      </c>
      <c r="AG112" s="28" cm="1">
        <f t="array" ref="AG112">AG$106+IF($C112&lt;&gt;0,SUMPRODUCT((AG$107:AG$108)*TRANSPOSE(($D112:$E112))),0)</f>
        <v>-2249351.6610671375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3sens4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-1324149.1088112334</v>
      </c>
      <c r="O113" s="28" cm="1">
        <f t="array" ref="O113">O$106+IF($C113&lt;&gt;0,SUMPRODUCT((O$107:O$108)*TRANSPOSE(($D113:$E113))),0)</f>
        <v>-2448830.3475234434</v>
      </c>
      <c r="P113" s="28" cm="1">
        <f t="array" ref="P113">P$106+IF($C113&lt;&gt;0,SUMPRODUCT((P$107:P$108)*TRANSPOSE(($D113:$E113))),0)</f>
        <v>-2321887.3986226516</v>
      </c>
      <c r="Q113" s="28" cm="1">
        <f t="array" ref="Q113">Q$106+IF($C113&lt;&gt;0,SUMPRODUCT((Q$107:Q$108)*TRANSPOSE(($D113:$E113))),0)</f>
        <v>-2321887.3986226516</v>
      </c>
      <c r="R113" s="28" cm="1">
        <f t="array" ref="R113">R$106+IF($C113&lt;&gt;0,SUMPRODUCT((R$107:R$108)*TRANSPOSE(($D113:$E113))),0)</f>
        <v>-2321887.3986226516</v>
      </c>
      <c r="S113" s="28" cm="1">
        <f t="array" ref="S113">S$106+IF($C113&lt;&gt;0,SUMPRODUCT((S$107:S$108)*TRANSPOSE(($D113:$E113))),0)</f>
        <v>-2321887.3986226516</v>
      </c>
      <c r="T113" s="28" cm="1">
        <f t="array" ref="T113">T$106+IF($C113&lt;&gt;0,SUMPRODUCT((T$107:T$108)*TRANSPOSE(($D113:$E113))),0)</f>
        <v>-2321887.3986226516</v>
      </c>
      <c r="U113" s="28" cm="1">
        <f t="array" ref="U113">U$106+IF($C113&lt;&gt;0,SUMPRODUCT((U$107:U$108)*TRANSPOSE(($D113:$E113))),0)</f>
        <v>-2321887.3986226516</v>
      </c>
      <c r="V113" s="28" cm="1">
        <f t="array" ref="V113">V$106+IF($C113&lt;&gt;0,SUMPRODUCT((V$107:V$108)*TRANSPOSE(($D113:$E113))),0)</f>
        <v>-2321887.3986226516</v>
      </c>
      <c r="W113" s="28" cm="1">
        <f t="array" ref="W113">W$106+IF($C113&lt;&gt;0,SUMPRODUCT((W$107:W$108)*TRANSPOSE(($D113:$E113))),0)</f>
        <v>-2321887.3986226516</v>
      </c>
      <c r="X113" s="28" cm="1">
        <f t="array" ref="X113">X$106+IF($C113&lt;&gt;0,SUMPRODUCT((X$107:X$108)*TRANSPOSE(($D113:$E113))),0)</f>
        <v>-2321887.3986226516</v>
      </c>
      <c r="Y113" s="28" cm="1">
        <f t="array" ref="Y113">Y$106+IF($C113&lt;&gt;0,SUMPRODUCT((Y$107:Y$108)*TRANSPOSE(($D113:$E113))),0)</f>
        <v>-2321887.3986226516</v>
      </c>
      <c r="Z113" s="28" cm="1">
        <f t="array" ref="Z113">Z$106+IF($C113&lt;&gt;0,SUMPRODUCT((Z$107:Z$108)*TRANSPOSE(($D113:$E113))),0)</f>
        <v>-2321887.3986226516</v>
      </c>
      <c r="AA113" s="28" cm="1">
        <f t="array" ref="AA113">AA$106+IF($C113&lt;&gt;0,SUMPRODUCT((AA$107:AA$108)*TRANSPOSE(($D113:$E113))),0)</f>
        <v>-2321887.3986226516</v>
      </c>
      <c r="AB113" s="28" cm="1">
        <f t="array" ref="AB113">AB$106+IF($C113&lt;&gt;0,SUMPRODUCT((AB$107:AB$108)*TRANSPOSE(($D113:$E113))),0)</f>
        <v>-2321887.3986226516</v>
      </c>
      <c r="AC113" s="28" cm="1">
        <f t="array" ref="AC113">AC$106+IF($C113&lt;&gt;0,SUMPRODUCT((AC$107:AC$108)*TRANSPOSE(($D113:$E113))),0)</f>
        <v>-2321887.3986226516</v>
      </c>
      <c r="AD113" s="28" cm="1">
        <f t="array" ref="AD113">AD$106+IF($C113&lt;&gt;0,SUMPRODUCT((AD$107:AD$108)*TRANSPOSE(($D113:$E113))),0)</f>
        <v>-2321887.3986226516</v>
      </c>
      <c r="AE113" s="28" cm="1">
        <f t="array" ref="AE113">AE$106+IF($C113&lt;&gt;0,SUMPRODUCT((AE$107:AE$108)*TRANSPOSE(($D113:$E113))),0)</f>
        <v>-2321887.3986226516</v>
      </c>
      <c r="AF113" s="28" cm="1">
        <f t="array" ref="AF113">AF$106+IF($C113&lt;&gt;0,SUMPRODUCT((AF$107:AF$108)*TRANSPOSE(($D113:$E113))),0)</f>
        <v>-2321887.3986226516</v>
      </c>
      <c r="AG113" s="28" cm="1">
        <f t="array" ref="AG113">AG$106+IF($C113&lt;&gt;0,SUMPRODUCT((AG$107:AG$108)*TRANSPOSE(($D113:$E113))),0)</f>
        <v>-2321887.3986226516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3sens5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-1456564.0196923567</v>
      </c>
      <c r="O114" s="28" cm="1">
        <f t="array" ref="O114">O$106+IF($C114&lt;&gt;0,SUMPRODUCT((O$107:O$108)*TRANSPOSE(($D114:$E114))),0)</f>
        <v>-2713660.1692856899</v>
      </c>
      <c r="P114" s="28" cm="1">
        <f t="array" ref="P114">P$106+IF($C114&lt;&gt;0,SUMPRODUCT((P$107:P$108)*TRANSPOSE(($D114:$E114))),0)</f>
        <v>-2586717.2203848986</v>
      </c>
      <c r="Q114" s="28" cm="1">
        <f t="array" ref="Q114">Q$106+IF($C114&lt;&gt;0,SUMPRODUCT((Q$107:Q$108)*TRANSPOSE(($D114:$E114))),0)</f>
        <v>-2586717.2203848986</v>
      </c>
      <c r="R114" s="28" cm="1">
        <f t="array" ref="R114">R$106+IF($C114&lt;&gt;0,SUMPRODUCT((R$107:R$108)*TRANSPOSE(($D114:$E114))),0)</f>
        <v>-2586717.2203848986</v>
      </c>
      <c r="S114" s="28" cm="1">
        <f t="array" ref="S114">S$106+IF($C114&lt;&gt;0,SUMPRODUCT((S$107:S$108)*TRANSPOSE(($D114:$E114))),0)</f>
        <v>-2586717.2203848986</v>
      </c>
      <c r="T114" s="28" cm="1">
        <f t="array" ref="T114">T$106+IF($C114&lt;&gt;0,SUMPRODUCT((T$107:T$108)*TRANSPOSE(($D114:$E114))),0)</f>
        <v>-2586717.2203848986</v>
      </c>
      <c r="U114" s="28" cm="1">
        <f t="array" ref="U114">U$106+IF($C114&lt;&gt;0,SUMPRODUCT((U$107:U$108)*TRANSPOSE(($D114:$E114))),0)</f>
        <v>-2586717.2203848986</v>
      </c>
      <c r="V114" s="28" cm="1">
        <f t="array" ref="V114">V$106+IF($C114&lt;&gt;0,SUMPRODUCT((V$107:V$108)*TRANSPOSE(($D114:$E114))),0)</f>
        <v>-2586717.2203848986</v>
      </c>
      <c r="W114" s="28" cm="1">
        <f t="array" ref="W114">W$106+IF($C114&lt;&gt;0,SUMPRODUCT((W$107:W$108)*TRANSPOSE(($D114:$E114))),0)</f>
        <v>-2586717.2203848986</v>
      </c>
      <c r="X114" s="28" cm="1">
        <f t="array" ref="X114">X$106+IF($C114&lt;&gt;0,SUMPRODUCT((X$107:X$108)*TRANSPOSE(($D114:$E114))),0)</f>
        <v>-2586717.2203848986</v>
      </c>
      <c r="Y114" s="28" cm="1">
        <f t="array" ref="Y114">Y$106+IF($C114&lt;&gt;0,SUMPRODUCT((Y$107:Y$108)*TRANSPOSE(($D114:$E114))),0)</f>
        <v>-2586717.2203848986</v>
      </c>
      <c r="Z114" s="28" cm="1">
        <f t="array" ref="Z114">Z$106+IF($C114&lt;&gt;0,SUMPRODUCT((Z$107:Z$108)*TRANSPOSE(($D114:$E114))),0)</f>
        <v>-2586717.2203848986</v>
      </c>
      <c r="AA114" s="28" cm="1">
        <f t="array" ref="AA114">AA$106+IF($C114&lt;&gt;0,SUMPRODUCT((AA$107:AA$108)*TRANSPOSE(($D114:$E114))),0)</f>
        <v>-2586717.2203848986</v>
      </c>
      <c r="AB114" s="28" cm="1">
        <f t="array" ref="AB114">AB$106+IF($C114&lt;&gt;0,SUMPRODUCT((AB$107:AB$108)*TRANSPOSE(($D114:$E114))),0)</f>
        <v>-2586717.2203848986</v>
      </c>
      <c r="AC114" s="28" cm="1">
        <f t="array" ref="AC114">AC$106+IF($C114&lt;&gt;0,SUMPRODUCT((AC$107:AC$108)*TRANSPOSE(($D114:$E114))),0)</f>
        <v>-2586717.2203848986</v>
      </c>
      <c r="AD114" s="28" cm="1">
        <f t="array" ref="AD114">AD$106+IF($C114&lt;&gt;0,SUMPRODUCT((AD$107:AD$108)*TRANSPOSE(($D114:$E114))),0)</f>
        <v>-2586717.2203848986</v>
      </c>
      <c r="AE114" s="28" cm="1">
        <f t="array" ref="AE114">AE$106+IF($C114&lt;&gt;0,SUMPRODUCT((AE$107:AE$108)*TRANSPOSE(($D114:$E114))),0)</f>
        <v>-2586717.2203848986</v>
      </c>
      <c r="AF114" s="28" cm="1">
        <f t="array" ref="AF114">AF$106+IF($C114&lt;&gt;0,SUMPRODUCT((AF$107:AF$108)*TRANSPOSE(($D114:$E114))),0)</f>
        <v>-2586717.2203848986</v>
      </c>
      <c r="AG114" s="28" cm="1">
        <f t="array" ref="AG114">AG$106+IF($C114&lt;&gt;0,SUMPRODUCT((AG$107:AG$108)*TRANSPOSE(($D114:$E114))),0)</f>
        <v>-2586717.2203848986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3sens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-1324149.1088112334</v>
      </c>
      <c r="O115" s="28" cm="1">
        <f t="array" ref="O115">O$106+IF($C115&lt;&gt;0,SUMPRODUCT((O$107:O$108)*TRANSPOSE(($D115:$E115))),0)</f>
        <v>-2426667.2508457741</v>
      </c>
      <c r="P115" s="28" cm="1">
        <f t="array" ref="P115">P$106+IF($C115&lt;&gt;0,SUMPRODUCT((P$107:P$108)*TRANSPOSE(($D115:$E115))),0)</f>
        <v>-2285619.5298448945</v>
      </c>
      <c r="Q115" s="28" cm="1">
        <f t="array" ref="Q115">Q$106+IF($C115&lt;&gt;0,SUMPRODUCT((Q$107:Q$108)*TRANSPOSE(($D115:$E115))),0)</f>
        <v>-2285619.5298448945</v>
      </c>
      <c r="R115" s="28" cm="1">
        <f t="array" ref="R115">R$106+IF($C115&lt;&gt;0,SUMPRODUCT((R$107:R$108)*TRANSPOSE(($D115:$E115))),0)</f>
        <v>-2285619.5298448945</v>
      </c>
      <c r="S115" s="28" cm="1">
        <f t="array" ref="S115">S$106+IF($C115&lt;&gt;0,SUMPRODUCT((S$107:S$108)*TRANSPOSE(($D115:$E115))),0)</f>
        <v>-2285619.5298448945</v>
      </c>
      <c r="T115" s="28" cm="1">
        <f t="array" ref="T115">T$106+IF($C115&lt;&gt;0,SUMPRODUCT((T$107:T$108)*TRANSPOSE(($D115:$E115))),0)</f>
        <v>-2285619.5298448945</v>
      </c>
      <c r="U115" s="28" cm="1">
        <f t="array" ref="U115">U$106+IF($C115&lt;&gt;0,SUMPRODUCT((U$107:U$108)*TRANSPOSE(($D115:$E115))),0)</f>
        <v>-2285619.5298448945</v>
      </c>
      <c r="V115" s="28" cm="1">
        <f t="array" ref="V115">V$106+IF($C115&lt;&gt;0,SUMPRODUCT((V$107:V$108)*TRANSPOSE(($D115:$E115))),0)</f>
        <v>-2285619.5298448945</v>
      </c>
      <c r="W115" s="28" cm="1">
        <f t="array" ref="W115">W$106+IF($C115&lt;&gt;0,SUMPRODUCT((W$107:W$108)*TRANSPOSE(($D115:$E115))),0)</f>
        <v>-2285619.5298448945</v>
      </c>
      <c r="X115" s="28" cm="1">
        <f t="array" ref="X115">X$106+IF($C115&lt;&gt;0,SUMPRODUCT((X$107:X$108)*TRANSPOSE(($D115:$E115))),0)</f>
        <v>-2285619.5298448945</v>
      </c>
      <c r="Y115" s="28" cm="1">
        <f t="array" ref="Y115">Y$106+IF($C115&lt;&gt;0,SUMPRODUCT((Y$107:Y$108)*TRANSPOSE(($D115:$E115))),0)</f>
        <v>-2285619.5298448945</v>
      </c>
      <c r="Z115" s="28" cm="1">
        <f t="array" ref="Z115">Z$106+IF($C115&lt;&gt;0,SUMPRODUCT((Z$107:Z$108)*TRANSPOSE(($D115:$E115))),0)</f>
        <v>-2285619.5298448945</v>
      </c>
      <c r="AA115" s="28" cm="1">
        <f t="array" ref="AA115">AA$106+IF($C115&lt;&gt;0,SUMPRODUCT((AA$107:AA$108)*TRANSPOSE(($D115:$E115))),0)</f>
        <v>-2285619.5298448945</v>
      </c>
      <c r="AB115" s="28" cm="1">
        <f t="array" ref="AB115">AB$106+IF($C115&lt;&gt;0,SUMPRODUCT((AB$107:AB$108)*TRANSPOSE(($D115:$E115))),0)</f>
        <v>-2285619.5298448945</v>
      </c>
      <c r="AC115" s="28" cm="1">
        <f t="array" ref="AC115">AC$106+IF($C115&lt;&gt;0,SUMPRODUCT((AC$107:AC$108)*TRANSPOSE(($D115:$E115))),0)</f>
        <v>-2285619.5298448945</v>
      </c>
      <c r="AD115" s="28" cm="1">
        <f t="array" ref="AD115">AD$106+IF($C115&lt;&gt;0,SUMPRODUCT((AD$107:AD$108)*TRANSPOSE(($D115:$E115))),0)</f>
        <v>-2285619.5298448945</v>
      </c>
      <c r="AE115" s="28" cm="1">
        <f t="array" ref="AE115">AE$106+IF($C115&lt;&gt;0,SUMPRODUCT((AE$107:AE$108)*TRANSPOSE(($D115:$E115))),0)</f>
        <v>-2285619.5298448945</v>
      </c>
      <c r="AF115" s="28" cm="1">
        <f t="array" ref="AF115">AF$106+IF($C115&lt;&gt;0,SUMPRODUCT((AF$107:AF$108)*TRANSPOSE(($D115:$E115))),0)</f>
        <v>-2285619.5298448945</v>
      </c>
      <c r="AG115" s="28" cm="1">
        <f t="array" ref="AG115">AG$106+IF($C115&lt;&gt;0,SUMPRODUCT((AG$107:AG$108)*TRANSPOSE(($D115:$E115))),0)</f>
        <v>-2285619.5298448945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3sens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-1324149.1088112334</v>
      </c>
      <c r="O116" s="28" cm="1">
        <f t="array" ref="O116">O$106+IF($C116&lt;&gt;0,SUMPRODUCT((O$107:O$108)*TRANSPOSE(($D116:$E116))),0)</f>
        <v>-2426667.2508457741</v>
      </c>
      <c r="P116" s="28" cm="1">
        <f t="array" ref="P116">P$106+IF($C116&lt;&gt;0,SUMPRODUCT((P$107:P$108)*TRANSPOSE(($D116:$E116))),0)</f>
        <v>-2285619.5298448945</v>
      </c>
      <c r="Q116" s="28" cm="1">
        <f t="array" ref="Q116">Q$106+IF($C116&lt;&gt;0,SUMPRODUCT((Q$107:Q$108)*TRANSPOSE(($D116:$E116))),0)</f>
        <v>-2285619.5298448945</v>
      </c>
      <c r="R116" s="28" cm="1">
        <f t="array" ref="R116">R$106+IF($C116&lt;&gt;0,SUMPRODUCT((R$107:R$108)*TRANSPOSE(($D116:$E116))),0)</f>
        <v>-2285619.5298448945</v>
      </c>
      <c r="S116" s="28" cm="1">
        <f t="array" ref="S116">S$106+IF($C116&lt;&gt;0,SUMPRODUCT((S$107:S$108)*TRANSPOSE(($D116:$E116))),0)</f>
        <v>-2285619.5298448945</v>
      </c>
      <c r="T116" s="28" cm="1">
        <f t="array" ref="T116">T$106+IF($C116&lt;&gt;0,SUMPRODUCT((T$107:T$108)*TRANSPOSE(($D116:$E116))),0)</f>
        <v>-2285619.5298448945</v>
      </c>
      <c r="U116" s="28" cm="1">
        <f t="array" ref="U116">U$106+IF($C116&lt;&gt;0,SUMPRODUCT((U$107:U$108)*TRANSPOSE(($D116:$E116))),0)</f>
        <v>-2285619.5298448945</v>
      </c>
      <c r="V116" s="28" cm="1">
        <f t="array" ref="V116">V$106+IF($C116&lt;&gt;0,SUMPRODUCT((V$107:V$108)*TRANSPOSE(($D116:$E116))),0)</f>
        <v>-2285619.5298448945</v>
      </c>
      <c r="W116" s="28" cm="1">
        <f t="array" ref="W116">W$106+IF($C116&lt;&gt;0,SUMPRODUCT((W$107:W$108)*TRANSPOSE(($D116:$E116))),0)</f>
        <v>-2285619.5298448945</v>
      </c>
      <c r="X116" s="28" cm="1">
        <f t="array" ref="X116">X$106+IF($C116&lt;&gt;0,SUMPRODUCT((X$107:X$108)*TRANSPOSE(($D116:$E116))),0)</f>
        <v>-2285619.5298448945</v>
      </c>
      <c r="Y116" s="28" cm="1">
        <f t="array" ref="Y116">Y$106+IF($C116&lt;&gt;0,SUMPRODUCT((Y$107:Y$108)*TRANSPOSE(($D116:$E116))),0)</f>
        <v>-2285619.5298448945</v>
      </c>
      <c r="Z116" s="28" cm="1">
        <f t="array" ref="Z116">Z$106+IF($C116&lt;&gt;0,SUMPRODUCT((Z$107:Z$108)*TRANSPOSE(($D116:$E116))),0)</f>
        <v>-2285619.5298448945</v>
      </c>
      <c r="AA116" s="28" cm="1">
        <f t="array" ref="AA116">AA$106+IF($C116&lt;&gt;0,SUMPRODUCT((AA$107:AA$108)*TRANSPOSE(($D116:$E116))),0)</f>
        <v>-2285619.5298448945</v>
      </c>
      <c r="AB116" s="28" cm="1">
        <f t="array" ref="AB116">AB$106+IF($C116&lt;&gt;0,SUMPRODUCT((AB$107:AB$108)*TRANSPOSE(($D116:$E116))),0)</f>
        <v>-2285619.5298448945</v>
      </c>
      <c r="AC116" s="28" cm="1">
        <f t="array" ref="AC116">AC$106+IF($C116&lt;&gt;0,SUMPRODUCT((AC$107:AC$108)*TRANSPOSE(($D116:$E116))),0)</f>
        <v>-2285619.5298448945</v>
      </c>
      <c r="AD116" s="28" cm="1">
        <f t="array" ref="AD116">AD$106+IF($C116&lt;&gt;0,SUMPRODUCT((AD$107:AD$108)*TRANSPOSE(($D116:$E116))),0)</f>
        <v>-2285619.5298448945</v>
      </c>
      <c r="AE116" s="28" cm="1">
        <f t="array" ref="AE116">AE$106+IF($C116&lt;&gt;0,SUMPRODUCT((AE$107:AE$108)*TRANSPOSE(($D116:$E116))),0)</f>
        <v>-2285619.5298448945</v>
      </c>
      <c r="AF116" s="28" cm="1">
        <f t="array" ref="AF116">AF$106+IF($C116&lt;&gt;0,SUMPRODUCT((AF$107:AF$108)*TRANSPOSE(($D116:$E116))),0)</f>
        <v>-2285619.5298448945</v>
      </c>
      <c r="AG116" s="28" cm="1">
        <f t="array" ref="AG116">AG$106+IF($C116&lt;&gt;0,SUMPRODUCT((AG$107:AG$108)*TRANSPOSE(($D116:$E116))),0)</f>
        <v>-2285619.5298448945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3sens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-1324149.1088112334</v>
      </c>
      <c r="O117" s="28" cm="1">
        <f t="array" ref="O117">O$106+IF($C117&lt;&gt;0,SUMPRODUCT((O$107:O$108)*TRANSPOSE(($D117:$E117))),0)</f>
        <v>-2426667.2508457741</v>
      </c>
      <c r="P117" s="28" cm="1">
        <f t="array" ref="P117">P$106+IF($C117&lt;&gt;0,SUMPRODUCT((P$107:P$108)*TRANSPOSE(($D117:$E117))),0)</f>
        <v>-2285619.5298448945</v>
      </c>
      <c r="Q117" s="28" cm="1">
        <f t="array" ref="Q117">Q$106+IF($C117&lt;&gt;0,SUMPRODUCT((Q$107:Q$108)*TRANSPOSE(($D117:$E117))),0)</f>
        <v>-2285619.5298448945</v>
      </c>
      <c r="R117" s="28" cm="1">
        <f t="array" ref="R117">R$106+IF($C117&lt;&gt;0,SUMPRODUCT((R$107:R$108)*TRANSPOSE(($D117:$E117))),0)</f>
        <v>-2285619.5298448945</v>
      </c>
      <c r="S117" s="28" cm="1">
        <f t="array" ref="S117">S$106+IF($C117&lt;&gt;0,SUMPRODUCT((S$107:S$108)*TRANSPOSE(($D117:$E117))),0)</f>
        <v>-2285619.5298448945</v>
      </c>
      <c r="T117" s="28" cm="1">
        <f t="array" ref="T117">T$106+IF($C117&lt;&gt;0,SUMPRODUCT((T$107:T$108)*TRANSPOSE(($D117:$E117))),0)</f>
        <v>-2285619.5298448945</v>
      </c>
      <c r="U117" s="28" cm="1">
        <f t="array" ref="U117">U$106+IF($C117&lt;&gt;0,SUMPRODUCT((U$107:U$108)*TRANSPOSE(($D117:$E117))),0)</f>
        <v>-2285619.5298448945</v>
      </c>
      <c r="V117" s="28" cm="1">
        <f t="array" ref="V117">V$106+IF($C117&lt;&gt;0,SUMPRODUCT((V$107:V$108)*TRANSPOSE(($D117:$E117))),0)</f>
        <v>-2285619.5298448945</v>
      </c>
      <c r="W117" s="28" cm="1">
        <f t="array" ref="W117">W$106+IF($C117&lt;&gt;0,SUMPRODUCT((W$107:W$108)*TRANSPOSE(($D117:$E117))),0)</f>
        <v>-2285619.5298448945</v>
      </c>
      <c r="X117" s="28" cm="1">
        <f t="array" ref="X117">X$106+IF($C117&lt;&gt;0,SUMPRODUCT((X$107:X$108)*TRANSPOSE(($D117:$E117))),0)</f>
        <v>-2285619.5298448945</v>
      </c>
      <c r="Y117" s="28" cm="1">
        <f t="array" ref="Y117">Y$106+IF($C117&lt;&gt;0,SUMPRODUCT((Y$107:Y$108)*TRANSPOSE(($D117:$E117))),0)</f>
        <v>-2285619.5298448945</v>
      </c>
      <c r="Z117" s="28" cm="1">
        <f t="array" ref="Z117">Z$106+IF($C117&lt;&gt;0,SUMPRODUCT((Z$107:Z$108)*TRANSPOSE(($D117:$E117))),0)</f>
        <v>-2285619.5298448945</v>
      </c>
      <c r="AA117" s="28" cm="1">
        <f t="array" ref="AA117">AA$106+IF($C117&lt;&gt;0,SUMPRODUCT((AA$107:AA$108)*TRANSPOSE(($D117:$E117))),0)</f>
        <v>-2285619.5298448945</v>
      </c>
      <c r="AB117" s="28" cm="1">
        <f t="array" ref="AB117">AB$106+IF($C117&lt;&gt;0,SUMPRODUCT((AB$107:AB$108)*TRANSPOSE(($D117:$E117))),0)</f>
        <v>-2285619.5298448945</v>
      </c>
      <c r="AC117" s="28" cm="1">
        <f t="array" ref="AC117">AC$106+IF($C117&lt;&gt;0,SUMPRODUCT((AC$107:AC$108)*TRANSPOSE(($D117:$E117))),0)</f>
        <v>-2285619.5298448945</v>
      </c>
      <c r="AD117" s="28" cm="1">
        <f t="array" ref="AD117">AD$106+IF($C117&lt;&gt;0,SUMPRODUCT((AD$107:AD$108)*TRANSPOSE(($D117:$E117))),0)</f>
        <v>-2285619.5298448945</v>
      </c>
      <c r="AE117" s="28" cm="1">
        <f t="array" ref="AE117">AE$106+IF($C117&lt;&gt;0,SUMPRODUCT((AE$107:AE$108)*TRANSPOSE(($D117:$E117))),0)</f>
        <v>-2285619.5298448945</v>
      </c>
      <c r="AF117" s="28" cm="1">
        <f t="array" ref="AF117">AF$106+IF($C117&lt;&gt;0,SUMPRODUCT((AF$107:AF$108)*TRANSPOSE(($D117:$E117))),0)</f>
        <v>-2285619.5298448945</v>
      </c>
      <c r="AG117" s="28" cm="1">
        <f t="array" ref="AG117">AG$106+IF($C117&lt;&gt;0,SUMPRODUCT((AG$107:AG$108)*TRANSPOSE(($D117:$E117))),0)</f>
        <v>-2285619.5298448945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Melton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134</v>
      </c>
      <c r="B3" s="5"/>
      <c r="C3" s="176">
        <f>INDEX(Assumptions!$E$14:$E$18, MATCH(A3,_xlfn.ANCHORARRAY( Assumptions!$C$14),0))</f>
        <v>0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180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  <c r="AL19"/>
      <c r="AM19"/>
    </row>
    <row r="20" spans="1:43" x14ac:dyDescent="0.2">
      <c r="G20" s="180"/>
      <c r="AH20"/>
      <c r="AI20"/>
      <c r="AJ20"/>
      <c r="AK20"/>
      <c r="AL20"/>
      <c r="AM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39317.709531096138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2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4NPV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4sens1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4sens2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4sens3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4sens4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4sens5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4sens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4sens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4sens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Melton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185</v>
      </c>
      <c r="B3" s="5"/>
      <c r="C3" s="176">
        <f>INDEX(Assumptions!$E$14:$E$18, MATCH(A3,_xlfn.ANCHORARRAY( Assumptions!$C$14),0))</f>
        <v>0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  <c r="AI12"/>
      <c r="AJ12"/>
      <c r="AK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>SUM(K14:K16)</f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</row>
    <row r="20" spans="1:43" x14ac:dyDescent="0.2">
      <c r="G20" s="180"/>
      <c r="AH20"/>
      <c r="AI20"/>
      <c r="AJ20"/>
      <c r="AK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39317.709531096138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  <c r="AI41"/>
      <c r="AJ41"/>
      <c r="AK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  <c r="AI42"/>
      <c r="AJ42"/>
      <c r="AK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5NPV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5sens1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5sens2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5sens3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5sens4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5sens5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5sens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5sens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5sens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9" activePane="bottomRight" state="frozen"/>
      <selection activeCell="D33" sqref="D33"/>
      <selection pane="topRight" activeCell="D33" sqref="D33"/>
      <selection pane="bottomLeft" activeCell="D33" sqref="D33"/>
      <selection pane="bottomRight" activeCell="N46" sqref="N46"/>
    </sheetView>
  </sheetViews>
  <sheetFormatPr defaultColWidth="0" defaultRowHeight="12.75" zeroHeight="1" outlineLevelRow="1" x14ac:dyDescent="0.2"/>
  <cols>
    <col min="1" max="1" width="8.125" style="8" customWidth="1"/>
    <col min="2" max="2" width="5.5" style="8" customWidth="1"/>
    <col min="3" max="3" width="16.875" style="8" bestFit="1" customWidth="1"/>
    <col min="4" max="4" width="12.375" style="8" customWidth="1"/>
    <col min="5" max="5" width="14.25" customWidth="1"/>
    <col min="6" max="6" width="12.375" style="8" customWidth="1"/>
    <col min="7" max="7" width="11.625" style="8" customWidth="1"/>
    <col min="8" max="8" width="8.625" style="8" customWidth="1"/>
    <col min="9" max="33" width="11" style="8" customWidth="1"/>
    <col min="34" max="35" width="9" style="8" customWidth="1"/>
    <col min="36" max="36" width="0" style="8" hidden="1" customWidth="1"/>
    <col min="37" max="16384" width="9" style="8" hidden="1"/>
  </cols>
  <sheetData>
    <row r="1" spans="1:34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6" customFormat="1" ht="18.75" x14ac:dyDescent="0.3">
      <c r="A2" s="50" t="str">
        <f>proj</f>
        <v>Melton new feeder</v>
      </c>
      <c r="B2" s="5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s="2" customFormat="1" ht="18.75" x14ac:dyDescent="0.3">
      <c r="A3" s="178" t="s">
        <v>90</v>
      </c>
      <c r="B3" s="5"/>
      <c r="C3" s="31"/>
      <c r="D3" s="31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4" s="2" customFormat="1" ht="10.5" customHeight="1" x14ac:dyDescent="0.2">
      <c r="A4" s="102"/>
      <c r="B4" s="102"/>
      <c r="C4" s="86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4" s="2" customFormat="1" hidden="1" outlineLevel="1" x14ac:dyDescent="0.2">
      <c r="A5" s="86" t="s">
        <v>194</v>
      </c>
      <c r="B5" s="86"/>
      <c r="C5" s="87"/>
      <c r="D5" s="86"/>
      <c r="E5" s="86"/>
      <c r="F5" s="86"/>
      <c r="G5" s="89"/>
      <c r="H5" s="164">
        <f t="shared" ref="H5:AG5" si="0">IF(H9=start,1/((1+real_disc)^(1/2)),G5/(1+real_disc))</f>
        <v>0</v>
      </c>
      <c r="I5" s="164">
        <f t="shared" si="0"/>
        <v>0.98294637436598087</v>
      </c>
      <c r="J5" s="164">
        <f t="shared" si="0"/>
        <v>0.94970664189949849</v>
      </c>
      <c r="K5" s="164">
        <f t="shared" si="0"/>
        <v>0.91759095835700344</v>
      </c>
      <c r="L5" s="164">
        <f t="shared" si="0"/>
        <v>0.88656131242222558</v>
      </c>
      <c r="M5" s="164">
        <f t="shared" si="0"/>
        <v>0.85658097818572532</v>
      </c>
      <c r="N5" s="164">
        <f t="shared" si="0"/>
        <v>0.8276144716770294</v>
      </c>
      <c r="O5" s="164">
        <f t="shared" si="0"/>
        <v>0.79962750886669509</v>
      </c>
      <c r="P5" s="164">
        <f t="shared" si="0"/>
        <v>0.77258696508859437</v>
      </c>
      <c r="Q5" s="164">
        <f t="shared" si="0"/>
        <v>0.74646083583439071</v>
      </c>
      <c r="R5" s="164">
        <f t="shared" si="0"/>
        <v>0.72121819887380756</v>
      </c>
      <c r="S5" s="164">
        <f t="shared" si="0"/>
        <v>0.69682917765585273</v>
      </c>
      <c r="T5" s="164">
        <f t="shared" si="0"/>
        <v>0.67326490594768384</v>
      </c>
      <c r="U5" s="164">
        <f t="shared" si="0"/>
        <v>0.6504974936692598</v>
      </c>
      <c r="V5" s="164">
        <f t="shared" si="0"/>
        <v>0.62849999388334288</v>
      </c>
      <c r="W5" s="164">
        <f t="shared" si="0"/>
        <v>0.60724637090178057</v>
      </c>
      <c r="X5" s="164">
        <f t="shared" si="0"/>
        <v>0.58671146947031949</v>
      </c>
      <c r="Y5" s="164">
        <f t="shared" si="0"/>
        <v>0.56687098499547783</v>
      </c>
      <c r="Z5" s="164">
        <f t="shared" si="0"/>
        <v>0.54770143477823952</v>
      </c>
      <c r="AA5" s="164">
        <f t="shared" si="0"/>
        <v>0.52918013022052135</v>
      </c>
      <c r="AB5" s="164">
        <f t="shared" si="0"/>
        <v>0.5112851499715183</v>
      </c>
      <c r="AC5" s="164">
        <f t="shared" si="0"/>
        <v>0.4939953139821433</v>
      </c>
      <c r="AD5" s="164">
        <f t="shared" si="0"/>
        <v>0.47729015843685346</v>
      </c>
      <c r="AE5" s="164">
        <f t="shared" si="0"/>
        <v>0.46114991153319179</v>
      </c>
      <c r="AF5" s="164">
        <f t="shared" si="0"/>
        <v>0.4455554700803786</v>
      </c>
      <c r="AG5" s="164">
        <f t="shared" si="0"/>
        <v>0.43048837688925473</v>
      </c>
    </row>
    <row r="6" spans="1:34" s="2" customFormat="1" hidden="1" outlineLevel="1" x14ac:dyDescent="0.2">
      <c r="A6" s="165" t="str">
        <f>'Option1 (base case)'!A6</f>
        <v>Count</v>
      </c>
      <c r="B6" s="86"/>
      <c r="C6" s="87"/>
      <c r="D6" s="86"/>
      <c r="E6" s="86"/>
      <c r="F6" s="86"/>
      <c r="G6" s="89"/>
      <c r="H6" s="165">
        <f>'Option1 (base case)'!H6</f>
        <v>0</v>
      </c>
      <c r="I6" s="165">
        <f>'Option1 (base case)'!I6</f>
        <v>1</v>
      </c>
      <c r="J6" s="165">
        <f>'Option1 (base case)'!J6</f>
        <v>2</v>
      </c>
      <c r="K6" s="165">
        <f>'Option1 (base case)'!K6</f>
        <v>3</v>
      </c>
      <c r="L6" s="165">
        <f>'Option1 (base case)'!L6</f>
        <v>4</v>
      </c>
      <c r="M6" s="165">
        <f>'Option1 (base case)'!M6</f>
        <v>5</v>
      </c>
      <c r="N6" s="165">
        <f>'Option1 (base case)'!N6</f>
        <v>6</v>
      </c>
      <c r="O6" s="165">
        <f>'Option1 (base case)'!O6</f>
        <v>7</v>
      </c>
      <c r="P6" s="165">
        <f>'Option1 (base case)'!P6</f>
        <v>8</v>
      </c>
      <c r="Q6" s="165">
        <f>'Option1 (base case)'!Q6</f>
        <v>9</v>
      </c>
      <c r="R6" s="165">
        <f>'Option1 (base case)'!R6</f>
        <v>10</v>
      </c>
      <c r="S6" s="165">
        <f>'Option1 (base case)'!S6</f>
        <v>11</v>
      </c>
      <c r="T6" s="165">
        <f>'Option1 (base case)'!T6</f>
        <v>12</v>
      </c>
      <c r="U6" s="165">
        <f>'Option1 (base case)'!U6</f>
        <v>13</v>
      </c>
      <c r="V6" s="165">
        <f>'Option1 (base case)'!V6</f>
        <v>14</v>
      </c>
      <c r="W6" s="165">
        <f>'Option1 (base case)'!W6</f>
        <v>15</v>
      </c>
      <c r="X6" s="165">
        <f>'Option1 (base case)'!X6</f>
        <v>16</v>
      </c>
      <c r="Y6" s="165">
        <f>'Option1 (base case)'!Y6</f>
        <v>17</v>
      </c>
      <c r="Z6" s="165">
        <f>'Option1 (base case)'!Z6</f>
        <v>18</v>
      </c>
      <c r="AA6" s="165">
        <f>'Option1 (base case)'!AA6</f>
        <v>19</v>
      </c>
      <c r="AB6" s="165">
        <f>'Option1 (base case)'!AB6</f>
        <v>20</v>
      </c>
      <c r="AC6" s="165">
        <f>'Option1 (base case)'!AC6</f>
        <v>21</v>
      </c>
      <c r="AD6" s="165">
        <f>'Option1 (base case)'!AD6</f>
        <v>22</v>
      </c>
      <c r="AE6" s="165">
        <f>'Option1 (base case)'!AE6</f>
        <v>23</v>
      </c>
      <c r="AF6" s="165">
        <f>'Option1 (base case)'!AF6</f>
        <v>24</v>
      </c>
      <c r="AG6" s="165">
        <f>'Option1 (base case)'!AG6</f>
        <v>25</v>
      </c>
    </row>
    <row r="7" spans="1:34" s="2" customFormat="1" hidden="1" outlineLevel="1" x14ac:dyDescent="0.2">
      <c r="A7" s="86" t="s">
        <v>195</v>
      </c>
      <c r="B7" s="86"/>
      <c r="C7" s="87"/>
      <c r="D7" s="86"/>
      <c r="E7" s="86"/>
      <c r="F7" s="86"/>
      <c r="G7" s="89"/>
      <c r="H7" s="89" t="b">
        <f t="shared" ref="H7:AG7" si="1">H$6&lt;(first_year+years)</f>
        <v>1</v>
      </c>
      <c r="I7" s="89" t="b">
        <f t="shared" si="1"/>
        <v>1</v>
      </c>
      <c r="J7" s="89" t="b">
        <f t="shared" si="1"/>
        <v>1</v>
      </c>
      <c r="K7" s="89" t="b">
        <f t="shared" si="1"/>
        <v>1</v>
      </c>
      <c r="L7" s="89" t="b">
        <f t="shared" si="1"/>
        <v>1</v>
      </c>
      <c r="M7" s="89" t="b">
        <f t="shared" si="1"/>
        <v>1</v>
      </c>
      <c r="N7" s="89" t="b">
        <f t="shared" si="1"/>
        <v>1</v>
      </c>
      <c r="O7" s="89" t="b">
        <f t="shared" si="1"/>
        <v>1</v>
      </c>
      <c r="P7" s="89" t="b">
        <f t="shared" si="1"/>
        <v>1</v>
      </c>
      <c r="Q7" s="89" t="b">
        <f t="shared" si="1"/>
        <v>1</v>
      </c>
      <c r="R7" s="89" t="b">
        <f t="shared" si="1"/>
        <v>1</v>
      </c>
      <c r="S7" s="89" t="b">
        <f t="shared" si="1"/>
        <v>1</v>
      </c>
      <c r="T7" s="89" t="b">
        <f t="shared" si="1"/>
        <v>1</v>
      </c>
      <c r="U7" s="89" t="b">
        <f t="shared" si="1"/>
        <v>1</v>
      </c>
      <c r="V7" s="89" t="b">
        <f t="shared" si="1"/>
        <v>1</v>
      </c>
      <c r="W7" s="89" t="b">
        <f t="shared" si="1"/>
        <v>1</v>
      </c>
      <c r="X7" s="89" t="b">
        <f t="shared" si="1"/>
        <v>1</v>
      </c>
      <c r="Y7" s="89" t="b">
        <f t="shared" si="1"/>
        <v>1</v>
      </c>
      <c r="Z7" s="89" t="b">
        <f t="shared" si="1"/>
        <v>1</v>
      </c>
      <c r="AA7" s="89" t="b">
        <f t="shared" si="1"/>
        <v>1</v>
      </c>
      <c r="AB7" s="89" t="b">
        <f t="shared" si="1"/>
        <v>1</v>
      </c>
      <c r="AC7" s="89" t="b">
        <f t="shared" si="1"/>
        <v>1</v>
      </c>
      <c r="AD7" s="89" t="b">
        <f t="shared" si="1"/>
        <v>1</v>
      </c>
      <c r="AE7" s="89" t="b">
        <f t="shared" si="1"/>
        <v>1</v>
      </c>
      <c r="AF7" s="89" t="b">
        <f t="shared" si="1"/>
        <v>0</v>
      </c>
      <c r="AG7" s="89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7"/>
      <c r="B9" s="17"/>
      <c r="C9" s="17"/>
      <c r="D9" s="17"/>
      <c r="E9" s="73"/>
      <c r="F9" s="17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4" s="2" customFormat="1" x14ac:dyDescent="0.2">
      <c r="C10" s="7"/>
      <c r="D10" s="7"/>
      <c r="F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4" s="2" customFormat="1" ht="15" x14ac:dyDescent="0.2">
      <c r="A11" s="78" t="s">
        <v>39</v>
      </c>
      <c r="B11" s="78"/>
      <c r="C11" s="79"/>
      <c r="D11" s="79"/>
      <c r="E11" s="79"/>
      <c r="F11" s="63" t="s">
        <v>153</v>
      </c>
      <c r="G11" s="196"/>
      <c r="H11" s="103" t="str" cm="1">
        <f t="array" ref="H11">IF(H6=$C$4,UPPER($A$4),IF(H6=end,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4" s="2" customFormat="1" x14ac:dyDescent="0.2">
      <c r="A12" s="7"/>
      <c r="B12" s="7"/>
      <c r="C12" s="7"/>
      <c r="D12" s="7"/>
      <c r="F12" s="7"/>
      <c r="G12" s="198"/>
      <c r="H12" s="7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</row>
    <row r="13" spans="1:34" s="2" customFormat="1" x14ac:dyDescent="0.2">
      <c r="A13" s="52"/>
      <c r="B13" s="52"/>
      <c r="C13" s="52"/>
      <c r="D13" s="7"/>
      <c r="F13" s="7"/>
      <c r="G13" s="1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4" s="2" customFormat="1" x14ac:dyDescent="0.2">
      <c r="A14" s="52" t="str">
        <f>A15</f>
        <v>Option 1 (base case)</v>
      </c>
      <c r="B14" s="52"/>
      <c r="C14" s="52" t="s">
        <v>124</v>
      </c>
      <c r="D14" s="34" t="str">
        <f t="shared" ref="D14:D25" si="2">A14&amp;C14</f>
        <v>Option 1 (base case)Energy at risk value</v>
      </c>
      <c r="F14" s="85">
        <f>SUMPRODUCT($H14:$AG14, $H$5:$AG$5)</f>
        <v>4619690.9649694581</v>
      </c>
      <c r="G14" s="199">
        <f>output_dollars</f>
        <v>46203</v>
      </c>
      <c r="H14" s="28"/>
      <c r="I14" s="28">
        <f>'Option1 (base case)'!I$28*conv_2026</f>
        <v>0</v>
      </c>
      <c r="J14" s="28">
        <f>'Option1 (base case)'!J$28*conv_2026</f>
        <v>563.17262593239013</v>
      </c>
      <c r="K14" s="28">
        <f>'Option1 (base case)'!K$28*conv_2026</f>
        <v>8444.3016424363777</v>
      </c>
      <c r="L14" s="28">
        <f>'Option1 (base case)'!L$28*conv_2026</f>
        <v>21223.240190355216</v>
      </c>
      <c r="M14" s="28">
        <f>'Option1 (base case)'!M$28*conv_2026</f>
        <v>47550.225236559818</v>
      </c>
      <c r="N14" s="28">
        <f>'Option1 (base case)'!N$28*conv_2026</f>
        <v>117945.95152579798</v>
      </c>
      <c r="O14" s="28">
        <f>'Option1 (base case)'!O$28*conv_2026</f>
        <v>246655.90576331809</v>
      </c>
      <c r="P14" s="28">
        <f>'Option1 (base case)'!P$28*conv_2026</f>
        <v>403629.69821343664</v>
      </c>
      <c r="Q14" s="28">
        <f>'Option1 (base case)'!Q$28*conv_2026</f>
        <v>403629.69821343664</v>
      </c>
      <c r="R14" s="28">
        <f>'Option1 (base case)'!R$28*conv_2026</f>
        <v>403629.69821343664</v>
      </c>
      <c r="S14" s="28">
        <f>'Option1 (base case)'!S$28*conv_2026</f>
        <v>403629.69821343664</v>
      </c>
      <c r="T14" s="28">
        <f>'Option1 (base case)'!T$28*conv_2026</f>
        <v>403629.69821343664</v>
      </c>
      <c r="U14" s="28">
        <f>'Option1 (base case)'!U$28*conv_2026</f>
        <v>403629.69821343664</v>
      </c>
      <c r="V14" s="28">
        <f>'Option1 (base case)'!V$28*conv_2026</f>
        <v>403629.69821343664</v>
      </c>
      <c r="W14" s="28">
        <f>'Option1 (base case)'!W$28*conv_2026</f>
        <v>403629.69821343664</v>
      </c>
      <c r="X14" s="28">
        <f>'Option1 (base case)'!X$28*conv_2026</f>
        <v>403629.69821343664</v>
      </c>
      <c r="Y14" s="28">
        <f>'Option1 (base case)'!Y$28*conv_2026</f>
        <v>403629.69821343664</v>
      </c>
      <c r="Z14" s="28">
        <f>'Option1 (base case)'!Z$28*conv_2026</f>
        <v>403629.69821343664</v>
      </c>
      <c r="AA14" s="28">
        <f>'Option1 (base case)'!AA$28*conv_2026</f>
        <v>403629.69821343664</v>
      </c>
      <c r="AB14" s="28">
        <f>'Option1 (base case)'!AB$28*conv_2026</f>
        <v>403629.69821343664</v>
      </c>
      <c r="AC14" s="28">
        <f>'Option1 (base case)'!AC$28*conv_2026</f>
        <v>403629.69821343664</v>
      </c>
      <c r="AD14" s="28">
        <f>'Option1 (base case)'!AD$28*conv_2026</f>
        <v>403629.69821343664</v>
      </c>
      <c r="AE14" s="28">
        <f>'Option1 (base case)'!AE$28*conv_2026</f>
        <v>403629.69821343664</v>
      </c>
      <c r="AF14" s="28">
        <f>'Option1 (base case)'!AF$28*conv_2026</f>
        <v>403629.69821343664</v>
      </c>
      <c r="AG14" s="28">
        <f>'Option1 (base case)'!AG$28*conv_2026</f>
        <v>403629.69821343664</v>
      </c>
    </row>
    <row r="15" spans="1:34" s="1" customFormat="1" x14ac:dyDescent="0.2">
      <c r="A15" s="115" t="str">
        <f>Data!B9</f>
        <v>Option 1 (base case)</v>
      </c>
      <c r="B15" s="115"/>
      <c r="C15" s="52" t="str">
        <f>'Option1 (base case)'!C$66</f>
        <v>Capital expenditure</v>
      </c>
      <c r="D15" s="34" t="str">
        <f t="shared" si="2"/>
        <v>Option 1 (base case)Capital expenditure</v>
      </c>
      <c r="F15" s="85">
        <f>SUMPRODUCT($H15:$AG15, $H$5:$AG$5)</f>
        <v>0</v>
      </c>
      <c r="G15" s="199">
        <f>output_dollars</f>
        <v>46203</v>
      </c>
      <c r="H15" s="28"/>
      <c r="I15" s="28">
        <f>SUM('Option1 (base case)'!I$67:I$69)*conv_2026</f>
        <v>0</v>
      </c>
      <c r="J15" s="28">
        <f>SUM('Option1 (base case)'!J$67:J$69)</f>
        <v>0</v>
      </c>
      <c r="K15" s="28">
        <f>SUM('Option1 (base case)'!K$67:K$69)</f>
        <v>0</v>
      </c>
      <c r="L15" s="28">
        <f>SUM('Option1 (base case)'!L$67:L$69)</f>
        <v>0</v>
      </c>
      <c r="M15" s="28">
        <f>SUM('Option1 (base case)'!M$67:M$69)</f>
        <v>0</v>
      </c>
      <c r="N15" s="28">
        <f>SUM('Option1 (base case)'!N$67:N$69)</f>
        <v>0</v>
      </c>
      <c r="O15" s="28">
        <f>SUM('Option1 (base case)'!O$67:O$69)</f>
        <v>0</v>
      </c>
      <c r="P15" s="28">
        <f>SUM('Option1 (base case)'!P$67:P$69)</f>
        <v>0</v>
      </c>
      <c r="Q15" s="28">
        <f>SUM('Option1 (base case)'!Q$67:Q$69)</f>
        <v>0</v>
      </c>
      <c r="R15" s="28">
        <f>SUM('Option1 (base case)'!R$67:R$69)</f>
        <v>0</v>
      </c>
      <c r="S15" s="28">
        <f>SUM('Option1 (base case)'!S$67:S$69)</f>
        <v>0</v>
      </c>
      <c r="T15" s="28">
        <f>SUM('Option1 (base case)'!T$67:T$69)</f>
        <v>0</v>
      </c>
      <c r="U15" s="28">
        <f>SUM('Option1 (base case)'!U$67:U$69)</f>
        <v>0</v>
      </c>
      <c r="V15" s="28">
        <f>SUM('Option1 (base case)'!V$67:V$69)</f>
        <v>0</v>
      </c>
      <c r="W15" s="28">
        <f>SUM('Option1 (base case)'!W$67:W$69)</f>
        <v>0</v>
      </c>
      <c r="X15" s="28">
        <f>SUM('Option1 (base case)'!X$67:X$69)</f>
        <v>0</v>
      </c>
      <c r="Y15" s="28">
        <f>SUM('Option1 (base case)'!Y$67:Y$69)</f>
        <v>0</v>
      </c>
      <c r="Z15" s="28">
        <f>SUM('Option1 (base case)'!Z$67:Z$69)</f>
        <v>0</v>
      </c>
      <c r="AA15" s="28">
        <f>SUM('Option1 (base case)'!AA$67:AA$69)</f>
        <v>0</v>
      </c>
      <c r="AB15" s="28">
        <f>SUM('Option1 (base case)'!AB$67:AB$69)</f>
        <v>0</v>
      </c>
      <c r="AC15" s="28">
        <f>SUM('Option1 (base case)'!AC$67:AC$69)</f>
        <v>0</v>
      </c>
      <c r="AD15" s="28">
        <f>SUM('Option1 (base case)'!AD$67:AD$69)</f>
        <v>0</v>
      </c>
      <c r="AE15" s="28">
        <f>SUM('Option1 (base case)'!AE$67:AE$69)</f>
        <v>0</v>
      </c>
      <c r="AF15" s="28">
        <f>SUM('Option1 (base case)'!AF$67:AF$69)</f>
        <v>0</v>
      </c>
      <c r="AG15" s="28">
        <f>SUM('Option1 (base case)'!AG$67:AG$69)</f>
        <v>0</v>
      </c>
    </row>
    <row r="16" spans="1:34" s="1" customFormat="1" x14ac:dyDescent="0.2">
      <c r="A16" s="115" t="str">
        <f t="shared" ref="A16:A25" si="3">A15</f>
        <v>Option 1 (base case)</v>
      </c>
      <c r="B16" s="115"/>
      <c r="C16" s="52" t="str">
        <f>'Option1 (base case)'!C$36</f>
        <v>Total risk cost</v>
      </c>
      <c r="D16" s="34" t="str">
        <f t="shared" si="2"/>
        <v>Option 1 (base case)Total risk cost</v>
      </c>
      <c r="F16" s="96" cm="1">
        <f t="array" ref="F16">SUMPRODUCT(($H16:$AG16)*($H$5:$AG$5)*($H$7:$AG$7))</f>
        <v>4266093.6513953675</v>
      </c>
      <c r="G16" s="199">
        <f>output_dollars</f>
        <v>46203</v>
      </c>
      <c r="H16" s="28"/>
      <c r="I16" s="28">
        <f>'Option1 (base case)'!I$36*conv_2026</f>
        <v>0</v>
      </c>
      <c r="J16" s="28">
        <f>'Option1 (base case)'!J$36*conv_2026</f>
        <v>563.17262593239013</v>
      </c>
      <c r="K16" s="28">
        <f>'Option1 (base case)'!K$36*conv_2026</f>
        <v>8444.3016424363777</v>
      </c>
      <c r="L16" s="28">
        <f>'Option1 (base case)'!L$36*conv_2026</f>
        <v>21223.240190355216</v>
      </c>
      <c r="M16" s="28">
        <f>'Option1 (base case)'!M$36*conv_2026</f>
        <v>47550.225236559818</v>
      </c>
      <c r="N16" s="28">
        <f>'Option1 (base case)'!N$36*conv_2026</f>
        <v>117945.95152579798</v>
      </c>
      <c r="O16" s="28">
        <f>'Option1 (base case)'!O$36*conv_2026</f>
        <v>246655.90576331809</v>
      </c>
      <c r="P16" s="28">
        <f>'Option1 (base case)'!P$36*conv_2026</f>
        <v>403629.69821343664</v>
      </c>
      <c r="Q16" s="28">
        <f>'Option1 (base case)'!Q$36*conv_2026</f>
        <v>403629.69821343664</v>
      </c>
      <c r="R16" s="28">
        <f>'Option1 (base case)'!R$36*conv_2026</f>
        <v>403629.69821343664</v>
      </c>
      <c r="S16" s="28">
        <f>'Option1 (base case)'!S$36*conv_2026</f>
        <v>403629.69821343664</v>
      </c>
      <c r="T16" s="28">
        <f>'Option1 (base case)'!T$36*conv_2026</f>
        <v>403629.69821343664</v>
      </c>
      <c r="U16" s="28">
        <f>'Option1 (base case)'!U$36*conv_2026</f>
        <v>403629.69821343664</v>
      </c>
      <c r="V16" s="28">
        <f>'Option1 (base case)'!V$36*conv_2026</f>
        <v>403629.69821343664</v>
      </c>
      <c r="W16" s="28">
        <f>'Option1 (base case)'!W$36*conv_2026</f>
        <v>403629.69821343664</v>
      </c>
      <c r="X16" s="28">
        <f>'Option1 (base case)'!X$36*conv_2026</f>
        <v>403629.69821343664</v>
      </c>
      <c r="Y16" s="28">
        <f>'Option1 (base case)'!Y$36*conv_2026</f>
        <v>403629.69821343664</v>
      </c>
      <c r="Z16" s="28">
        <f>'Option1 (base case)'!Z$36*conv_2026</f>
        <v>403629.69821343664</v>
      </c>
      <c r="AA16" s="28">
        <f>'Option1 (base case)'!AA$36*conv_2026</f>
        <v>403629.69821343664</v>
      </c>
      <c r="AB16" s="28">
        <f>'Option1 (base case)'!AB$36*conv_2026</f>
        <v>403629.69821343664</v>
      </c>
      <c r="AC16" s="28">
        <f>'Option1 (base case)'!AC$36*conv_2026</f>
        <v>403629.69821343664</v>
      </c>
      <c r="AD16" s="28">
        <f>'Option1 (base case)'!AD$36*conv_2026</f>
        <v>403629.69821343664</v>
      </c>
      <c r="AE16" s="28">
        <f>'Option1 (base case)'!AE$36*conv_2026</f>
        <v>403629.69821343664</v>
      </c>
      <c r="AF16" s="28">
        <f>'Option1 (base case)'!AF$36*conv_2026</f>
        <v>403629.69821343664</v>
      </c>
      <c r="AG16" s="28">
        <f>'Option1 (base case)'!AG$36*conv_2026</f>
        <v>403629.69821343664</v>
      </c>
    </row>
    <row r="17" spans="1:33" s="1" customFormat="1" x14ac:dyDescent="0.2">
      <c r="A17" s="115" t="str">
        <f t="shared" si="3"/>
        <v>Option 1 (base case)</v>
      </c>
      <c r="B17" s="115"/>
      <c r="C17" s="12"/>
      <c r="D17" s="34" t="str">
        <f t="shared" si="2"/>
        <v>Option 1 (base case)</v>
      </c>
      <c r="F17"/>
      <c r="G17" s="20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15" t="str">
        <f t="shared" si="3"/>
        <v>Option 1 (base case)</v>
      </c>
      <c r="B18" s="115"/>
      <c r="C18" s="52" t="str">
        <f>'Option1 (base case)'!C$82</f>
        <v>Annualised capex</v>
      </c>
      <c r="D18" s="34" t="str">
        <f t="shared" si="2"/>
        <v>Option 1 (base case)Annualised capex</v>
      </c>
      <c r="F18" s="85">
        <f>SUMPRODUCT($H18:$AG18, $H$5:$AG$5)</f>
        <v>0</v>
      </c>
      <c r="G18" s="199">
        <f t="shared" ref="G18:G25" si="4">output_dollars</f>
        <v>46203</v>
      </c>
      <c r="H18" s="28"/>
      <c r="I18" s="28">
        <f>'Option1 (base case)'!I$82*conv_2026</f>
        <v>0</v>
      </c>
      <c r="J18" s="28">
        <f>'Option1 (base case)'!J$82*conv_2026</f>
        <v>0</v>
      </c>
      <c r="K18" s="28">
        <f>'Option1 (base case)'!K$82*conv_2026</f>
        <v>0</v>
      </c>
      <c r="L18" s="28">
        <f>'Option1 (base case)'!L$82*conv_2026</f>
        <v>0</v>
      </c>
      <c r="M18" s="28">
        <f>'Option1 (base case)'!M$82*conv_2026</f>
        <v>0</v>
      </c>
      <c r="N18" s="28">
        <f>'Option1 (base case)'!N$82*conv_2026</f>
        <v>0</v>
      </c>
      <c r="O18" s="28">
        <f>'Option1 (base case)'!O$82*conv_2026</f>
        <v>0</v>
      </c>
      <c r="P18" s="28">
        <f>'Option1 (base case)'!P$82*conv_2026</f>
        <v>0</v>
      </c>
      <c r="Q18" s="28">
        <f>'Option1 (base case)'!Q$82*conv_2026</f>
        <v>0</v>
      </c>
      <c r="R18" s="28">
        <f>'Option1 (base case)'!R$82*conv_2026</f>
        <v>0</v>
      </c>
      <c r="S18" s="28">
        <f>'Option1 (base case)'!S$82*conv_2026</f>
        <v>0</v>
      </c>
      <c r="T18" s="28">
        <f>'Option1 (base case)'!T$82*conv_2026</f>
        <v>0</v>
      </c>
      <c r="U18" s="28">
        <f>'Option1 (base case)'!U$82*conv_2026</f>
        <v>0</v>
      </c>
      <c r="V18" s="28">
        <f>'Option1 (base case)'!V$82*conv_2026</f>
        <v>0</v>
      </c>
      <c r="W18" s="28">
        <f>'Option1 (base case)'!W$82*conv_2026</f>
        <v>0</v>
      </c>
      <c r="X18" s="28">
        <f>'Option1 (base case)'!X$82*conv_2026</f>
        <v>0</v>
      </c>
      <c r="Y18" s="28">
        <f>'Option1 (base case)'!Y$82*conv_2026</f>
        <v>0</v>
      </c>
      <c r="Z18" s="28">
        <f>'Option1 (base case)'!Z$82*conv_2026</f>
        <v>0</v>
      </c>
      <c r="AA18" s="28">
        <f>'Option1 (base case)'!AA$82*conv_2026</f>
        <v>0</v>
      </c>
      <c r="AB18" s="28">
        <f>'Option1 (base case)'!AB$82*conv_2026</f>
        <v>0</v>
      </c>
      <c r="AC18" s="28">
        <f>'Option1 (base case)'!AC$82*conv_2026</f>
        <v>0</v>
      </c>
      <c r="AD18" s="28">
        <f>'Option1 (base case)'!AD$82*conv_2026</f>
        <v>0</v>
      </c>
      <c r="AE18" s="28">
        <f>'Option1 (base case)'!AE$82*conv_2026</f>
        <v>0</v>
      </c>
      <c r="AF18" s="28">
        <f>'Option1 (base case)'!AF$82*conv_2026</f>
        <v>0</v>
      </c>
      <c r="AG18" s="28">
        <f>'Option1 (base case)'!AG$82*conv_2026</f>
        <v>0</v>
      </c>
    </row>
    <row r="19" spans="1:33" s="1" customFormat="1" x14ac:dyDescent="0.2">
      <c r="A19" s="115" t="str">
        <f t="shared" si="3"/>
        <v>Option 1 (base case)</v>
      </c>
      <c r="B19" s="115"/>
      <c r="C19" s="52" t="str">
        <f>'Option1 (base case)'!C$83</f>
        <v>Operating expenditure</v>
      </c>
      <c r="D19" s="34" t="str">
        <f t="shared" si="2"/>
        <v>Option 1 (base case)Operating expenditure</v>
      </c>
      <c r="F19" s="85">
        <f>SUMPRODUCT($H19:$AG19, $H$5:$AG$5)</f>
        <v>0</v>
      </c>
      <c r="G19" s="199">
        <f t="shared" si="4"/>
        <v>46203</v>
      </c>
      <c r="H19" s="28"/>
      <c r="I19" s="28">
        <f>'Option1 (base case)'!I$83*conv_2026</f>
        <v>0</v>
      </c>
      <c r="J19" s="28">
        <f>'Option1 (base case)'!J$83*conv_2026</f>
        <v>0</v>
      </c>
      <c r="K19" s="28">
        <f>'Option1 (base case)'!K$83*conv_2026</f>
        <v>0</v>
      </c>
      <c r="L19" s="28">
        <f>'Option1 (base case)'!L$83*conv_2026</f>
        <v>0</v>
      </c>
      <c r="M19" s="28">
        <f>'Option1 (base case)'!M$83*conv_2026</f>
        <v>0</v>
      </c>
      <c r="N19" s="28">
        <f>'Option1 (base case)'!N$83*conv_2026</f>
        <v>0</v>
      </c>
      <c r="O19" s="28">
        <f>'Option1 (base case)'!O$83*conv_2026</f>
        <v>0</v>
      </c>
      <c r="P19" s="28">
        <f>'Option1 (base case)'!P$83*conv_2026</f>
        <v>0</v>
      </c>
      <c r="Q19" s="28">
        <f>'Option1 (base case)'!Q$83*conv_2026</f>
        <v>0</v>
      </c>
      <c r="R19" s="28">
        <f>'Option1 (base case)'!R$83*conv_2026</f>
        <v>0</v>
      </c>
      <c r="S19" s="28">
        <f>'Option1 (base case)'!S$83*conv_2026</f>
        <v>0</v>
      </c>
      <c r="T19" s="28">
        <f>'Option1 (base case)'!T$83*conv_2026</f>
        <v>0</v>
      </c>
      <c r="U19" s="28">
        <f>'Option1 (base case)'!U$83*conv_2026</f>
        <v>0</v>
      </c>
      <c r="V19" s="28">
        <f>'Option1 (base case)'!V$83*conv_2026</f>
        <v>0</v>
      </c>
      <c r="W19" s="28">
        <f>'Option1 (base case)'!W$83*conv_2026</f>
        <v>0</v>
      </c>
      <c r="X19" s="28">
        <f>'Option1 (base case)'!X$83*conv_2026</f>
        <v>0</v>
      </c>
      <c r="Y19" s="28">
        <f>'Option1 (base case)'!Y$83*conv_2026</f>
        <v>0</v>
      </c>
      <c r="Z19" s="28">
        <f>'Option1 (base case)'!Z$83*conv_2026</f>
        <v>0</v>
      </c>
      <c r="AA19" s="28">
        <f>'Option1 (base case)'!AA$83*conv_2026</f>
        <v>0</v>
      </c>
      <c r="AB19" s="28">
        <f>'Option1 (base case)'!AB$83*conv_2026</f>
        <v>0</v>
      </c>
      <c r="AC19" s="28">
        <f>'Option1 (base case)'!AC$83*conv_2026</f>
        <v>0</v>
      </c>
      <c r="AD19" s="28">
        <f>'Option1 (base case)'!AD$83*conv_2026</f>
        <v>0</v>
      </c>
      <c r="AE19" s="28">
        <f>'Option1 (base case)'!AE$83*conv_2026</f>
        <v>0</v>
      </c>
      <c r="AF19" s="28">
        <f>'Option1 (base case)'!AF$83*conv_2026</f>
        <v>0</v>
      </c>
      <c r="AG19" s="28">
        <f>'Option1 (base case)'!AG$83*conv_2026</f>
        <v>0</v>
      </c>
    </row>
    <row r="20" spans="1:33" s="1" customFormat="1" x14ac:dyDescent="0.2">
      <c r="A20" s="115" t="str">
        <f t="shared" si="3"/>
        <v>Option 1 (base case)</v>
      </c>
      <c r="B20" s="115"/>
      <c r="C20" s="52" t="str">
        <f>'Option1 (base case)'!C$84</f>
        <v>Risk mitigated</v>
      </c>
      <c r="D20" s="34" t="str">
        <f t="shared" si="2"/>
        <v>Option 1 (base case)Risk mitigated</v>
      </c>
      <c r="F20" s="85">
        <f>SUMPRODUCT($H20:$AG20, $H$5:$AG$5)</f>
        <v>0</v>
      </c>
      <c r="G20" s="199">
        <f t="shared" si="4"/>
        <v>46203</v>
      </c>
      <c r="H20" s="28"/>
      <c r="I20" s="28">
        <f>'Option1 (base case)'!I$84*conv_2026</f>
        <v>0</v>
      </c>
      <c r="J20" s="28">
        <f>'Option1 (base case)'!J$84*conv_2026</f>
        <v>0</v>
      </c>
      <c r="K20" s="28">
        <f>'Option1 (base case)'!K$84*conv_2026</f>
        <v>0</v>
      </c>
      <c r="L20" s="28">
        <f>'Option1 (base case)'!L$84*conv_2026</f>
        <v>0</v>
      </c>
      <c r="M20" s="28">
        <f>'Option1 (base case)'!M$84*conv_2026</f>
        <v>0</v>
      </c>
      <c r="N20" s="28">
        <f>'Option1 (base case)'!N$84*conv_2026</f>
        <v>0</v>
      </c>
      <c r="O20" s="28">
        <f>'Option1 (base case)'!O$84*conv_2026</f>
        <v>0</v>
      </c>
      <c r="P20" s="28">
        <f>'Option1 (base case)'!P$84*conv_2026</f>
        <v>0</v>
      </c>
      <c r="Q20" s="28">
        <f>'Option1 (base case)'!Q$84*conv_2026</f>
        <v>0</v>
      </c>
      <c r="R20" s="28">
        <f>'Option1 (base case)'!R$84*conv_2026</f>
        <v>0</v>
      </c>
      <c r="S20" s="28">
        <f>'Option1 (base case)'!S$84*conv_2026</f>
        <v>0</v>
      </c>
      <c r="T20" s="28">
        <f>'Option1 (base case)'!T$84*conv_2026</f>
        <v>0</v>
      </c>
      <c r="U20" s="28">
        <f>'Option1 (base case)'!U$84*conv_2026</f>
        <v>0</v>
      </c>
      <c r="V20" s="28">
        <f>'Option1 (base case)'!V$84*conv_2026</f>
        <v>0</v>
      </c>
      <c r="W20" s="28">
        <f>'Option1 (base case)'!W$84*conv_2026</f>
        <v>0</v>
      </c>
      <c r="X20" s="28">
        <f>'Option1 (base case)'!X$84*conv_2026</f>
        <v>0</v>
      </c>
      <c r="Y20" s="28">
        <f>'Option1 (base case)'!Y$84*conv_2026</f>
        <v>0</v>
      </c>
      <c r="Z20" s="28">
        <f>'Option1 (base case)'!Z$84*conv_2026</f>
        <v>0</v>
      </c>
      <c r="AA20" s="28">
        <f>'Option1 (base case)'!AA$84*conv_2026</f>
        <v>0</v>
      </c>
      <c r="AB20" s="28">
        <f>'Option1 (base case)'!AB$84*conv_2026</f>
        <v>0</v>
      </c>
      <c r="AC20" s="28">
        <f>'Option1 (base case)'!AC$84*conv_2026</f>
        <v>0</v>
      </c>
      <c r="AD20" s="28">
        <f>'Option1 (base case)'!AD$84*conv_2026</f>
        <v>0</v>
      </c>
      <c r="AE20" s="28">
        <f>'Option1 (base case)'!AE$84*conv_2026</f>
        <v>0</v>
      </c>
      <c r="AF20" s="28">
        <f>'Option1 (base case)'!AF$84*conv_2026</f>
        <v>0</v>
      </c>
      <c r="AG20" s="28">
        <f>'Option1 (base case)'!AG$84*conv_2026</f>
        <v>0</v>
      </c>
    </row>
    <row r="21" spans="1:33" s="1" customFormat="1" x14ac:dyDescent="0.2">
      <c r="A21" s="115" t="str">
        <f t="shared" si="3"/>
        <v>Option 1 (base case)</v>
      </c>
      <c r="B21" s="115"/>
      <c r="C21" s="52" t="str">
        <f>'Option1 (base case)'!C$85</f>
        <v>Other benefits value</v>
      </c>
      <c r="D21" s="34" t="str">
        <f t="shared" si="2"/>
        <v>Option 1 (base case)Other benefits value</v>
      </c>
      <c r="F21" s="85">
        <f>SUMPRODUCT($H21:$AG21, $H$5:$AG$5)</f>
        <v>0</v>
      </c>
      <c r="G21" s="199">
        <f t="shared" si="4"/>
        <v>46203</v>
      </c>
      <c r="H21" s="28"/>
      <c r="I21" s="28">
        <f>'Option1 (base case)'!I$85*conv_2026</f>
        <v>0</v>
      </c>
      <c r="J21" s="28">
        <f>'Option1 (base case)'!J$85*conv_2026</f>
        <v>0</v>
      </c>
      <c r="K21" s="28">
        <f>'Option1 (base case)'!K$85*conv_2026</f>
        <v>0</v>
      </c>
      <c r="L21" s="28">
        <f>'Option1 (base case)'!L$85*conv_2026</f>
        <v>0</v>
      </c>
      <c r="M21" s="28">
        <f>'Option1 (base case)'!M$85*conv_2026</f>
        <v>0</v>
      </c>
      <c r="N21" s="28">
        <f>'Option1 (base case)'!N$85*conv_2026</f>
        <v>0</v>
      </c>
      <c r="O21" s="28">
        <f>'Option1 (base case)'!O$85*conv_2026</f>
        <v>0</v>
      </c>
      <c r="P21" s="28">
        <f>'Option1 (base case)'!P$85*conv_2026</f>
        <v>0</v>
      </c>
      <c r="Q21" s="28">
        <f>'Option1 (base case)'!Q$85*conv_2026</f>
        <v>0</v>
      </c>
      <c r="R21" s="28">
        <f>'Option1 (base case)'!R$85*conv_2026</f>
        <v>0</v>
      </c>
      <c r="S21" s="28">
        <f>'Option1 (base case)'!S$85*conv_2026</f>
        <v>0</v>
      </c>
      <c r="T21" s="28">
        <f>'Option1 (base case)'!T$85*conv_2026</f>
        <v>0</v>
      </c>
      <c r="U21" s="28">
        <f>'Option1 (base case)'!U$85*conv_2026</f>
        <v>0</v>
      </c>
      <c r="V21" s="28">
        <f>'Option1 (base case)'!V$85*conv_2026</f>
        <v>0</v>
      </c>
      <c r="W21" s="28">
        <f>'Option1 (base case)'!W$85*conv_2026</f>
        <v>0</v>
      </c>
      <c r="X21" s="28">
        <f>'Option1 (base case)'!X$85*conv_2026</f>
        <v>0</v>
      </c>
      <c r="Y21" s="28">
        <f>'Option1 (base case)'!Y$85*conv_2026</f>
        <v>0</v>
      </c>
      <c r="Z21" s="28">
        <f>'Option1 (base case)'!Z$85*conv_2026</f>
        <v>0</v>
      </c>
      <c r="AA21" s="28">
        <f>'Option1 (base case)'!AA$85*conv_2026</f>
        <v>0</v>
      </c>
      <c r="AB21" s="28">
        <f>'Option1 (base case)'!AB$85*conv_2026</f>
        <v>0</v>
      </c>
      <c r="AC21" s="28">
        <f>'Option1 (base case)'!AC$85*conv_2026</f>
        <v>0</v>
      </c>
      <c r="AD21" s="28">
        <f>'Option1 (base case)'!AD$85*conv_2026</f>
        <v>0</v>
      </c>
      <c r="AE21" s="28">
        <f>'Option1 (base case)'!AE$85*conv_2026</f>
        <v>0</v>
      </c>
      <c r="AF21" s="28">
        <f>'Option1 (base case)'!AF$85*conv_2026</f>
        <v>0</v>
      </c>
      <c r="AG21" s="28">
        <f>'Option1 (base case)'!AG$85*conv_2026</f>
        <v>0</v>
      </c>
    </row>
    <row r="22" spans="1:33" s="1" customFormat="1" x14ac:dyDescent="0.2">
      <c r="A22" s="115" t="str">
        <f t="shared" si="3"/>
        <v>Option 1 (base case)</v>
      </c>
      <c r="B22" s="115"/>
      <c r="C22" s="123" t="str">
        <f>'Option1 (base case)'!C$87</f>
        <v>Net benefits</v>
      </c>
      <c r="D22" s="97" t="str">
        <f t="shared" si="2"/>
        <v>Option 1 (base case)Net benefits</v>
      </c>
      <c r="E22" s="98"/>
      <c r="F22" s="122"/>
      <c r="G22" s="201">
        <f t="shared" si="4"/>
        <v>46203</v>
      </c>
      <c r="H22" s="46"/>
      <c r="I22" s="46">
        <f t="shared" ref="I22:AG22" si="5">SUM(I18:I21)</f>
        <v>0</v>
      </c>
      <c r="J22" s="46">
        <f t="shared" si="5"/>
        <v>0</v>
      </c>
      <c r="K22" s="46">
        <f t="shared" si="5"/>
        <v>0</v>
      </c>
      <c r="L22" s="46">
        <f t="shared" si="5"/>
        <v>0</v>
      </c>
      <c r="M22" s="46">
        <f t="shared" si="5"/>
        <v>0</v>
      </c>
      <c r="N22" s="46">
        <f t="shared" si="5"/>
        <v>0</v>
      </c>
      <c r="O22" s="46">
        <f t="shared" si="5"/>
        <v>0</v>
      </c>
      <c r="P22" s="46">
        <f t="shared" si="5"/>
        <v>0</v>
      </c>
      <c r="Q22" s="46">
        <f t="shared" si="5"/>
        <v>0</v>
      </c>
      <c r="R22" s="46">
        <f t="shared" si="5"/>
        <v>0</v>
      </c>
      <c r="S22" s="46">
        <f t="shared" si="5"/>
        <v>0</v>
      </c>
      <c r="T22" s="46">
        <f t="shared" si="5"/>
        <v>0</v>
      </c>
      <c r="U22" s="46">
        <f t="shared" si="5"/>
        <v>0</v>
      </c>
      <c r="V22" s="46">
        <f t="shared" si="5"/>
        <v>0</v>
      </c>
      <c r="W22" s="46">
        <f t="shared" si="5"/>
        <v>0</v>
      </c>
      <c r="X22" s="46">
        <f t="shared" si="5"/>
        <v>0</v>
      </c>
      <c r="Y22" s="46">
        <f t="shared" si="5"/>
        <v>0</v>
      </c>
      <c r="Z22" s="46">
        <f t="shared" si="5"/>
        <v>0</v>
      </c>
      <c r="AA22" s="46">
        <f t="shared" si="5"/>
        <v>0</v>
      </c>
      <c r="AB22" s="46">
        <f t="shared" si="5"/>
        <v>0</v>
      </c>
      <c r="AC22" s="46">
        <f t="shared" si="5"/>
        <v>0</v>
      </c>
      <c r="AD22" s="46">
        <f t="shared" si="5"/>
        <v>0</v>
      </c>
      <c r="AE22" s="46">
        <f t="shared" si="5"/>
        <v>0</v>
      </c>
      <c r="AF22" s="46">
        <f t="shared" si="5"/>
        <v>0</v>
      </c>
      <c r="AG22" s="46">
        <f t="shared" si="5"/>
        <v>0</v>
      </c>
    </row>
    <row r="23" spans="1:33" s="1" customFormat="1" x14ac:dyDescent="0.2">
      <c r="A23" s="115" t="str">
        <f t="shared" si="3"/>
        <v>Option 1 (base case)</v>
      </c>
      <c r="B23" s="115"/>
      <c r="C23" s="6" t="s">
        <v>119</v>
      </c>
      <c r="D23" s="34" t="str">
        <f t="shared" si="2"/>
        <v>Option 1 (base case)NPV</v>
      </c>
      <c r="F23" s="96" cm="1">
        <f t="array" ref="F23">SUMPRODUCT(($H22:$AG22)*($H$5:$AG$5)*($H$7:$AG$7))</f>
        <v>0</v>
      </c>
      <c r="G23" s="199">
        <f t="shared" si="4"/>
        <v>46203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1" customFormat="1" x14ac:dyDescent="0.2">
      <c r="A24" s="115" t="str">
        <f t="shared" si="3"/>
        <v>Option 1 (base case)</v>
      </c>
      <c r="B24" s="115"/>
      <c r="C24" s="6" t="s">
        <v>189</v>
      </c>
      <c r="D24" s="34" t="str">
        <f t="shared" si="2"/>
        <v>Option 1 (base case)PV of costs</v>
      </c>
      <c r="F24" s="96">
        <f>SUM(F18:F19)</f>
        <v>0</v>
      </c>
      <c r="G24" s="199">
        <f t="shared" si="4"/>
        <v>46203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1" customFormat="1" x14ac:dyDescent="0.2">
      <c r="A25" s="115" t="str">
        <f t="shared" si="3"/>
        <v>Option 1 (base case)</v>
      </c>
      <c r="B25" s="115"/>
      <c r="C25" s="6" t="s">
        <v>190</v>
      </c>
      <c r="D25" s="34" t="str">
        <f t="shared" si="2"/>
        <v>Option 1 (base case)PV of benefits</v>
      </c>
      <c r="F25" s="96">
        <f>SUM(F20:F21)</f>
        <v>0</v>
      </c>
      <c r="G25" s="199">
        <f t="shared" si="4"/>
        <v>46203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1" customFormat="1" x14ac:dyDescent="0.2">
      <c r="D26" s="34" t="str">
        <f t="shared" ref="D26:D39" si="6">A26&amp;C26</f>
        <v/>
      </c>
      <c r="G26" s="202"/>
    </row>
    <row r="27" spans="1:33" s="2" customFormat="1" x14ac:dyDescent="0.2">
      <c r="A27" s="52"/>
      <c r="B27" s="52"/>
      <c r="C27" s="52"/>
      <c r="D27" s="34" t="str">
        <f t="shared" si="6"/>
        <v/>
      </c>
      <c r="F27" s="7"/>
      <c r="G27" s="195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" customFormat="1" x14ac:dyDescent="0.2">
      <c r="A28" s="52" t="str">
        <f>A29</f>
        <v>Option 2</v>
      </c>
      <c r="B28" s="52"/>
      <c r="C28" s="52" t="s">
        <v>124</v>
      </c>
      <c r="D28" s="34" t="str">
        <f t="shared" si="6"/>
        <v>Option 2Energy at risk value</v>
      </c>
      <c r="F28" s="85">
        <f>SUMPRODUCT($H28:$AG28, $H$5:$AG$5)</f>
        <v>67829.585743220203</v>
      </c>
      <c r="G28" s="199">
        <f>output_dollars</f>
        <v>46203</v>
      </c>
      <c r="H28" s="28"/>
      <c r="I28" s="28">
        <f>Option2!I$28*conv_2026</f>
        <v>0</v>
      </c>
      <c r="J28" s="28">
        <f>Option2!J$28*conv_2026</f>
        <v>563.17262593239013</v>
      </c>
      <c r="K28" s="28">
        <f>Option2!K$28*conv_2026</f>
        <v>8444.3016424363777</v>
      </c>
      <c r="L28" s="28">
        <f>Option2!L$28*conv_2026</f>
        <v>21223.240190355216</v>
      </c>
      <c r="M28" s="28">
        <f>Option2!M$28*conv_2026</f>
        <v>47550.225236559818</v>
      </c>
      <c r="N28" s="28">
        <f>Option2!N$28*conv_2026</f>
        <v>0</v>
      </c>
      <c r="O28" s="28">
        <f>Option2!O$28*conv_2026</f>
        <v>0</v>
      </c>
      <c r="P28" s="28">
        <f>Option2!P$28*conv_2026</f>
        <v>0</v>
      </c>
      <c r="Q28" s="28">
        <f>Option2!Q$28*conv_2026</f>
        <v>0</v>
      </c>
      <c r="R28" s="28">
        <f>Option2!R$28*conv_2026</f>
        <v>0</v>
      </c>
      <c r="S28" s="28">
        <f>Option2!S$28*conv_2026</f>
        <v>0</v>
      </c>
      <c r="T28" s="28">
        <f>Option2!T$28*conv_2026</f>
        <v>0</v>
      </c>
      <c r="U28" s="28">
        <f>Option2!U$28*conv_2026</f>
        <v>0</v>
      </c>
      <c r="V28" s="28">
        <f>Option2!V$28*conv_2026</f>
        <v>0</v>
      </c>
      <c r="W28" s="28">
        <f>Option2!W$28*conv_2026</f>
        <v>0</v>
      </c>
      <c r="X28" s="28">
        <f>Option2!X$28*conv_2026</f>
        <v>0</v>
      </c>
      <c r="Y28" s="28">
        <f>Option2!Y$28*conv_2026</f>
        <v>0</v>
      </c>
      <c r="Z28" s="28">
        <f>Option2!Z$28*conv_2026</f>
        <v>0</v>
      </c>
      <c r="AA28" s="28">
        <f>Option2!AA$28*conv_2026</f>
        <v>0</v>
      </c>
      <c r="AB28" s="28">
        <f>Option2!AB$28*conv_2026</f>
        <v>0</v>
      </c>
      <c r="AC28" s="28">
        <f>Option2!AC$28*conv_2026</f>
        <v>0</v>
      </c>
      <c r="AD28" s="28">
        <f>Option2!AD$28*conv_2026</f>
        <v>0</v>
      </c>
      <c r="AE28" s="28">
        <f>Option2!AE$28*conv_2026</f>
        <v>0</v>
      </c>
      <c r="AF28" s="28">
        <f>Option2!AF$28*conv_2026</f>
        <v>0</v>
      </c>
      <c r="AG28" s="28">
        <f>Option2!AG$28*conv_2026</f>
        <v>0</v>
      </c>
    </row>
    <row r="29" spans="1:33" s="2" customFormat="1" x14ac:dyDescent="0.2">
      <c r="A29" s="115" t="str">
        <f>Data!B10</f>
        <v>Option 2</v>
      </c>
      <c r="B29" s="115"/>
      <c r="C29" s="52" t="str">
        <f>Option2!C$66</f>
        <v>Capital expenditure</v>
      </c>
      <c r="D29" s="34" t="str">
        <f t="shared" si="6"/>
        <v>Option 2Capital expenditure</v>
      </c>
      <c r="E29" s="1"/>
      <c r="F29" s="85" cm="1">
        <f t="array" ref="F29">SUMPRODUCT(($H29:$AG29)*($H$5:$AG$5)*($H$7:$AG$7))</f>
        <v>-3394938.9245120706</v>
      </c>
      <c r="G29" s="199">
        <f>output_dollars</f>
        <v>46203</v>
      </c>
      <c r="H29" s="28"/>
      <c r="I29" s="28">
        <f>SUM(Option2!I$67:I$69)*conv_2026*I$7</f>
        <v>0</v>
      </c>
      <c r="J29" s="28">
        <f>SUM(Option2!J$67:J$69)*conv_2026*J$7</f>
        <v>0</v>
      </c>
      <c r="K29" s="28">
        <f>SUM(Option2!K$67:K$69)*conv_2026*K$7</f>
        <v>0</v>
      </c>
      <c r="L29" s="28">
        <f>SUM(Option2!L$67:L$69)*conv_2026*L$7</f>
        <v>-1947597.1312290444</v>
      </c>
      <c r="M29" s="28">
        <f>SUM(Option2!M$67:M$69)*conv_2026*M$7</f>
        <v>-1947597.1312290444</v>
      </c>
      <c r="N29" s="28">
        <f>SUM(Option2!N$67:N$69)*conv_2026*N$7</f>
        <v>0</v>
      </c>
      <c r="O29" s="28">
        <f>SUM(Option2!O$67:O$69)*conv_2026*O$7</f>
        <v>0</v>
      </c>
      <c r="P29" s="28">
        <f>SUM(Option2!P$67:P$69)*conv_2026*P$7</f>
        <v>0</v>
      </c>
      <c r="Q29" s="28">
        <f>SUM(Option2!Q$67:Q$69)*conv_2026*Q$7</f>
        <v>0</v>
      </c>
      <c r="R29" s="28">
        <f>SUM(Option2!R$67:R$69)*conv_2026*R$7</f>
        <v>0</v>
      </c>
      <c r="S29" s="28">
        <f>SUM(Option2!S$67:S$69)*conv_2026*S$7</f>
        <v>0</v>
      </c>
      <c r="T29" s="28">
        <f>SUM(Option2!T$67:T$69)*conv_2026*T$7</f>
        <v>0</v>
      </c>
      <c r="U29" s="28">
        <f>SUM(Option2!U$67:U$69)*conv_2026*U$7</f>
        <v>0</v>
      </c>
      <c r="V29" s="28">
        <f>SUM(Option2!V$67:V$69)*conv_2026*V$7</f>
        <v>0</v>
      </c>
      <c r="W29" s="28">
        <f>SUM(Option2!W$67:W$69)*conv_2026*W$7</f>
        <v>0</v>
      </c>
      <c r="X29" s="28">
        <f>SUM(Option2!X$67:X$69)*conv_2026*X$7</f>
        <v>0</v>
      </c>
      <c r="Y29" s="28">
        <f>SUM(Option2!Y$67:Y$69)*conv_2026*Y$7</f>
        <v>0</v>
      </c>
      <c r="Z29" s="28">
        <f>SUM(Option2!Z$67:Z$69)*conv_2026*Z$7</f>
        <v>0</v>
      </c>
      <c r="AA29" s="28">
        <f>SUM(Option2!AA$67:AA$69)*conv_2026*AA$7</f>
        <v>0</v>
      </c>
      <c r="AB29" s="28">
        <f>SUM(Option2!AB$67:AB$69)*conv_2026*AB$7</f>
        <v>0</v>
      </c>
      <c r="AC29" s="28">
        <f>SUM(Option2!AC$67:AC$69)*conv_2026*AC$7</f>
        <v>0</v>
      </c>
      <c r="AD29" s="28">
        <f>SUM(Option2!AD$67:AD$69)*conv_2026*AD$7</f>
        <v>0</v>
      </c>
      <c r="AE29" s="28">
        <f>SUM(Option2!AE$67:AE$69)*conv_2026*AE$7</f>
        <v>0</v>
      </c>
      <c r="AF29" s="28">
        <f>SUM(Option2!AF$67:AF$69)*conv_2026*AF$7</f>
        <v>0</v>
      </c>
      <c r="AG29" s="28">
        <f>SUM(Option2!AG$67:AG$69)*conv_2026*AG$7</f>
        <v>0</v>
      </c>
    </row>
    <row r="30" spans="1:33" s="2" customFormat="1" x14ac:dyDescent="0.2">
      <c r="A30" s="115" t="str">
        <f t="shared" ref="A30:A39" si="7">A29</f>
        <v>Option 2</v>
      </c>
      <c r="B30" s="115"/>
      <c r="C30" s="52" t="str">
        <f>'Option1 (base case)'!C$36</f>
        <v>Total risk cost</v>
      </c>
      <c r="D30" s="34" t="str">
        <f t="shared" si="6"/>
        <v>Option 2Total risk cost</v>
      </c>
      <c r="E30" s="1"/>
      <c r="F30" s="85" cm="1">
        <f t="array" ref="F30">SUMPRODUCT(($H30:$AG30)*($H$5:$AG$5)*($H$7:$AG$7))</f>
        <v>67829.585743220203</v>
      </c>
      <c r="G30" s="199">
        <f>output_dollars</f>
        <v>46203</v>
      </c>
      <c r="H30" s="28"/>
      <c r="I30" s="28">
        <f>Option2!I$36*conv_2026*I$7</f>
        <v>0</v>
      </c>
      <c r="J30" s="28">
        <f>Option2!J$36*conv_2026*J$7</f>
        <v>563.17262593239013</v>
      </c>
      <c r="K30" s="28">
        <f>Option2!K$36*conv_2026*K$7</f>
        <v>8444.3016424363777</v>
      </c>
      <c r="L30" s="28">
        <f>Option2!L$36*conv_2026*L$7</f>
        <v>21223.240190355216</v>
      </c>
      <c r="M30" s="28">
        <f>Option2!M$36*conv_2026*M$7</f>
        <v>47550.225236559818</v>
      </c>
      <c r="N30" s="28">
        <f>Option2!N$36*conv_2026*N$7</f>
        <v>0</v>
      </c>
      <c r="O30" s="28">
        <f>Option2!O$36*conv_2026*O$7</f>
        <v>0</v>
      </c>
      <c r="P30" s="28">
        <f>Option2!P$36*conv_2026*P$7</f>
        <v>0</v>
      </c>
      <c r="Q30" s="28">
        <f>Option2!Q$36*conv_2026*Q$7</f>
        <v>0</v>
      </c>
      <c r="R30" s="28">
        <f>Option2!R$36*conv_2026*R$7</f>
        <v>0</v>
      </c>
      <c r="S30" s="28">
        <f>Option2!S$36*conv_2026*S$7</f>
        <v>0</v>
      </c>
      <c r="T30" s="28">
        <f>Option2!T$36*conv_2026*T$7</f>
        <v>0</v>
      </c>
      <c r="U30" s="28">
        <f>Option2!U$36*conv_2026*U$7</f>
        <v>0</v>
      </c>
      <c r="V30" s="28">
        <f>Option2!V$36*conv_2026*V$7</f>
        <v>0</v>
      </c>
      <c r="W30" s="28">
        <f>Option2!W$36*conv_2026*W$7</f>
        <v>0</v>
      </c>
      <c r="X30" s="28">
        <f>Option2!X$36*conv_2026*X$7</f>
        <v>0</v>
      </c>
      <c r="Y30" s="28">
        <f>Option2!Y$36*conv_2026*Y$7</f>
        <v>0</v>
      </c>
      <c r="Z30" s="28">
        <f>Option2!Z$36*conv_2026*Z$7</f>
        <v>0</v>
      </c>
      <c r="AA30" s="28">
        <f>Option2!AA$36*conv_2026*AA$7</f>
        <v>0</v>
      </c>
      <c r="AB30" s="28">
        <f>Option2!AB$36*conv_2026*AB$7</f>
        <v>0</v>
      </c>
      <c r="AC30" s="28">
        <f>Option2!AC$36*conv_2026*AC$7</f>
        <v>0</v>
      </c>
      <c r="AD30" s="28">
        <f>Option2!AD$36*conv_2026*AD$7</f>
        <v>0</v>
      </c>
      <c r="AE30" s="28">
        <f>Option2!AE$36*conv_2026*AE$7</f>
        <v>0</v>
      </c>
      <c r="AF30" s="28">
        <f>Option2!AF$36*conv_2026*AF$7</f>
        <v>0</v>
      </c>
      <c r="AG30" s="28">
        <f>Option2!AG$36*conv_2026*AG$7</f>
        <v>0</v>
      </c>
    </row>
    <row r="31" spans="1:33" s="2" customFormat="1" x14ac:dyDescent="0.2">
      <c r="A31" s="115" t="str">
        <f t="shared" si="7"/>
        <v>Option 2</v>
      </c>
      <c r="B31" s="115"/>
      <c r="C31" s="12"/>
      <c r="D31" s="34" t="str">
        <f t="shared" si="6"/>
        <v>Option 2</v>
      </c>
      <c r="E31" s="1"/>
      <c r="F31" s="85"/>
      <c r="G31" s="20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15" t="str">
        <f t="shared" si="7"/>
        <v>Option 2</v>
      </c>
      <c r="B32" s="115"/>
      <c r="C32" s="52" t="str">
        <f>Option2!C$82</f>
        <v>Annualised capex</v>
      </c>
      <c r="D32" s="34" t="str">
        <f t="shared" si="6"/>
        <v>Option 2Annualised capex</v>
      </c>
      <c r="E32" s="1"/>
      <c r="F32" s="85" cm="1">
        <f t="array" ref="F32">SUMPRODUCT(($H32:$AG32)*($H$5:$AG$5)*($H$7:$AG$7))</f>
        <v>-1947350.0290670893</v>
      </c>
      <c r="G32" s="199">
        <f t="shared" ref="G32:G39" si="8">output_dollars</f>
        <v>46203</v>
      </c>
      <c r="H32" s="28"/>
      <c r="I32" s="28">
        <f>Option2!I$82*conv_2026*I$7</f>
        <v>0</v>
      </c>
      <c r="J32" s="28">
        <f>Option2!J$82*conv_2026*J$7</f>
        <v>0</v>
      </c>
      <c r="K32" s="28">
        <f>Option2!K$82*conv_2026*K$7</f>
        <v>0</v>
      </c>
      <c r="L32" s="28">
        <f>Option2!L$82*conv_2026*L$7</f>
        <v>0</v>
      </c>
      <c r="M32" s="28">
        <f>Option2!M$82*conv_2026*M$7</f>
        <v>-83033.290445461113</v>
      </c>
      <c r="N32" s="28">
        <f>Option2!N$82*conv_2026*N$7</f>
        <v>-166066.58089092223</v>
      </c>
      <c r="O32" s="28">
        <f>Option2!O$82*conv_2026*O$7</f>
        <v>-166066.58089092223</v>
      </c>
      <c r="P32" s="28">
        <f>Option2!P$82*conv_2026*P$7</f>
        <v>-166066.58089092223</v>
      </c>
      <c r="Q32" s="28">
        <f>Option2!Q$82*conv_2026*Q$7</f>
        <v>-166066.58089092223</v>
      </c>
      <c r="R32" s="28">
        <f>Option2!R$82*conv_2026*R$7</f>
        <v>-166066.58089092223</v>
      </c>
      <c r="S32" s="28">
        <f>Option2!S$82*conv_2026*S$7</f>
        <v>-166066.58089092223</v>
      </c>
      <c r="T32" s="28">
        <f>Option2!T$82*conv_2026*T$7</f>
        <v>-166066.58089092223</v>
      </c>
      <c r="U32" s="28">
        <f>Option2!U$82*conv_2026*U$7</f>
        <v>-166066.58089092223</v>
      </c>
      <c r="V32" s="28">
        <f>Option2!V$82*conv_2026*V$7</f>
        <v>-166066.58089092223</v>
      </c>
      <c r="W32" s="28">
        <f>Option2!W$82*conv_2026*W$7</f>
        <v>-166066.58089092223</v>
      </c>
      <c r="X32" s="28">
        <f>Option2!X$82*conv_2026*X$7</f>
        <v>-166066.58089092223</v>
      </c>
      <c r="Y32" s="28">
        <f>Option2!Y$82*conv_2026*Y$7</f>
        <v>-166066.58089092223</v>
      </c>
      <c r="Z32" s="28">
        <f>Option2!Z$82*conv_2026*Z$7</f>
        <v>-166066.58089092223</v>
      </c>
      <c r="AA32" s="28">
        <f>Option2!AA$82*conv_2026*AA$7</f>
        <v>-166066.58089092223</v>
      </c>
      <c r="AB32" s="28">
        <f>Option2!AB$82*conv_2026*AB$7</f>
        <v>-166066.58089092223</v>
      </c>
      <c r="AC32" s="28">
        <f>Option2!AC$82*conv_2026*AC$7</f>
        <v>-166066.58089092223</v>
      </c>
      <c r="AD32" s="28">
        <f>Option2!AD$82*conv_2026*AD$7</f>
        <v>-166066.58089092223</v>
      </c>
      <c r="AE32" s="28">
        <f>Option2!AE$82*conv_2026*AE$7</f>
        <v>-166066.58089092223</v>
      </c>
      <c r="AF32" s="28">
        <f>Option2!AF$82*conv_2026*AF$7</f>
        <v>0</v>
      </c>
      <c r="AG32" s="28">
        <f>Option2!AG$82*conv_2026*AG$7</f>
        <v>0</v>
      </c>
    </row>
    <row r="33" spans="1:33" s="2" customFormat="1" x14ac:dyDescent="0.2">
      <c r="A33" s="115" t="str">
        <f t="shared" si="7"/>
        <v>Option 2</v>
      </c>
      <c r="B33" s="115"/>
      <c r="C33" s="52" t="str">
        <f>Option2!C$83</f>
        <v>Operating expenditure</v>
      </c>
      <c r="D33" s="34" t="str">
        <f t="shared" si="6"/>
        <v>Option 2Operating expenditure</v>
      </c>
      <c r="E33" s="1"/>
      <c r="F33" s="85" cm="1">
        <f t="array" ref="F33">SUMPRODUCT(($H33:$AG33)*($H$5:$AG$5)*($H$7:$AG$7))</f>
        <v>0</v>
      </c>
      <c r="G33" s="199">
        <f t="shared" si="8"/>
        <v>46203</v>
      </c>
      <c r="H33" s="28"/>
      <c r="I33" s="28">
        <f>Option2!I$83*conv_2026*I$7</f>
        <v>0</v>
      </c>
      <c r="J33" s="28">
        <f>Option2!J$83*conv_2026*J$7</f>
        <v>0</v>
      </c>
      <c r="K33" s="28">
        <f>Option2!K$83*conv_2026*K$7</f>
        <v>0</v>
      </c>
      <c r="L33" s="28">
        <f>Option2!L$83*conv_2026*L$7</f>
        <v>0</v>
      </c>
      <c r="M33" s="28">
        <f>Option2!M$83*conv_2026*M$7</f>
        <v>0</v>
      </c>
      <c r="N33" s="28">
        <f>Option2!N$83*conv_2026*N$7</f>
        <v>0</v>
      </c>
      <c r="O33" s="28">
        <f>Option2!O$83*conv_2026*O$7</f>
        <v>0</v>
      </c>
      <c r="P33" s="28">
        <f>Option2!P$83*conv_2026*P$7</f>
        <v>0</v>
      </c>
      <c r="Q33" s="28">
        <f>Option2!Q$83*conv_2026*Q$7</f>
        <v>0</v>
      </c>
      <c r="R33" s="28">
        <f>Option2!R$83*conv_2026*R$7</f>
        <v>0</v>
      </c>
      <c r="S33" s="28">
        <f>Option2!S$83*conv_2026*S$7</f>
        <v>0</v>
      </c>
      <c r="T33" s="28">
        <f>Option2!T$83*conv_2026*T$7</f>
        <v>0</v>
      </c>
      <c r="U33" s="28">
        <f>Option2!U$83*conv_2026*U$7</f>
        <v>0</v>
      </c>
      <c r="V33" s="28">
        <f>Option2!V$83*conv_2026*V$7</f>
        <v>0</v>
      </c>
      <c r="W33" s="28">
        <f>Option2!W$83*conv_2026*W$7</f>
        <v>0</v>
      </c>
      <c r="X33" s="28">
        <f>Option2!X$83*conv_2026*X$7</f>
        <v>0</v>
      </c>
      <c r="Y33" s="28">
        <f>Option2!Y$83*conv_2026*Y$7</f>
        <v>0</v>
      </c>
      <c r="Z33" s="28">
        <f>Option2!Z$83*conv_2026*Z$7</f>
        <v>0</v>
      </c>
      <c r="AA33" s="28">
        <f>Option2!AA$83*conv_2026*AA$7</f>
        <v>0</v>
      </c>
      <c r="AB33" s="28">
        <f>Option2!AB$83*conv_2026*AB$7</f>
        <v>0</v>
      </c>
      <c r="AC33" s="28">
        <f>Option2!AC$83*conv_2026*AC$7</f>
        <v>0</v>
      </c>
      <c r="AD33" s="28">
        <f>Option2!AD$83*conv_2026*AD$7</f>
        <v>0</v>
      </c>
      <c r="AE33" s="28">
        <f>Option2!AE$83*conv_2026*AE$7</f>
        <v>0</v>
      </c>
      <c r="AF33" s="28">
        <f>Option2!AF$83*conv_2026*AF$7</f>
        <v>0</v>
      </c>
      <c r="AG33" s="28">
        <f>Option2!AG$83*conv_2026*AG$7</f>
        <v>0</v>
      </c>
    </row>
    <row r="34" spans="1:33" s="2" customFormat="1" x14ac:dyDescent="0.2">
      <c r="A34" s="115" t="str">
        <f t="shared" si="7"/>
        <v>Option 2</v>
      </c>
      <c r="B34" s="115"/>
      <c r="C34" s="52" t="str">
        <f>Option2!C$84</f>
        <v>Risk mitigated</v>
      </c>
      <c r="D34" s="34" t="str">
        <f t="shared" si="6"/>
        <v>Option 2Risk mitigated</v>
      </c>
      <c r="E34" s="1"/>
      <c r="F34" s="85" cm="1">
        <f t="array" ref="F34">SUMPRODUCT(($H34:$AG34)*($H$5:$AG$5)*($H$7:$AG$7))</f>
        <v>4198264.0656521469</v>
      </c>
      <c r="G34" s="199">
        <f t="shared" si="8"/>
        <v>46203</v>
      </c>
      <c r="H34" s="28"/>
      <c r="I34" s="28">
        <f>Option2!I$84*conv_2026*I$7</f>
        <v>0</v>
      </c>
      <c r="J34" s="28">
        <f>Option2!J$84*conv_2026*J$7</f>
        <v>0</v>
      </c>
      <c r="K34" s="28">
        <f>Option2!K$84*conv_2026*K$7</f>
        <v>0</v>
      </c>
      <c r="L34" s="28">
        <f>Option2!L$84*conv_2026*L$7</f>
        <v>0</v>
      </c>
      <c r="M34" s="28">
        <f>Option2!M$84*conv_2026*M$7</f>
        <v>0</v>
      </c>
      <c r="N34" s="28">
        <f>Option2!N$84*conv_2026*N$7</f>
        <v>117945.95152579798</v>
      </c>
      <c r="O34" s="28">
        <f>Option2!O$84*conv_2026*O$7</f>
        <v>246655.90576331809</v>
      </c>
      <c r="P34" s="28">
        <f>Option2!P$84*conv_2026*P$7</f>
        <v>403629.69821343664</v>
      </c>
      <c r="Q34" s="28">
        <f>Option2!Q$84*conv_2026*Q$7</f>
        <v>403629.69821343664</v>
      </c>
      <c r="R34" s="28">
        <f>Option2!R$84*conv_2026*R$7</f>
        <v>403629.69821343664</v>
      </c>
      <c r="S34" s="28">
        <f>Option2!S$84*conv_2026*S$7</f>
        <v>403629.69821343664</v>
      </c>
      <c r="T34" s="28">
        <f>Option2!T$84*conv_2026*T$7</f>
        <v>403629.69821343664</v>
      </c>
      <c r="U34" s="28">
        <f>Option2!U$84*conv_2026*U$7</f>
        <v>403629.69821343664</v>
      </c>
      <c r="V34" s="28">
        <f>Option2!V$84*conv_2026*V$7</f>
        <v>403629.69821343664</v>
      </c>
      <c r="W34" s="28">
        <f>Option2!W$84*conv_2026*W$7</f>
        <v>403629.69821343664</v>
      </c>
      <c r="X34" s="28">
        <f>Option2!X$84*conv_2026*X$7</f>
        <v>403629.69821343664</v>
      </c>
      <c r="Y34" s="28">
        <f>Option2!Y$84*conv_2026*Y$7</f>
        <v>403629.69821343664</v>
      </c>
      <c r="Z34" s="28">
        <f>Option2!Z$84*conv_2026*Z$7</f>
        <v>403629.69821343664</v>
      </c>
      <c r="AA34" s="28">
        <f>Option2!AA$84*conv_2026*AA$7</f>
        <v>403629.69821343664</v>
      </c>
      <c r="AB34" s="28">
        <f>Option2!AB$84*conv_2026*AB$7</f>
        <v>403629.69821343664</v>
      </c>
      <c r="AC34" s="28">
        <f>Option2!AC$84*conv_2026*AC$7</f>
        <v>403629.69821343664</v>
      </c>
      <c r="AD34" s="28">
        <f>Option2!AD$84*conv_2026*AD$7</f>
        <v>403629.69821343664</v>
      </c>
      <c r="AE34" s="28">
        <f>Option2!AE$84*conv_2026*AE$7</f>
        <v>403629.69821343664</v>
      </c>
      <c r="AF34" s="28">
        <f>Option2!AF$84*conv_2026*AF$7</f>
        <v>0</v>
      </c>
      <c r="AG34" s="28">
        <f>Option2!AG$84*conv_2026*AG$7</f>
        <v>0</v>
      </c>
    </row>
    <row r="35" spans="1:33" s="2" customFormat="1" x14ac:dyDescent="0.2">
      <c r="A35" s="115" t="str">
        <f t="shared" si="7"/>
        <v>Option 2</v>
      </c>
      <c r="B35" s="115"/>
      <c r="C35" s="52" t="str">
        <f>Option2!C$85</f>
        <v>Other benefits value</v>
      </c>
      <c r="D35" s="34" t="str">
        <f t="shared" si="6"/>
        <v>Option 2Other benefits value</v>
      </c>
      <c r="E35" s="1"/>
      <c r="F35" s="85" cm="1">
        <f t="array" ref="F35">SUMPRODUCT(($H35:$AG35)*($H$5:$AG$5)*($H$7:$AG$7))</f>
        <v>0</v>
      </c>
      <c r="G35" s="199">
        <f t="shared" si="8"/>
        <v>46203</v>
      </c>
      <c r="H35" s="28"/>
      <c r="I35" s="28">
        <f>Option2!I$85*conv_2026*I$7</f>
        <v>0</v>
      </c>
      <c r="J35" s="28">
        <f>Option2!J$85*conv_2026*J$7</f>
        <v>0</v>
      </c>
      <c r="K35" s="28">
        <f>Option2!K$85*conv_2026*K$7</f>
        <v>0</v>
      </c>
      <c r="L35" s="28">
        <f>Option2!L$85*conv_2026*L$7</f>
        <v>0</v>
      </c>
      <c r="M35" s="28">
        <f>Option2!M$85*conv_2026*M$7</f>
        <v>0</v>
      </c>
      <c r="N35" s="28">
        <f>Option2!N$85*conv_2026*N$7</f>
        <v>0</v>
      </c>
      <c r="O35" s="28">
        <f>Option2!O$85*conv_2026*O$7</f>
        <v>0</v>
      </c>
      <c r="P35" s="28">
        <f>Option2!P$85*conv_2026*P$7</f>
        <v>0</v>
      </c>
      <c r="Q35" s="28">
        <f>Option2!Q$85*conv_2026*Q$7</f>
        <v>0</v>
      </c>
      <c r="R35" s="28">
        <f>Option2!R$85*conv_2026*R$7</f>
        <v>0</v>
      </c>
      <c r="S35" s="28">
        <f>Option2!S$85*conv_2026*S$7</f>
        <v>0</v>
      </c>
      <c r="T35" s="28">
        <f>Option2!T$85*conv_2026*T$7</f>
        <v>0</v>
      </c>
      <c r="U35" s="28">
        <f>Option2!U$85*conv_2026*U$7</f>
        <v>0</v>
      </c>
      <c r="V35" s="28">
        <f>Option2!V$85*conv_2026*V$7</f>
        <v>0</v>
      </c>
      <c r="W35" s="28">
        <f>Option2!W$85*conv_2026*W$7</f>
        <v>0</v>
      </c>
      <c r="X35" s="28">
        <f>Option2!X$85*conv_2026*X$7</f>
        <v>0</v>
      </c>
      <c r="Y35" s="28">
        <f>Option2!Y$85*conv_2026*Y$7</f>
        <v>0</v>
      </c>
      <c r="Z35" s="28">
        <f>Option2!Z$85*conv_2026*Z$7</f>
        <v>0</v>
      </c>
      <c r="AA35" s="28">
        <f>Option2!AA$85*conv_2026*AA$7</f>
        <v>0</v>
      </c>
      <c r="AB35" s="28">
        <f>Option2!AB$85*conv_2026*AB$7</f>
        <v>0</v>
      </c>
      <c r="AC35" s="28">
        <f>Option2!AC$85*conv_2026*AC$7</f>
        <v>0</v>
      </c>
      <c r="AD35" s="28">
        <f>Option2!AD$85*conv_2026*AD$7</f>
        <v>0</v>
      </c>
      <c r="AE35" s="28">
        <f>Option2!AE$85*conv_2026*AE$7</f>
        <v>0</v>
      </c>
      <c r="AF35" s="28">
        <f>Option2!AF$85*conv_2026*AF$7</f>
        <v>0</v>
      </c>
      <c r="AG35" s="28">
        <f>Option2!AG$85*conv_2026*AG$7</f>
        <v>0</v>
      </c>
    </row>
    <row r="36" spans="1:33" s="2" customFormat="1" x14ac:dyDescent="0.2">
      <c r="A36" s="115" t="str">
        <f t="shared" si="7"/>
        <v>Option 2</v>
      </c>
      <c r="B36" s="115"/>
      <c r="C36" s="105" t="str">
        <f>Option2!C87</f>
        <v>Net benefits</v>
      </c>
      <c r="D36" s="97" t="str">
        <f t="shared" si="6"/>
        <v>Option 2Net benefits</v>
      </c>
      <c r="E36" s="98"/>
      <c r="F36" s="122"/>
      <c r="G36" s="201">
        <f t="shared" si="8"/>
        <v>46203</v>
      </c>
      <c r="H36" s="46"/>
      <c r="I36" s="46">
        <f>SUM(I32:I35)</f>
        <v>0</v>
      </c>
      <c r="J36" s="46">
        <f t="shared" ref="J36:AG36" si="9">SUM(J32:J35)</f>
        <v>0</v>
      </c>
      <c r="K36" s="46">
        <f t="shared" si="9"/>
        <v>0</v>
      </c>
      <c r="L36" s="46">
        <f t="shared" si="9"/>
        <v>0</v>
      </c>
      <c r="M36" s="46">
        <f t="shared" si="9"/>
        <v>-83033.290445461113</v>
      </c>
      <c r="N36" s="46">
        <f t="shared" si="9"/>
        <v>-48120.629365124245</v>
      </c>
      <c r="O36" s="46">
        <f t="shared" si="9"/>
        <v>80589.324872395868</v>
      </c>
      <c r="P36" s="46">
        <f t="shared" si="9"/>
        <v>237563.11732251442</v>
      </c>
      <c r="Q36" s="46">
        <f t="shared" si="9"/>
        <v>237563.11732251442</v>
      </c>
      <c r="R36" s="46">
        <f t="shared" si="9"/>
        <v>237563.11732251442</v>
      </c>
      <c r="S36" s="46">
        <f t="shared" si="9"/>
        <v>237563.11732251442</v>
      </c>
      <c r="T36" s="46">
        <f t="shared" si="9"/>
        <v>237563.11732251442</v>
      </c>
      <c r="U36" s="46">
        <f t="shared" si="9"/>
        <v>237563.11732251442</v>
      </c>
      <c r="V36" s="46">
        <f t="shared" si="9"/>
        <v>237563.11732251442</v>
      </c>
      <c r="W36" s="46">
        <f t="shared" si="9"/>
        <v>237563.11732251442</v>
      </c>
      <c r="X36" s="46">
        <f t="shared" si="9"/>
        <v>237563.11732251442</v>
      </c>
      <c r="Y36" s="46">
        <f t="shared" si="9"/>
        <v>237563.11732251442</v>
      </c>
      <c r="Z36" s="46">
        <f t="shared" si="9"/>
        <v>237563.11732251442</v>
      </c>
      <c r="AA36" s="46">
        <f t="shared" si="9"/>
        <v>237563.11732251442</v>
      </c>
      <c r="AB36" s="46">
        <f t="shared" si="9"/>
        <v>237563.11732251442</v>
      </c>
      <c r="AC36" s="46">
        <f t="shared" si="9"/>
        <v>237563.11732251442</v>
      </c>
      <c r="AD36" s="46">
        <f t="shared" si="9"/>
        <v>237563.11732251442</v>
      </c>
      <c r="AE36" s="46">
        <f t="shared" si="9"/>
        <v>237563.11732251442</v>
      </c>
      <c r="AF36" s="46">
        <f t="shared" si="9"/>
        <v>0</v>
      </c>
      <c r="AG36" s="46">
        <f t="shared" si="9"/>
        <v>0</v>
      </c>
    </row>
    <row r="37" spans="1:33" s="2" customFormat="1" x14ac:dyDescent="0.2">
      <c r="A37" s="115" t="str">
        <f t="shared" si="7"/>
        <v>Option 2</v>
      </c>
      <c r="B37" s="115"/>
      <c r="C37" s="6" t="s">
        <v>119</v>
      </c>
      <c r="D37" s="34" t="str">
        <f t="shared" si="6"/>
        <v>Option 2NPV</v>
      </c>
      <c r="E37" s="1"/>
      <c r="F37" s="96" cm="1">
        <f t="array" ref="F37">SUMPRODUCT(($H36:$AG36)*($H$5:$AG$5)*($H$7:$AG$7))</f>
        <v>2250914.0365850567</v>
      </c>
      <c r="G37" s="199">
        <f t="shared" si="8"/>
        <v>46203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2" customFormat="1" x14ac:dyDescent="0.2">
      <c r="A38" s="115" t="str">
        <f t="shared" si="7"/>
        <v>Option 2</v>
      </c>
      <c r="B38" s="115"/>
      <c r="C38" s="6" t="s">
        <v>189</v>
      </c>
      <c r="D38" s="34" t="str">
        <f t="shared" si="6"/>
        <v>Option 2PV of costs</v>
      </c>
      <c r="E38" s="1"/>
      <c r="F38" s="96">
        <f>SUM(F32:F33)</f>
        <v>-1947350.0290670893</v>
      </c>
      <c r="G38" s="199">
        <f t="shared" si="8"/>
        <v>46203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2" customFormat="1" x14ac:dyDescent="0.2">
      <c r="A39" s="115" t="str">
        <f t="shared" si="7"/>
        <v>Option 2</v>
      </c>
      <c r="B39" s="115"/>
      <c r="C39" s="6" t="s">
        <v>190</v>
      </c>
      <c r="D39" s="34" t="str">
        <f t="shared" si="6"/>
        <v>Option 2PV of benefits</v>
      </c>
      <c r="E39" s="1"/>
      <c r="F39" s="96">
        <f>SUM(F34:F35)</f>
        <v>4198264.0656521469</v>
      </c>
      <c r="G39" s="199">
        <f t="shared" si="8"/>
        <v>46203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s="2" customFormat="1" x14ac:dyDescent="0.2">
      <c r="A40" s="115"/>
      <c r="B40" s="115"/>
      <c r="C40" s="1"/>
      <c r="D40" s="34"/>
      <c r="E40" s="1"/>
      <c r="F40" s="96"/>
      <c r="G40" s="202"/>
      <c r="H40" s="1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</row>
    <row r="41" spans="1:33" s="2" customFormat="1" x14ac:dyDescent="0.2">
      <c r="A41" s="52"/>
      <c r="B41" s="52"/>
      <c r="C41" s="52"/>
      <c r="D41" s="34" t="str">
        <f>A41&amp;C41</f>
        <v/>
      </c>
      <c r="F41" s="7"/>
      <c r="G41" s="195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2" customFormat="1" x14ac:dyDescent="0.2">
      <c r="A42" s="52" t="str">
        <f>A43</f>
        <v>Option 3</v>
      </c>
      <c r="B42" s="52"/>
      <c r="C42" s="52" t="s">
        <v>124</v>
      </c>
      <c r="D42" s="34" t="str">
        <f>A42&amp;C42</f>
        <v>Option 3Energy at risk value</v>
      </c>
      <c r="F42" s="85">
        <f>SUMPRODUCT($H42:$AG42, $H$5:$AG$5)</f>
        <v>165443.36210168802</v>
      </c>
      <c r="G42" s="199">
        <f>output_dollars</f>
        <v>46203</v>
      </c>
      <c r="H42" s="28"/>
      <c r="I42" s="28">
        <f>Option3!I$28*conv_2026</f>
        <v>0</v>
      </c>
      <c r="J42" s="28">
        <f>Option3!J$28*conv_2026</f>
        <v>563.17262593239013</v>
      </c>
      <c r="K42" s="28">
        <f>Option3!K$28*conv_2026</f>
        <v>8444.3016424363777</v>
      </c>
      <c r="L42" s="28">
        <f>Option3!L$28*conv_2026</f>
        <v>21223.240190355216</v>
      </c>
      <c r="M42" s="28">
        <f>Option3!M$28*conv_2026</f>
        <v>47550.225236559818</v>
      </c>
      <c r="N42" s="28">
        <f>Option3!N$28*conv_2026</f>
        <v>117945.95152579798</v>
      </c>
      <c r="O42" s="28">
        <f>Option3!O$28*conv_2026</f>
        <v>0</v>
      </c>
      <c r="P42" s="28">
        <f>Option3!P$28*conv_2026</f>
        <v>0</v>
      </c>
      <c r="Q42" s="28">
        <f>Option3!Q$28*conv_2026</f>
        <v>0</v>
      </c>
      <c r="R42" s="28">
        <f>Option3!R$28*conv_2026</f>
        <v>0</v>
      </c>
      <c r="S42" s="28">
        <f>Option3!S$28*conv_2026</f>
        <v>0</v>
      </c>
      <c r="T42" s="28">
        <f>Option3!T$28*conv_2026</f>
        <v>0</v>
      </c>
      <c r="U42" s="28">
        <f>Option3!U$28*conv_2026</f>
        <v>0</v>
      </c>
      <c r="V42" s="28">
        <f>Option3!V$28*conv_2026</f>
        <v>0</v>
      </c>
      <c r="W42" s="28">
        <f>Option3!W$28*conv_2026</f>
        <v>0</v>
      </c>
      <c r="X42" s="28">
        <f>Option3!X$28*conv_2026</f>
        <v>0</v>
      </c>
      <c r="Y42" s="28">
        <f>Option3!Y$28*conv_2026</f>
        <v>0</v>
      </c>
      <c r="Z42" s="28">
        <f>Option3!Z$28*conv_2026</f>
        <v>0</v>
      </c>
      <c r="AA42" s="28">
        <f>Option3!AA$28*conv_2026</f>
        <v>0</v>
      </c>
      <c r="AB42" s="28">
        <f>Option3!AB$28*conv_2026</f>
        <v>0</v>
      </c>
      <c r="AC42" s="28">
        <f>Option3!AC$28*conv_2026</f>
        <v>0</v>
      </c>
      <c r="AD42" s="28">
        <f>Option3!AD$28*conv_2026</f>
        <v>0</v>
      </c>
      <c r="AE42" s="28">
        <f>Option3!AE$28*conv_2026</f>
        <v>0</v>
      </c>
      <c r="AF42" s="28">
        <f>Option3!AF$28*conv_2026</f>
        <v>0</v>
      </c>
      <c r="AG42" s="28">
        <f>Option3!AG$28*conv_2026</f>
        <v>0</v>
      </c>
    </row>
    <row r="43" spans="1:33" s="2" customFormat="1" x14ac:dyDescent="0.2">
      <c r="A43" s="115" t="str">
        <f>Data!B11</f>
        <v>Option 3</v>
      </c>
      <c r="B43" s="115"/>
      <c r="C43" s="52" t="str">
        <f>Option3!C$66</f>
        <v>Capital expenditure</v>
      </c>
      <c r="D43" s="34" t="str">
        <f>A43&amp;C43</f>
        <v>Option 3Capital expenditure</v>
      </c>
      <c r="E43" s="1"/>
      <c r="F43" s="85">
        <f>SUMPRODUCT($H43:$AG43, $H$5:$AG$5)</f>
        <v>-58215326.484513387</v>
      </c>
      <c r="G43" s="199">
        <f>output_dollars</f>
        <v>46203</v>
      </c>
      <c r="H43" s="28"/>
      <c r="I43" s="28">
        <f>SUM(Option3!I$67:I$69)*conv_2026*I$7</f>
        <v>0</v>
      </c>
      <c r="J43" s="28">
        <f>SUM(Option3!J$67:J$69)*conv_2026*J$7</f>
        <v>0</v>
      </c>
      <c r="K43" s="28">
        <f>SUM(Option3!K$67:K$69)*conv_2026*K$7</f>
        <v>0</v>
      </c>
      <c r="L43" s="28">
        <f>SUM(Option3!L$67:L$69)*conv_2026*L$7</f>
        <v>0</v>
      </c>
      <c r="M43" s="28">
        <f>SUM(Option3!M$67:M$69)*conv_2026*M$7</f>
        <v>-34565659.519658104</v>
      </c>
      <c r="N43" s="28">
        <f>SUM(Option3!N$67:N$69)*conv_2026*N$7</f>
        <v>-34565659.519658104</v>
      </c>
      <c r="O43" s="28">
        <f>SUM(Option3!O$67:O$69)*conv_2026*O$7</f>
        <v>0</v>
      </c>
      <c r="P43" s="28">
        <f>SUM(Option3!P$67:P$69)*conv_2026*P$7</f>
        <v>0</v>
      </c>
      <c r="Q43" s="28">
        <f>SUM(Option3!Q$67:Q$69)*conv_2026*Q$7</f>
        <v>0</v>
      </c>
      <c r="R43" s="28">
        <f>SUM(Option3!R$67:R$69)*conv_2026*R$7</f>
        <v>0</v>
      </c>
      <c r="S43" s="28">
        <f>SUM(Option3!S$67:S$69)*conv_2026*S$7</f>
        <v>0</v>
      </c>
      <c r="T43" s="28">
        <f>SUM(Option3!T$67:T$69)*conv_2026*T$7</f>
        <v>0</v>
      </c>
      <c r="U43" s="28">
        <f>SUM(Option3!U$67:U$69)*conv_2026*U$7</f>
        <v>0</v>
      </c>
      <c r="V43" s="28">
        <f>SUM(Option3!V$67:V$69)*conv_2026*V$7</f>
        <v>0</v>
      </c>
      <c r="W43" s="28">
        <f>SUM(Option3!W$67:W$69)*conv_2026*W$7</f>
        <v>0</v>
      </c>
      <c r="X43" s="28">
        <f>SUM(Option3!X$67:X$69)*conv_2026*X$7</f>
        <v>0</v>
      </c>
      <c r="Y43" s="28">
        <f>SUM(Option3!Y$67:Y$69)*conv_2026*Y$7</f>
        <v>0</v>
      </c>
      <c r="Z43" s="28">
        <f>SUM(Option3!Z$67:Z$69)*conv_2026*Z$7</f>
        <v>0</v>
      </c>
      <c r="AA43" s="28">
        <f>SUM(Option3!AA$67:AA$69)*conv_2026*AA$7</f>
        <v>0</v>
      </c>
      <c r="AB43" s="28">
        <f>SUM(Option3!AB$67:AB$69)*conv_2026*AB$7</f>
        <v>0</v>
      </c>
      <c r="AC43" s="28">
        <f>SUM(Option3!AC$67:AC$69)*conv_2026*AC$7</f>
        <v>0</v>
      </c>
      <c r="AD43" s="28">
        <f>SUM(Option3!AD$67:AD$69)*conv_2026*AD$7</f>
        <v>0</v>
      </c>
      <c r="AE43" s="28">
        <f>SUM(Option3!AE$67:AE$69)*conv_2026*AE$7</f>
        <v>0</v>
      </c>
      <c r="AF43" s="28">
        <f>SUM(Option3!AF$67:AF$69)*conv_2026*AF$7</f>
        <v>0</v>
      </c>
      <c r="AG43" s="28">
        <f>SUM(Option3!AG$67:AG$69)*conv_2026*AG$7</f>
        <v>0</v>
      </c>
    </row>
    <row r="44" spans="1:33" s="2" customFormat="1" x14ac:dyDescent="0.2">
      <c r="A44" s="115" t="str">
        <f t="shared" ref="A44:A53" si="10">A43</f>
        <v>Option 3</v>
      </c>
      <c r="B44" s="115"/>
      <c r="C44" s="52" t="str">
        <f>'Option1 (base case)'!C$36</f>
        <v>Total risk cost</v>
      </c>
      <c r="D44" s="34" t="str">
        <f>A44&amp;C44</f>
        <v>Option 3Total risk cost</v>
      </c>
      <c r="E44" s="1"/>
      <c r="F44" s="85">
        <f>SUMPRODUCT($H44:$AG44, $H$5:$AG$5)</f>
        <v>165443.36210168802</v>
      </c>
      <c r="G44" s="199">
        <f>output_dollars</f>
        <v>46203</v>
      </c>
      <c r="H44" s="28"/>
      <c r="I44" s="28">
        <f>Option3!I$36*conv_2026*I$7</f>
        <v>0</v>
      </c>
      <c r="J44" s="28">
        <f>Option3!J$36*conv_2026*J$7</f>
        <v>563.17262593239013</v>
      </c>
      <c r="K44" s="28">
        <f>Option3!K$36*conv_2026*K$7</f>
        <v>8444.3016424363777</v>
      </c>
      <c r="L44" s="28">
        <f>Option3!L$36*conv_2026*L$7</f>
        <v>21223.240190355216</v>
      </c>
      <c r="M44" s="28">
        <f>Option3!M$36*conv_2026*M$7</f>
        <v>47550.225236559818</v>
      </c>
      <c r="N44" s="28">
        <f>Option3!N$36*conv_2026*N$7</f>
        <v>117945.95152579798</v>
      </c>
      <c r="O44" s="28">
        <f>Option3!O$36*conv_2026*O$7</f>
        <v>0</v>
      </c>
      <c r="P44" s="28">
        <f>Option3!P$36*conv_2026*P$7</f>
        <v>0</v>
      </c>
      <c r="Q44" s="28">
        <f>Option3!Q$36*conv_2026*Q$7</f>
        <v>0</v>
      </c>
      <c r="R44" s="28">
        <f>Option3!R$36*conv_2026*R$7</f>
        <v>0</v>
      </c>
      <c r="S44" s="28">
        <f>Option3!S$36*conv_2026*S$7</f>
        <v>0</v>
      </c>
      <c r="T44" s="28">
        <f>Option3!T$36*conv_2026*T$7</f>
        <v>0</v>
      </c>
      <c r="U44" s="28">
        <f>Option3!U$36*conv_2026*U$7</f>
        <v>0</v>
      </c>
      <c r="V44" s="28">
        <f>Option3!V$36*conv_2026*V$7</f>
        <v>0</v>
      </c>
      <c r="W44" s="28">
        <f>Option3!W$36*conv_2026*W$7</f>
        <v>0</v>
      </c>
      <c r="X44" s="28">
        <f>Option3!X$36*conv_2026*X$7</f>
        <v>0</v>
      </c>
      <c r="Y44" s="28">
        <f>Option3!Y$36*conv_2026*Y$7</f>
        <v>0</v>
      </c>
      <c r="Z44" s="28">
        <f>Option3!Z$36*conv_2026*Z$7</f>
        <v>0</v>
      </c>
      <c r="AA44" s="28">
        <f>Option3!AA$36*conv_2026*AA$7</f>
        <v>0</v>
      </c>
      <c r="AB44" s="28">
        <f>Option3!AB$36*conv_2026*AB$7</f>
        <v>0</v>
      </c>
      <c r="AC44" s="28">
        <f>Option3!AC$36*conv_2026*AC$7</f>
        <v>0</v>
      </c>
      <c r="AD44" s="28">
        <f>Option3!AD$36*conv_2026*AD$7</f>
        <v>0</v>
      </c>
      <c r="AE44" s="28">
        <f>Option3!AE$36*conv_2026*AE$7</f>
        <v>0</v>
      </c>
      <c r="AF44" s="28">
        <f>Option3!AF$36*conv_2026*AF$7</f>
        <v>0</v>
      </c>
      <c r="AG44" s="28">
        <f>Option3!AG$36*conv_2026*AG$7</f>
        <v>0</v>
      </c>
    </row>
    <row r="45" spans="1:33" s="2" customFormat="1" x14ac:dyDescent="0.2">
      <c r="A45" s="115" t="str">
        <f t="shared" si="10"/>
        <v>Option 3</v>
      </c>
      <c r="B45" s="115"/>
      <c r="C45" s="52"/>
      <c r="D45" s="34"/>
      <c r="E45" s="1"/>
      <c r="F45" s="85"/>
      <c r="G45" s="19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s="2" customFormat="1" x14ac:dyDescent="0.2">
      <c r="A46" s="115" t="str">
        <f t="shared" si="10"/>
        <v>Option 3</v>
      </c>
      <c r="B46" s="115"/>
      <c r="C46" s="52" t="str">
        <f>Option3!C$82</f>
        <v>Annualised capex</v>
      </c>
      <c r="D46" s="34" t="str">
        <f t="shared" ref="D46:D53" si="11">A46&amp;C46</f>
        <v>Option 3Annualised capex</v>
      </c>
      <c r="E46" s="1"/>
      <c r="F46" s="85">
        <f>SUMPRODUCT($H46:$AG46, $H$5:$AG$5)</f>
        <v>-32079338.666172944</v>
      </c>
      <c r="G46" s="199">
        <f t="shared" ref="G46:G53" si="12">output_dollars</f>
        <v>46203</v>
      </c>
      <c r="H46" s="28"/>
      <c r="I46" s="28">
        <f>Option3!I$82*conv_2026*I$7</f>
        <v>0</v>
      </c>
      <c r="J46" s="28">
        <f>Option3!J$82*conv_2026*J$7</f>
        <v>0</v>
      </c>
      <c r="K46" s="28">
        <f>Option3!K$82*conv_2026*K$7</f>
        <v>0</v>
      </c>
      <c r="L46" s="28">
        <f>Option3!L$82*conv_2026*L$7</f>
        <v>0</v>
      </c>
      <c r="M46" s="28">
        <f>Option3!M$82*conv_2026*M$7</f>
        <v>0</v>
      </c>
      <c r="N46" s="28">
        <f>Option3!N$82*conv_2026*N$7</f>
        <v>-1473662.2889372881</v>
      </c>
      <c r="O46" s="28">
        <f>Option3!O$82*conv_2026*O$7</f>
        <v>-2947324.5778745762</v>
      </c>
      <c r="P46" s="28">
        <f>Option3!P$82*conv_2026*P$7</f>
        <v>-2947324.5778745762</v>
      </c>
      <c r="Q46" s="28">
        <f>Option3!Q$82*conv_2026*Q$7</f>
        <v>-2947324.5778745762</v>
      </c>
      <c r="R46" s="28">
        <f>Option3!R$82*conv_2026*R$7</f>
        <v>-2947324.5778745762</v>
      </c>
      <c r="S46" s="28">
        <f>Option3!S$82*conv_2026*S$7</f>
        <v>-2947324.5778745762</v>
      </c>
      <c r="T46" s="28">
        <f>Option3!T$82*conv_2026*T$7</f>
        <v>-2947324.5778745762</v>
      </c>
      <c r="U46" s="28">
        <f>Option3!U$82*conv_2026*U$7</f>
        <v>-2947324.5778745762</v>
      </c>
      <c r="V46" s="28">
        <f>Option3!V$82*conv_2026*V$7</f>
        <v>-2947324.5778745762</v>
      </c>
      <c r="W46" s="28">
        <f>Option3!W$82*conv_2026*W$7</f>
        <v>-2947324.5778745762</v>
      </c>
      <c r="X46" s="28">
        <f>Option3!X$82*conv_2026*X$7</f>
        <v>-2947324.5778745762</v>
      </c>
      <c r="Y46" s="28">
        <f>Option3!Y$82*conv_2026*Y$7</f>
        <v>-2947324.5778745762</v>
      </c>
      <c r="Z46" s="28">
        <f>Option3!Z$82*conv_2026*Z$7</f>
        <v>-2947324.5778745762</v>
      </c>
      <c r="AA46" s="28">
        <f>Option3!AA$82*conv_2026*AA$7</f>
        <v>-2947324.5778745762</v>
      </c>
      <c r="AB46" s="28">
        <f>Option3!AB$82*conv_2026*AB$7</f>
        <v>-2947324.5778745762</v>
      </c>
      <c r="AC46" s="28">
        <f>Option3!AC$82*conv_2026*AC$7</f>
        <v>-2947324.5778745762</v>
      </c>
      <c r="AD46" s="28">
        <f>Option3!AD$82*conv_2026*AD$7</f>
        <v>-2947324.5778745762</v>
      </c>
      <c r="AE46" s="28">
        <f>Option3!AE$82*conv_2026*AE$7</f>
        <v>-2947324.5778745762</v>
      </c>
      <c r="AF46" s="28">
        <f>Option3!AF$82*conv_2026*AF$7</f>
        <v>0</v>
      </c>
      <c r="AG46" s="28">
        <f>Option3!AG$82*conv_2026*AG$7</f>
        <v>0</v>
      </c>
    </row>
    <row r="47" spans="1:33" s="2" customFormat="1" x14ac:dyDescent="0.2">
      <c r="A47" s="115" t="str">
        <f t="shared" si="10"/>
        <v>Option 3</v>
      </c>
      <c r="B47" s="115"/>
      <c r="C47" s="52" t="str">
        <f>Option3!C$83</f>
        <v>Operating expenditure</v>
      </c>
      <c r="D47" s="34" t="str">
        <f t="shared" si="11"/>
        <v>Option 3Operating expenditure</v>
      </c>
      <c r="E47" s="1"/>
      <c r="F47" s="85">
        <f>SUMPRODUCT($H47:$AG47, $H$5:$AG$5)</f>
        <v>0</v>
      </c>
      <c r="G47" s="199">
        <f t="shared" si="12"/>
        <v>46203</v>
      </c>
      <c r="H47" s="28"/>
      <c r="I47" s="28">
        <f>Option3!I$83*conv_2026*I$7</f>
        <v>0</v>
      </c>
      <c r="J47" s="28">
        <f>Option3!J$83*conv_2026*J$7</f>
        <v>0</v>
      </c>
      <c r="K47" s="28">
        <f>Option3!K$83*conv_2026*K$7</f>
        <v>0</v>
      </c>
      <c r="L47" s="28">
        <f>Option3!L$83*conv_2026*L$7</f>
        <v>0</v>
      </c>
      <c r="M47" s="28">
        <f>Option3!M$83*conv_2026*M$7</f>
        <v>0</v>
      </c>
      <c r="N47" s="28">
        <f>Option3!N$83*conv_2026*N$7</f>
        <v>0</v>
      </c>
      <c r="O47" s="28">
        <f>Option3!O$83*conv_2026*O$7</f>
        <v>0</v>
      </c>
      <c r="P47" s="28">
        <f>Option3!P$83*conv_2026*P$7</f>
        <v>0</v>
      </c>
      <c r="Q47" s="28">
        <f>Option3!Q$83*conv_2026*Q$7</f>
        <v>0</v>
      </c>
      <c r="R47" s="28">
        <f>Option3!R$83*conv_2026*R$7</f>
        <v>0</v>
      </c>
      <c r="S47" s="28">
        <f>Option3!S$83*conv_2026*S$7</f>
        <v>0</v>
      </c>
      <c r="T47" s="28">
        <f>Option3!T$83*conv_2026*T$7</f>
        <v>0</v>
      </c>
      <c r="U47" s="28">
        <f>Option3!U$83*conv_2026*U$7</f>
        <v>0</v>
      </c>
      <c r="V47" s="28">
        <f>Option3!V$83*conv_2026*V$7</f>
        <v>0</v>
      </c>
      <c r="W47" s="28">
        <f>Option3!W$83*conv_2026*W$7</f>
        <v>0</v>
      </c>
      <c r="X47" s="28">
        <f>Option3!X$83*conv_2026*X$7</f>
        <v>0</v>
      </c>
      <c r="Y47" s="28">
        <f>Option3!Y$83*conv_2026*Y$7</f>
        <v>0</v>
      </c>
      <c r="Z47" s="28">
        <f>Option3!Z$83*conv_2026*Z$7</f>
        <v>0</v>
      </c>
      <c r="AA47" s="28">
        <f>Option3!AA$83*conv_2026*AA$7</f>
        <v>0</v>
      </c>
      <c r="AB47" s="28">
        <f>Option3!AB$83*conv_2026*AB$7</f>
        <v>0</v>
      </c>
      <c r="AC47" s="28">
        <f>Option3!AC$83*conv_2026*AC$7</f>
        <v>0</v>
      </c>
      <c r="AD47" s="28">
        <f>Option3!AD$83*conv_2026*AD$7</f>
        <v>0</v>
      </c>
      <c r="AE47" s="28">
        <f>Option3!AE$83*conv_2026*AE$7</f>
        <v>0</v>
      </c>
      <c r="AF47" s="28">
        <f>Option3!AF$83*conv_2026*AF$7</f>
        <v>0</v>
      </c>
      <c r="AG47" s="28">
        <f>Option3!AG$83*conv_2026*AG$7</f>
        <v>0</v>
      </c>
    </row>
    <row r="48" spans="1:33" s="2" customFormat="1" x14ac:dyDescent="0.2">
      <c r="A48" s="115" t="str">
        <f t="shared" si="10"/>
        <v>Option 3</v>
      </c>
      <c r="B48" s="115"/>
      <c r="C48" s="52" t="str">
        <f>Option3!C$84</f>
        <v>Risk mitigated</v>
      </c>
      <c r="D48" s="34" t="str">
        <f t="shared" si="11"/>
        <v>Option 3Risk mitigated</v>
      </c>
      <c r="E48" s="1"/>
      <c r="F48" s="85">
        <f>SUMPRODUCT($H48:$AG48, $H$5:$AG$5)</f>
        <v>4100650.2892936794</v>
      </c>
      <c r="G48" s="199">
        <f t="shared" si="12"/>
        <v>46203</v>
      </c>
      <c r="H48" s="28"/>
      <c r="I48" s="28">
        <f>Option3!I$84*conv_2026*I$7</f>
        <v>0</v>
      </c>
      <c r="J48" s="28">
        <f>Option3!J$84*conv_2026*J$7</f>
        <v>0</v>
      </c>
      <c r="K48" s="28">
        <f>Option3!K$84*conv_2026*K$7</f>
        <v>0</v>
      </c>
      <c r="L48" s="28">
        <f>Option3!L$84*conv_2026*L$7</f>
        <v>0</v>
      </c>
      <c r="M48" s="28">
        <f>Option3!M$84*conv_2026*M$7</f>
        <v>0</v>
      </c>
      <c r="N48" s="28">
        <f>Option3!N$84*conv_2026*N$7</f>
        <v>0</v>
      </c>
      <c r="O48" s="28">
        <f>Option3!O$84*conv_2026*O$7</f>
        <v>246655.90576331809</v>
      </c>
      <c r="P48" s="28">
        <f>Option3!P$84*conv_2026*P$7</f>
        <v>403629.69821343664</v>
      </c>
      <c r="Q48" s="28">
        <f>Option3!Q$84*conv_2026*Q$7</f>
        <v>403629.69821343664</v>
      </c>
      <c r="R48" s="28">
        <f>Option3!R$84*conv_2026*R$7</f>
        <v>403629.69821343664</v>
      </c>
      <c r="S48" s="28">
        <f>Option3!S$84*conv_2026*S$7</f>
        <v>403629.69821343664</v>
      </c>
      <c r="T48" s="28">
        <f>Option3!T$84*conv_2026*T$7</f>
        <v>403629.69821343664</v>
      </c>
      <c r="U48" s="28">
        <f>Option3!U$84*conv_2026*U$7</f>
        <v>403629.69821343664</v>
      </c>
      <c r="V48" s="28">
        <f>Option3!V$84*conv_2026*V$7</f>
        <v>403629.69821343664</v>
      </c>
      <c r="W48" s="28">
        <f>Option3!W$84*conv_2026*W$7</f>
        <v>403629.69821343664</v>
      </c>
      <c r="X48" s="28">
        <f>Option3!X$84*conv_2026*X$7</f>
        <v>403629.69821343664</v>
      </c>
      <c r="Y48" s="28">
        <f>Option3!Y$84*conv_2026*Y$7</f>
        <v>403629.69821343664</v>
      </c>
      <c r="Z48" s="28">
        <f>Option3!Z$84*conv_2026*Z$7</f>
        <v>403629.69821343664</v>
      </c>
      <c r="AA48" s="28">
        <f>Option3!AA$84*conv_2026*AA$7</f>
        <v>403629.69821343664</v>
      </c>
      <c r="AB48" s="28">
        <f>Option3!AB$84*conv_2026*AB$7</f>
        <v>403629.69821343664</v>
      </c>
      <c r="AC48" s="28">
        <f>Option3!AC$84*conv_2026*AC$7</f>
        <v>403629.69821343664</v>
      </c>
      <c r="AD48" s="28">
        <f>Option3!AD$84*conv_2026*AD$7</f>
        <v>403629.69821343664</v>
      </c>
      <c r="AE48" s="28">
        <f>Option3!AE$84*conv_2026*AE$7</f>
        <v>403629.69821343664</v>
      </c>
      <c r="AF48" s="28">
        <f>Option3!AF$84*conv_2026*AF$7</f>
        <v>0</v>
      </c>
      <c r="AG48" s="28">
        <f>Option3!AG$84*conv_2026*AG$7</f>
        <v>0</v>
      </c>
    </row>
    <row r="49" spans="1:33" s="2" customFormat="1" x14ac:dyDescent="0.2">
      <c r="A49" s="115" t="str">
        <f t="shared" si="10"/>
        <v>Option 3</v>
      </c>
      <c r="B49" s="115"/>
      <c r="C49" s="52" t="str">
        <f>Option3!C$85</f>
        <v>Other benefits value</v>
      </c>
      <c r="D49" s="34" t="str">
        <f t="shared" si="11"/>
        <v>Option 3Other benefits value</v>
      </c>
      <c r="E49" s="1"/>
      <c r="F49" s="85">
        <f>SUMPRODUCT($H49:$AG49, $H$5:$AG$5)</f>
        <v>0</v>
      </c>
      <c r="G49" s="199">
        <f t="shared" si="12"/>
        <v>46203</v>
      </c>
      <c r="H49" s="28"/>
      <c r="I49" s="28">
        <f>Option3!I$85*conv_2026*I$7</f>
        <v>0</v>
      </c>
      <c r="J49" s="28">
        <f>Option3!J$85*conv_2026*J$7</f>
        <v>0</v>
      </c>
      <c r="K49" s="28">
        <f>Option3!K$85*conv_2026*K$7</f>
        <v>0</v>
      </c>
      <c r="L49" s="28">
        <f>Option3!L$85*conv_2026*L$7</f>
        <v>0</v>
      </c>
      <c r="M49" s="28">
        <f>Option3!M$85*conv_2026*M$7</f>
        <v>0</v>
      </c>
      <c r="N49" s="28">
        <f>Option3!N$85*conv_2026*N$7</f>
        <v>0</v>
      </c>
      <c r="O49" s="28">
        <f>Option3!O$85*conv_2026*O$7</f>
        <v>0</v>
      </c>
      <c r="P49" s="28">
        <f>Option3!P$85*conv_2026*P$7</f>
        <v>0</v>
      </c>
      <c r="Q49" s="28">
        <f>Option3!Q$85*conv_2026*Q$7</f>
        <v>0</v>
      </c>
      <c r="R49" s="28">
        <f>Option3!R$85*conv_2026*R$7</f>
        <v>0</v>
      </c>
      <c r="S49" s="28">
        <f>Option3!S$85*conv_2026*S$7</f>
        <v>0</v>
      </c>
      <c r="T49" s="28">
        <f>Option3!T$85*conv_2026*T$7</f>
        <v>0</v>
      </c>
      <c r="U49" s="28">
        <f>Option3!U$85*conv_2026*U$7</f>
        <v>0</v>
      </c>
      <c r="V49" s="28">
        <f>Option3!V$85*conv_2026*V$7</f>
        <v>0</v>
      </c>
      <c r="W49" s="28">
        <f>Option3!W$85*conv_2026*W$7</f>
        <v>0</v>
      </c>
      <c r="X49" s="28">
        <f>Option3!X$85*conv_2026*X$7</f>
        <v>0</v>
      </c>
      <c r="Y49" s="28">
        <f>Option3!Y$85*conv_2026*Y$7</f>
        <v>0</v>
      </c>
      <c r="Z49" s="28">
        <f>Option3!Z$85*conv_2026*Z$7</f>
        <v>0</v>
      </c>
      <c r="AA49" s="28">
        <f>Option3!AA$85*conv_2026*AA$7</f>
        <v>0</v>
      </c>
      <c r="AB49" s="28">
        <f>Option3!AB$85*conv_2026*AB$7</f>
        <v>0</v>
      </c>
      <c r="AC49" s="28">
        <f>Option3!AC$85*conv_2026*AC$7</f>
        <v>0</v>
      </c>
      <c r="AD49" s="28">
        <f>Option3!AD$85*conv_2026*AD$7</f>
        <v>0</v>
      </c>
      <c r="AE49" s="28">
        <f>Option3!AE$85*conv_2026*AE$7</f>
        <v>0</v>
      </c>
      <c r="AF49" s="28">
        <f>Option3!AF$85*conv_2026*AF$7</f>
        <v>0</v>
      </c>
      <c r="AG49" s="28">
        <f>Option3!AG$85*conv_2026*AG$7</f>
        <v>0</v>
      </c>
    </row>
    <row r="50" spans="1:33" s="2" customFormat="1" x14ac:dyDescent="0.2">
      <c r="A50" s="115" t="str">
        <f t="shared" si="10"/>
        <v>Option 3</v>
      </c>
      <c r="B50" s="115"/>
      <c r="C50" s="105" t="str">
        <f>Option3!C87</f>
        <v>Net benefits</v>
      </c>
      <c r="D50" s="97" t="str">
        <f t="shared" si="11"/>
        <v>Option 3Net benefits</v>
      </c>
      <c r="E50" s="98"/>
      <c r="F50" s="122"/>
      <c r="G50" s="201">
        <f t="shared" si="12"/>
        <v>46203</v>
      </c>
      <c r="H50" s="46"/>
      <c r="I50" s="46">
        <f t="shared" ref="I50:AB50" si="13">SUM(I46:I49)</f>
        <v>0</v>
      </c>
      <c r="J50" s="46">
        <f t="shared" si="13"/>
        <v>0</v>
      </c>
      <c r="K50" s="46">
        <f t="shared" si="13"/>
        <v>0</v>
      </c>
      <c r="L50" s="46">
        <f t="shared" si="13"/>
        <v>0</v>
      </c>
      <c r="M50" s="46">
        <f t="shared" si="13"/>
        <v>0</v>
      </c>
      <c r="N50" s="46">
        <f t="shared" si="13"/>
        <v>-1473662.2889372881</v>
      </c>
      <c r="O50" s="46">
        <f t="shared" si="13"/>
        <v>-2700668.6721112579</v>
      </c>
      <c r="P50" s="46">
        <f t="shared" si="13"/>
        <v>-2543694.8796611396</v>
      </c>
      <c r="Q50" s="46">
        <f t="shared" si="13"/>
        <v>-2543694.8796611396</v>
      </c>
      <c r="R50" s="46">
        <f t="shared" si="13"/>
        <v>-2543694.8796611396</v>
      </c>
      <c r="S50" s="46">
        <f t="shared" si="13"/>
        <v>-2543694.8796611396</v>
      </c>
      <c r="T50" s="46">
        <f t="shared" si="13"/>
        <v>-2543694.8796611396</v>
      </c>
      <c r="U50" s="46">
        <f t="shared" si="13"/>
        <v>-2543694.8796611396</v>
      </c>
      <c r="V50" s="46">
        <f t="shared" si="13"/>
        <v>-2543694.8796611396</v>
      </c>
      <c r="W50" s="46">
        <f t="shared" si="13"/>
        <v>-2543694.8796611396</v>
      </c>
      <c r="X50" s="46">
        <f t="shared" si="13"/>
        <v>-2543694.8796611396</v>
      </c>
      <c r="Y50" s="46">
        <f t="shared" si="13"/>
        <v>-2543694.8796611396</v>
      </c>
      <c r="Z50" s="46">
        <f t="shared" si="13"/>
        <v>-2543694.8796611396</v>
      </c>
      <c r="AA50" s="46">
        <f t="shared" si="13"/>
        <v>-2543694.8796611396</v>
      </c>
      <c r="AB50" s="46">
        <f t="shared" si="13"/>
        <v>-2543694.8796611396</v>
      </c>
      <c r="AC50" s="46">
        <f>SUM(AC46:AC49)</f>
        <v>-2543694.8796611396</v>
      </c>
      <c r="AD50" s="46">
        <f>SUM(AD46:AD49)</f>
        <v>-2543694.8796611396</v>
      </c>
      <c r="AE50" s="46">
        <f>SUM(AE46:AE49)</f>
        <v>-2543694.8796611396</v>
      </c>
      <c r="AF50" s="46">
        <f>SUM(AF46:AF49)</f>
        <v>0</v>
      </c>
      <c r="AG50" s="46">
        <f>SUM(AG46:AG49)</f>
        <v>0</v>
      </c>
    </row>
    <row r="51" spans="1:33" s="2" customFormat="1" x14ac:dyDescent="0.2">
      <c r="A51" s="115" t="str">
        <f t="shared" si="10"/>
        <v>Option 3</v>
      </c>
      <c r="B51" s="115"/>
      <c r="C51" s="6" t="s">
        <v>119</v>
      </c>
      <c r="D51" s="34" t="str">
        <f t="shared" si="11"/>
        <v>Option 3NPV</v>
      </c>
      <c r="E51" s="1"/>
      <c r="F51" s="96" cm="1">
        <f t="array" ref="F51">SUMPRODUCT(($H50:$AG50)*($H$5:$AG$5)*($H$7:$AG$7))</f>
        <v>-27978688.376879264</v>
      </c>
      <c r="G51" s="199">
        <f t="shared" si="12"/>
        <v>46203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s="2" customFormat="1" x14ac:dyDescent="0.2">
      <c r="A52" s="115" t="str">
        <f t="shared" si="10"/>
        <v>Option 3</v>
      </c>
      <c r="B52" s="115"/>
      <c r="C52" s="6" t="s">
        <v>189</v>
      </c>
      <c r="D52" s="34" t="str">
        <f t="shared" si="11"/>
        <v>Option 3PV of costs</v>
      </c>
      <c r="E52" s="1"/>
      <c r="F52" s="96">
        <f>SUM(F46:F47)</f>
        <v>-32079338.666172944</v>
      </c>
      <c r="G52" s="199">
        <f t="shared" si="12"/>
        <v>46203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s="2" customFormat="1" x14ac:dyDescent="0.2">
      <c r="A53" s="115" t="str">
        <f t="shared" si="10"/>
        <v>Option 3</v>
      </c>
      <c r="B53" s="115"/>
      <c r="C53" s="6" t="s">
        <v>190</v>
      </c>
      <c r="D53" s="34" t="str">
        <f t="shared" si="11"/>
        <v>Option 3PV of benefits</v>
      </c>
      <c r="E53" s="1"/>
      <c r="F53" s="96">
        <f>SUM(F48:F49)</f>
        <v>4100650.2892936794</v>
      </c>
      <c r="G53" s="199">
        <f t="shared" si="12"/>
        <v>46203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s="2" customFormat="1" x14ac:dyDescent="0.2">
      <c r="A54" s="115"/>
      <c r="B54" s="115"/>
      <c r="C54" s="1"/>
      <c r="D54" s="34"/>
      <c r="E54" s="1"/>
      <c r="F54" s="96"/>
      <c r="G54" s="202"/>
      <c r="H54" s="1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</row>
    <row r="55" spans="1:33" s="2" customFormat="1" x14ac:dyDescent="0.2">
      <c r="A55" s="52"/>
      <c r="B55" s="52"/>
      <c r="C55" s="52"/>
      <c r="D55" s="34"/>
      <c r="F55" s="7"/>
      <c r="G55" s="19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s="2" customFormat="1" x14ac:dyDescent="0.2">
      <c r="A56" s="52" t="str">
        <f>A57</f>
        <v>Option 4</v>
      </c>
      <c r="B56" s="52"/>
      <c r="C56" s="52" t="s">
        <v>124</v>
      </c>
      <c r="D56" s="34" t="str">
        <f>A56&amp;C56</f>
        <v>Option 4Energy at risk value</v>
      </c>
      <c r="F56" s="85">
        <f>SUMPRODUCT($H56:$AG56, $H$5:$AG$5)</f>
        <v>0</v>
      </c>
      <c r="G56" s="199">
        <f>output_dollars</f>
        <v>46203</v>
      </c>
      <c r="H56" s="28"/>
      <c r="I56" s="28">
        <f>Option4!I$28*conv_2026</f>
        <v>0</v>
      </c>
      <c r="J56" s="28">
        <f>Option4!J$28*conv_2026</f>
        <v>0</v>
      </c>
      <c r="K56" s="28">
        <f>Option4!K$28*conv_2026</f>
        <v>0</v>
      </c>
      <c r="L56" s="28">
        <f>Option4!L$28*conv_2026</f>
        <v>0</v>
      </c>
      <c r="M56" s="28">
        <f>Option4!M$28*conv_2026</f>
        <v>0</v>
      </c>
      <c r="N56" s="28">
        <f>Option4!N$28*conv_2026</f>
        <v>0</v>
      </c>
      <c r="O56" s="28">
        <f>Option4!O$28*conv_2026</f>
        <v>0</v>
      </c>
      <c r="P56" s="28">
        <f>Option4!P$28*conv_2026</f>
        <v>0</v>
      </c>
      <c r="Q56" s="28">
        <f>Option4!Q$28*conv_2026</f>
        <v>0</v>
      </c>
      <c r="R56" s="28">
        <f>Option4!R$28*conv_2026</f>
        <v>0</v>
      </c>
      <c r="S56" s="28">
        <f>Option4!S$28*conv_2026</f>
        <v>0</v>
      </c>
      <c r="T56" s="28">
        <f>Option4!T$28*conv_2026</f>
        <v>0</v>
      </c>
      <c r="U56" s="28">
        <f>Option4!U$28*conv_2026</f>
        <v>0</v>
      </c>
      <c r="V56" s="28">
        <f>Option4!V$28*conv_2026</f>
        <v>0</v>
      </c>
      <c r="W56" s="28">
        <f>Option4!W$28*conv_2026</f>
        <v>0</v>
      </c>
      <c r="X56" s="28">
        <f>Option4!X$28*conv_2026</f>
        <v>0</v>
      </c>
      <c r="Y56" s="28">
        <f>Option4!Y$28*conv_2026</f>
        <v>0</v>
      </c>
      <c r="Z56" s="28">
        <f>Option4!Z$28*conv_2026</f>
        <v>0</v>
      </c>
      <c r="AA56" s="28">
        <f>Option4!AA$28*conv_2026</f>
        <v>0</v>
      </c>
      <c r="AB56" s="28">
        <f>Option4!AB$28*conv_2026</f>
        <v>0</v>
      </c>
      <c r="AC56" s="28">
        <f>Option4!AC$28*conv_2026</f>
        <v>0</v>
      </c>
      <c r="AD56" s="28">
        <f>Option4!AD$28*conv_2026</f>
        <v>0</v>
      </c>
      <c r="AE56" s="28">
        <f>Option4!AE$28*conv_2026</f>
        <v>0</v>
      </c>
      <c r="AF56" s="28">
        <f>Option4!AF$28*conv_2026</f>
        <v>0</v>
      </c>
      <c r="AG56" s="28">
        <f>Option4!AG$28*conv_2026</f>
        <v>0</v>
      </c>
    </row>
    <row r="57" spans="1:33" s="2" customFormat="1" x14ac:dyDescent="0.2">
      <c r="A57" s="115" t="str">
        <f>Data!B12</f>
        <v>Option 4</v>
      </c>
      <c r="B57" s="115"/>
      <c r="C57" s="52" t="str">
        <f>Option4!C$66</f>
        <v>Capital expenditure</v>
      </c>
      <c r="D57" s="34" t="str">
        <f t="shared" ref="D57:D67" si="14">A57&amp;C57</f>
        <v>Option 4Capital expenditure</v>
      </c>
      <c r="E57" s="1"/>
      <c r="F57" s="85">
        <f>SUMPRODUCT($H57:$AG57, $H$5:$AG$5)</f>
        <v>0</v>
      </c>
      <c r="G57" s="199">
        <f>output_dollars</f>
        <v>46203</v>
      </c>
      <c r="H57" s="28"/>
      <c r="I57" s="28">
        <f>SUM(Option4!I$67:I$69)*conv_2026*I$7</f>
        <v>0</v>
      </c>
      <c r="J57" s="28">
        <f>SUM(Option4!J$67:J$69)*conv_2026*J$7</f>
        <v>0</v>
      </c>
      <c r="K57" s="28">
        <f>SUM(Option4!K$67:K$69)*conv_2026*K$7</f>
        <v>0</v>
      </c>
      <c r="L57" s="28">
        <f>SUM(Option4!L$67:L$69)*conv_2026*L$7</f>
        <v>0</v>
      </c>
      <c r="M57" s="28">
        <f>SUM(Option4!M$67:M$69)*conv_2026*M$7</f>
        <v>0</v>
      </c>
      <c r="N57" s="28">
        <f>SUM(Option4!N$67:N$69)*conv_2026*N$7</f>
        <v>0</v>
      </c>
      <c r="O57" s="28">
        <f>SUM(Option4!O$67:O$69)*conv_2026*O$7</f>
        <v>0</v>
      </c>
      <c r="P57" s="28">
        <f>SUM(Option4!P$67:P$69)*conv_2026*P$7</f>
        <v>0</v>
      </c>
      <c r="Q57" s="28">
        <f>SUM(Option4!Q$67:Q$69)*conv_2026*Q$7</f>
        <v>0</v>
      </c>
      <c r="R57" s="28">
        <f>SUM(Option4!R$67:R$69)*conv_2026*R$7</f>
        <v>0</v>
      </c>
      <c r="S57" s="28">
        <f>SUM(Option4!S$67:S$69)*conv_2026*S$7</f>
        <v>0</v>
      </c>
      <c r="T57" s="28">
        <f>SUM(Option4!T$67:T$69)*conv_2026*T$7</f>
        <v>0</v>
      </c>
      <c r="U57" s="28">
        <f>SUM(Option4!U$67:U$69)*conv_2026*U$7</f>
        <v>0</v>
      </c>
      <c r="V57" s="28">
        <f>SUM(Option4!V$67:V$69)*conv_2026*V$7</f>
        <v>0</v>
      </c>
      <c r="W57" s="28">
        <f>SUM(Option4!W$67:W$69)*conv_2026*W$7</f>
        <v>0</v>
      </c>
      <c r="X57" s="28">
        <f>SUM(Option4!X$67:X$69)*conv_2026*X$7</f>
        <v>0</v>
      </c>
      <c r="Y57" s="28">
        <f>SUM(Option4!Y$67:Y$69)*conv_2026*Y$7</f>
        <v>0</v>
      </c>
      <c r="Z57" s="28">
        <f>SUM(Option4!Z$67:Z$69)*conv_2026*Z$7</f>
        <v>0</v>
      </c>
      <c r="AA57" s="28">
        <f>SUM(Option4!AA$67:AA$69)*conv_2026*AA$7</f>
        <v>0</v>
      </c>
      <c r="AB57" s="28">
        <f>SUM(Option4!AB$67:AB$69)*conv_2026*AB$7</f>
        <v>0</v>
      </c>
      <c r="AC57" s="28">
        <f>SUM(Option4!AC$67:AC$69)*conv_2026*AC$7</f>
        <v>0</v>
      </c>
      <c r="AD57" s="28">
        <f>SUM(Option4!AD$67:AD$69)*conv_2026*AD$7</f>
        <v>0</v>
      </c>
      <c r="AE57" s="28">
        <f>SUM(Option4!AE$67:AE$69)*conv_2026*AE$7</f>
        <v>0</v>
      </c>
      <c r="AF57" s="28">
        <f>SUM(Option4!AF$67:AF$69)*conv_2026*AF$7</f>
        <v>0</v>
      </c>
      <c r="AG57" s="28">
        <f>SUM(Option4!AG$67:AG$69)*conv_2026*AG$7</f>
        <v>0</v>
      </c>
    </row>
    <row r="58" spans="1:33" s="2" customFormat="1" x14ac:dyDescent="0.2">
      <c r="A58" s="115" t="str">
        <f t="shared" ref="A58:A67" si="15">A57</f>
        <v>Option 4</v>
      </c>
      <c r="B58" s="115"/>
      <c r="C58" s="52" t="str">
        <f>'Option1 (base case)'!C$36</f>
        <v>Total risk cost</v>
      </c>
      <c r="D58" s="34" t="str">
        <f t="shared" si="14"/>
        <v>Option 4Total risk cost</v>
      </c>
      <c r="E58" s="1"/>
      <c r="F58" s="85">
        <f>SUMPRODUCT($H58:$AG58, $H$5:$AG$5)</f>
        <v>0</v>
      </c>
      <c r="G58" s="199">
        <f>output_dollars</f>
        <v>46203</v>
      </c>
      <c r="H58" s="28"/>
      <c r="I58" s="28">
        <f>Option4!I$36*conv_2026*I$7</f>
        <v>0</v>
      </c>
      <c r="J58" s="28">
        <f>Option4!J$36*conv_2026*J$7</f>
        <v>0</v>
      </c>
      <c r="K58" s="28">
        <f>Option4!K$36*conv_2026*K$7</f>
        <v>0</v>
      </c>
      <c r="L58" s="28">
        <f>Option4!L$36*conv_2026*L$7</f>
        <v>0</v>
      </c>
      <c r="M58" s="28">
        <f>Option4!M$36*conv_2026*M$7</f>
        <v>0</v>
      </c>
      <c r="N58" s="28">
        <f>Option4!N$36*conv_2026*N$7</f>
        <v>0</v>
      </c>
      <c r="O58" s="28">
        <f>Option4!O$36*conv_2026*O$7</f>
        <v>0</v>
      </c>
      <c r="P58" s="28">
        <f>Option4!P$36*conv_2026*P$7</f>
        <v>0</v>
      </c>
      <c r="Q58" s="28">
        <f>Option4!Q$36*conv_2026*Q$7</f>
        <v>0</v>
      </c>
      <c r="R58" s="28">
        <f>Option4!R$36*conv_2026*R$7</f>
        <v>0</v>
      </c>
      <c r="S58" s="28">
        <f>Option4!S$36*conv_2026*S$7</f>
        <v>0</v>
      </c>
      <c r="T58" s="28">
        <f>Option4!T$36*conv_2026*T$7</f>
        <v>0</v>
      </c>
      <c r="U58" s="28">
        <f>Option4!U$36*conv_2026*U$7</f>
        <v>0</v>
      </c>
      <c r="V58" s="28">
        <f>Option4!V$36*conv_2026*V$7</f>
        <v>0</v>
      </c>
      <c r="W58" s="28">
        <f>Option4!W$36*conv_2026*W$7</f>
        <v>0</v>
      </c>
      <c r="X58" s="28">
        <f>Option4!X$36*conv_2026*X$7</f>
        <v>0</v>
      </c>
      <c r="Y58" s="28">
        <f>Option4!Y$36*conv_2026*Y$7</f>
        <v>0</v>
      </c>
      <c r="Z58" s="28">
        <f>Option4!Z$36*conv_2026*Z$7</f>
        <v>0</v>
      </c>
      <c r="AA58" s="28">
        <f>Option4!AA$36*conv_2026*AA$7</f>
        <v>0</v>
      </c>
      <c r="AB58" s="28">
        <f>Option4!AB$36*conv_2026*AB$7</f>
        <v>0</v>
      </c>
      <c r="AC58" s="28">
        <f>Option4!AC$36*conv_2026*AC$7</f>
        <v>0</v>
      </c>
      <c r="AD58" s="28">
        <f>Option4!AD$36*conv_2026*AD$7</f>
        <v>0</v>
      </c>
      <c r="AE58" s="28">
        <f>Option4!AE$36*conv_2026*AE$7</f>
        <v>0</v>
      </c>
      <c r="AF58" s="28">
        <f>Option4!AF$36*conv_2026*AF$7</f>
        <v>0</v>
      </c>
      <c r="AG58" s="28">
        <f>Option4!AG$36*conv_2026*AG$7</f>
        <v>0</v>
      </c>
    </row>
    <row r="59" spans="1:33" s="2" customFormat="1" x14ac:dyDescent="0.2">
      <c r="A59" s="115" t="str">
        <f t="shared" si="15"/>
        <v>Option 4</v>
      </c>
      <c r="B59" s="115"/>
      <c r="C59" s="12"/>
      <c r="D59" s="34" t="str">
        <f t="shared" si="14"/>
        <v>Option 4</v>
      </c>
      <c r="E59" s="1"/>
      <c r="F59"/>
      <c r="G59" s="20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15" t="str">
        <f t="shared" si="15"/>
        <v>Option 4</v>
      </c>
      <c r="B60" s="115"/>
      <c r="C60" s="52" t="str">
        <f>Option4!C$82</f>
        <v>Annualised capex</v>
      </c>
      <c r="D60" s="34" t="str">
        <f t="shared" si="14"/>
        <v>Option 4Annualised capex</v>
      </c>
      <c r="E60" s="1"/>
      <c r="F60" s="85">
        <f>SUMPRODUCT($H60:$AG60, $H$5:$AG$5)</f>
        <v>0</v>
      </c>
      <c r="G60" s="199">
        <f t="shared" ref="G60:G67" si="16">output_dollars</f>
        <v>46203</v>
      </c>
      <c r="H60" s="28"/>
      <c r="I60" s="28">
        <f>Option4!I$82*conv_2026*I$7</f>
        <v>0</v>
      </c>
      <c r="J60" s="28">
        <f>Option4!J$82*conv_2026*J$7</f>
        <v>0</v>
      </c>
      <c r="K60" s="28">
        <f>Option4!K$82*conv_2026*K$7</f>
        <v>0</v>
      </c>
      <c r="L60" s="28">
        <f>Option4!L$82*conv_2026*L$7</f>
        <v>0</v>
      </c>
      <c r="M60" s="28">
        <f>Option4!M$82*conv_2026*M$7</f>
        <v>0</v>
      </c>
      <c r="N60" s="28">
        <f>Option4!N$82*conv_2026*N$7</f>
        <v>0</v>
      </c>
      <c r="O60" s="28">
        <f>Option4!O$82*conv_2026*O$7</f>
        <v>0</v>
      </c>
      <c r="P60" s="28">
        <f>Option4!P$82*conv_2026*P$7</f>
        <v>0</v>
      </c>
      <c r="Q60" s="28">
        <f>Option4!Q$82*conv_2026*Q$7</f>
        <v>0</v>
      </c>
      <c r="R60" s="28">
        <f>Option4!R$82*conv_2026*R$7</f>
        <v>0</v>
      </c>
      <c r="S60" s="28">
        <f>Option4!S$82*conv_2026*S$7</f>
        <v>0</v>
      </c>
      <c r="T60" s="28">
        <f>Option4!T$82*conv_2026*T$7</f>
        <v>0</v>
      </c>
      <c r="U60" s="28">
        <f>Option4!U$82*conv_2026*U$7</f>
        <v>0</v>
      </c>
      <c r="V60" s="28">
        <f>Option4!V$82*conv_2026*V$7</f>
        <v>0</v>
      </c>
      <c r="W60" s="28">
        <f>Option4!W$82*conv_2026*W$7</f>
        <v>0</v>
      </c>
      <c r="X60" s="28">
        <f>Option4!X$82*conv_2026*X$7</f>
        <v>0</v>
      </c>
      <c r="Y60" s="28">
        <f>Option4!Y$82*conv_2026*Y$7</f>
        <v>0</v>
      </c>
      <c r="Z60" s="28">
        <f>Option4!Z$82*conv_2026*Z$7</f>
        <v>0</v>
      </c>
      <c r="AA60" s="28">
        <f>Option4!AA$82*conv_2026*AA$7</f>
        <v>0</v>
      </c>
      <c r="AB60" s="28">
        <f>Option4!AB$82*conv_2026*AB$7</f>
        <v>0</v>
      </c>
      <c r="AC60" s="28">
        <f>Option4!AC$82*conv_2026*AC$7</f>
        <v>0</v>
      </c>
      <c r="AD60" s="28">
        <f>Option4!AD$82*conv_2026*AD$7</f>
        <v>0</v>
      </c>
      <c r="AE60" s="28">
        <f>Option4!AE$82*conv_2026*AE$7</f>
        <v>0</v>
      </c>
      <c r="AF60" s="28">
        <f>Option4!AF$82*conv_2026*AF$7</f>
        <v>0</v>
      </c>
      <c r="AG60" s="28">
        <f>Option4!AG$82*conv_2026*AG$7</f>
        <v>0</v>
      </c>
    </row>
    <row r="61" spans="1:33" s="2" customFormat="1" x14ac:dyDescent="0.2">
      <c r="A61" s="115" t="str">
        <f t="shared" si="15"/>
        <v>Option 4</v>
      </c>
      <c r="B61" s="115"/>
      <c r="C61" s="52" t="str">
        <f>Option4!C$83</f>
        <v>Operating expenditure</v>
      </c>
      <c r="D61" s="34" t="str">
        <f t="shared" si="14"/>
        <v>Option 4Operating expenditure</v>
      </c>
      <c r="E61" s="1"/>
      <c r="F61" s="85">
        <f>SUMPRODUCT($H61:$AG61, $H$5:$AG$5)</f>
        <v>0</v>
      </c>
      <c r="G61" s="199">
        <f t="shared" si="16"/>
        <v>46203</v>
      </c>
      <c r="H61" s="28"/>
      <c r="I61" s="28">
        <f>Option4!I$83*conv_2026*I$7</f>
        <v>0</v>
      </c>
      <c r="J61" s="28">
        <f>Option4!J$83*conv_2026*J$7</f>
        <v>0</v>
      </c>
      <c r="K61" s="28">
        <f>Option4!K$83*conv_2026*K$7</f>
        <v>0</v>
      </c>
      <c r="L61" s="28">
        <f>Option4!L$83*conv_2026*L$7</f>
        <v>0</v>
      </c>
      <c r="M61" s="28">
        <f>Option4!M$83*conv_2026*M$7</f>
        <v>0</v>
      </c>
      <c r="N61" s="28">
        <f>Option4!N$83*conv_2026*N$7</f>
        <v>0</v>
      </c>
      <c r="O61" s="28">
        <f>Option4!O$83*conv_2026*O$7</f>
        <v>0</v>
      </c>
      <c r="P61" s="28">
        <f>Option4!P$83*conv_2026*P$7</f>
        <v>0</v>
      </c>
      <c r="Q61" s="28">
        <f>Option4!Q$83*conv_2026*Q$7</f>
        <v>0</v>
      </c>
      <c r="R61" s="28">
        <f>Option4!R$83*conv_2026*R$7</f>
        <v>0</v>
      </c>
      <c r="S61" s="28">
        <f>Option4!S$83*conv_2026*S$7</f>
        <v>0</v>
      </c>
      <c r="T61" s="28">
        <f>Option4!T$83*conv_2026*T$7</f>
        <v>0</v>
      </c>
      <c r="U61" s="28">
        <f>Option4!U$83*conv_2026*U$7</f>
        <v>0</v>
      </c>
      <c r="V61" s="28">
        <f>Option4!V$83*conv_2026*V$7</f>
        <v>0</v>
      </c>
      <c r="W61" s="28">
        <f>Option4!W$83*conv_2026*W$7</f>
        <v>0</v>
      </c>
      <c r="X61" s="28">
        <f>Option4!X$83*conv_2026*X$7</f>
        <v>0</v>
      </c>
      <c r="Y61" s="28">
        <f>Option4!Y$83*conv_2026*Y$7</f>
        <v>0</v>
      </c>
      <c r="Z61" s="28">
        <f>Option4!Z$83*conv_2026*Z$7</f>
        <v>0</v>
      </c>
      <c r="AA61" s="28">
        <f>Option4!AA$83*conv_2026*AA$7</f>
        <v>0</v>
      </c>
      <c r="AB61" s="28">
        <f>Option4!AB$83*conv_2026*AB$7</f>
        <v>0</v>
      </c>
      <c r="AC61" s="28">
        <f>Option4!AC$83*conv_2026*AC$7</f>
        <v>0</v>
      </c>
      <c r="AD61" s="28">
        <f>Option4!AD$83*conv_2026*AD$7</f>
        <v>0</v>
      </c>
      <c r="AE61" s="28">
        <f>Option4!AE$83*conv_2026*AE$7</f>
        <v>0</v>
      </c>
      <c r="AF61" s="28">
        <f>Option4!AF$83*conv_2026*AF$7</f>
        <v>0</v>
      </c>
      <c r="AG61" s="28">
        <f>Option4!AG$83*conv_2026*AG$7</f>
        <v>0</v>
      </c>
    </row>
    <row r="62" spans="1:33" s="2" customFormat="1" x14ac:dyDescent="0.2">
      <c r="A62" s="115" t="str">
        <f t="shared" si="15"/>
        <v>Option 4</v>
      </c>
      <c r="B62" s="115"/>
      <c r="C62" s="52" t="str">
        <f>Option4!C$84</f>
        <v>Risk mitigated</v>
      </c>
      <c r="D62" s="34" t="str">
        <f t="shared" si="14"/>
        <v>Option 4Risk mitigated</v>
      </c>
      <c r="E62" s="1"/>
      <c r="F62" s="85">
        <f>SUMPRODUCT($H62:$AG62, $H$5:$AG$5)</f>
        <v>0</v>
      </c>
      <c r="G62" s="199">
        <f t="shared" si="16"/>
        <v>46203</v>
      </c>
      <c r="H62" s="28"/>
      <c r="I62" s="28">
        <f>Option4!I$84*conv_2026*I$7</f>
        <v>0</v>
      </c>
      <c r="J62" s="28">
        <f>Option4!J$84*conv_2026*J$7</f>
        <v>0</v>
      </c>
      <c r="K62" s="28">
        <f>Option4!K$84*conv_2026*K$7</f>
        <v>0</v>
      </c>
      <c r="L62" s="28">
        <f>Option4!L$84*conv_2026*L$7</f>
        <v>0</v>
      </c>
      <c r="M62" s="28">
        <f>Option4!M$84*conv_2026*M$7</f>
        <v>0</v>
      </c>
      <c r="N62" s="28">
        <f>Option4!N$84*conv_2026*N$7</f>
        <v>0</v>
      </c>
      <c r="O62" s="28">
        <f>Option4!O$84*conv_2026*O$7</f>
        <v>0</v>
      </c>
      <c r="P62" s="28">
        <f>Option4!P$84*conv_2026*P$7</f>
        <v>0</v>
      </c>
      <c r="Q62" s="28">
        <f>Option4!Q$84*conv_2026*Q$7</f>
        <v>0</v>
      </c>
      <c r="R62" s="28">
        <f>Option4!R$84*conv_2026*R$7</f>
        <v>0</v>
      </c>
      <c r="S62" s="28">
        <f>Option4!S$84*conv_2026*S$7</f>
        <v>0</v>
      </c>
      <c r="T62" s="28">
        <f>Option4!T$84*conv_2026*T$7</f>
        <v>0</v>
      </c>
      <c r="U62" s="28">
        <f>Option4!U$84*conv_2026*U$7</f>
        <v>0</v>
      </c>
      <c r="V62" s="28">
        <f>Option4!V$84*conv_2026*V$7</f>
        <v>0</v>
      </c>
      <c r="W62" s="28">
        <f>Option4!W$84*conv_2026*W$7</f>
        <v>0</v>
      </c>
      <c r="X62" s="28">
        <f>Option4!X$84*conv_2026*X$7</f>
        <v>0</v>
      </c>
      <c r="Y62" s="28">
        <f>Option4!Y$84*conv_2026*Y$7</f>
        <v>0</v>
      </c>
      <c r="Z62" s="28">
        <f>Option4!Z$84*conv_2026*Z$7</f>
        <v>0</v>
      </c>
      <c r="AA62" s="28">
        <f>Option4!AA$84*conv_2026*AA$7</f>
        <v>0</v>
      </c>
      <c r="AB62" s="28">
        <f>Option4!AB$84*conv_2026*AB$7</f>
        <v>0</v>
      </c>
      <c r="AC62" s="28">
        <f>Option4!AC$84*conv_2026*AC$7</f>
        <v>0</v>
      </c>
      <c r="AD62" s="28">
        <f>Option4!AD$84*conv_2026*AD$7</f>
        <v>0</v>
      </c>
      <c r="AE62" s="28">
        <f>Option4!AE$84*conv_2026*AE$7</f>
        <v>0</v>
      </c>
      <c r="AF62" s="28">
        <f>Option4!AF$84*conv_2026*AF$7</f>
        <v>0</v>
      </c>
      <c r="AG62" s="28">
        <f>Option4!AG$84*conv_2026*AG$7</f>
        <v>0</v>
      </c>
    </row>
    <row r="63" spans="1:33" s="2" customFormat="1" x14ac:dyDescent="0.2">
      <c r="A63" s="115" t="str">
        <f t="shared" si="15"/>
        <v>Option 4</v>
      </c>
      <c r="B63" s="115"/>
      <c r="C63" s="52" t="str">
        <f>Option4!C$85</f>
        <v>Other benefits value</v>
      </c>
      <c r="D63" s="34" t="str">
        <f t="shared" si="14"/>
        <v>Option 4Other benefits value</v>
      </c>
      <c r="E63" s="1"/>
      <c r="F63" s="85">
        <f>SUMPRODUCT($H63:$AG63, $H$5:$AG$5)</f>
        <v>0</v>
      </c>
      <c r="G63" s="199">
        <f t="shared" si="16"/>
        <v>46203</v>
      </c>
      <c r="H63" s="28"/>
      <c r="I63" s="28">
        <f>Option4!I$85*conv_2026*I$7</f>
        <v>0</v>
      </c>
      <c r="J63" s="28">
        <f>Option4!J$85*conv_2026*J$7</f>
        <v>0</v>
      </c>
      <c r="K63" s="28">
        <f>Option4!K$85*conv_2026*K$7</f>
        <v>0</v>
      </c>
      <c r="L63" s="28">
        <f>Option4!L$85*conv_2026*L$7</f>
        <v>0</v>
      </c>
      <c r="M63" s="28">
        <f>Option4!M$85*conv_2026*M$7</f>
        <v>0</v>
      </c>
      <c r="N63" s="28">
        <f>Option4!N$85*conv_2026*N$7</f>
        <v>0</v>
      </c>
      <c r="O63" s="28">
        <f>Option4!O$85*conv_2026*O$7</f>
        <v>0</v>
      </c>
      <c r="P63" s="28">
        <f>Option4!P$85*conv_2026*P$7</f>
        <v>0</v>
      </c>
      <c r="Q63" s="28">
        <f>Option4!Q$85*conv_2026*Q$7</f>
        <v>0</v>
      </c>
      <c r="R63" s="28">
        <f>Option4!R$85*conv_2026*R$7</f>
        <v>0</v>
      </c>
      <c r="S63" s="28">
        <f>Option4!S$85*conv_2026*S$7</f>
        <v>0</v>
      </c>
      <c r="T63" s="28">
        <f>Option4!T$85*conv_2026*T$7</f>
        <v>0</v>
      </c>
      <c r="U63" s="28">
        <f>Option4!U$85*conv_2026*U$7</f>
        <v>0</v>
      </c>
      <c r="V63" s="28">
        <f>Option4!V$85*conv_2026*V$7</f>
        <v>0</v>
      </c>
      <c r="W63" s="28">
        <f>Option4!W$85*conv_2026*W$7</f>
        <v>0</v>
      </c>
      <c r="X63" s="28">
        <f>Option4!X$85*conv_2026*X$7</f>
        <v>0</v>
      </c>
      <c r="Y63" s="28">
        <f>Option4!Y$85*conv_2026*Y$7</f>
        <v>0</v>
      </c>
      <c r="Z63" s="28">
        <f>Option4!Z$85*conv_2026*Z$7</f>
        <v>0</v>
      </c>
      <c r="AA63" s="28">
        <f>Option4!AA$85*conv_2026*AA$7</f>
        <v>0</v>
      </c>
      <c r="AB63" s="28">
        <f>Option4!AB$85*conv_2026*AB$7</f>
        <v>0</v>
      </c>
      <c r="AC63" s="28">
        <f>Option4!AC$85*conv_2026*AC$7</f>
        <v>0</v>
      </c>
      <c r="AD63" s="28">
        <f>Option4!AD$85*conv_2026*AD$7</f>
        <v>0</v>
      </c>
      <c r="AE63" s="28">
        <f>Option4!AE$85*conv_2026*AE$7</f>
        <v>0</v>
      </c>
      <c r="AF63" s="28">
        <f>Option4!AF$85*conv_2026*AF$7</f>
        <v>0</v>
      </c>
      <c r="AG63" s="28">
        <f>Option4!AG$85*conv_2026*AG$7</f>
        <v>0</v>
      </c>
    </row>
    <row r="64" spans="1:33" s="2" customFormat="1" x14ac:dyDescent="0.2">
      <c r="A64" s="115" t="str">
        <f t="shared" si="15"/>
        <v>Option 4</v>
      </c>
      <c r="B64" s="115"/>
      <c r="C64" s="105" t="str">
        <f>Option4!C87</f>
        <v>Net benefits</v>
      </c>
      <c r="D64" s="97" t="str">
        <f t="shared" si="14"/>
        <v>Option 4Net benefits</v>
      </c>
      <c r="E64" s="98"/>
      <c r="F64" s="122"/>
      <c r="G64" s="201">
        <f t="shared" si="16"/>
        <v>46203</v>
      </c>
      <c r="H64" s="46"/>
      <c r="I64" s="46">
        <f t="shared" ref="I64:AB64" si="17">SUM(I60:I63)</f>
        <v>0</v>
      </c>
      <c r="J64" s="46">
        <f t="shared" si="17"/>
        <v>0</v>
      </c>
      <c r="K64" s="46">
        <f t="shared" si="17"/>
        <v>0</v>
      </c>
      <c r="L64" s="46">
        <f t="shared" si="17"/>
        <v>0</v>
      </c>
      <c r="M64" s="46">
        <f t="shared" si="17"/>
        <v>0</v>
      </c>
      <c r="N64" s="46">
        <f t="shared" si="17"/>
        <v>0</v>
      </c>
      <c r="O64" s="46">
        <f t="shared" si="17"/>
        <v>0</v>
      </c>
      <c r="P64" s="46">
        <f t="shared" si="17"/>
        <v>0</v>
      </c>
      <c r="Q64" s="46">
        <f t="shared" si="17"/>
        <v>0</v>
      </c>
      <c r="R64" s="46">
        <f t="shared" si="17"/>
        <v>0</v>
      </c>
      <c r="S64" s="46">
        <f t="shared" si="17"/>
        <v>0</v>
      </c>
      <c r="T64" s="46">
        <f t="shared" si="17"/>
        <v>0</v>
      </c>
      <c r="U64" s="46">
        <f t="shared" si="17"/>
        <v>0</v>
      </c>
      <c r="V64" s="46">
        <f t="shared" si="17"/>
        <v>0</v>
      </c>
      <c r="W64" s="46">
        <f t="shared" si="17"/>
        <v>0</v>
      </c>
      <c r="X64" s="46">
        <f t="shared" si="17"/>
        <v>0</v>
      </c>
      <c r="Y64" s="46">
        <f t="shared" si="17"/>
        <v>0</v>
      </c>
      <c r="Z64" s="46">
        <f t="shared" si="17"/>
        <v>0</v>
      </c>
      <c r="AA64" s="46">
        <f t="shared" si="17"/>
        <v>0</v>
      </c>
      <c r="AB64" s="46">
        <f t="shared" si="17"/>
        <v>0</v>
      </c>
      <c r="AC64" s="46">
        <f>SUM(AC60:AC63)</f>
        <v>0</v>
      </c>
      <c r="AD64" s="46">
        <f>SUM(AD60:AD63)</f>
        <v>0</v>
      </c>
      <c r="AE64" s="46">
        <f>SUM(AE60:AE63)</f>
        <v>0</v>
      </c>
      <c r="AF64" s="46">
        <f>SUM(AF60:AF63)</f>
        <v>0</v>
      </c>
      <c r="AG64" s="46">
        <f>SUM(AG60:AG63)</f>
        <v>0</v>
      </c>
    </row>
    <row r="65" spans="1:33" s="2" customFormat="1" x14ac:dyDescent="0.2">
      <c r="A65" s="115" t="str">
        <f t="shared" si="15"/>
        <v>Option 4</v>
      </c>
      <c r="B65" s="115"/>
      <c r="C65" s="6" t="s">
        <v>119</v>
      </c>
      <c r="D65" s="34" t="str">
        <f t="shared" si="14"/>
        <v>Option 4NPV</v>
      </c>
      <c r="E65" s="1"/>
      <c r="F65" s="96" cm="1">
        <f t="array" ref="F65">SUMPRODUCT(($H64:$AG64)*($H$5:$AG$5)*($H$7:$AG$7))</f>
        <v>0</v>
      </c>
      <c r="G65" s="199">
        <f t="shared" si="16"/>
        <v>46203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s="2" customFormat="1" x14ac:dyDescent="0.2">
      <c r="A66" s="115" t="str">
        <f t="shared" si="15"/>
        <v>Option 4</v>
      </c>
      <c r="B66" s="115"/>
      <c r="C66" s="6" t="s">
        <v>189</v>
      </c>
      <c r="D66" s="34" t="str">
        <f t="shared" si="14"/>
        <v>Option 4PV of costs</v>
      </c>
      <c r="E66" s="1"/>
      <c r="F66" s="96">
        <f>SUM(F60:F61)</f>
        <v>0</v>
      </c>
      <c r="G66" s="199">
        <f t="shared" si="16"/>
        <v>46203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s="2" customFormat="1" x14ac:dyDescent="0.2">
      <c r="A67" s="115" t="str">
        <f t="shared" si="15"/>
        <v>Option 4</v>
      </c>
      <c r="B67" s="115"/>
      <c r="C67" s="6" t="s">
        <v>190</v>
      </c>
      <c r="D67" s="34" t="str">
        <f t="shared" si="14"/>
        <v>Option 4PV of benefits</v>
      </c>
      <c r="E67" s="1"/>
      <c r="F67" s="96">
        <f>SUM(F62:F63)</f>
        <v>0</v>
      </c>
      <c r="G67" s="199">
        <f t="shared" si="16"/>
        <v>46203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s="2" customFormat="1" x14ac:dyDescent="0.2">
      <c r="A68" s="115"/>
      <c r="B68" s="115"/>
      <c r="C68" s="1"/>
      <c r="D68" s="34"/>
      <c r="E68" s="1"/>
      <c r="F68" s="96"/>
      <c r="G68" s="202"/>
      <c r="H68" s="1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</row>
    <row r="69" spans="1:33" s="2" customFormat="1" x14ac:dyDescent="0.2">
      <c r="A69" s="52"/>
      <c r="B69" s="52"/>
      <c r="C69" s="52"/>
      <c r="D69" s="34" t="str">
        <f t="shared" ref="D69:D81" si="18">A69&amp;C69</f>
        <v/>
      </c>
      <c r="F69" s="7"/>
      <c r="G69" s="195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s="2" customFormat="1" x14ac:dyDescent="0.2">
      <c r="A70" s="52" t="str">
        <f>A71</f>
        <v>Option 5</v>
      </c>
      <c r="B70" s="52"/>
      <c r="C70" s="52" t="s">
        <v>124</v>
      </c>
      <c r="D70" s="34" t="str">
        <f t="shared" si="18"/>
        <v>Option 5Energy at risk value</v>
      </c>
      <c r="F70" s="85">
        <f>SUMPRODUCT($H70:$AG70, $H$5:$AG$5)</f>
        <v>0</v>
      </c>
      <c r="G70" s="199">
        <f>output_dollars</f>
        <v>46203</v>
      </c>
      <c r="H70" s="28"/>
      <c r="I70" s="28">
        <f>Option5!I$28*conv_2026</f>
        <v>0</v>
      </c>
      <c r="J70" s="28">
        <f>Option5!J$28*conv_2026</f>
        <v>0</v>
      </c>
      <c r="K70" s="28">
        <f>Option5!K$28*conv_2026</f>
        <v>0</v>
      </c>
      <c r="L70" s="28">
        <f>Option5!L$28*conv_2026</f>
        <v>0</v>
      </c>
      <c r="M70" s="28">
        <f>Option5!M$28*conv_2026</f>
        <v>0</v>
      </c>
      <c r="N70" s="28">
        <f>Option5!N$28*conv_2026</f>
        <v>0</v>
      </c>
      <c r="O70" s="28">
        <f>Option5!O$28*conv_2026</f>
        <v>0</v>
      </c>
      <c r="P70" s="28">
        <f>Option5!P$28*conv_2026</f>
        <v>0</v>
      </c>
      <c r="Q70" s="28">
        <f>Option5!Q$28*conv_2026</f>
        <v>0</v>
      </c>
      <c r="R70" s="28">
        <f>Option5!R$28*conv_2026</f>
        <v>0</v>
      </c>
      <c r="S70" s="28">
        <f>Option5!S$28*conv_2026</f>
        <v>0</v>
      </c>
      <c r="T70" s="28">
        <f>Option5!T$28*conv_2026</f>
        <v>0</v>
      </c>
      <c r="U70" s="28">
        <f>Option5!U$28*conv_2026</f>
        <v>0</v>
      </c>
      <c r="V70" s="28">
        <f>Option5!V$28*conv_2026</f>
        <v>0</v>
      </c>
      <c r="W70" s="28">
        <f>Option5!W$28*conv_2026</f>
        <v>0</v>
      </c>
      <c r="X70" s="28">
        <f>Option5!X$28*conv_2026</f>
        <v>0</v>
      </c>
      <c r="Y70" s="28">
        <f>Option5!Y$28*conv_2026</f>
        <v>0</v>
      </c>
      <c r="Z70" s="28">
        <f>Option5!Z$28*conv_2026</f>
        <v>0</v>
      </c>
      <c r="AA70" s="28">
        <f>Option5!AA$28*conv_2026</f>
        <v>0</v>
      </c>
      <c r="AB70" s="28">
        <f>Option5!AB$28*conv_2026</f>
        <v>0</v>
      </c>
      <c r="AC70" s="28">
        <f>Option5!AC$28*conv_2026</f>
        <v>0</v>
      </c>
      <c r="AD70" s="28">
        <f>Option5!AD$28*conv_2026</f>
        <v>0</v>
      </c>
      <c r="AE70" s="28">
        <f>Option5!AE$28*conv_2026</f>
        <v>0</v>
      </c>
      <c r="AF70" s="28">
        <f>Option5!AF$28*conv_2026</f>
        <v>0</v>
      </c>
      <c r="AG70" s="28">
        <f>Option5!AG$28*conv_2026</f>
        <v>0</v>
      </c>
    </row>
    <row r="71" spans="1:33" s="2" customFormat="1" x14ac:dyDescent="0.2">
      <c r="A71" s="115" t="str">
        <f>Data!B13</f>
        <v>Option 5</v>
      </c>
      <c r="B71" s="115"/>
      <c r="C71" s="52" t="str">
        <f>Option5!C$66</f>
        <v>Capital expenditure</v>
      </c>
      <c r="D71" s="34" t="str">
        <f t="shared" si="18"/>
        <v>Option 5Capital expenditure</v>
      </c>
      <c r="E71" s="1"/>
      <c r="F71" s="85">
        <f>SUMPRODUCT($H71:$AG71, $H$5:$AG$5)</f>
        <v>0</v>
      </c>
      <c r="G71" s="199">
        <f>output_dollars</f>
        <v>46203</v>
      </c>
      <c r="H71" s="28"/>
      <c r="I71" s="28">
        <f>SUM(Option5!I$67:I$69)*conv_2026*I$7</f>
        <v>0</v>
      </c>
      <c r="J71" s="28">
        <f>SUM(Option5!J$67:J$69)*conv_2026*J$7</f>
        <v>0</v>
      </c>
      <c r="K71" s="28">
        <f>SUM(Option5!K$67:K$69)*conv_2026*K$7</f>
        <v>0</v>
      </c>
      <c r="L71" s="28">
        <f>SUM(Option5!L$67:L$69)*conv_2026*L$7</f>
        <v>0</v>
      </c>
      <c r="M71" s="28">
        <f>SUM(Option5!M$67:M$69)*conv_2026*M$7</f>
        <v>0</v>
      </c>
      <c r="N71" s="28">
        <f>SUM(Option5!N$67:N$69)*conv_2026*N$7</f>
        <v>0</v>
      </c>
      <c r="O71" s="28">
        <f>SUM(Option5!O$67:O$69)*conv_2026*O$7</f>
        <v>0</v>
      </c>
      <c r="P71" s="28">
        <f>SUM(Option5!P$67:P$69)*conv_2026*P$7</f>
        <v>0</v>
      </c>
      <c r="Q71" s="28">
        <f>SUM(Option5!Q$67:Q$69)*conv_2026*Q$7</f>
        <v>0</v>
      </c>
      <c r="R71" s="28">
        <f>SUM(Option5!R$67:R$69)*conv_2026*R$7</f>
        <v>0</v>
      </c>
      <c r="S71" s="28">
        <f>SUM(Option5!S$67:S$69)*conv_2026*S$7</f>
        <v>0</v>
      </c>
      <c r="T71" s="28">
        <f>SUM(Option5!T$67:T$69)*conv_2026*T$7</f>
        <v>0</v>
      </c>
      <c r="U71" s="28">
        <f>SUM(Option5!U$67:U$69)*conv_2026*U$7</f>
        <v>0</v>
      </c>
      <c r="V71" s="28">
        <f>SUM(Option5!V$67:V$69)*conv_2026*V$7</f>
        <v>0</v>
      </c>
      <c r="W71" s="28">
        <f>SUM(Option5!W$67:W$69)*conv_2026*W$7</f>
        <v>0</v>
      </c>
      <c r="X71" s="28">
        <f>SUM(Option5!X$67:X$69)*conv_2026*X$7</f>
        <v>0</v>
      </c>
      <c r="Y71" s="28">
        <f>SUM(Option5!Y$67:Y$69)*conv_2026*Y$7</f>
        <v>0</v>
      </c>
      <c r="Z71" s="28">
        <f>SUM(Option5!Z$67:Z$69)*conv_2026*Z$7</f>
        <v>0</v>
      </c>
      <c r="AA71" s="28">
        <f>SUM(Option5!AA$67:AA$69)*conv_2026*AA$7</f>
        <v>0</v>
      </c>
      <c r="AB71" s="28">
        <f>SUM(Option5!AB$67:AB$69)*conv_2026*AB$7</f>
        <v>0</v>
      </c>
      <c r="AC71" s="28">
        <f>SUM(Option5!AC$67:AC$69)*conv_2026*AC$7</f>
        <v>0</v>
      </c>
      <c r="AD71" s="28">
        <f>SUM(Option5!AD$67:AD$69)*conv_2026*AD$7</f>
        <v>0</v>
      </c>
      <c r="AE71" s="28">
        <f>SUM(Option5!AE$67:AE$69)*conv_2026*AE$7</f>
        <v>0</v>
      </c>
      <c r="AF71" s="28">
        <f>SUM(Option5!AF$67:AF$69)*conv_2026*AF$7</f>
        <v>0</v>
      </c>
      <c r="AG71" s="28">
        <f>SUM(Option5!AG$67:AG$69)*conv_2026*AG$7</f>
        <v>0</v>
      </c>
    </row>
    <row r="72" spans="1:33" s="2" customFormat="1" x14ac:dyDescent="0.2">
      <c r="A72" s="115" t="str">
        <f t="shared" ref="A72:A81" si="19">A71</f>
        <v>Option 5</v>
      </c>
      <c r="B72" s="115"/>
      <c r="C72" s="52" t="str">
        <f>'Option1 (base case)'!C$36</f>
        <v>Total risk cost</v>
      </c>
      <c r="D72" s="34" t="str">
        <f t="shared" si="18"/>
        <v>Option 5Total risk cost</v>
      </c>
      <c r="E72" s="1"/>
      <c r="F72" s="85">
        <f>SUMPRODUCT($H72:$AG72, $H$5:$AG$5)</f>
        <v>0</v>
      </c>
      <c r="G72" s="199">
        <f>output_dollars</f>
        <v>46203</v>
      </c>
      <c r="H72" s="28"/>
      <c r="I72" s="28">
        <f>Option5!I$36*conv_2026*I$7</f>
        <v>0</v>
      </c>
      <c r="J72" s="28">
        <f>Option5!J$36*conv_2026*J$7</f>
        <v>0</v>
      </c>
      <c r="K72" s="28">
        <f>Option5!K$36*conv_2026*K$7</f>
        <v>0</v>
      </c>
      <c r="L72" s="28">
        <f>Option5!L$36*conv_2026*L$7</f>
        <v>0</v>
      </c>
      <c r="M72" s="28">
        <f>Option5!M$36*conv_2026*M$7</f>
        <v>0</v>
      </c>
      <c r="N72" s="28">
        <f>Option5!N$36*conv_2026*N$7</f>
        <v>0</v>
      </c>
      <c r="O72" s="28">
        <f>Option5!O$36*conv_2026*O$7</f>
        <v>0</v>
      </c>
      <c r="P72" s="28">
        <f>Option5!P$36*conv_2026*P$7</f>
        <v>0</v>
      </c>
      <c r="Q72" s="28">
        <f>Option5!Q$36*conv_2026*Q$7</f>
        <v>0</v>
      </c>
      <c r="R72" s="28">
        <f>Option5!R$36*conv_2026*R$7</f>
        <v>0</v>
      </c>
      <c r="S72" s="28">
        <f>Option5!S$36*conv_2026*S$7</f>
        <v>0</v>
      </c>
      <c r="T72" s="28">
        <f>Option5!T$36*conv_2026*T$7</f>
        <v>0</v>
      </c>
      <c r="U72" s="28">
        <f>Option5!U$36*conv_2026*U$7</f>
        <v>0</v>
      </c>
      <c r="V72" s="28">
        <f>Option5!V$36*conv_2026*V$7</f>
        <v>0</v>
      </c>
      <c r="W72" s="28">
        <f>Option5!W$36*conv_2026*W$7</f>
        <v>0</v>
      </c>
      <c r="X72" s="28">
        <f>Option5!X$36*conv_2026*X$7</f>
        <v>0</v>
      </c>
      <c r="Y72" s="28">
        <f>Option5!Y$36*conv_2026*Y$7</f>
        <v>0</v>
      </c>
      <c r="Z72" s="28">
        <f>Option5!Z$36*conv_2026*Z$7</f>
        <v>0</v>
      </c>
      <c r="AA72" s="28">
        <f>Option5!AA$36*conv_2026*AA$7</f>
        <v>0</v>
      </c>
      <c r="AB72" s="28">
        <f>Option5!AB$36*conv_2026*AB$7</f>
        <v>0</v>
      </c>
      <c r="AC72" s="28">
        <f>Option5!AC$36*conv_2026*AC$7</f>
        <v>0</v>
      </c>
      <c r="AD72" s="28">
        <f>Option5!AD$36*conv_2026*AD$7</f>
        <v>0</v>
      </c>
      <c r="AE72" s="28">
        <f>Option5!AE$36*conv_2026*AE$7</f>
        <v>0</v>
      </c>
      <c r="AF72" s="28">
        <f>Option5!AF$36*conv_2026*AF$7</f>
        <v>0</v>
      </c>
      <c r="AG72" s="28">
        <f>Option5!AG$36*conv_2026*AG$7</f>
        <v>0</v>
      </c>
    </row>
    <row r="73" spans="1:33" s="2" customFormat="1" x14ac:dyDescent="0.2">
      <c r="A73" s="115" t="str">
        <f t="shared" si="19"/>
        <v>Option 5</v>
      </c>
      <c r="B73" s="115"/>
      <c r="C73" s="12"/>
      <c r="D73" s="34" t="str">
        <f t="shared" si="18"/>
        <v>Option 5</v>
      </c>
      <c r="E73" s="1"/>
      <c r="F73"/>
      <c r="G73" s="20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15" t="str">
        <f t="shared" si="19"/>
        <v>Option 5</v>
      </c>
      <c r="B74" s="115"/>
      <c r="C74" s="52" t="str">
        <f>Option5!C$82</f>
        <v>Annualised capex</v>
      </c>
      <c r="D74" s="34" t="str">
        <f t="shared" si="18"/>
        <v>Option 5Annualised capex</v>
      </c>
      <c r="E74" s="1"/>
      <c r="F74" s="96" cm="1">
        <f t="array" ref="F74">SUMPRODUCT(($H74:$AG74)*($H$5:$AG$5)*($H$7:$AG$7))</f>
        <v>0</v>
      </c>
      <c r="G74" s="199">
        <f t="shared" ref="G74:G81" si="20">output_dollars</f>
        <v>46203</v>
      </c>
      <c r="H74" s="28"/>
      <c r="I74" s="28">
        <f>Option5!I$82*conv_2026*I$7</f>
        <v>0</v>
      </c>
      <c r="J74" s="28">
        <f>Option5!J$82*conv_2026*J$7</f>
        <v>0</v>
      </c>
      <c r="K74" s="28">
        <f>Option5!K$82*conv_2026*K$7</f>
        <v>0</v>
      </c>
      <c r="L74" s="28">
        <f>Option5!L$82*conv_2026*L$7</f>
        <v>0</v>
      </c>
      <c r="M74" s="28">
        <f>Option5!M$82*conv_2026*M$7</f>
        <v>0</v>
      </c>
      <c r="N74" s="28">
        <f>Option5!N$82*conv_2026*N$7</f>
        <v>0</v>
      </c>
      <c r="O74" s="28">
        <f>Option5!O$82*conv_2026*O$7</f>
        <v>0</v>
      </c>
      <c r="P74" s="28">
        <f>Option5!P$82*conv_2026*P$7</f>
        <v>0</v>
      </c>
      <c r="Q74" s="28">
        <f>Option5!Q$82*conv_2026*Q$7</f>
        <v>0</v>
      </c>
      <c r="R74" s="28">
        <f>Option5!R$82*conv_2026*R$7</f>
        <v>0</v>
      </c>
      <c r="S74" s="28">
        <f>Option5!S$82*conv_2026*S$7</f>
        <v>0</v>
      </c>
      <c r="T74" s="28">
        <f>Option5!T$82*conv_2026*T$7</f>
        <v>0</v>
      </c>
      <c r="U74" s="28">
        <f>Option5!U$82*conv_2026*U$7</f>
        <v>0</v>
      </c>
      <c r="V74" s="28">
        <f>Option5!V$82*conv_2026*V$7</f>
        <v>0</v>
      </c>
      <c r="W74" s="28">
        <f>Option5!W$82*conv_2026*W$7</f>
        <v>0</v>
      </c>
      <c r="X74" s="28">
        <f>Option5!X$82*conv_2026*X$7</f>
        <v>0</v>
      </c>
      <c r="Y74" s="28">
        <f>Option5!Y$82*conv_2026*Y$7</f>
        <v>0</v>
      </c>
      <c r="Z74" s="28">
        <f>Option5!Z$82*conv_2026*Z$7</f>
        <v>0</v>
      </c>
      <c r="AA74" s="28">
        <f>Option5!AA$82*conv_2026*AA$7</f>
        <v>0</v>
      </c>
      <c r="AB74" s="28">
        <f>Option5!AB$82*conv_2026*AB$7</f>
        <v>0</v>
      </c>
      <c r="AC74" s="28">
        <f>Option5!AC$82*conv_2026*AC$7</f>
        <v>0</v>
      </c>
      <c r="AD74" s="28">
        <f>Option5!AD$82*conv_2026*AD$7</f>
        <v>0</v>
      </c>
      <c r="AE74" s="28">
        <f>Option5!AE$82*conv_2026*AE$7</f>
        <v>0</v>
      </c>
      <c r="AF74" s="28">
        <f>Option5!AF$82*conv_2026*AF$7</f>
        <v>0</v>
      </c>
      <c r="AG74" s="28">
        <f>Option5!AG$82*conv_2026*AG$7</f>
        <v>0</v>
      </c>
    </row>
    <row r="75" spans="1:33" s="2" customFormat="1" x14ac:dyDescent="0.2">
      <c r="A75" s="115" t="str">
        <f t="shared" si="19"/>
        <v>Option 5</v>
      </c>
      <c r="B75" s="115"/>
      <c r="C75" s="52" t="str">
        <f>Option5!C$83</f>
        <v>Operating expenditure</v>
      </c>
      <c r="D75" s="34" t="str">
        <f t="shared" si="18"/>
        <v>Option 5Operating expenditure</v>
      </c>
      <c r="E75" s="1"/>
      <c r="F75" s="96" cm="1">
        <f t="array" ref="F75">SUMPRODUCT(($H75:$AG75)*($H$5:$AG$5)*($H$7:$AG$7))</f>
        <v>0</v>
      </c>
      <c r="G75" s="199">
        <f t="shared" si="20"/>
        <v>46203</v>
      </c>
      <c r="H75" s="28"/>
      <c r="I75" s="28">
        <f>Option5!I$83*conv_2026*I$7</f>
        <v>0</v>
      </c>
      <c r="J75" s="28">
        <f>Option5!J$83*conv_2026*J$7</f>
        <v>0</v>
      </c>
      <c r="K75" s="28">
        <f>Option5!K$83*conv_2026*K$7</f>
        <v>0</v>
      </c>
      <c r="L75" s="28">
        <f>Option5!L$83*conv_2026*L$7</f>
        <v>0</v>
      </c>
      <c r="M75" s="28">
        <f>Option5!M$83*conv_2026*M$7</f>
        <v>0</v>
      </c>
      <c r="N75" s="28">
        <f>Option5!N$83*conv_2026*N$7</f>
        <v>0</v>
      </c>
      <c r="O75" s="28">
        <f>Option5!O$83*conv_2026*O$7</f>
        <v>0</v>
      </c>
      <c r="P75" s="28">
        <f>Option5!P$83*conv_2026*P$7</f>
        <v>0</v>
      </c>
      <c r="Q75" s="28">
        <f>Option5!Q$83*conv_2026*Q$7</f>
        <v>0</v>
      </c>
      <c r="R75" s="28">
        <f>Option5!R$83*conv_2026*R$7</f>
        <v>0</v>
      </c>
      <c r="S75" s="28">
        <f>Option5!S$83*conv_2026*S$7</f>
        <v>0</v>
      </c>
      <c r="T75" s="28">
        <f>Option5!T$83*conv_2026*T$7</f>
        <v>0</v>
      </c>
      <c r="U75" s="28">
        <f>Option5!U$83*conv_2026*U$7</f>
        <v>0</v>
      </c>
      <c r="V75" s="28">
        <f>Option5!V$83*conv_2026*V$7</f>
        <v>0</v>
      </c>
      <c r="W75" s="28">
        <f>Option5!W$83*conv_2026*W$7</f>
        <v>0</v>
      </c>
      <c r="X75" s="28">
        <f>Option5!X$83*conv_2026*X$7</f>
        <v>0</v>
      </c>
      <c r="Y75" s="28">
        <f>Option5!Y$83*conv_2026*Y$7</f>
        <v>0</v>
      </c>
      <c r="Z75" s="28">
        <f>Option5!Z$83*conv_2026*Z$7</f>
        <v>0</v>
      </c>
      <c r="AA75" s="28">
        <f>Option5!AA$83*conv_2026*AA$7</f>
        <v>0</v>
      </c>
      <c r="AB75" s="28">
        <f>Option5!AB$83*conv_2026*AB$7</f>
        <v>0</v>
      </c>
      <c r="AC75" s="28">
        <f>Option5!AC$83*conv_2026*AC$7</f>
        <v>0</v>
      </c>
      <c r="AD75" s="28">
        <f>Option5!AD$83*conv_2026*AD$7</f>
        <v>0</v>
      </c>
      <c r="AE75" s="28">
        <f>Option5!AE$83*conv_2026*AE$7</f>
        <v>0</v>
      </c>
      <c r="AF75" s="28">
        <f>Option5!AF$83*conv_2026*AF$7</f>
        <v>0</v>
      </c>
      <c r="AG75" s="28">
        <f>Option5!AG$83*conv_2026*AG$7</f>
        <v>0</v>
      </c>
    </row>
    <row r="76" spans="1:33" s="2" customFormat="1" x14ac:dyDescent="0.2">
      <c r="A76" s="115" t="str">
        <f t="shared" si="19"/>
        <v>Option 5</v>
      </c>
      <c r="B76" s="115"/>
      <c r="C76" s="52" t="str">
        <f>Option5!C$84</f>
        <v>Risk mitigated</v>
      </c>
      <c r="D76" s="34" t="str">
        <f t="shared" si="18"/>
        <v>Option 5Risk mitigated</v>
      </c>
      <c r="E76" s="1"/>
      <c r="F76" s="85">
        <f>SUMPRODUCT($H76:$AG76, $H$5:$AG$5)</f>
        <v>0</v>
      </c>
      <c r="G76" s="199">
        <f t="shared" si="20"/>
        <v>46203</v>
      </c>
      <c r="H76" s="28"/>
      <c r="I76" s="28">
        <f>Option5!I$84*conv_2026*I$7</f>
        <v>0</v>
      </c>
      <c r="J76" s="28">
        <f>Option5!J$84*conv_2026*J$7</f>
        <v>0</v>
      </c>
      <c r="K76" s="28">
        <f>Option5!K$84*conv_2026*K$7</f>
        <v>0</v>
      </c>
      <c r="L76" s="28">
        <f>Option5!L$84*conv_2026*L$7</f>
        <v>0</v>
      </c>
      <c r="M76" s="28">
        <f>Option5!M$84*conv_2026*M$7</f>
        <v>0</v>
      </c>
      <c r="N76" s="28">
        <f>Option5!N$84*conv_2026*N$7</f>
        <v>0</v>
      </c>
      <c r="O76" s="28">
        <f>Option5!O$84*conv_2026*O$7</f>
        <v>0</v>
      </c>
      <c r="P76" s="28">
        <f>Option5!P$84*conv_2026*P$7</f>
        <v>0</v>
      </c>
      <c r="Q76" s="28">
        <f>Option5!Q$84*conv_2026*Q$7</f>
        <v>0</v>
      </c>
      <c r="R76" s="28">
        <f>Option5!R$84*conv_2026*R$7</f>
        <v>0</v>
      </c>
      <c r="S76" s="28">
        <f>Option5!S$84*conv_2026*S$7</f>
        <v>0</v>
      </c>
      <c r="T76" s="28">
        <f>Option5!T$84*conv_2026*T$7</f>
        <v>0</v>
      </c>
      <c r="U76" s="28">
        <f>Option5!U$84*conv_2026*U$7</f>
        <v>0</v>
      </c>
      <c r="V76" s="28">
        <f>Option5!V$84*conv_2026*V$7</f>
        <v>0</v>
      </c>
      <c r="W76" s="28">
        <f>Option5!W$84*conv_2026*W$7</f>
        <v>0</v>
      </c>
      <c r="X76" s="28">
        <f>Option5!X$84*conv_2026*X$7</f>
        <v>0</v>
      </c>
      <c r="Y76" s="28">
        <f>Option5!Y$84*conv_2026*Y$7</f>
        <v>0</v>
      </c>
      <c r="Z76" s="28">
        <f>Option5!Z$84*conv_2026*Z$7</f>
        <v>0</v>
      </c>
      <c r="AA76" s="28">
        <f>Option5!AA$84*conv_2026*AA$7</f>
        <v>0</v>
      </c>
      <c r="AB76" s="28">
        <f>Option5!AB$84*conv_2026*AB$7</f>
        <v>0</v>
      </c>
      <c r="AC76" s="28">
        <f>Option5!AC$84*conv_2026*AC$7</f>
        <v>0</v>
      </c>
      <c r="AD76" s="28">
        <f>Option5!AD$84*conv_2026*AD$7</f>
        <v>0</v>
      </c>
      <c r="AE76" s="28">
        <f>Option5!AE$84*conv_2026*AE$7</f>
        <v>0</v>
      </c>
      <c r="AF76" s="28">
        <f>Option5!AF$84*conv_2026*AF$7</f>
        <v>0</v>
      </c>
      <c r="AG76" s="28">
        <f>Option5!AG$84*conv_2026*AG$7</f>
        <v>0</v>
      </c>
    </row>
    <row r="77" spans="1:33" s="2" customFormat="1" x14ac:dyDescent="0.2">
      <c r="A77" s="115" t="str">
        <f t="shared" si="19"/>
        <v>Option 5</v>
      </c>
      <c r="B77" s="115"/>
      <c r="C77" s="52" t="str">
        <f>Option5!C$85</f>
        <v>Other benefits value</v>
      </c>
      <c r="D77" s="34" t="str">
        <f t="shared" si="18"/>
        <v>Option 5Other benefits value</v>
      </c>
      <c r="E77" s="1"/>
      <c r="F77" s="85">
        <f>SUMPRODUCT($H77:$AG77, $H$5:$AG$5)</f>
        <v>0</v>
      </c>
      <c r="G77" s="199">
        <f t="shared" si="20"/>
        <v>46203</v>
      </c>
      <c r="H77" s="28"/>
      <c r="I77" s="28">
        <f>Option5!I$85*conv_2026*I$7</f>
        <v>0</v>
      </c>
      <c r="J77" s="28">
        <f>Option5!J$85*conv_2026*J$7</f>
        <v>0</v>
      </c>
      <c r="K77" s="28">
        <f>Option5!K$85*conv_2026*K$7</f>
        <v>0</v>
      </c>
      <c r="L77" s="28">
        <f>Option5!L$85*conv_2026*L$7</f>
        <v>0</v>
      </c>
      <c r="M77" s="28">
        <f>Option5!M$85*conv_2026*M$7</f>
        <v>0</v>
      </c>
      <c r="N77" s="28">
        <f>Option5!N$85*conv_2026*N$7</f>
        <v>0</v>
      </c>
      <c r="O77" s="28">
        <f>Option5!O$85*conv_2026*O$7</f>
        <v>0</v>
      </c>
      <c r="P77" s="28">
        <f>Option5!P$85*conv_2026*P$7</f>
        <v>0</v>
      </c>
      <c r="Q77" s="28">
        <f>Option5!Q$85*conv_2026*Q$7</f>
        <v>0</v>
      </c>
      <c r="R77" s="28">
        <f>Option5!R$85*conv_2026*R$7</f>
        <v>0</v>
      </c>
      <c r="S77" s="28">
        <f>Option5!S$85*conv_2026*S$7</f>
        <v>0</v>
      </c>
      <c r="T77" s="28">
        <f>Option5!T$85*conv_2026*T$7</f>
        <v>0</v>
      </c>
      <c r="U77" s="28">
        <f>Option5!U$85*conv_2026*U$7</f>
        <v>0</v>
      </c>
      <c r="V77" s="28">
        <f>Option5!V$85*conv_2026*V$7</f>
        <v>0</v>
      </c>
      <c r="W77" s="28">
        <f>Option5!W$85*conv_2026*W$7</f>
        <v>0</v>
      </c>
      <c r="X77" s="28">
        <f>Option5!X$85*conv_2026*X$7</f>
        <v>0</v>
      </c>
      <c r="Y77" s="28">
        <f>Option5!Y$85*conv_2026*Y$7</f>
        <v>0</v>
      </c>
      <c r="Z77" s="28">
        <f>Option5!Z$85*conv_2026*Z$7</f>
        <v>0</v>
      </c>
      <c r="AA77" s="28">
        <f>Option5!AA$85*conv_2026*AA$7</f>
        <v>0</v>
      </c>
      <c r="AB77" s="28">
        <f>Option5!AB$85*conv_2026*AB$7</f>
        <v>0</v>
      </c>
      <c r="AC77" s="28">
        <f>Option5!AC$85*conv_2026*AC$7</f>
        <v>0</v>
      </c>
      <c r="AD77" s="28">
        <f>Option5!AD$85*conv_2026*AD$7</f>
        <v>0</v>
      </c>
      <c r="AE77" s="28">
        <f>Option5!AE$85*conv_2026*AE$7</f>
        <v>0</v>
      </c>
      <c r="AF77" s="28">
        <f>Option5!AF$85*conv_2026*AF$7</f>
        <v>0</v>
      </c>
      <c r="AG77" s="28">
        <f>Option5!AG$85*conv_2026*AG$7</f>
        <v>0</v>
      </c>
    </row>
    <row r="78" spans="1:33" s="2" customFormat="1" x14ac:dyDescent="0.2">
      <c r="A78" s="115" t="str">
        <f t="shared" si="19"/>
        <v>Option 5</v>
      </c>
      <c r="B78" s="115"/>
      <c r="C78" s="105" t="str">
        <f>Option5!C87</f>
        <v>Net benefits</v>
      </c>
      <c r="D78" s="97" t="str">
        <f t="shared" si="18"/>
        <v>Option 5Net benefits</v>
      </c>
      <c r="E78" s="98"/>
      <c r="F78" s="122"/>
      <c r="G78" s="201">
        <f t="shared" si="20"/>
        <v>46203</v>
      </c>
      <c r="H78" s="46"/>
      <c r="I78" s="46">
        <f t="shared" ref="I78:AB78" si="21">SUM(I74:I77)</f>
        <v>0</v>
      </c>
      <c r="J78" s="46">
        <f t="shared" si="21"/>
        <v>0</v>
      </c>
      <c r="K78" s="46">
        <f t="shared" si="21"/>
        <v>0</v>
      </c>
      <c r="L78" s="46">
        <f t="shared" si="21"/>
        <v>0</v>
      </c>
      <c r="M78" s="46">
        <f t="shared" si="21"/>
        <v>0</v>
      </c>
      <c r="N78" s="46">
        <f t="shared" si="21"/>
        <v>0</v>
      </c>
      <c r="O78" s="46">
        <f t="shared" si="21"/>
        <v>0</v>
      </c>
      <c r="P78" s="46">
        <f t="shared" si="21"/>
        <v>0</v>
      </c>
      <c r="Q78" s="46">
        <f t="shared" si="21"/>
        <v>0</v>
      </c>
      <c r="R78" s="46">
        <f t="shared" si="21"/>
        <v>0</v>
      </c>
      <c r="S78" s="46">
        <f t="shared" si="21"/>
        <v>0</v>
      </c>
      <c r="T78" s="46">
        <f t="shared" si="21"/>
        <v>0</v>
      </c>
      <c r="U78" s="46">
        <f t="shared" si="21"/>
        <v>0</v>
      </c>
      <c r="V78" s="46">
        <f t="shared" si="21"/>
        <v>0</v>
      </c>
      <c r="W78" s="46">
        <f t="shared" si="21"/>
        <v>0</v>
      </c>
      <c r="X78" s="46">
        <f t="shared" si="21"/>
        <v>0</v>
      </c>
      <c r="Y78" s="46">
        <f t="shared" si="21"/>
        <v>0</v>
      </c>
      <c r="Z78" s="46">
        <f t="shared" si="21"/>
        <v>0</v>
      </c>
      <c r="AA78" s="46">
        <f t="shared" si="21"/>
        <v>0</v>
      </c>
      <c r="AB78" s="46">
        <f t="shared" si="21"/>
        <v>0</v>
      </c>
      <c r="AC78" s="46">
        <f>SUM(AC74:AC77)</f>
        <v>0</v>
      </c>
      <c r="AD78" s="46">
        <f>SUM(AD74:AD77)</f>
        <v>0</v>
      </c>
      <c r="AE78" s="46">
        <f>SUM(AE74:AE77)</f>
        <v>0</v>
      </c>
      <c r="AF78" s="46">
        <f>SUM(AF74:AF77)</f>
        <v>0</v>
      </c>
      <c r="AG78" s="46">
        <f>SUM(AG74:AG77)</f>
        <v>0</v>
      </c>
    </row>
    <row r="79" spans="1:33" s="2" customFormat="1" x14ac:dyDescent="0.2">
      <c r="A79" s="115" t="str">
        <f t="shared" si="19"/>
        <v>Option 5</v>
      </c>
      <c r="B79" s="115"/>
      <c r="C79" s="6" t="s">
        <v>119</v>
      </c>
      <c r="D79" s="34" t="str">
        <f t="shared" si="18"/>
        <v>Option 5NPV</v>
      </c>
      <c r="E79" s="1"/>
      <c r="F79" s="96" cm="1">
        <f t="array" ref="F79">SUMPRODUCT(($H78:$AG78)*($H$5:$AG$5)*($H$7:$AG$7))</f>
        <v>0</v>
      </c>
      <c r="G79" s="199">
        <f t="shared" si="20"/>
        <v>46203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s="2" customFormat="1" x14ac:dyDescent="0.2">
      <c r="A80" s="115" t="str">
        <f t="shared" si="19"/>
        <v>Option 5</v>
      </c>
      <c r="B80" s="115"/>
      <c r="C80" s="6" t="s">
        <v>189</v>
      </c>
      <c r="D80" s="34" t="str">
        <f t="shared" si="18"/>
        <v>Option 5PV of costs</v>
      </c>
      <c r="E80" s="1"/>
      <c r="F80" s="96">
        <f>SUM(F74:F75)</f>
        <v>0</v>
      </c>
      <c r="G80" s="199">
        <f t="shared" si="20"/>
        <v>46203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s="2" customFormat="1" x14ac:dyDescent="0.2">
      <c r="A81" s="115" t="str">
        <f t="shared" si="19"/>
        <v>Option 5</v>
      </c>
      <c r="B81" s="115"/>
      <c r="C81" s="6" t="s">
        <v>190</v>
      </c>
      <c r="D81" s="34" t="str">
        <f t="shared" si="18"/>
        <v>Option 5PV of benefits</v>
      </c>
      <c r="E81" s="1"/>
      <c r="F81" s="96">
        <f>SUM(F76:F77)</f>
        <v>0</v>
      </c>
      <c r="G81" s="199">
        <f t="shared" si="20"/>
        <v>46203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s="2" customFormat="1" x14ac:dyDescent="0.2">
      <c r="A82" s="104"/>
      <c r="B82" s="104"/>
      <c r="C82" s="104"/>
      <c r="D82" s="34" t="str">
        <f>A82&amp;C82</f>
        <v/>
      </c>
      <c r="F82" s="7"/>
      <c r="G82" s="195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ht="12" x14ac:dyDescent="0.2">
      <c r="E83" s="74"/>
      <c r="G83" s="203"/>
    </row>
    <row r="84" spans="1:33" ht="12" x14ac:dyDescent="0.2">
      <c r="E84" s="74"/>
      <c r="G84" s="203"/>
    </row>
    <row r="85" spans="1:33" ht="12" x14ac:dyDescent="0.2">
      <c r="E85" s="74"/>
      <c r="G85" s="203"/>
    </row>
    <row r="86" spans="1:33" ht="12" x14ac:dyDescent="0.2">
      <c r="E86" s="74"/>
      <c r="G86" s="203"/>
    </row>
    <row r="87" spans="1:33" ht="12" x14ac:dyDescent="0.2">
      <c r="E87" s="8"/>
      <c r="G87" s="203"/>
    </row>
    <row r="88" spans="1:33" ht="15" x14ac:dyDescent="0.25">
      <c r="A88" s="177" t="s">
        <v>202</v>
      </c>
      <c r="B88" s="48"/>
      <c r="C88" s="17"/>
      <c r="D88" s="17"/>
      <c r="E88" s="73"/>
      <c r="F88" s="17"/>
      <c r="G88" s="197"/>
      <c r="H88" s="197"/>
      <c r="I88" s="175" t="str">
        <f>"FY"&amp;RIGHT(I$9,2)</f>
        <v>FY27</v>
      </c>
      <c r="J88" s="175" t="str">
        <f t="shared" ref="J88:AG88" si="22">"FY"&amp;RIGHT(J$9,2)</f>
        <v>FY28</v>
      </c>
      <c r="K88" s="175" t="str">
        <f t="shared" si="22"/>
        <v>FY29</v>
      </c>
      <c r="L88" s="175" t="str">
        <f t="shared" si="22"/>
        <v>FY30</v>
      </c>
      <c r="M88" s="175" t="str">
        <f t="shared" si="22"/>
        <v>FY31</v>
      </c>
      <c r="N88" s="175" t="str">
        <f t="shared" si="22"/>
        <v>FY32</v>
      </c>
      <c r="O88" s="175" t="str">
        <f t="shared" si="22"/>
        <v>FY33</v>
      </c>
      <c r="P88" s="175" t="str">
        <f t="shared" si="22"/>
        <v>FY34</v>
      </c>
      <c r="Q88" s="175" t="str">
        <f t="shared" si="22"/>
        <v>FY35</v>
      </c>
      <c r="R88" s="175" t="str">
        <f t="shared" si="22"/>
        <v>FY36</v>
      </c>
      <c r="S88" s="175" t="str">
        <f t="shared" si="22"/>
        <v>FY37</v>
      </c>
      <c r="T88" s="175" t="str">
        <f t="shared" si="22"/>
        <v>FY38</v>
      </c>
      <c r="U88" s="175" t="str">
        <f t="shared" si="22"/>
        <v>FY39</v>
      </c>
      <c r="V88" s="175" t="str">
        <f t="shared" si="22"/>
        <v>FY40</v>
      </c>
      <c r="W88" s="175" t="str">
        <f t="shared" si="22"/>
        <v>FY41</v>
      </c>
      <c r="X88" s="175" t="str">
        <f t="shared" si="22"/>
        <v>FY42</v>
      </c>
      <c r="Y88" s="175" t="str">
        <f t="shared" si="22"/>
        <v>FY43</v>
      </c>
      <c r="Z88" s="175" t="str">
        <f t="shared" si="22"/>
        <v>FY44</v>
      </c>
      <c r="AA88" s="175" t="str">
        <f t="shared" si="22"/>
        <v>FY45</v>
      </c>
      <c r="AB88" s="175" t="str">
        <f t="shared" si="22"/>
        <v>FY46</v>
      </c>
      <c r="AC88" s="175" t="str">
        <f t="shared" si="22"/>
        <v>FY47</v>
      </c>
      <c r="AD88" s="175" t="str">
        <f t="shared" si="22"/>
        <v>FY48</v>
      </c>
      <c r="AE88" s="175" t="str">
        <f t="shared" si="22"/>
        <v>FY49</v>
      </c>
      <c r="AF88" s="175" t="str">
        <f t="shared" si="22"/>
        <v>FY50</v>
      </c>
      <c r="AG88" s="175" t="str">
        <f t="shared" si="22"/>
        <v>FY51</v>
      </c>
    </row>
    <row r="89" spans="1:33" ht="12" x14ac:dyDescent="0.2">
      <c r="E89" s="74"/>
      <c r="G89" s="203"/>
    </row>
    <row r="90" spans="1:33" ht="12" x14ac:dyDescent="0.2">
      <c r="E90" s="74"/>
    </row>
    <row r="91" spans="1:33" x14ac:dyDescent="0.2">
      <c r="A91" s="174" t="str">
        <f>Summary!$C$26</f>
        <v>Option 2</v>
      </c>
      <c r="B91" s="118"/>
      <c r="C91" s="172" t="s">
        <v>91</v>
      </c>
      <c r="D91" s="7">
        <f>INDEX(Data!$C$30:$C$36, MATCH(C91, Data!$B$30:$B$36,0))</f>
        <v>-1</v>
      </c>
      <c r="E91" s="2"/>
      <c r="F91" s="7"/>
      <c r="G91" s="28"/>
      <c r="H91" s="28" t="str">
        <f>A91&amp;" "&amp;LOWER(C91)</f>
        <v>Option 2 annualised capex</v>
      </c>
      <c r="I91" s="93" cm="1">
        <f t="array" ref="I91">MAX($D91*INDEX(I$15:W$81, MATCH($A91&amp;$C91, $D$15:$D$81,0),))/mill_conv</f>
        <v>0.16606658089092222</v>
      </c>
      <c r="J91" s="93" cm="1">
        <f t="array" ref="J91">MAX($D91*INDEX(J$15:X$81, MATCH($A91&amp;$C91, $D$15:$D$81,0),))/mill_conv</f>
        <v>0.16606658089092222</v>
      </c>
      <c r="K91" s="93" cm="1">
        <f t="array" ref="K91">MAX($D91*INDEX(K$15:Y$81, MATCH($A91&amp;$C91, $D$15:$D$81,0),))/mill_conv</f>
        <v>0.16606658089092222</v>
      </c>
      <c r="L91" s="93" cm="1">
        <f t="array" ref="L91">MAX($D91*INDEX(L$15:Z$81, MATCH($A91&amp;$C91, $D$15:$D$81,0),))/mill_conv</f>
        <v>0.16606658089092222</v>
      </c>
      <c r="M91" s="93" cm="1">
        <f t="array" ref="M91">MAX($D91*INDEX(M$15:AA$81, MATCH($A91&amp;$C91, $D$15:$D$81,0),))/mill_conv</f>
        <v>0.16606658089092222</v>
      </c>
      <c r="N91" s="93" cm="1">
        <f t="array" ref="N91">MAX($D91*INDEX(N$15:AB$81, MATCH($A91&amp;$C91, $D$15:$D$81,0),))/mill_conv</f>
        <v>0.16606658089092222</v>
      </c>
      <c r="O91" s="93" cm="1">
        <f t="array" ref="O91">MAX($D91*INDEX(O$15:AC$81, MATCH($A91&amp;$C91, $D$15:$D$81,0),))/mill_conv</f>
        <v>0.16606658089092222</v>
      </c>
      <c r="P91" s="93" cm="1">
        <f t="array" ref="P91">MAX($D91*INDEX(P$15:AD$81, MATCH($A91&amp;$C91, $D$15:$D$81,0),))/mill_conv</f>
        <v>0.16606658089092222</v>
      </c>
      <c r="Q91" s="93" cm="1">
        <f t="array" ref="Q91">MAX($D91*INDEX(Q$15:AE$81, MATCH($A91&amp;$C91, $D$15:$D$81,0),))/mill_conv</f>
        <v>0.16606658089092222</v>
      </c>
      <c r="R91" s="93" cm="1">
        <f t="array" ref="R91">MAX($D91*INDEX(R$15:AF$81, MATCH($A91&amp;$C91, $D$15:$D$81,0),))/mill_conv</f>
        <v>0.16606658089092222</v>
      </c>
      <c r="S91" s="93" cm="1">
        <f t="array" ref="S91">MAX($D91*INDEX(S$15:AG$81, MATCH($A91&amp;$C91, $D$15:$D$81,0),))/mill_conv</f>
        <v>0.16606658089092222</v>
      </c>
      <c r="T91" s="93" cm="1">
        <f t="array" ref="T91">MAX($D91*INDEX(T$15:AH$81, MATCH($A91&amp;$C91, $D$15:$D$81,0),))/mill_conv</f>
        <v>0.16606658089092222</v>
      </c>
      <c r="U91" s="93" cm="1">
        <f t="array" ref="U91">MAX($D91*INDEX(U$15:AI$81, MATCH($A91&amp;$C91, $D$15:$D$81,0),))/mill_conv</f>
        <v>0.16606658089092222</v>
      </c>
      <c r="V91" s="93" cm="1">
        <f t="array" ref="V91">MAX($D91*INDEX(V$15:AJ$81, MATCH($A91&amp;$C91, $D$15:$D$81,0),))/mill_conv</f>
        <v>0.16606658089092222</v>
      </c>
      <c r="W91" s="93" cm="1">
        <f t="array" ref="W91">MAX($D91*INDEX(W$15:AK$81, MATCH($A91&amp;$C91, $D$15:$D$81,0),))/mill_conv</f>
        <v>0.16606658089092222</v>
      </c>
      <c r="X91" s="93" cm="1">
        <f t="array" ref="X91">MAX($D91*INDEX(X$15:AL$81, MATCH($A91&amp;$C91, $D$15:$D$81,0),))/mill_conv</f>
        <v>0.16606658089092222</v>
      </c>
      <c r="Y91" s="93" cm="1">
        <f t="array" ref="Y91">MAX($D91*INDEX(Y$15:AM$81, MATCH($A91&amp;$C91, $D$15:$D$81,0),))/mill_conv</f>
        <v>0.16606658089092222</v>
      </c>
      <c r="Z91" s="93" cm="1">
        <f t="array" ref="Z91">MAX($D91*INDEX(Z$15:AN$81, MATCH($A91&amp;$C91, $D$15:$D$81,0),))/mill_conv</f>
        <v>0.16606658089092222</v>
      </c>
      <c r="AA91" s="93" cm="1">
        <f t="array" ref="AA91">MAX($D91*INDEX(AA$15:AO$81, MATCH($A91&amp;$C91, $D$15:$D$81,0),))/mill_conv</f>
        <v>0.16606658089092222</v>
      </c>
      <c r="AB91" s="93" cm="1">
        <f t="array" ref="AB91">MAX($D91*INDEX(AB$15:AP$81, MATCH($A91&amp;$C91, $D$15:$D$81,0),))/mill_conv</f>
        <v>0.16606658089092222</v>
      </c>
      <c r="AC91" s="93" cm="1">
        <f t="array" ref="AC91">MAX($D91*INDEX(AC$15:AQ$81, MATCH($A91&amp;$C91, $D$15:$D$81,0),))/mill_conv</f>
        <v>0.16606658089092222</v>
      </c>
      <c r="AD91" s="93" cm="1">
        <f t="array" ref="AD91">MAX($D91*INDEX(AD$15:AR$81, MATCH($A91&amp;$C91, $D$15:$D$81,0),))/mill_conv</f>
        <v>0.16606658089092222</v>
      </c>
      <c r="AE91" s="93" cm="1">
        <f t="array" ref="AE91">MAX($D91*INDEX(AE$15:AS$81, MATCH($A91&amp;$C91, $D$15:$D$81,0),))/mill_conv</f>
        <v>0.16606658089092222</v>
      </c>
      <c r="AF91" s="93" cm="1">
        <f t="array" ref="AF91">MAX($D91*INDEX(AF$15:AT$81, MATCH($A91&amp;$C91, $D$15:$D$81,0),))/mill_conv</f>
        <v>0</v>
      </c>
      <c r="AG91" s="93" cm="1">
        <f t="array" ref="AG91">MAX($D91*INDEX(AG$15:AU$81, MATCH($A91&amp;$C91, $D$15:$D$81,0),))/mill_conv</f>
        <v>0</v>
      </c>
    </row>
    <row r="92" spans="1:33" x14ac:dyDescent="0.2">
      <c r="A92" s="173" t="str">
        <f>A16</f>
        <v>Option 1 (base case)</v>
      </c>
      <c r="B92" s="118"/>
      <c r="C92" s="173" t="s">
        <v>172</v>
      </c>
      <c r="D92" s="7">
        <f>INDEX(Data!$C$30:$C$36, MATCH(C92, Data!$B$30:$B$36,0))</f>
        <v>1</v>
      </c>
      <c r="E92" s="74"/>
      <c r="H92" s="28" t="str">
        <f>A92&amp;" risk cost"</f>
        <v>Option 1 (base case) risk cost</v>
      </c>
      <c r="I92" s="93">
        <f t="shared" ref="I92:R92" si="23">$D92*INDEX(I$15:I$81, MATCH($A92&amp;$C92, $D$15:$D$81,0))/mill_conv</f>
        <v>0</v>
      </c>
      <c r="J92" s="93">
        <f t="shared" si="23"/>
        <v>5.6317262593239014E-4</v>
      </c>
      <c r="K92" s="93">
        <f t="shared" si="23"/>
        <v>8.4443016424363779E-3</v>
      </c>
      <c r="L92" s="93">
        <f t="shared" si="23"/>
        <v>2.1223240190355215E-2</v>
      </c>
      <c r="M92" s="93">
        <f t="shared" si="23"/>
        <v>4.7550225236559815E-2</v>
      </c>
      <c r="N92" s="93">
        <f t="shared" si="23"/>
        <v>0.11794595152579798</v>
      </c>
      <c r="O92" s="93">
        <f t="shared" si="23"/>
        <v>0.24665590576331808</v>
      </c>
      <c r="P92" s="93">
        <f t="shared" si="23"/>
        <v>0.40362969821343664</v>
      </c>
      <c r="Q92" s="93">
        <f t="shared" si="23"/>
        <v>0.40362969821343664</v>
      </c>
      <c r="R92" s="93">
        <f t="shared" si="23"/>
        <v>0.40362969821343664</v>
      </c>
      <c r="S92" s="93">
        <f t="shared" ref="S92:AG92" si="24">$D92*INDEX(S$15:S$81, MATCH($A92&amp;$C92, $D$15:$D$81,0))/mill_conv</f>
        <v>0.40362969821343664</v>
      </c>
      <c r="T92" s="93">
        <f t="shared" si="24"/>
        <v>0.40362969821343664</v>
      </c>
      <c r="U92" s="93">
        <f t="shared" si="24"/>
        <v>0.40362969821343664</v>
      </c>
      <c r="V92" s="93">
        <f t="shared" si="24"/>
        <v>0.40362969821343664</v>
      </c>
      <c r="W92" s="93">
        <f t="shared" si="24"/>
        <v>0.40362969821343664</v>
      </c>
      <c r="X92" s="93">
        <f t="shared" si="24"/>
        <v>0.40362969821343664</v>
      </c>
      <c r="Y92" s="93">
        <f t="shared" si="24"/>
        <v>0.40362969821343664</v>
      </c>
      <c r="Z92" s="93">
        <f t="shared" si="24"/>
        <v>0.40362969821343664</v>
      </c>
      <c r="AA92" s="93">
        <f t="shared" si="24"/>
        <v>0.40362969821343664</v>
      </c>
      <c r="AB92" s="93">
        <f t="shared" si="24"/>
        <v>0.40362969821343664</v>
      </c>
      <c r="AC92" s="93">
        <f t="shared" si="24"/>
        <v>0.40362969821343664</v>
      </c>
      <c r="AD92" s="93">
        <f t="shared" si="24"/>
        <v>0.40362969821343664</v>
      </c>
      <c r="AE92" s="93">
        <f t="shared" si="24"/>
        <v>0.40362969821343664</v>
      </c>
      <c r="AF92" s="93">
        <f t="shared" si="24"/>
        <v>0.40362969821343664</v>
      </c>
      <c r="AG92" s="93">
        <f t="shared" si="24"/>
        <v>0.40362969821343664</v>
      </c>
    </row>
    <row r="93" spans="1:33" ht="12" x14ac:dyDescent="0.2">
      <c r="E93" s="74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</row>
    <row r="94" spans="1:33" ht="12" x14ac:dyDescent="0.2">
      <c r="E94" s="74"/>
    </row>
    <row r="95" spans="1:33" ht="12" x14ac:dyDescent="0.2">
      <c r="E95" s="74"/>
    </row>
    <row r="96" spans="1:33" ht="12" x14ac:dyDescent="0.2">
      <c r="E96" s="74"/>
    </row>
    <row r="97" spans="1:33" ht="12" x14ac:dyDescent="0.2">
      <c r="E97" s="74"/>
      <c r="I97" s="250" t="str">
        <f>I88</f>
        <v>FY27</v>
      </c>
      <c r="J97" s="250" t="str">
        <f t="shared" ref="J97:AG97" si="25">J88</f>
        <v>FY28</v>
      </c>
      <c r="K97" s="250" t="str">
        <f t="shared" si="25"/>
        <v>FY29</v>
      </c>
      <c r="L97" s="250" t="str">
        <f t="shared" si="25"/>
        <v>FY30</v>
      </c>
      <c r="M97" s="250" t="str">
        <f t="shared" si="25"/>
        <v>FY31</v>
      </c>
      <c r="N97" s="250" t="str">
        <f t="shared" si="25"/>
        <v>FY32</v>
      </c>
      <c r="O97" s="250" t="str">
        <f t="shared" si="25"/>
        <v>FY33</v>
      </c>
      <c r="P97" s="250" t="str">
        <f t="shared" si="25"/>
        <v>FY34</v>
      </c>
      <c r="Q97" s="250" t="str">
        <f t="shared" si="25"/>
        <v>FY35</v>
      </c>
      <c r="R97" s="250" t="str">
        <f t="shared" si="25"/>
        <v>FY36</v>
      </c>
      <c r="S97" s="250" t="str">
        <f t="shared" si="25"/>
        <v>FY37</v>
      </c>
      <c r="T97" s="250" t="str">
        <f t="shared" si="25"/>
        <v>FY38</v>
      </c>
      <c r="U97" s="250" t="str">
        <f t="shared" si="25"/>
        <v>FY39</v>
      </c>
      <c r="V97" s="250" t="str">
        <f t="shared" si="25"/>
        <v>FY40</v>
      </c>
      <c r="W97" s="250" t="str">
        <f t="shared" si="25"/>
        <v>FY41</v>
      </c>
      <c r="X97" s="250" t="str">
        <f t="shared" si="25"/>
        <v>FY42</v>
      </c>
      <c r="Y97" s="250" t="str">
        <f t="shared" si="25"/>
        <v>FY43</v>
      </c>
      <c r="Z97" s="250" t="str">
        <f t="shared" si="25"/>
        <v>FY44</v>
      </c>
      <c r="AA97" s="250" t="str">
        <f t="shared" si="25"/>
        <v>FY45</v>
      </c>
      <c r="AB97" s="250" t="str">
        <f t="shared" si="25"/>
        <v>FY46</v>
      </c>
      <c r="AC97" s="250" t="str">
        <f t="shared" si="25"/>
        <v>FY47</v>
      </c>
      <c r="AD97" s="250" t="str">
        <f t="shared" si="25"/>
        <v>FY48</v>
      </c>
      <c r="AE97" s="250" t="str">
        <f t="shared" si="25"/>
        <v>FY49</v>
      </c>
      <c r="AF97" s="250" t="str">
        <f t="shared" si="25"/>
        <v>FY50</v>
      </c>
      <c r="AG97" s="250" t="str">
        <f t="shared" si="25"/>
        <v>FY51</v>
      </c>
    </row>
    <row r="98" spans="1:33" x14ac:dyDescent="0.2">
      <c r="A98" s="174" t="s">
        <v>234</v>
      </c>
      <c r="B98" s="118"/>
      <c r="C98" s="172" t="s">
        <v>123</v>
      </c>
      <c r="D98" s="166">
        <f>MAX(H98:AG98)</f>
        <v>9.2243086411412634</v>
      </c>
      <c r="E98" s="249"/>
      <c r="F98" s="7"/>
      <c r="G98" s="28"/>
      <c r="H98" s="28" t="str">
        <f>A98&amp;" "&amp;LOWER(C98)</f>
        <v>Energy at risk energy at risk (weighted)</v>
      </c>
      <c r="I98" s="28">
        <f>INDEX('Option1 (base case)'!I$14:I$87, MATCH($C98, 'Option1 (base case)'!$C$14:$C$87,0))</f>
        <v>0</v>
      </c>
      <c r="J98" s="28">
        <f>INDEX('Option1 (base case)'!J$14:J$87, MATCH($C98, 'Option1 (base case)'!$C$14:$C$87,0))</f>
        <v>1.2870406074766447E-2</v>
      </c>
      <c r="K98" s="28">
        <f>INDEX('Option1 (base case)'!K$14:K$87, MATCH($C98, 'Option1 (base case)'!$C$14:$C$87,0))</f>
        <v>0.19298095495327017</v>
      </c>
      <c r="L98" s="28">
        <f>INDEX('Option1 (base case)'!L$14:L$87, MATCH($C98, 'Option1 (base case)'!$C$14:$C$87,0))</f>
        <v>0.48502307621920449</v>
      </c>
      <c r="M98" s="28">
        <f>INDEX('Option1 (base case)'!M$14:M$87, MATCH($C98, 'Option1 (base case)'!$C$14:$C$87,0))</f>
        <v>1.0866840459937461</v>
      </c>
      <c r="N98" s="28">
        <f>INDEX('Option1 (base case)'!N$14:N$87, MATCH($C98, 'Option1 (base case)'!$C$14:$C$87,0))</f>
        <v>2.69546533533748</v>
      </c>
      <c r="O98" s="28">
        <f>INDEX('Option1 (base case)'!O$14:O$87, MATCH($C98, 'Option1 (base case)'!$C$14:$C$87,0))</f>
        <v>5.6369246688036663</v>
      </c>
      <c r="P98" s="28">
        <f>INDEX('Option1 (base case)'!P$14:P$87, MATCH($C98, 'Option1 (base case)'!$C$14:$C$87,0))</f>
        <v>9.2243086411412634</v>
      </c>
      <c r="Q98" s="28">
        <f>INDEX('Option1 (base case)'!Q$14:Q$87, MATCH($C98, 'Option1 (base case)'!$C$14:$C$87,0))</f>
        <v>9.2243086411412634</v>
      </c>
      <c r="R98" s="28">
        <f>INDEX('Option1 (base case)'!R$14:R$87, MATCH($C98, 'Option1 (base case)'!$C$14:$C$87,0))</f>
        <v>9.2243086411412634</v>
      </c>
      <c r="S98" s="28">
        <f>INDEX('Option1 (base case)'!S$14:S$87, MATCH($C98, 'Option1 (base case)'!$C$14:$C$87,0))</f>
        <v>9.2243086411412634</v>
      </c>
      <c r="T98" s="28">
        <f>INDEX('Option1 (base case)'!T$14:T$87, MATCH($C98, 'Option1 (base case)'!$C$14:$C$87,0))</f>
        <v>9.2243086411412634</v>
      </c>
      <c r="U98" s="28">
        <f>INDEX('Option1 (base case)'!U$14:U$87, MATCH($C98, 'Option1 (base case)'!$C$14:$C$87,0))</f>
        <v>9.2243086411412634</v>
      </c>
      <c r="V98" s="28">
        <f>INDEX('Option1 (base case)'!V$14:V$87, MATCH($C98, 'Option1 (base case)'!$C$14:$C$87,0))</f>
        <v>9.2243086411412634</v>
      </c>
      <c r="W98" s="28">
        <f>INDEX('Option1 (base case)'!W$14:W$87, MATCH($C98, 'Option1 (base case)'!$C$14:$C$87,0))</f>
        <v>9.2243086411412634</v>
      </c>
      <c r="X98" s="28">
        <f>INDEX('Option1 (base case)'!X$14:X$87, MATCH($C98, 'Option1 (base case)'!$C$14:$C$87,0))</f>
        <v>9.2243086411412634</v>
      </c>
      <c r="Y98" s="28">
        <f>INDEX('Option1 (base case)'!Y$14:Y$87, MATCH($C98, 'Option1 (base case)'!$C$14:$C$87,0))</f>
        <v>9.2243086411412634</v>
      </c>
      <c r="Z98" s="28">
        <f>INDEX('Option1 (base case)'!Z$14:Z$87, MATCH($C98, 'Option1 (base case)'!$C$14:$C$87,0))</f>
        <v>9.2243086411412634</v>
      </c>
      <c r="AA98" s="28">
        <f>INDEX('Option1 (base case)'!AA$14:AA$87, MATCH($C98, 'Option1 (base case)'!$C$14:$C$87,0))</f>
        <v>9.2243086411412634</v>
      </c>
      <c r="AB98" s="28">
        <f>INDEX('Option1 (base case)'!AB$14:AB$87, MATCH($C98, 'Option1 (base case)'!$C$14:$C$87,0))</f>
        <v>9.2243086411412634</v>
      </c>
      <c r="AC98" s="28">
        <f>INDEX('Option1 (base case)'!AC$14:AC$87, MATCH($C98, 'Option1 (base case)'!$C$14:$C$87,0))</f>
        <v>9.2243086411412634</v>
      </c>
      <c r="AD98" s="28">
        <f>INDEX('Option1 (base case)'!AD$14:AD$87, MATCH($C98, 'Option1 (base case)'!$C$14:$C$87,0))</f>
        <v>9.2243086411412634</v>
      </c>
      <c r="AE98" s="28">
        <f>INDEX('Option1 (base case)'!AE$14:AE$87, MATCH($C98, 'Option1 (base case)'!$C$14:$C$87,0))</f>
        <v>9.2243086411412634</v>
      </c>
      <c r="AF98" s="28">
        <f>INDEX('Option1 (base case)'!AF$14:AF$87, MATCH($C98, 'Option1 (base case)'!$C$14:$C$87,0))</f>
        <v>9.2243086411412634</v>
      </c>
      <c r="AG98" s="28">
        <f>INDEX('Option1 (base case)'!AG$14:AG$87, MATCH($C98, 'Option1 (base case)'!$C$14:$C$87,0))</f>
        <v>9.2243086411412634</v>
      </c>
    </row>
    <row r="99" spans="1:33" x14ac:dyDescent="0.2">
      <c r="A99" s="173" t="str">
        <f>A23</f>
        <v>Option 1 (base case)</v>
      </c>
      <c r="B99" s="118"/>
      <c r="C99" s="173" t="s">
        <v>124</v>
      </c>
      <c r="D99" s="166">
        <f>MAX(H99:AG99)</f>
        <v>0.36267868777757228</v>
      </c>
      <c r="E99" s="249"/>
      <c r="H99" s="28" t="str">
        <f>A99&amp;" risk cost"</f>
        <v>Option 1 (base case) risk cost</v>
      </c>
      <c r="I99" s="28">
        <f>INDEX('Option1 (base case)'!I$14:I$87, MATCH($C99, 'Option1 (base case)'!$C$14:$C$87,0))/10^6</f>
        <v>0</v>
      </c>
      <c r="J99" s="28">
        <f>INDEX('Option1 (base case)'!J$14:J$87, MATCH($C99, 'Option1 (base case)'!$C$14:$C$87,0))/10^6</f>
        <v>5.0603488759492241E-4</v>
      </c>
      <c r="K99" s="28">
        <f>INDEX('Option1 (base case)'!K$14:K$87, MATCH($C99, 'Option1 (base case)'!$C$14:$C$87,0))/10^6</f>
        <v>7.5875691318862248E-3</v>
      </c>
      <c r="L99" s="28">
        <f>INDEX('Option1 (base case)'!L$14:L$87, MATCH($C99, 'Option1 (base case)'!$C$14:$C$87,0))/10^6</f>
        <v>1.9069996426665386E-2</v>
      </c>
      <c r="M99" s="28">
        <f>INDEX('Option1 (base case)'!M$14:M$87, MATCH($C99, 'Option1 (base case)'!$C$14:$C$87,0))/10^6</f>
        <v>4.2725927672458426E-2</v>
      </c>
      <c r="N99" s="28">
        <f>INDEX('Option1 (base case)'!N$14:N$87, MATCH($C99, 'Option1 (base case)'!$C$14:$C$87,0))/10^6</f>
        <v>0.10597952310593768</v>
      </c>
      <c r="O99" s="28">
        <f>INDEX('Option1 (base case)'!O$14:O$87, MATCH($C99, 'Option1 (base case)'!$C$14:$C$87,0))/10^6</f>
        <v>0.22163096677669286</v>
      </c>
      <c r="P99" s="28">
        <f>INDEX('Option1 (base case)'!P$14:P$87, MATCH($C99, 'Option1 (base case)'!$C$14:$C$87,0))/10^6</f>
        <v>0.36267868777757228</v>
      </c>
      <c r="Q99" s="28">
        <f>INDEX('Option1 (base case)'!Q$14:Q$87, MATCH($C99, 'Option1 (base case)'!$C$14:$C$87,0))/10^6</f>
        <v>0.36267868777757228</v>
      </c>
      <c r="R99" s="28">
        <f>INDEX('Option1 (base case)'!R$14:R$87, MATCH($C99, 'Option1 (base case)'!$C$14:$C$87,0))/10^6</f>
        <v>0.36267868777757228</v>
      </c>
      <c r="S99" s="28">
        <f>INDEX('Option1 (base case)'!S$14:S$87, MATCH($C99, 'Option1 (base case)'!$C$14:$C$87,0))/10^6</f>
        <v>0.36267868777757228</v>
      </c>
      <c r="T99" s="28">
        <f>INDEX('Option1 (base case)'!T$14:T$87, MATCH($C99, 'Option1 (base case)'!$C$14:$C$87,0))/10^6</f>
        <v>0.36267868777757228</v>
      </c>
      <c r="U99" s="28">
        <f>INDEX('Option1 (base case)'!U$14:U$87, MATCH($C99, 'Option1 (base case)'!$C$14:$C$87,0))/10^6</f>
        <v>0.36267868777757228</v>
      </c>
      <c r="V99" s="28">
        <f>INDEX('Option1 (base case)'!V$14:V$87, MATCH($C99, 'Option1 (base case)'!$C$14:$C$87,0))/10^6</f>
        <v>0.36267868777757228</v>
      </c>
      <c r="W99" s="28">
        <f>INDEX('Option1 (base case)'!W$14:W$87, MATCH($C99, 'Option1 (base case)'!$C$14:$C$87,0))/10^6</f>
        <v>0.36267868777757228</v>
      </c>
      <c r="X99" s="28">
        <f>INDEX('Option1 (base case)'!X$14:X$87, MATCH($C99, 'Option1 (base case)'!$C$14:$C$87,0))/10^6</f>
        <v>0.36267868777757228</v>
      </c>
      <c r="Y99" s="28">
        <f>INDEX('Option1 (base case)'!Y$14:Y$87, MATCH($C99, 'Option1 (base case)'!$C$14:$C$87,0))/10^6</f>
        <v>0.36267868777757228</v>
      </c>
      <c r="Z99" s="28">
        <f>INDEX('Option1 (base case)'!Z$14:Z$87, MATCH($C99, 'Option1 (base case)'!$C$14:$C$87,0))/10^6</f>
        <v>0.36267868777757228</v>
      </c>
      <c r="AA99" s="28">
        <f>INDEX('Option1 (base case)'!AA$14:AA$87, MATCH($C99, 'Option1 (base case)'!$C$14:$C$87,0))/10^6</f>
        <v>0.36267868777757228</v>
      </c>
      <c r="AB99" s="28">
        <f>INDEX('Option1 (base case)'!AB$14:AB$87, MATCH($C99, 'Option1 (base case)'!$C$14:$C$87,0))/10^6</f>
        <v>0.36267868777757228</v>
      </c>
      <c r="AC99" s="28">
        <f>INDEX('Option1 (base case)'!AC$14:AC$87, MATCH($C99, 'Option1 (base case)'!$C$14:$C$87,0))/10^6</f>
        <v>0.36267868777757228</v>
      </c>
      <c r="AD99" s="28">
        <f>INDEX('Option1 (base case)'!AD$14:AD$87, MATCH($C99, 'Option1 (base case)'!$C$14:$C$87,0))/10^6</f>
        <v>0.36267868777757228</v>
      </c>
      <c r="AE99" s="28">
        <f>INDEX('Option1 (base case)'!AE$14:AE$87, MATCH($C99, 'Option1 (base case)'!$C$14:$C$87,0))/10^6</f>
        <v>0.36267868777757228</v>
      </c>
      <c r="AF99" s="28">
        <f>INDEX('Option1 (base case)'!AF$14:AF$87, MATCH($C99, 'Option1 (base case)'!$C$14:$C$87,0))/10^6</f>
        <v>0.36267868777757228</v>
      </c>
      <c r="AG99" s="28">
        <f>INDEX('Option1 (base case)'!AG$14:AG$87, MATCH($C99, 'Option1 (base case)'!$C$14:$C$87,0))/10^6</f>
        <v>0.36267868777757228</v>
      </c>
    </row>
    <row r="100" spans="1:33" ht="12" x14ac:dyDescent="0.2">
      <c r="E100" s="8"/>
    </row>
    <row r="101" spans="1:33" s="251" customFormat="1" ht="12" x14ac:dyDescent="0.2"/>
    <row r="102" spans="1:33" ht="12" x14ac:dyDescent="0.2">
      <c r="E102" s="8"/>
    </row>
    <row r="103" spans="1:33" ht="12" x14ac:dyDescent="0.2">
      <c r="E103" s="8"/>
      <c r="I103" s="251"/>
    </row>
    <row r="104" spans="1:33" ht="12" x14ac:dyDescent="0.2">
      <c r="E104" s="8"/>
      <c r="H104" s="129"/>
    </row>
    <row r="105" spans="1:33" ht="12" x14ac:dyDescent="0.2">
      <c r="E105" s="8"/>
      <c r="H105" s="129"/>
    </row>
    <row r="106" spans="1:33" ht="12" x14ac:dyDescent="0.2">
      <c r="D106" s="166"/>
      <c r="E106" s="8"/>
    </row>
    <row r="107" spans="1:33" ht="12" x14ac:dyDescent="0.2">
      <c r="D107" s="166"/>
      <c r="E107" s="8"/>
    </row>
    <row r="108" spans="1:33" ht="12" x14ac:dyDescent="0.2">
      <c r="D108" s="166"/>
      <c r="E108" s="74"/>
    </row>
    <row r="109" spans="1:33" ht="12" x14ac:dyDescent="0.2">
      <c r="C109" s="104"/>
      <c r="D109" s="166"/>
      <c r="E109" s="166"/>
    </row>
    <row r="110" spans="1:33" ht="12" x14ac:dyDescent="0.2">
      <c r="D110" s="166"/>
      <c r="E110" s="74"/>
    </row>
    <row r="111" spans="1:33" ht="12" x14ac:dyDescent="0.2">
      <c r="D111" s="166"/>
      <c r="E111" s="74"/>
    </row>
    <row r="112" spans="1:33" ht="12" x14ac:dyDescent="0.2">
      <c r="D112" s="166"/>
      <c r="E112" s="74"/>
    </row>
    <row r="113" spans="4:5" ht="12" x14ac:dyDescent="0.2">
      <c r="D113" s="166"/>
      <c r="E113" s="74"/>
    </row>
    <row r="114" spans="4:5" ht="12" x14ac:dyDescent="0.2">
      <c r="D114" s="166"/>
      <c r="E114" s="74"/>
    </row>
    <row r="115" spans="4:5" ht="12" x14ac:dyDescent="0.2">
      <c r="D115" s="166"/>
      <c r="E115" s="74"/>
    </row>
    <row r="116" spans="4:5" ht="12" x14ac:dyDescent="0.2">
      <c r="D116" s="166"/>
      <c r="E116" s="74"/>
    </row>
    <row r="117" spans="4:5" ht="12" x14ac:dyDescent="0.2">
      <c r="D117" s="166"/>
      <c r="E117" s="74"/>
    </row>
    <row r="118" spans="4:5" ht="12" x14ac:dyDescent="0.2">
      <c r="D118" s="166"/>
      <c r="E118" s="74"/>
    </row>
    <row r="119" spans="4:5" ht="12" x14ac:dyDescent="0.2">
      <c r="D119" s="166"/>
      <c r="E119" s="74"/>
    </row>
    <row r="120" spans="4:5" ht="12" x14ac:dyDescent="0.2">
      <c r="D120" s="166"/>
      <c r="E120" s="74"/>
    </row>
    <row r="121" spans="4:5" ht="12" x14ac:dyDescent="0.2">
      <c r="D121" s="166"/>
      <c r="E121" s="74"/>
    </row>
    <row r="122" spans="4:5" ht="12" x14ac:dyDescent="0.2">
      <c r="D122" s="166"/>
      <c r="E122" s="74"/>
    </row>
    <row r="123" spans="4:5" ht="12" x14ac:dyDescent="0.2">
      <c r="D123" s="166"/>
      <c r="E123" s="74"/>
    </row>
    <row r="124" spans="4:5" ht="12" x14ac:dyDescent="0.2">
      <c r="D124" s="166"/>
      <c r="E124" s="74"/>
    </row>
    <row r="125" spans="4:5" ht="12" x14ac:dyDescent="0.2">
      <c r="D125" s="166"/>
      <c r="E125" s="74"/>
    </row>
    <row r="126" spans="4:5" ht="12" x14ac:dyDescent="0.2">
      <c r="D126" s="166"/>
      <c r="E126" s="74"/>
    </row>
    <row r="127" spans="4:5" ht="12" x14ac:dyDescent="0.2">
      <c r="D127" s="166"/>
      <c r="E127" s="74"/>
    </row>
    <row r="128" spans="4:5" ht="12" x14ac:dyDescent="0.2">
      <c r="D128" s="166"/>
      <c r="E128" s="74"/>
    </row>
    <row r="129" spans="4:5" ht="12" x14ac:dyDescent="0.2">
      <c r="D129" s="166"/>
      <c r="E129" s="74"/>
    </row>
    <row r="130" spans="4:5" ht="12" x14ac:dyDescent="0.2">
      <c r="D130" s="166"/>
      <c r="E130" s="74"/>
    </row>
    <row r="131" spans="4:5" ht="12" x14ac:dyDescent="0.2">
      <c r="D131" s="166"/>
      <c r="E131" s="74"/>
    </row>
    <row r="132" spans="4:5" ht="12" x14ac:dyDescent="0.2">
      <c r="D132" s="166"/>
      <c r="E132" s="74"/>
    </row>
    <row r="133" spans="4:5" ht="12" x14ac:dyDescent="0.2">
      <c r="D133" s="166"/>
      <c r="E133" s="74"/>
    </row>
    <row r="134" spans="4:5" ht="12" x14ac:dyDescent="0.2">
      <c r="D134" s="166"/>
      <c r="E134" s="74"/>
    </row>
    <row r="135" spans="4:5" ht="12" x14ac:dyDescent="0.2">
      <c r="D135" s="166"/>
      <c r="E135" s="74"/>
    </row>
    <row r="136" spans="4:5" ht="12" x14ac:dyDescent="0.2">
      <c r="D136" s="166"/>
      <c r="E136" s="74"/>
    </row>
    <row r="137" spans="4:5" ht="12" x14ac:dyDescent="0.2">
      <c r="D137" s="166"/>
      <c r="E137" s="74"/>
    </row>
    <row r="138" spans="4:5" ht="12" x14ac:dyDescent="0.2">
      <c r="E138" s="74"/>
    </row>
    <row r="139" spans="4:5" ht="12" x14ac:dyDescent="0.2">
      <c r="E139" s="74"/>
    </row>
    <row r="140" spans="4:5" ht="12" x14ac:dyDescent="0.2">
      <c r="E140" s="74"/>
    </row>
    <row r="141" spans="4:5" ht="12" x14ac:dyDescent="0.2">
      <c r="E141" s="74"/>
    </row>
    <row r="142" spans="4:5" ht="12" x14ac:dyDescent="0.2">
      <c r="E142" s="74"/>
    </row>
    <row r="143" spans="4:5" ht="12" x14ac:dyDescent="0.2">
      <c r="E143" s="74"/>
    </row>
    <row r="144" spans="4:5" ht="12" x14ac:dyDescent="0.2">
      <c r="E144" s="74"/>
    </row>
    <row r="145" spans="5:5" ht="12" x14ac:dyDescent="0.2">
      <c r="E145" s="74"/>
    </row>
    <row r="146" spans="5:5" ht="12" x14ac:dyDescent="0.2">
      <c r="E146" s="74"/>
    </row>
    <row r="147" spans="5:5" ht="12" x14ac:dyDescent="0.2">
      <c r="E147" s="74"/>
    </row>
    <row r="148" spans="5:5" ht="12" x14ac:dyDescent="0.2">
      <c r="E148" s="74"/>
    </row>
    <row r="149" spans="5:5" ht="12" x14ac:dyDescent="0.2">
      <c r="E149" s="74"/>
    </row>
    <row r="150" spans="5:5" ht="12" x14ac:dyDescent="0.2">
      <c r="E150" s="74"/>
    </row>
    <row r="151" spans="5:5" ht="12" x14ac:dyDescent="0.2">
      <c r="E151" s="74"/>
    </row>
    <row r="152" spans="5:5" ht="12" x14ac:dyDescent="0.2">
      <c r="E152" s="74"/>
    </row>
    <row r="153" spans="5:5" ht="12" x14ac:dyDescent="0.2">
      <c r="E153" s="74"/>
    </row>
    <row r="154" spans="5:5" ht="12" x14ac:dyDescent="0.2">
      <c r="E154" s="74"/>
    </row>
    <row r="155" spans="5:5" ht="12" x14ac:dyDescent="0.2">
      <c r="E155" s="74"/>
    </row>
    <row r="156" spans="5:5" ht="12" x14ac:dyDescent="0.2">
      <c r="E156" s="74"/>
    </row>
    <row r="157" spans="5:5" ht="12" x14ac:dyDescent="0.2">
      <c r="E157" s="74"/>
    </row>
    <row r="158" spans="5:5" ht="12" x14ac:dyDescent="0.2">
      <c r="E158" s="74"/>
    </row>
    <row r="159" spans="5:5" ht="12" x14ac:dyDescent="0.2">
      <c r="E159" s="74"/>
    </row>
    <row r="160" spans="5:5" ht="12" x14ac:dyDescent="0.2">
      <c r="E160" s="74"/>
    </row>
    <row r="161" spans="5:5" ht="12" x14ac:dyDescent="0.2">
      <c r="E161" s="74"/>
    </row>
    <row r="162" spans="5:5" ht="12" x14ac:dyDescent="0.2">
      <c r="E162" s="74"/>
    </row>
    <row r="163" spans="5:5" ht="12" x14ac:dyDescent="0.2">
      <c r="E163" s="74"/>
    </row>
    <row r="164" spans="5:5" ht="12" x14ac:dyDescent="0.2">
      <c r="E164" s="74"/>
    </row>
    <row r="165" spans="5:5" ht="12" x14ac:dyDescent="0.2">
      <c r="E165" s="74"/>
    </row>
    <row r="166" spans="5:5" ht="12" x14ac:dyDescent="0.2">
      <c r="E166" s="74"/>
    </row>
    <row r="167" spans="5:5" ht="12" x14ac:dyDescent="0.2">
      <c r="E167" s="74"/>
    </row>
    <row r="168" spans="5:5" ht="12" x14ac:dyDescent="0.2">
      <c r="E168" s="74"/>
    </row>
    <row r="169" spans="5:5" ht="12" x14ac:dyDescent="0.2">
      <c r="E169" s="74"/>
    </row>
    <row r="170" spans="5:5" ht="12" x14ac:dyDescent="0.2">
      <c r="E170" s="74"/>
    </row>
    <row r="171" spans="5:5" ht="12" x14ac:dyDescent="0.2">
      <c r="E171" s="74"/>
    </row>
    <row r="172" spans="5:5" ht="12" x14ac:dyDescent="0.2">
      <c r="E172" s="74"/>
    </row>
    <row r="173" spans="5:5" ht="12" x14ac:dyDescent="0.2">
      <c r="E173" s="74"/>
    </row>
    <row r="174" spans="5:5" ht="12" x14ac:dyDescent="0.2">
      <c r="E174" s="74"/>
    </row>
    <row r="175" spans="5:5" ht="12" x14ac:dyDescent="0.2">
      <c r="E175" s="74"/>
    </row>
    <row r="176" spans="5:5" ht="12" x14ac:dyDescent="0.2">
      <c r="E176" s="74"/>
    </row>
    <row r="177" spans="5:5" ht="12" x14ac:dyDescent="0.2">
      <c r="E177" s="74"/>
    </row>
    <row r="178" spans="5:5" ht="12" x14ac:dyDescent="0.2">
      <c r="E178" s="74"/>
    </row>
    <row r="179" spans="5:5" ht="12" x14ac:dyDescent="0.2">
      <c r="E179" s="74"/>
    </row>
    <row r="180" spans="5:5" ht="12" x14ac:dyDescent="0.2">
      <c r="E180" s="74"/>
    </row>
    <row r="181" spans="5:5" ht="12" x14ac:dyDescent="0.2">
      <c r="E181" s="74"/>
    </row>
    <row r="182" spans="5:5" ht="12" x14ac:dyDescent="0.2">
      <c r="E182" s="74"/>
    </row>
    <row r="183" spans="5:5" ht="12" x14ac:dyDescent="0.2">
      <c r="E183" s="74"/>
    </row>
    <row r="184" spans="5:5" ht="12" x14ac:dyDescent="0.2">
      <c r="E184" s="74"/>
    </row>
    <row r="185" spans="5:5" ht="12" x14ac:dyDescent="0.2">
      <c r="E185" s="74"/>
    </row>
    <row r="186" spans="5:5" ht="12" x14ac:dyDescent="0.2">
      <c r="E186" s="74"/>
    </row>
    <row r="187" spans="5:5" ht="12" x14ac:dyDescent="0.2">
      <c r="E187" s="74"/>
    </row>
    <row r="188" spans="5:5" ht="12" x14ac:dyDescent="0.2">
      <c r="E188" s="74"/>
    </row>
    <row r="189" spans="5:5" ht="12" x14ac:dyDescent="0.2">
      <c r="E189" s="74"/>
    </row>
    <row r="190" spans="5:5" ht="12" x14ac:dyDescent="0.2">
      <c r="E190" s="74"/>
    </row>
    <row r="191" spans="5:5" ht="12" x14ac:dyDescent="0.2">
      <c r="E191" s="74"/>
    </row>
    <row r="192" spans="5:5" ht="12" x14ac:dyDescent="0.2">
      <c r="E192" s="74"/>
    </row>
    <row r="193" spans="5:5" ht="12" x14ac:dyDescent="0.2">
      <c r="E193" s="74"/>
    </row>
    <row r="194" spans="5:5" ht="12" x14ac:dyDescent="0.2">
      <c r="E194" s="74"/>
    </row>
    <row r="195" spans="5:5" ht="12" x14ac:dyDescent="0.2">
      <c r="E195" s="74"/>
    </row>
    <row r="196" spans="5:5" ht="12" x14ac:dyDescent="0.2">
      <c r="E196" s="74"/>
    </row>
    <row r="197" spans="5:5" ht="12" x14ac:dyDescent="0.2">
      <c r="E197" s="74"/>
    </row>
    <row r="198" spans="5:5" ht="12" x14ac:dyDescent="0.2">
      <c r="E198" s="74"/>
    </row>
    <row r="199" spans="5:5" ht="12" x14ac:dyDescent="0.2">
      <c r="E199" s="74"/>
    </row>
    <row r="200" spans="5:5" ht="12" x14ac:dyDescent="0.2">
      <c r="E200" s="74"/>
    </row>
    <row r="201" spans="5:5" ht="12" x14ac:dyDescent="0.2">
      <c r="E201" s="74"/>
    </row>
    <row r="202" spans="5:5" ht="12" x14ac:dyDescent="0.2">
      <c r="E202" s="74"/>
    </row>
    <row r="203" spans="5:5" ht="12" x14ac:dyDescent="0.2">
      <c r="E203" s="74"/>
    </row>
    <row r="204" spans="5:5" ht="12" x14ac:dyDescent="0.2">
      <c r="E204" s="74"/>
    </row>
    <row r="205" spans="5:5" ht="12" x14ac:dyDescent="0.2">
      <c r="E205" s="74"/>
    </row>
    <row r="206" spans="5:5" ht="12" x14ac:dyDescent="0.2">
      <c r="E206" s="74"/>
    </row>
    <row r="207" spans="5:5" ht="12" x14ac:dyDescent="0.2">
      <c r="E207" s="74"/>
    </row>
    <row r="208" spans="5:5" ht="12" x14ac:dyDescent="0.2">
      <c r="E208" s="74"/>
    </row>
    <row r="209" spans="5:5" ht="12" x14ac:dyDescent="0.2">
      <c r="E209" s="74"/>
    </row>
    <row r="210" spans="5:5" ht="12" x14ac:dyDescent="0.2">
      <c r="E210" s="74"/>
    </row>
    <row r="211" spans="5:5" ht="12" x14ac:dyDescent="0.2">
      <c r="E211" s="74"/>
    </row>
    <row r="212" spans="5:5" ht="12" x14ac:dyDescent="0.2">
      <c r="E212" s="74"/>
    </row>
    <row r="213" spans="5:5" ht="12" x14ac:dyDescent="0.2">
      <c r="E213" s="74"/>
    </row>
    <row r="214" spans="5:5" ht="12" x14ac:dyDescent="0.2">
      <c r="E214" s="74"/>
    </row>
    <row r="215" spans="5:5" ht="12" x14ac:dyDescent="0.2">
      <c r="E215" s="74"/>
    </row>
    <row r="216" spans="5:5" ht="12" x14ac:dyDescent="0.2">
      <c r="E216" s="74"/>
    </row>
    <row r="217" spans="5:5" ht="12" x14ac:dyDescent="0.2">
      <c r="E217" s="74"/>
    </row>
    <row r="218" spans="5:5" ht="12" x14ac:dyDescent="0.2">
      <c r="E218" s="74"/>
    </row>
    <row r="219" spans="5:5" ht="12" x14ac:dyDescent="0.2">
      <c r="E219" s="74"/>
    </row>
    <row r="220" spans="5:5" ht="12" x14ac:dyDescent="0.2">
      <c r="E220" s="74"/>
    </row>
    <row r="221" spans="5:5" ht="12" x14ac:dyDescent="0.2">
      <c r="E221" s="74"/>
    </row>
    <row r="222" spans="5:5" ht="12" x14ac:dyDescent="0.2">
      <c r="E222" s="74"/>
    </row>
    <row r="223" spans="5:5" ht="12" x14ac:dyDescent="0.2">
      <c r="E223" s="74"/>
    </row>
    <row r="224" spans="5:5" ht="12" x14ac:dyDescent="0.2">
      <c r="E224" s="74"/>
    </row>
    <row r="225" spans="5:5" ht="12" x14ac:dyDescent="0.2">
      <c r="E225" s="74"/>
    </row>
    <row r="226" spans="5:5" ht="12" x14ac:dyDescent="0.2">
      <c r="E226" s="74"/>
    </row>
    <row r="227" spans="5:5" ht="12" x14ac:dyDescent="0.2">
      <c r="E227" s="74"/>
    </row>
    <row r="228" spans="5:5" ht="12" x14ac:dyDescent="0.2">
      <c r="E228" s="74"/>
    </row>
    <row r="229" spans="5:5" ht="12" x14ac:dyDescent="0.2">
      <c r="E229" s="74"/>
    </row>
    <row r="230" spans="5:5" ht="12" x14ac:dyDescent="0.2">
      <c r="E230" s="74"/>
    </row>
    <row r="231" spans="5:5" ht="12" x14ac:dyDescent="0.2">
      <c r="E231" s="74"/>
    </row>
    <row r="232" spans="5:5" ht="12" x14ac:dyDescent="0.2">
      <c r="E232" s="74"/>
    </row>
    <row r="233" spans="5:5" ht="12" x14ac:dyDescent="0.2">
      <c r="E233" s="74"/>
    </row>
    <row r="234" spans="5:5" ht="12" x14ac:dyDescent="0.2">
      <c r="E234" s="74"/>
    </row>
    <row r="235" spans="5:5" ht="12" x14ac:dyDescent="0.2">
      <c r="E235" s="74"/>
    </row>
    <row r="236" spans="5:5" ht="12" x14ac:dyDescent="0.2">
      <c r="E236" s="74"/>
    </row>
    <row r="237" spans="5:5" ht="12" x14ac:dyDescent="0.2">
      <c r="E237" s="74"/>
    </row>
    <row r="238" spans="5:5" ht="12" x14ac:dyDescent="0.2">
      <c r="E238" s="74"/>
    </row>
    <row r="239" spans="5:5" ht="12" x14ac:dyDescent="0.2">
      <c r="E239" s="74"/>
    </row>
    <row r="240" spans="5:5" ht="12" x14ac:dyDescent="0.2">
      <c r="E240" s="74"/>
    </row>
    <row r="241" spans="5:5" ht="12" x14ac:dyDescent="0.2">
      <c r="E241" s="74"/>
    </row>
    <row r="242" spans="5:5" ht="12" x14ac:dyDescent="0.2">
      <c r="E242" s="74"/>
    </row>
    <row r="243" spans="5:5" ht="12" x14ac:dyDescent="0.2">
      <c r="E243" s="74"/>
    </row>
    <row r="244" spans="5:5" ht="12" x14ac:dyDescent="0.2">
      <c r="E244" s="74"/>
    </row>
    <row r="245" spans="5:5" ht="12" x14ac:dyDescent="0.2">
      <c r="E245" s="74"/>
    </row>
    <row r="246" spans="5:5" ht="12" x14ac:dyDescent="0.2">
      <c r="E246" s="74"/>
    </row>
    <row r="247" spans="5:5" ht="12" x14ac:dyDescent="0.2">
      <c r="E247" s="74"/>
    </row>
    <row r="248" spans="5:5" ht="12" x14ac:dyDescent="0.2">
      <c r="E248" s="74"/>
    </row>
    <row r="249" spans="5:5" ht="12" x14ac:dyDescent="0.2">
      <c r="E249" s="74"/>
    </row>
    <row r="250" spans="5:5" ht="12" x14ac:dyDescent="0.2">
      <c r="E250" s="74"/>
    </row>
    <row r="251" spans="5:5" ht="12" x14ac:dyDescent="0.2">
      <c r="E251" s="7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C91" sqref="C91"/>
    </sheetView>
  </sheetViews>
  <sheetFormatPr defaultColWidth="0" defaultRowHeight="12.75" zeroHeight="1" outlineLevelRow="1" x14ac:dyDescent="0.2"/>
  <cols>
    <col min="1" max="1" width="8.125" style="8" customWidth="1"/>
    <col min="2" max="2" width="20.75" style="8" customWidth="1"/>
    <col min="3" max="3" width="20.5" style="8" customWidth="1"/>
    <col min="4" max="4" width="16.875" style="8" bestFit="1" customWidth="1"/>
    <col min="5" max="5" width="12.375" style="8" customWidth="1"/>
    <col min="6" max="6" width="14.25" customWidth="1"/>
    <col min="7" max="7" width="11.625" style="8" customWidth="1"/>
    <col min="8" max="8" width="10" style="8" customWidth="1"/>
    <col min="9" max="33" width="11" style="8" customWidth="1"/>
    <col min="34" max="35" width="9" style="8" customWidth="1"/>
    <col min="36" max="37" width="0" style="8" hidden="1" customWidth="1"/>
    <col min="38" max="16384" width="9" style="8" hidden="1"/>
  </cols>
  <sheetData>
    <row r="1" spans="1:3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6" customFormat="1" ht="18.75" x14ac:dyDescent="0.3">
      <c r="A2" s="50" t="str">
        <f>proj</f>
        <v>Melton new feeder</v>
      </c>
      <c r="B2" s="50"/>
      <c r="C2" s="50"/>
      <c r="D2" s="50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s="2" customFormat="1" ht="18.75" x14ac:dyDescent="0.3">
      <c r="A3" s="178" t="s">
        <v>222</v>
      </c>
      <c r="B3" s="5"/>
      <c r="D3" s="31"/>
      <c r="E3" s="31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2" customFormat="1" ht="6.75" customHeight="1" x14ac:dyDescent="0.2">
      <c r="A4" s="102"/>
      <c r="B4" s="102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3" s="2" customFormat="1" hidden="1" outlineLevel="1" x14ac:dyDescent="0.2">
      <c r="A5" s="86" t="s">
        <v>194</v>
      </c>
      <c r="B5" s="86"/>
      <c r="D5" s="87"/>
      <c r="E5" s="86"/>
      <c r="F5" s="86"/>
      <c r="G5" s="89"/>
      <c r="H5" s="164">
        <f>Consol!H5</f>
        <v>0</v>
      </c>
      <c r="I5" s="164">
        <f>Consol!I5</f>
        <v>0.98294637436598087</v>
      </c>
      <c r="J5" s="164">
        <f>Consol!J5</f>
        <v>0.94970664189949849</v>
      </c>
      <c r="K5" s="164">
        <f>Consol!K5</f>
        <v>0.91759095835700344</v>
      </c>
      <c r="L5" s="164">
        <f>Consol!L5</f>
        <v>0.88656131242222558</v>
      </c>
      <c r="M5" s="164">
        <f>Consol!M5</f>
        <v>0.85658097818572532</v>
      </c>
      <c r="N5" s="164">
        <f>Consol!N5</f>
        <v>0.8276144716770294</v>
      </c>
      <c r="O5" s="164">
        <f>Consol!O5</f>
        <v>0.79962750886669509</v>
      </c>
      <c r="P5" s="164">
        <f>Consol!P5</f>
        <v>0.77258696508859437</v>
      </c>
      <c r="Q5" s="164">
        <f>Consol!Q5</f>
        <v>0.74646083583439071</v>
      </c>
      <c r="R5" s="164">
        <f>Consol!R5</f>
        <v>0.72121819887380756</v>
      </c>
      <c r="S5" s="164">
        <f>Consol!S5</f>
        <v>0.69682917765585273</v>
      </c>
      <c r="T5" s="164">
        <f>Consol!T5</f>
        <v>0.67326490594768384</v>
      </c>
      <c r="U5" s="164">
        <f>Consol!U5</f>
        <v>0.6504974936692598</v>
      </c>
      <c r="V5" s="164">
        <f>Consol!V5</f>
        <v>0.62849999388334288</v>
      </c>
      <c r="W5" s="164">
        <f>Consol!W5</f>
        <v>0.60724637090178057</v>
      </c>
      <c r="X5" s="164">
        <f>Consol!X5</f>
        <v>0.58671146947031949</v>
      </c>
      <c r="Y5" s="164">
        <f>Consol!Y5</f>
        <v>0.56687098499547783</v>
      </c>
      <c r="Z5" s="164">
        <f>Consol!Z5</f>
        <v>0.54770143477823952</v>
      </c>
      <c r="AA5" s="164">
        <f>Consol!AA5</f>
        <v>0.52918013022052135</v>
      </c>
      <c r="AB5" s="164">
        <f>Consol!AB5</f>
        <v>0.5112851499715183</v>
      </c>
      <c r="AC5" s="164">
        <f>Consol!AC5</f>
        <v>0.4939953139821433</v>
      </c>
      <c r="AD5" s="164">
        <f>Consol!AD5</f>
        <v>0.47729015843685346</v>
      </c>
      <c r="AE5" s="164">
        <f>Consol!AE5</f>
        <v>0.46114991153319179</v>
      </c>
      <c r="AF5" s="164">
        <f>Consol!AF5</f>
        <v>0.4455554700803786</v>
      </c>
      <c r="AG5" s="164">
        <f>Consol!AG5</f>
        <v>0.43048837688925473</v>
      </c>
    </row>
    <row r="6" spans="1:33" s="2" customFormat="1" hidden="1" outlineLevel="1" x14ac:dyDescent="0.2">
      <c r="A6" s="165" t="str">
        <f>'Option1 (base case)'!A6</f>
        <v>Count</v>
      </c>
      <c r="B6" s="86"/>
      <c r="D6" s="87"/>
      <c r="E6" s="86"/>
      <c r="F6" s="86"/>
      <c r="G6" s="89"/>
      <c r="H6" s="165">
        <f>Consol!H6</f>
        <v>0</v>
      </c>
      <c r="I6" s="165">
        <f>Consol!I6</f>
        <v>1</v>
      </c>
      <c r="J6" s="165">
        <f>Consol!J6</f>
        <v>2</v>
      </c>
      <c r="K6" s="165">
        <f>Consol!K6</f>
        <v>3</v>
      </c>
      <c r="L6" s="165">
        <f>Consol!L6</f>
        <v>4</v>
      </c>
      <c r="M6" s="165">
        <f>Consol!M6</f>
        <v>5</v>
      </c>
      <c r="N6" s="165">
        <f>Consol!N6</f>
        <v>6</v>
      </c>
      <c r="O6" s="165">
        <f>Consol!O6</f>
        <v>7</v>
      </c>
      <c r="P6" s="165">
        <f>Consol!P6</f>
        <v>8</v>
      </c>
      <c r="Q6" s="165">
        <f>Consol!Q6</f>
        <v>9</v>
      </c>
      <c r="R6" s="165">
        <f>Consol!R6</f>
        <v>10</v>
      </c>
      <c r="S6" s="165">
        <f>Consol!S6</f>
        <v>11</v>
      </c>
      <c r="T6" s="165">
        <f>Consol!T6</f>
        <v>12</v>
      </c>
      <c r="U6" s="165">
        <f>Consol!U6</f>
        <v>13</v>
      </c>
      <c r="V6" s="165">
        <f>Consol!V6</f>
        <v>14</v>
      </c>
      <c r="W6" s="165">
        <f>Consol!W6</f>
        <v>15</v>
      </c>
      <c r="X6" s="165">
        <f>Consol!X6</f>
        <v>16</v>
      </c>
      <c r="Y6" s="165">
        <f>Consol!Y6</f>
        <v>17</v>
      </c>
      <c r="Z6" s="165">
        <f>Consol!Z6</f>
        <v>18</v>
      </c>
      <c r="AA6" s="165">
        <f>Consol!AA6</f>
        <v>19</v>
      </c>
      <c r="AB6" s="165">
        <f>Consol!AB6</f>
        <v>20</v>
      </c>
      <c r="AC6" s="165">
        <f>Consol!AC6</f>
        <v>21</v>
      </c>
      <c r="AD6" s="165">
        <f>Consol!AD6</f>
        <v>22</v>
      </c>
      <c r="AE6" s="165">
        <f>Consol!AE6</f>
        <v>23</v>
      </c>
      <c r="AF6" s="165">
        <f>Consol!AF6</f>
        <v>24</v>
      </c>
      <c r="AG6" s="165">
        <f>Consol!AG6</f>
        <v>25</v>
      </c>
    </row>
    <row r="7" spans="1:33" s="2" customFormat="1" hidden="1" outlineLevel="1" x14ac:dyDescent="0.2">
      <c r="A7" s="86" t="s">
        <v>195</v>
      </c>
      <c r="B7" s="86"/>
      <c r="D7" s="87"/>
      <c r="E7" s="86"/>
      <c r="F7" s="86"/>
      <c r="G7" s="89"/>
      <c r="H7" s="225" t="b">
        <f>Consol!H7</f>
        <v>1</v>
      </c>
      <c r="I7" s="225" t="b">
        <f>Consol!I7</f>
        <v>1</v>
      </c>
      <c r="J7" s="225" t="b">
        <f>Consol!J7</f>
        <v>1</v>
      </c>
      <c r="K7" s="225" t="b">
        <f>Consol!K7</f>
        <v>1</v>
      </c>
      <c r="L7" s="225" t="b">
        <f>Consol!L7</f>
        <v>1</v>
      </c>
      <c r="M7" s="225" t="b">
        <f>Consol!M7</f>
        <v>1</v>
      </c>
      <c r="N7" s="225" t="b">
        <f>Consol!N7</f>
        <v>1</v>
      </c>
      <c r="O7" s="225" t="b">
        <f>Consol!O7</f>
        <v>1</v>
      </c>
      <c r="P7" s="225" t="b">
        <f>Consol!P7</f>
        <v>1</v>
      </c>
      <c r="Q7" s="225" t="b">
        <f>Consol!Q7</f>
        <v>1</v>
      </c>
      <c r="R7" s="225" t="b">
        <f>Consol!R7</f>
        <v>1</v>
      </c>
      <c r="S7" s="225" t="b">
        <f>Consol!S7</f>
        <v>1</v>
      </c>
      <c r="T7" s="225" t="b">
        <f>Consol!T7</f>
        <v>1</v>
      </c>
      <c r="U7" s="225" t="b">
        <f>Consol!U7</f>
        <v>1</v>
      </c>
      <c r="V7" s="225" t="b">
        <f>Consol!V7</f>
        <v>1</v>
      </c>
      <c r="W7" s="225" t="b">
        <f>Consol!W7</f>
        <v>1</v>
      </c>
      <c r="X7" s="225" t="b">
        <f>Consol!X7</f>
        <v>1</v>
      </c>
      <c r="Y7" s="225" t="b">
        <f>Consol!Y7</f>
        <v>1</v>
      </c>
      <c r="Z7" s="225" t="b">
        <f>Consol!Z7</f>
        <v>1</v>
      </c>
      <c r="AA7" s="225" t="b">
        <f>Consol!AA7</f>
        <v>1</v>
      </c>
      <c r="AB7" s="225" t="b">
        <f>Consol!AB7</f>
        <v>1</v>
      </c>
      <c r="AC7" s="225" t="b">
        <f>Consol!AC7</f>
        <v>1</v>
      </c>
      <c r="AD7" s="225" t="b">
        <f>Consol!AD7</f>
        <v>1</v>
      </c>
      <c r="AE7" s="225" t="b">
        <f>Consol!AE7</f>
        <v>1</v>
      </c>
      <c r="AF7" s="225" t="b">
        <f>Consol!AF7</f>
        <v>0</v>
      </c>
      <c r="AG7" s="22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7"/>
      <c r="B9" s="17"/>
      <c r="C9" s="17"/>
      <c r="D9" s="17"/>
      <c r="E9" s="17"/>
      <c r="F9" s="73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3" s="2" customFormat="1" x14ac:dyDescent="0.2">
      <c r="D10" s="7"/>
      <c r="E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2" customFormat="1" ht="15" x14ac:dyDescent="0.2">
      <c r="A11" s="78"/>
      <c r="B11" s="78"/>
      <c r="C11" s="78"/>
      <c r="D11" s="79"/>
      <c r="E11" s="79"/>
      <c r="F11" s="63" t="s">
        <v>153</v>
      </c>
      <c r="G11" s="196"/>
      <c r="H11" s="103" t="str" cm="1">
        <f t="array" ref="H11">IF(H6=$D$4,UPPER($A$4),IF(H6=end,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s="2" customFormat="1" x14ac:dyDescent="0.2">
      <c r="A12" s="218"/>
      <c r="B12" s="218"/>
      <c r="C12" s="218"/>
      <c r="D12" s="218"/>
      <c r="E12" s="218"/>
      <c r="F12" s="218"/>
      <c r="G12" s="21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>
        <f>Consol!AA36</f>
        <v>237563.11732251442</v>
      </c>
      <c r="AA12" s="28">
        <f>Consol!AB36</f>
        <v>237563.11732251442</v>
      </c>
      <c r="AB12" s="28">
        <f>Consol!AC36</f>
        <v>237563.11732251442</v>
      </c>
      <c r="AC12" s="28">
        <f>Consol!AD36</f>
        <v>237563.11732251442</v>
      </c>
      <c r="AD12" s="28">
        <f>Consol!AE36</f>
        <v>237563.11732251442</v>
      </c>
      <c r="AE12" s="28">
        <f>Consol!AF36</f>
        <v>0</v>
      </c>
      <c r="AF12" s="28">
        <f>Consol!AG36</f>
        <v>0</v>
      </c>
      <c r="AG12" s="219"/>
    </row>
    <row r="13" spans="1:33" s="2" customFormat="1" x14ac:dyDescent="0.2">
      <c r="A13" s="218"/>
      <c r="B13" s="218"/>
      <c r="C13" s="218"/>
      <c r="D13" s="218"/>
      <c r="E13" s="218"/>
      <c r="F13" s="218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 spans="1:33" s="2" customFormat="1" x14ac:dyDescent="0.2">
      <c r="A14" s="224" t="s">
        <v>142</v>
      </c>
      <c r="B14" s="224" t="s">
        <v>119</v>
      </c>
      <c r="C14" s="224" t="s">
        <v>188</v>
      </c>
      <c r="D14" s="224" t="str">
        <f>A14&amp;B14</f>
        <v>OPTION 1 (base case)NPV</v>
      </c>
      <c r="E14" s="216"/>
      <c r="F14" s="28">
        <f>SUMPRODUCT($H14:$AG14, $H$5:$AG$5)</f>
        <v>0</v>
      </c>
      <c r="G14" s="219"/>
      <c r="H14" s="28">
        <f>'Option1 (base case)'!I87*conv_2026</f>
        <v>0</v>
      </c>
      <c r="I14" s="28">
        <f>'Option1 (base case)'!J87*conv_2026</f>
        <v>0</v>
      </c>
      <c r="J14" s="28">
        <f>'Option1 (base case)'!K87*conv_2026</f>
        <v>0</v>
      </c>
      <c r="K14" s="28">
        <f>'Option1 (base case)'!L87*conv_2026</f>
        <v>0</v>
      </c>
      <c r="L14" s="28">
        <f>'Option1 (base case)'!M87*conv_2026</f>
        <v>0</v>
      </c>
      <c r="M14" s="28">
        <f>'Option1 (base case)'!N87*conv_2026</f>
        <v>0</v>
      </c>
      <c r="N14" s="28">
        <f>'Option1 (base case)'!O87*conv_2026</f>
        <v>0</v>
      </c>
      <c r="O14" s="28">
        <f>'Option1 (base case)'!P87*conv_2026</f>
        <v>0</v>
      </c>
      <c r="P14" s="28">
        <f>'Option1 (base case)'!Q87*conv_2026</f>
        <v>0</v>
      </c>
      <c r="Q14" s="28">
        <f>'Option1 (base case)'!R87*conv_2026</f>
        <v>0</v>
      </c>
      <c r="R14" s="28">
        <f>'Option1 (base case)'!S87*conv_2026</f>
        <v>0</v>
      </c>
      <c r="S14" s="28">
        <f>'Option1 (base case)'!T87*conv_2026</f>
        <v>0</v>
      </c>
      <c r="T14" s="28">
        <f>'Option1 (base case)'!U87*conv_2026</f>
        <v>0</v>
      </c>
      <c r="U14" s="28">
        <f>'Option1 (base case)'!V87*conv_2026</f>
        <v>0</v>
      </c>
      <c r="V14" s="28">
        <f>'Option1 (base case)'!W87*conv_2026</f>
        <v>0</v>
      </c>
      <c r="W14" s="28">
        <f>'Option1 (base case)'!X87*conv_2026</f>
        <v>0</v>
      </c>
      <c r="X14" s="28">
        <f>'Option1 (base case)'!Y87*conv_2026</f>
        <v>0</v>
      </c>
      <c r="Y14" s="28">
        <f>'Option1 (base case)'!Z87*conv_2026</f>
        <v>0</v>
      </c>
      <c r="Z14" s="28">
        <f>'Option1 (base case)'!AA87*conv_2026</f>
        <v>0</v>
      </c>
      <c r="AA14" s="28">
        <f>'Option1 (base case)'!AB87*conv_2026</f>
        <v>0</v>
      </c>
      <c r="AB14" s="28">
        <f>'Option1 (base case)'!AC87*conv_2026</f>
        <v>0</v>
      </c>
      <c r="AC14" s="28">
        <f>'Option1 (base case)'!AD87*conv_2026</f>
        <v>0</v>
      </c>
      <c r="AD14" s="28">
        <f>'Option1 (base case)'!AE87*conv_2026</f>
        <v>0</v>
      </c>
      <c r="AE14" s="28">
        <f>'Option1 (base case)'!AF87*conv_2026</f>
        <v>0</v>
      </c>
      <c r="AF14" s="28">
        <f>'Option1 (base case)'!AG87*conv_2026</f>
        <v>0</v>
      </c>
      <c r="AG14" s="28">
        <f>'Option1 (base case)'!AH87*conv_2026</f>
        <v>0</v>
      </c>
    </row>
    <row r="15" spans="1:33" s="2" customFormat="1" x14ac:dyDescent="0.2">
      <c r="A15" s="218"/>
      <c r="B15" s="218"/>
      <c r="C15" s="218"/>
      <c r="D15" s="218"/>
      <c r="E15" s="218"/>
      <c r="F15" s="218"/>
      <c r="G15" s="21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2" customFormat="1" x14ac:dyDescent="0.2">
      <c r="A16" s="224" t="s">
        <v>142</v>
      </c>
      <c r="B16" s="224" t="str">
        <f>'Option1 (base case)'!A110</f>
        <v>sens1</v>
      </c>
      <c r="C16" s="224" t="str">
        <f>'Option1 (base case)'!C110</f>
        <v>Capex 10% higher</v>
      </c>
      <c r="D16" s="224" t="str">
        <f t="shared" ref="D16:D23" si="0">A16&amp;B16</f>
        <v>OPTION 1 (base case)sens1</v>
      </c>
      <c r="E16" s="216"/>
      <c r="F16" s="28">
        <f>SUMPRODUCT($H16:$AG16, $H$5:$AG$5)</f>
        <v>0</v>
      </c>
      <c r="G16" s="219"/>
      <c r="H16" s="28">
        <f>(INDEX('Option1 (base case)'!H$106:H$117, MATCH($D16, 'Option1 (base case)'!$G$106:$G$117,0)))*conv_2026*H$7</f>
        <v>0</v>
      </c>
      <c r="I16" s="28">
        <f>(INDEX('Option1 (base case)'!I$106:I$117, MATCH($D16, 'Option1 (base case)'!$G$106:$G$117,0)))*conv_2026*I$7</f>
        <v>0</v>
      </c>
      <c r="J16" s="28">
        <f>(INDEX('Option1 (base case)'!J$106:J$117, MATCH($D16, 'Option1 (base case)'!$G$106:$G$117,0)))*conv_2026*J$7</f>
        <v>0</v>
      </c>
      <c r="K16" s="28">
        <f>(INDEX('Option1 (base case)'!K$106:K$117, MATCH($D16, 'Option1 (base case)'!$G$106:$G$117,0)))*conv_2026*K$7</f>
        <v>0</v>
      </c>
      <c r="L16" s="28">
        <f>(INDEX('Option1 (base case)'!L$106:L$117, MATCH($D16, 'Option1 (base case)'!$G$106:$G$117,0)))*conv_2026*L$7</f>
        <v>0</v>
      </c>
      <c r="M16" s="28">
        <f>(INDEX('Option1 (base case)'!M$106:M$117, MATCH($D16, 'Option1 (base case)'!$G$106:$G$117,0)))*conv_2026*M$7</f>
        <v>0</v>
      </c>
      <c r="N16" s="28">
        <f>(INDEX('Option1 (base case)'!N$106:N$117, MATCH($D16, 'Option1 (base case)'!$G$106:$G$117,0)))*conv_2026*N$7</f>
        <v>0</v>
      </c>
      <c r="O16" s="28">
        <f>(INDEX('Option1 (base case)'!O$106:O$117, MATCH($D16, 'Option1 (base case)'!$G$106:$G$117,0)))*conv_2026*O$7</f>
        <v>0</v>
      </c>
      <c r="P16" s="28">
        <f>(INDEX('Option1 (base case)'!P$106:P$117, MATCH($D16, 'Option1 (base case)'!$G$106:$G$117,0)))*conv_2026*P$7</f>
        <v>0</v>
      </c>
      <c r="Q16" s="28">
        <f>(INDEX('Option1 (base case)'!Q$106:Q$117, MATCH($D16, 'Option1 (base case)'!$G$106:$G$117,0)))*conv_2026*Q$7</f>
        <v>0</v>
      </c>
      <c r="R16" s="28">
        <f>(INDEX('Option1 (base case)'!R$106:R$117, MATCH($D16, 'Option1 (base case)'!$G$106:$G$117,0)))*conv_2026*R$7</f>
        <v>0</v>
      </c>
      <c r="S16" s="28">
        <f>(INDEX('Option1 (base case)'!S$106:S$117, MATCH($D16, 'Option1 (base case)'!$G$106:$G$117,0)))*conv_2026*S$7</f>
        <v>0</v>
      </c>
      <c r="T16" s="28">
        <f>(INDEX('Option1 (base case)'!T$106:T$117, MATCH($D16, 'Option1 (base case)'!$G$106:$G$117,0)))*conv_2026*T$7</f>
        <v>0</v>
      </c>
      <c r="U16" s="28">
        <f>(INDEX('Option1 (base case)'!U$106:U$117, MATCH($D16, 'Option1 (base case)'!$G$106:$G$117,0)))*conv_2026*U$7</f>
        <v>0</v>
      </c>
      <c r="V16" s="28">
        <f>(INDEX('Option1 (base case)'!V$106:V$117, MATCH($D16, 'Option1 (base case)'!$G$106:$G$117,0)))*conv_2026*V$7</f>
        <v>0</v>
      </c>
      <c r="W16" s="28">
        <f>(INDEX('Option1 (base case)'!W$106:W$117, MATCH($D16, 'Option1 (base case)'!$G$106:$G$117,0)))*conv_2026*W$7</f>
        <v>0</v>
      </c>
      <c r="X16" s="28">
        <f>(INDEX('Option1 (base case)'!X$106:X$117, MATCH($D16, 'Option1 (base case)'!$G$106:$G$117,0)))*conv_2026*X$7</f>
        <v>0</v>
      </c>
      <c r="Y16" s="28">
        <f>(INDEX('Option1 (base case)'!Y$106:Y$117, MATCH($D16, 'Option1 (base case)'!$G$106:$G$117,0)))*conv_2026*Y$7</f>
        <v>0</v>
      </c>
      <c r="Z16" s="28">
        <f>(INDEX('Option1 (base case)'!Z$106:Z$117, MATCH($D16, 'Option1 (base case)'!$G$106:$G$117,0)))*conv_2026*Z$7</f>
        <v>0</v>
      </c>
      <c r="AA16" s="28">
        <f>(INDEX('Option1 (base case)'!AA$106:AA$117, MATCH($D16, 'Option1 (base case)'!$G$106:$G$117,0)))*conv_2026*AA$7</f>
        <v>0</v>
      </c>
      <c r="AB16" s="28">
        <f>(INDEX('Option1 (base case)'!AB$106:AB$117, MATCH($D16, 'Option1 (base case)'!$G$106:$G$117,0)))*conv_2026*AB$7</f>
        <v>0</v>
      </c>
      <c r="AC16" s="28">
        <f>(INDEX('Option1 (base case)'!AC$106:AC$117, MATCH($D16, 'Option1 (base case)'!$G$106:$G$117,0)))*conv_2026*AC$7</f>
        <v>0</v>
      </c>
      <c r="AD16" s="28">
        <f>(INDEX('Option1 (base case)'!AD$106:AD$117, MATCH($D16, 'Option1 (base case)'!$G$106:$G$117,0)))*conv_2026*AD$7</f>
        <v>0</v>
      </c>
      <c r="AE16" s="28">
        <f>(INDEX('Option1 (base case)'!AE$106:AE$117, MATCH($D16, 'Option1 (base case)'!$G$106:$G$117,0)))*conv_2026*AE$7</f>
        <v>0</v>
      </c>
      <c r="AF16" s="28">
        <f>(INDEX('Option1 (base case)'!AF$106:AF$117, MATCH($D16, 'Option1 (base case)'!$G$106:$G$117,0)))*conv_2026*AF$7</f>
        <v>0</v>
      </c>
      <c r="AG16" s="28">
        <f>(INDEX('Option1 (base case)'!AG$106:AG$117, MATCH($D16, 'Option1 (base case)'!$G$106:$G$117,0)))*conv_2026*AG$7</f>
        <v>0</v>
      </c>
    </row>
    <row r="17" spans="1:35" s="2" customFormat="1" x14ac:dyDescent="0.2">
      <c r="A17" s="224" t="s">
        <v>142</v>
      </c>
      <c r="B17" s="224" t="str">
        <f>'Option1 (base case)'!A111</f>
        <v>sens2</v>
      </c>
      <c r="C17" s="224" t="str">
        <f>'Option1 (base case)'!C111</f>
        <v>Capex 10% lower</v>
      </c>
      <c r="D17" s="224" t="str">
        <f t="shared" si="0"/>
        <v>OPTION 1 (base case)sens2</v>
      </c>
      <c r="E17" s="216"/>
      <c r="F17" s="28">
        <f t="shared" ref="F17:F23" si="1">SUMPRODUCT($H17:$AG17, $H$5:$AG$5)</f>
        <v>0</v>
      </c>
      <c r="G17" s="224"/>
      <c r="H17" s="28">
        <f>(INDEX('Option1 (base case)'!H$106:H$117, MATCH($D17, 'Option1 (base case)'!$G$106:$G$117,0)))*conv_2026*H$7</f>
        <v>0</v>
      </c>
      <c r="I17" s="28">
        <f>(INDEX('Option1 (base case)'!I$106:I$117, MATCH($D17, 'Option1 (base case)'!$G$106:$G$117,0)))*conv_2026*I$7</f>
        <v>0</v>
      </c>
      <c r="J17" s="28">
        <f>(INDEX('Option1 (base case)'!J$106:J$117, MATCH($D17, 'Option1 (base case)'!$G$106:$G$117,0)))*conv_2026*J$7</f>
        <v>0</v>
      </c>
      <c r="K17" s="28">
        <f>(INDEX('Option1 (base case)'!K$106:K$117, MATCH($D17, 'Option1 (base case)'!$G$106:$G$117,0)))*conv_2026*K$7</f>
        <v>0</v>
      </c>
      <c r="L17" s="28">
        <f>(INDEX('Option1 (base case)'!L$106:L$117, MATCH($D17, 'Option1 (base case)'!$G$106:$G$117,0)))*conv_2026*L$7</f>
        <v>0</v>
      </c>
      <c r="M17" s="28">
        <f>(INDEX('Option1 (base case)'!M$106:M$117, MATCH($D17, 'Option1 (base case)'!$G$106:$G$117,0)))*conv_2026*M$7</f>
        <v>0</v>
      </c>
      <c r="N17" s="28">
        <f>(INDEX('Option1 (base case)'!N$106:N$117, MATCH($D17, 'Option1 (base case)'!$G$106:$G$117,0)))*conv_2026*N$7</f>
        <v>0</v>
      </c>
      <c r="O17" s="28">
        <f>(INDEX('Option1 (base case)'!O$106:O$117, MATCH($D17, 'Option1 (base case)'!$G$106:$G$117,0)))*conv_2026*O$7</f>
        <v>0</v>
      </c>
      <c r="P17" s="28">
        <f>(INDEX('Option1 (base case)'!P$106:P$117, MATCH($D17, 'Option1 (base case)'!$G$106:$G$117,0)))*conv_2026*P$7</f>
        <v>0</v>
      </c>
      <c r="Q17" s="28">
        <f>(INDEX('Option1 (base case)'!Q$106:Q$117, MATCH($D17, 'Option1 (base case)'!$G$106:$G$117,0)))*conv_2026*Q$7</f>
        <v>0</v>
      </c>
      <c r="R17" s="28">
        <f>(INDEX('Option1 (base case)'!R$106:R$117, MATCH($D17, 'Option1 (base case)'!$G$106:$G$117,0)))*conv_2026*R$7</f>
        <v>0</v>
      </c>
      <c r="S17" s="28">
        <f>(INDEX('Option1 (base case)'!S$106:S$117, MATCH($D17, 'Option1 (base case)'!$G$106:$G$117,0)))*conv_2026*S$7</f>
        <v>0</v>
      </c>
      <c r="T17" s="28">
        <f>(INDEX('Option1 (base case)'!T$106:T$117, MATCH($D17, 'Option1 (base case)'!$G$106:$G$117,0)))*conv_2026*T$7</f>
        <v>0</v>
      </c>
      <c r="U17" s="28">
        <f>(INDEX('Option1 (base case)'!U$106:U$117, MATCH($D17, 'Option1 (base case)'!$G$106:$G$117,0)))*conv_2026*U$7</f>
        <v>0</v>
      </c>
      <c r="V17" s="28">
        <f>(INDEX('Option1 (base case)'!V$106:V$117, MATCH($D17, 'Option1 (base case)'!$G$106:$G$117,0)))*conv_2026*V$7</f>
        <v>0</v>
      </c>
      <c r="W17" s="28">
        <f>(INDEX('Option1 (base case)'!W$106:W$117, MATCH($D17, 'Option1 (base case)'!$G$106:$G$117,0)))*conv_2026*W$7</f>
        <v>0</v>
      </c>
      <c r="X17" s="28">
        <f>(INDEX('Option1 (base case)'!X$106:X$117, MATCH($D17, 'Option1 (base case)'!$G$106:$G$117,0)))*conv_2026*X$7</f>
        <v>0</v>
      </c>
      <c r="Y17" s="28">
        <f>(INDEX('Option1 (base case)'!Y$106:Y$117, MATCH($D17, 'Option1 (base case)'!$G$106:$G$117,0)))*conv_2026*Y$7</f>
        <v>0</v>
      </c>
      <c r="Z17" s="28">
        <f>(INDEX('Option1 (base case)'!Z$106:Z$117, MATCH($D17, 'Option1 (base case)'!$G$106:$G$117,0)))*conv_2026*Z$7</f>
        <v>0</v>
      </c>
      <c r="AA17" s="28">
        <f>(INDEX('Option1 (base case)'!AA$106:AA$117, MATCH($D17, 'Option1 (base case)'!$G$106:$G$117,0)))*conv_2026*AA$7</f>
        <v>0</v>
      </c>
      <c r="AB17" s="28">
        <f>(INDEX('Option1 (base case)'!AB$106:AB$117, MATCH($D17, 'Option1 (base case)'!$G$106:$G$117,0)))*conv_2026*AB$7</f>
        <v>0</v>
      </c>
      <c r="AC17" s="28">
        <f>(INDEX('Option1 (base case)'!AC$106:AC$117, MATCH($D17, 'Option1 (base case)'!$G$106:$G$117,0)))*conv_2026*AC$7</f>
        <v>0</v>
      </c>
      <c r="AD17" s="28">
        <f>(INDEX('Option1 (base case)'!AD$106:AD$117, MATCH($D17, 'Option1 (base case)'!$G$106:$G$117,0)))*conv_2026*AD$7</f>
        <v>0</v>
      </c>
      <c r="AE17" s="28">
        <f>(INDEX('Option1 (base case)'!AE$106:AE$117, MATCH($D17, 'Option1 (base case)'!$G$106:$G$117,0)))*conv_2026*AE$7</f>
        <v>0</v>
      </c>
      <c r="AF17" s="28">
        <f>(INDEX('Option1 (base case)'!AF$106:AF$117, MATCH($D17, 'Option1 (base case)'!$G$106:$G$117,0)))*conv_2026*AF$7</f>
        <v>0</v>
      </c>
      <c r="AG17" s="28">
        <f>(INDEX('Option1 (base case)'!AG$106:AG$117, MATCH($D17, 'Option1 (base case)'!$G$106:$G$117,0)))*conv_2026*AG$7</f>
        <v>0</v>
      </c>
      <c r="AH17" s="6"/>
      <c r="AI17" s="6"/>
    </row>
    <row r="18" spans="1:35" s="2" customFormat="1" x14ac:dyDescent="0.2">
      <c r="A18" s="224" t="s">
        <v>142</v>
      </c>
      <c r="B18" s="224" t="str">
        <f>'Option1 (base case)'!A112</f>
        <v>sens3</v>
      </c>
      <c r="C18" s="224" t="str">
        <f>'Option1 (base case)'!C112</f>
        <v>Total benefits 10% higher</v>
      </c>
      <c r="D18" s="224" t="str">
        <f t="shared" si="0"/>
        <v>OPTION 1 (base case)sens3</v>
      </c>
      <c r="E18" s="216"/>
      <c r="F18" s="28">
        <f t="shared" si="1"/>
        <v>0</v>
      </c>
      <c r="G18" s="6"/>
      <c r="H18" s="28">
        <f>(INDEX('Option1 (base case)'!H$106:H$117, MATCH($D18, 'Option1 (base case)'!$G$106:$G$117,0)))*conv_2026*H$7</f>
        <v>0</v>
      </c>
      <c r="I18" s="28">
        <f>(INDEX('Option1 (base case)'!I$106:I$117, MATCH($D18, 'Option1 (base case)'!$G$106:$G$117,0)))*conv_2026*I$7</f>
        <v>0</v>
      </c>
      <c r="J18" s="28">
        <f>(INDEX('Option1 (base case)'!J$106:J$117, MATCH($D18, 'Option1 (base case)'!$G$106:$G$117,0)))*conv_2026*J$7</f>
        <v>0</v>
      </c>
      <c r="K18" s="28">
        <f>(INDEX('Option1 (base case)'!K$106:K$117, MATCH($D18, 'Option1 (base case)'!$G$106:$G$117,0)))*conv_2026*K$7</f>
        <v>0</v>
      </c>
      <c r="L18" s="28">
        <f>(INDEX('Option1 (base case)'!L$106:L$117, MATCH($D18, 'Option1 (base case)'!$G$106:$G$117,0)))*conv_2026*L$7</f>
        <v>0</v>
      </c>
      <c r="M18" s="28">
        <f>(INDEX('Option1 (base case)'!M$106:M$117, MATCH($D18, 'Option1 (base case)'!$G$106:$G$117,0)))*conv_2026*M$7</f>
        <v>0</v>
      </c>
      <c r="N18" s="28">
        <f>(INDEX('Option1 (base case)'!N$106:N$117, MATCH($D18, 'Option1 (base case)'!$G$106:$G$117,0)))*conv_2026*N$7</f>
        <v>0</v>
      </c>
      <c r="O18" s="28">
        <f>(INDEX('Option1 (base case)'!O$106:O$117, MATCH($D18, 'Option1 (base case)'!$G$106:$G$117,0)))*conv_2026*O$7</f>
        <v>0</v>
      </c>
      <c r="P18" s="28">
        <f>(INDEX('Option1 (base case)'!P$106:P$117, MATCH($D18, 'Option1 (base case)'!$G$106:$G$117,0)))*conv_2026*P$7</f>
        <v>0</v>
      </c>
      <c r="Q18" s="28">
        <f>(INDEX('Option1 (base case)'!Q$106:Q$117, MATCH($D18, 'Option1 (base case)'!$G$106:$G$117,0)))*conv_2026*Q$7</f>
        <v>0</v>
      </c>
      <c r="R18" s="28">
        <f>(INDEX('Option1 (base case)'!R$106:R$117, MATCH($D18, 'Option1 (base case)'!$G$106:$G$117,0)))*conv_2026*R$7</f>
        <v>0</v>
      </c>
      <c r="S18" s="28">
        <f>(INDEX('Option1 (base case)'!S$106:S$117, MATCH($D18, 'Option1 (base case)'!$G$106:$G$117,0)))*conv_2026*S$7</f>
        <v>0</v>
      </c>
      <c r="T18" s="28">
        <f>(INDEX('Option1 (base case)'!T$106:T$117, MATCH($D18, 'Option1 (base case)'!$G$106:$G$117,0)))*conv_2026*T$7</f>
        <v>0</v>
      </c>
      <c r="U18" s="28">
        <f>(INDEX('Option1 (base case)'!U$106:U$117, MATCH($D18, 'Option1 (base case)'!$G$106:$G$117,0)))*conv_2026*U$7</f>
        <v>0</v>
      </c>
      <c r="V18" s="28">
        <f>(INDEX('Option1 (base case)'!V$106:V$117, MATCH($D18, 'Option1 (base case)'!$G$106:$G$117,0)))*conv_2026*V$7</f>
        <v>0</v>
      </c>
      <c r="W18" s="28">
        <f>(INDEX('Option1 (base case)'!W$106:W$117, MATCH($D18, 'Option1 (base case)'!$G$106:$G$117,0)))*conv_2026*W$7</f>
        <v>0</v>
      </c>
      <c r="X18" s="28">
        <f>(INDEX('Option1 (base case)'!X$106:X$117, MATCH($D18, 'Option1 (base case)'!$G$106:$G$117,0)))*conv_2026*X$7</f>
        <v>0</v>
      </c>
      <c r="Y18" s="28">
        <f>(INDEX('Option1 (base case)'!Y$106:Y$117, MATCH($D18, 'Option1 (base case)'!$G$106:$G$117,0)))*conv_2026*Y$7</f>
        <v>0</v>
      </c>
      <c r="Z18" s="28">
        <f>(INDEX('Option1 (base case)'!Z$106:Z$117, MATCH($D18, 'Option1 (base case)'!$G$106:$G$117,0)))*conv_2026*Z$7</f>
        <v>0</v>
      </c>
      <c r="AA18" s="28">
        <f>(INDEX('Option1 (base case)'!AA$106:AA$117, MATCH($D18, 'Option1 (base case)'!$G$106:$G$117,0)))*conv_2026*AA$7</f>
        <v>0</v>
      </c>
      <c r="AB18" s="28">
        <f>(INDEX('Option1 (base case)'!AB$106:AB$117, MATCH($D18, 'Option1 (base case)'!$G$106:$G$117,0)))*conv_2026*AB$7</f>
        <v>0</v>
      </c>
      <c r="AC18" s="28">
        <f>(INDEX('Option1 (base case)'!AC$106:AC$117, MATCH($D18, 'Option1 (base case)'!$G$106:$G$117,0)))*conv_2026*AC$7</f>
        <v>0</v>
      </c>
      <c r="AD18" s="28">
        <f>(INDEX('Option1 (base case)'!AD$106:AD$117, MATCH($D18, 'Option1 (base case)'!$G$106:$G$117,0)))*conv_2026*AD$7</f>
        <v>0</v>
      </c>
      <c r="AE18" s="28">
        <f>(INDEX('Option1 (base case)'!AE$106:AE$117, MATCH($D18, 'Option1 (base case)'!$G$106:$G$117,0)))*conv_2026*AE$7</f>
        <v>0</v>
      </c>
      <c r="AF18" s="28">
        <f>(INDEX('Option1 (base case)'!AF$106:AF$117, MATCH($D18, 'Option1 (base case)'!$G$106:$G$117,0)))*conv_2026*AF$7</f>
        <v>0</v>
      </c>
      <c r="AG18" s="28">
        <f>(INDEX('Option1 (base case)'!AG$106:AG$117, MATCH($D18, 'Option1 (base case)'!$G$106:$G$117,0)))*conv_2026*AG$7</f>
        <v>0</v>
      </c>
      <c r="AH18" s="6"/>
      <c r="AI18" s="6"/>
    </row>
    <row r="19" spans="1:35" s="2" customFormat="1" x14ac:dyDescent="0.2">
      <c r="A19" s="224" t="s">
        <v>142</v>
      </c>
      <c r="B19" s="224" t="str">
        <f>'Option1 (base case)'!A113</f>
        <v>sens4</v>
      </c>
      <c r="C19" s="224" t="str">
        <f>'Option1 (base case)'!C113</f>
        <v>Total benefits 10% lower</v>
      </c>
      <c r="D19" s="224" t="str">
        <f t="shared" si="0"/>
        <v>OPTION 1 (base case)sens4</v>
      </c>
      <c r="E19" s="216"/>
      <c r="F19" s="28">
        <f t="shared" si="1"/>
        <v>0</v>
      </c>
      <c r="G19" s="6"/>
      <c r="H19" s="28">
        <f>(INDEX('Option1 (base case)'!H$106:H$117, MATCH($D19, 'Option1 (base case)'!$G$106:$G$117,0)))*conv_2026*H$7</f>
        <v>0</v>
      </c>
      <c r="I19" s="28">
        <f>(INDEX('Option1 (base case)'!I$106:I$117, MATCH($D19, 'Option1 (base case)'!$G$106:$G$117,0)))*conv_2026*I$7</f>
        <v>0</v>
      </c>
      <c r="J19" s="28">
        <f>(INDEX('Option1 (base case)'!J$106:J$117, MATCH($D19, 'Option1 (base case)'!$G$106:$G$117,0)))*conv_2026*J$7</f>
        <v>0</v>
      </c>
      <c r="K19" s="28">
        <f>(INDEX('Option1 (base case)'!K$106:K$117, MATCH($D19, 'Option1 (base case)'!$G$106:$G$117,0)))*conv_2026*K$7</f>
        <v>0</v>
      </c>
      <c r="L19" s="28">
        <f>(INDEX('Option1 (base case)'!L$106:L$117, MATCH($D19, 'Option1 (base case)'!$G$106:$G$117,0)))*conv_2026*L$7</f>
        <v>0</v>
      </c>
      <c r="M19" s="28">
        <f>(INDEX('Option1 (base case)'!M$106:M$117, MATCH($D19, 'Option1 (base case)'!$G$106:$G$117,0)))*conv_2026*M$7</f>
        <v>0</v>
      </c>
      <c r="N19" s="28">
        <f>(INDEX('Option1 (base case)'!N$106:N$117, MATCH($D19, 'Option1 (base case)'!$G$106:$G$117,0)))*conv_2026*N$7</f>
        <v>0</v>
      </c>
      <c r="O19" s="28">
        <f>(INDEX('Option1 (base case)'!O$106:O$117, MATCH($D19, 'Option1 (base case)'!$G$106:$G$117,0)))*conv_2026*O$7</f>
        <v>0</v>
      </c>
      <c r="P19" s="28">
        <f>(INDEX('Option1 (base case)'!P$106:P$117, MATCH($D19, 'Option1 (base case)'!$G$106:$G$117,0)))*conv_2026*P$7</f>
        <v>0</v>
      </c>
      <c r="Q19" s="28">
        <f>(INDEX('Option1 (base case)'!Q$106:Q$117, MATCH($D19, 'Option1 (base case)'!$G$106:$G$117,0)))*conv_2026*Q$7</f>
        <v>0</v>
      </c>
      <c r="R19" s="28">
        <f>(INDEX('Option1 (base case)'!R$106:R$117, MATCH($D19, 'Option1 (base case)'!$G$106:$G$117,0)))*conv_2026*R$7</f>
        <v>0</v>
      </c>
      <c r="S19" s="28">
        <f>(INDEX('Option1 (base case)'!S$106:S$117, MATCH($D19, 'Option1 (base case)'!$G$106:$G$117,0)))*conv_2026*S$7</f>
        <v>0</v>
      </c>
      <c r="T19" s="28">
        <f>(INDEX('Option1 (base case)'!T$106:T$117, MATCH($D19, 'Option1 (base case)'!$G$106:$G$117,0)))*conv_2026*T$7</f>
        <v>0</v>
      </c>
      <c r="U19" s="28">
        <f>(INDEX('Option1 (base case)'!U$106:U$117, MATCH($D19, 'Option1 (base case)'!$G$106:$G$117,0)))*conv_2026*U$7</f>
        <v>0</v>
      </c>
      <c r="V19" s="28">
        <f>(INDEX('Option1 (base case)'!V$106:V$117, MATCH($D19, 'Option1 (base case)'!$G$106:$G$117,0)))*conv_2026*V$7</f>
        <v>0</v>
      </c>
      <c r="W19" s="28">
        <f>(INDEX('Option1 (base case)'!W$106:W$117, MATCH($D19, 'Option1 (base case)'!$G$106:$G$117,0)))*conv_2026*W$7</f>
        <v>0</v>
      </c>
      <c r="X19" s="28">
        <f>(INDEX('Option1 (base case)'!X$106:X$117, MATCH($D19, 'Option1 (base case)'!$G$106:$G$117,0)))*conv_2026*X$7</f>
        <v>0</v>
      </c>
      <c r="Y19" s="28">
        <f>(INDEX('Option1 (base case)'!Y$106:Y$117, MATCH($D19, 'Option1 (base case)'!$G$106:$G$117,0)))*conv_2026*Y$7</f>
        <v>0</v>
      </c>
      <c r="Z19" s="28">
        <f>(INDEX('Option1 (base case)'!Z$106:Z$117, MATCH($D19, 'Option1 (base case)'!$G$106:$G$117,0)))*conv_2026*Z$7</f>
        <v>0</v>
      </c>
      <c r="AA19" s="28">
        <f>(INDEX('Option1 (base case)'!AA$106:AA$117, MATCH($D19, 'Option1 (base case)'!$G$106:$G$117,0)))*conv_2026*AA$7</f>
        <v>0</v>
      </c>
      <c r="AB19" s="28">
        <f>(INDEX('Option1 (base case)'!AB$106:AB$117, MATCH($D19, 'Option1 (base case)'!$G$106:$G$117,0)))*conv_2026*AB$7</f>
        <v>0</v>
      </c>
      <c r="AC19" s="28">
        <f>(INDEX('Option1 (base case)'!AC$106:AC$117, MATCH($D19, 'Option1 (base case)'!$G$106:$G$117,0)))*conv_2026*AC$7</f>
        <v>0</v>
      </c>
      <c r="AD19" s="28">
        <f>(INDEX('Option1 (base case)'!AD$106:AD$117, MATCH($D19, 'Option1 (base case)'!$G$106:$G$117,0)))*conv_2026*AD$7</f>
        <v>0</v>
      </c>
      <c r="AE19" s="28">
        <f>(INDEX('Option1 (base case)'!AE$106:AE$117, MATCH($D19, 'Option1 (base case)'!$G$106:$G$117,0)))*conv_2026*AE$7</f>
        <v>0</v>
      </c>
      <c r="AF19" s="28">
        <f>(INDEX('Option1 (base case)'!AF$106:AF$117, MATCH($D19, 'Option1 (base case)'!$G$106:$G$117,0)))*conv_2026*AF$7</f>
        <v>0</v>
      </c>
      <c r="AG19" s="28">
        <f>(INDEX('Option1 (base case)'!AG$106:AG$117, MATCH($D19, 'Option1 (base case)'!$G$106:$G$117,0)))*conv_2026*AG$7</f>
        <v>0</v>
      </c>
      <c r="AH19" s="6"/>
      <c r="AI19" s="6"/>
    </row>
    <row r="20" spans="1:35" s="2" customFormat="1" x14ac:dyDescent="0.2">
      <c r="A20" s="224" t="s">
        <v>142</v>
      </c>
      <c r="B20" s="224" t="str">
        <f>'Option1 (base case)'!A114</f>
        <v>sens5</v>
      </c>
      <c r="C20" s="224" t="str">
        <f>'Option1 (base case)'!C114</f>
        <v>Capex 10% higher &amp; Total benefits 10% lower</v>
      </c>
      <c r="D20" s="224" t="str">
        <f t="shared" si="0"/>
        <v>OPTION 1 (base case)sens5</v>
      </c>
      <c r="E20" s="216"/>
      <c r="F20" s="28">
        <f t="shared" si="1"/>
        <v>0</v>
      </c>
      <c r="G20" s="6"/>
      <c r="H20" s="28">
        <f>(INDEX('Option1 (base case)'!H$106:H$117, MATCH($D20, 'Option1 (base case)'!$G$106:$G$117,0)))*conv_2026*H$7</f>
        <v>0</v>
      </c>
      <c r="I20" s="28">
        <f>(INDEX('Option1 (base case)'!I$106:I$117, MATCH($D20, 'Option1 (base case)'!$G$106:$G$117,0)))*conv_2026*I$7</f>
        <v>0</v>
      </c>
      <c r="J20" s="28">
        <f>(INDEX('Option1 (base case)'!J$106:J$117, MATCH($D20, 'Option1 (base case)'!$G$106:$G$117,0)))*conv_2026*J$7</f>
        <v>0</v>
      </c>
      <c r="K20" s="28">
        <f>(INDEX('Option1 (base case)'!K$106:K$117, MATCH($D20, 'Option1 (base case)'!$G$106:$G$117,0)))*conv_2026*K$7</f>
        <v>0</v>
      </c>
      <c r="L20" s="28">
        <f>(INDEX('Option1 (base case)'!L$106:L$117, MATCH($D20, 'Option1 (base case)'!$G$106:$G$117,0)))*conv_2026*L$7</f>
        <v>0</v>
      </c>
      <c r="M20" s="28">
        <f>(INDEX('Option1 (base case)'!M$106:M$117, MATCH($D20, 'Option1 (base case)'!$G$106:$G$117,0)))*conv_2026*M$7</f>
        <v>0</v>
      </c>
      <c r="N20" s="28">
        <f>(INDEX('Option1 (base case)'!N$106:N$117, MATCH($D20, 'Option1 (base case)'!$G$106:$G$117,0)))*conv_2026*N$7</f>
        <v>0</v>
      </c>
      <c r="O20" s="28">
        <f>(INDEX('Option1 (base case)'!O$106:O$117, MATCH($D20, 'Option1 (base case)'!$G$106:$G$117,0)))*conv_2026*O$7</f>
        <v>0</v>
      </c>
      <c r="P20" s="28">
        <f>(INDEX('Option1 (base case)'!P$106:P$117, MATCH($D20, 'Option1 (base case)'!$G$106:$G$117,0)))*conv_2026*P$7</f>
        <v>0</v>
      </c>
      <c r="Q20" s="28">
        <f>(INDEX('Option1 (base case)'!Q$106:Q$117, MATCH($D20, 'Option1 (base case)'!$G$106:$G$117,0)))*conv_2026*Q$7</f>
        <v>0</v>
      </c>
      <c r="R20" s="28">
        <f>(INDEX('Option1 (base case)'!R$106:R$117, MATCH($D20, 'Option1 (base case)'!$G$106:$G$117,0)))*conv_2026*R$7</f>
        <v>0</v>
      </c>
      <c r="S20" s="28">
        <f>(INDEX('Option1 (base case)'!S$106:S$117, MATCH($D20, 'Option1 (base case)'!$G$106:$G$117,0)))*conv_2026*S$7</f>
        <v>0</v>
      </c>
      <c r="T20" s="28">
        <f>(INDEX('Option1 (base case)'!T$106:T$117, MATCH($D20, 'Option1 (base case)'!$G$106:$G$117,0)))*conv_2026*T$7</f>
        <v>0</v>
      </c>
      <c r="U20" s="28">
        <f>(INDEX('Option1 (base case)'!U$106:U$117, MATCH($D20, 'Option1 (base case)'!$G$106:$G$117,0)))*conv_2026*U$7</f>
        <v>0</v>
      </c>
      <c r="V20" s="28">
        <f>(INDEX('Option1 (base case)'!V$106:V$117, MATCH($D20, 'Option1 (base case)'!$G$106:$G$117,0)))*conv_2026*V$7</f>
        <v>0</v>
      </c>
      <c r="W20" s="28">
        <f>(INDEX('Option1 (base case)'!W$106:W$117, MATCH($D20, 'Option1 (base case)'!$G$106:$G$117,0)))*conv_2026*W$7</f>
        <v>0</v>
      </c>
      <c r="X20" s="28">
        <f>(INDEX('Option1 (base case)'!X$106:X$117, MATCH($D20, 'Option1 (base case)'!$G$106:$G$117,0)))*conv_2026*X$7</f>
        <v>0</v>
      </c>
      <c r="Y20" s="28">
        <f>(INDEX('Option1 (base case)'!Y$106:Y$117, MATCH($D20, 'Option1 (base case)'!$G$106:$G$117,0)))*conv_2026*Y$7</f>
        <v>0</v>
      </c>
      <c r="Z20" s="28">
        <f>(INDEX('Option1 (base case)'!Z$106:Z$117, MATCH($D20, 'Option1 (base case)'!$G$106:$G$117,0)))*conv_2026*Z$7</f>
        <v>0</v>
      </c>
      <c r="AA20" s="28">
        <f>(INDEX('Option1 (base case)'!AA$106:AA$117, MATCH($D20, 'Option1 (base case)'!$G$106:$G$117,0)))*conv_2026*AA$7</f>
        <v>0</v>
      </c>
      <c r="AB20" s="28">
        <f>(INDEX('Option1 (base case)'!AB$106:AB$117, MATCH($D20, 'Option1 (base case)'!$G$106:$G$117,0)))*conv_2026*AB$7</f>
        <v>0</v>
      </c>
      <c r="AC20" s="28">
        <f>(INDEX('Option1 (base case)'!AC$106:AC$117, MATCH($D20, 'Option1 (base case)'!$G$106:$G$117,0)))*conv_2026*AC$7</f>
        <v>0</v>
      </c>
      <c r="AD20" s="28">
        <f>(INDEX('Option1 (base case)'!AD$106:AD$117, MATCH($D20, 'Option1 (base case)'!$G$106:$G$117,0)))*conv_2026*AD$7</f>
        <v>0</v>
      </c>
      <c r="AE20" s="28">
        <f>(INDEX('Option1 (base case)'!AE$106:AE$117, MATCH($D20, 'Option1 (base case)'!$G$106:$G$117,0)))*conv_2026*AE$7</f>
        <v>0</v>
      </c>
      <c r="AF20" s="28">
        <f>(INDEX('Option1 (base case)'!AF$106:AF$117, MATCH($D20, 'Option1 (base case)'!$G$106:$G$117,0)))*conv_2026*AF$7</f>
        <v>0</v>
      </c>
      <c r="AG20" s="28">
        <f>(INDEX('Option1 (base case)'!AG$106:AG$117, MATCH($D20, 'Option1 (base case)'!$G$106:$G$117,0)))*conv_2026*AG$7</f>
        <v>0</v>
      </c>
      <c r="AH20" s="6"/>
      <c r="AI20" s="6"/>
    </row>
    <row r="21" spans="1:35" s="2" customFormat="1" x14ac:dyDescent="0.2">
      <c r="A21" s="224" t="s">
        <v>142</v>
      </c>
      <c r="B21" s="224" t="str">
        <f>'Option1 (base case)'!A115</f>
        <v>sens</v>
      </c>
      <c r="C21" s="224">
        <f>'Option1 (base case)'!C115</f>
        <v>0</v>
      </c>
      <c r="D21" s="224" t="str">
        <f t="shared" si="0"/>
        <v>OPTION 1 (base case)sens</v>
      </c>
      <c r="E21" s="216"/>
      <c r="F21" s="28">
        <f t="shared" si="1"/>
        <v>0</v>
      </c>
      <c r="G21" s="6"/>
      <c r="H21" s="28">
        <f>(INDEX('Option1 (base case)'!H$106:H$117, MATCH($D21, 'Option1 (base case)'!$G$106:$G$117,0)))*conv_2026*H$7</f>
        <v>0</v>
      </c>
      <c r="I21" s="28">
        <f>(INDEX('Option1 (base case)'!I$106:I$117, MATCH($D21, 'Option1 (base case)'!$G$106:$G$117,0)))*conv_2026*I$7</f>
        <v>0</v>
      </c>
      <c r="J21" s="28">
        <f>(INDEX('Option1 (base case)'!J$106:J$117, MATCH($D21, 'Option1 (base case)'!$G$106:$G$117,0)))*conv_2026*J$7</f>
        <v>0</v>
      </c>
      <c r="K21" s="28">
        <f>(INDEX('Option1 (base case)'!K$106:K$117, MATCH($D21, 'Option1 (base case)'!$G$106:$G$117,0)))*conv_2026*K$7</f>
        <v>0</v>
      </c>
      <c r="L21" s="28">
        <f>(INDEX('Option1 (base case)'!L$106:L$117, MATCH($D21, 'Option1 (base case)'!$G$106:$G$117,0)))*conv_2026*L$7</f>
        <v>0</v>
      </c>
      <c r="M21" s="28">
        <f>(INDEX('Option1 (base case)'!M$106:M$117, MATCH($D21, 'Option1 (base case)'!$G$106:$G$117,0)))*conv_2026*M$7</f>
        <v>0</v>
      </c>
      <c r="N21" s="28">
        <f>(INDEX('Option1 (base case)'!N$106:N$117, MATCH($D21, 'Option1 (base case)'!$G$106:$G$117,0)))*conv_2026*N$7</f>
        <v>0</v>
      </c>
      <c r="O21" s="28">
        <f>(INDEX('Option1 (base case)'!O$106:O$117, MATCH($D21, 'Option1 (base case)'!$G$106:$G$117,0)))*conv_2026*O$7</f>
        <v>0</v>
      </c>
      <c r="P21" s="28">
        <f>(INDEX('Option1 (base case)'!P$106:P$117, MATCH($D21, 'Option1 (base case)'!$G$106:$G$117,0)))*conv_2026*P$7</f>
        <v>0</v>
      </c>
      <c r="Q21" s="28">
        <f>(INDEX('Option1 (base case)'!Q$106:Q$117, MATCH($D21, 'Option1 (base case)'!$G$106:$G$117,0)))*conv_2026*Q$7</f>
        <v>0</v>
      </c>
      <c r="R21" s="28">
        <f>(INDEX('Option1 (base case)'!R$106:R$117, MATCH($D21, 'Option1 (base case)'!$G$106:$G$117,0)))*conv_2026*R$7</f>
        <v>0</v>
      </c>
      <c r="S21" s="28">
        <f>(INDEX('Option1 (base case)'!S$106:S$117, MATCH($D21, 'Option1 (base case)'!$G$106:$G$117,0)))*conv_2026*S$7</f>
        <v>0</v>
      </c>
      <c r="T21" s="28">
        <f>(INDEX('Option1 (base case)'!T$106:T$117, MATCH($D21, 'Option1 (base case)'!$G$106:$G$117,0)))*conv_2026*T$7</f>
        <v>0</v>
      </c>
      <c r="U21" s="28">
        <f>(INDEX('Option1 (base case)'!U$106:U$117, MATCH($D21, 'Option1 (base case)'!$G$106:$G$117,0)))*conv_2026*U$7</f>
        <v>0</v>
      </c>
      <c r="V21" s="28">
        <f>(INDEX('Option1 (base case)'!V$106:V$117, MATCH($D21, 'Option1 (base case)'!$G$106:$G$117,0)))*conv_2026*V$7</f>
        <v>0</v>
      </c>
      <c r="W21" s="28">
        <f>(INDEX('Option1 (base case)'!W$106:W$117, MATCH($D21, 'Option1 (base case)'!$G$106:$G$117,0)))*conv_2026*W$7</f>
        <v>0</v>
      </c>
      <c r="X21" s="28">
        <f>(INDEX('Option1 (base case)'!X$106:X$117, MATCH($D21, 'Option1 (base case)'!$G$106:$G$117,0)))*conv_2026*X$7</f>
        <v>0</v>
      </c>
      <c r="Y21" s="28">
        <f>(INDEX('Option1 (base case)'!Y$106:Y$117, MATCH($D21, 'Option1 (base case)'!$G$106:$G$117,0)))*conv_2026*Y$7</f>
        <v>0</v>
      </c>
      <c r="Z21" s="28">
        <f>(INDEX('Option1 (base case)'!Z$106:Z$117, MATCH($D21, 'Option1 (base case)'!$G$106:$G$117,0)))*conv_2026*Z$7</f>
        <v>0</v>
      </c>
      <c r="AA21" s="28">
        <f>(INDEX('Option1 (base case)'!AA$106:AA$117, MATCH($D21, 'Option1 (base case)'!$G$106:$G$117,0)))*conv_2026*AA$7</f>
        <v>0</v>
      </c>
      <c r="AB21" s="28">
        <f>(INDEX('Option1 (base case)'!AB$106:AB$117, MATCH($D21, 'Option1 (base case)'!$G$106:$G$117,0)))*conv_2026*AB$7</f>
        <v>0</v>
      </c>
      <c r="AC21" s="28">
        <f>(INDEX('Option1 (base case)'!AC$106:AC$117, MATCH($D21, 'Option1 (base case)'!$G$106:$G$117,0)))*conv_2026*AC$7</f>
        <v>0</v>
      </c>
      <c r="AD21" s="28">
        <f>(INDEX('Option1 (base case)'!AD$106:AD$117, MATCH($D21, 'Option1 (base case)'!$G$106:$G$117,0)))*conv_2026*AD$7</f>
        <v>0</v>
      </c>
      <c r="AE21" s="28">
        <f>(INDEX('Option1 (base case)'!AE$106:AE$117, MATCH($D21, 'Option1 (base case)'!$G$106:$G$117,0)))*conv_2026*AE$7</f>
        <v>0</v>
      </c>
      <c r="AF21" s="28">
        <f>(INDEX('Option1 (base case)'!AF$106:AF$117, MATCH($D21, 'Option1 (base case)'!$G$106:$G$117,0)))*conv_2026*AF$7</f>
        <v>0</v>
      </c>
      <c r="AG21" s="28">
        <f>(INDEX('Option1 (base case)'!AG$106:AG$117, MATCH($D21, 'Option1 (base case)'!$G$106:$G$117,0)))*conv_2026*AG$7</f>
        <v>0</v>
      </c>
      <c r="AH21" s="6"/>
      <c r="AI21" s="6"/>
    </row>
    <row r="22" spans="1:35" s="2" customFormat="1" x14ac:dyDescent="0.2">
      <c r="A22" s="224" t="s">
        <v>142</v>
      </c>
      <c r="B22" s="224" t="str">
        <f>'Option1 (base case)'!A116</f>
        <v>sens</v>
      </c>
      <c r="C22" s="224">
        <f>'Option1 (base case)'!C116</f>
        <v>0</v>
      </c>
      <c r="D22" s="224" t="str">
        <f t="shared" si="0"/>
        <v>OPTION 1 (base case)sens</v>
      </c>
      <c r="E22" s="216"/>
      <c r="F22" s="28">
        <f t="shared" si="1"/>
        <v>0</v>
      </c>
      <c r="G22" s="6"/>
      <c r="H22" s="28">
        <f>(INDEX('Option1 (base case)'!H$106:H$117, MATCH($D22, 'Option1 (base case)'!$G$106:$G$117,0)))*conv_2026*H$7</f>
        <v>0</v>
      </c>
      <c r="I22" s="28">
        <f>(INDEX('Option1 (base case)'!I$106:I$117, MATCH($D22, 'Option1 (base case)'!$G$106:$G$117,0)))*conv_2026*I$7</f>
        <v>0</v>
      </c>
      <c r="J22" s="28">
        <f>(INDEX('Option1 (base case)'!J$106:J$117, MATCH($D22, 'Option1 (base case)'!$G$106:$G$117,0)))*conv_2026*J$7</f>
        <v>0</v>
      </c>
      <c r="K22" s="28">
        <f>(INDEX('Option1 (base case)'!K$106:K$117, MATCH($D22, 'Option1 (base case)'!$G$106:$G$117,0)))*conv_2026*K$7</f>
        <v>0</v>
      </c>
      <c r="L22" s="28">
        <f>(INDEX('Option1 (base case)'!L$106:L$117, MATCH($D22, 'Option1 (base case)'!$G$106:$G$117,0)))*conv_2026*L$7</f>
        <v>0</v>
      </c>
      <c r="M22" s="28">
        <f>(INDEX('Option1 (base case)'!M$106:M$117, MATCH($D22, 'Option1 (base case)'!$G$106:$G$117,0)))*conv_2026*M$7</f>
        <v>0</v>
      </c>
      <c r="N22" s="28">
        <f>(INDEX('Option1 (base case)'!N$106:N$117, MATCH($D22, 'Option1 (base case)'!$G$106:$G$117,0)))*conv_2026*N$7</f>
        <v>0</v>
      </c>
      <c r="O22" s="28">
        <f>(INDEX('Option1 (base case)'!O$106:O$117, MATCH($D22, 'Option1 (base case)'!$G$106:$G$117,0)))*conv_2026*O$7</f>
        <v>0</v>
      </c>
      <c r="P22" s="28">
        <f>(INDEX('Option1 (base case)'!P$106:P$117, MATCH($D22, 'Option1 (base case)'!$G$106:$G$117,0)))*conv_2026*P$7</f>
        <v>0</v>
      </c>
      <c r="Q22" s="28">
        <f>(INDEX('Option1 (base case)'!Q$106:Q$117, MATCH($D22, 'Option1 (base case)'!$G$106:$G$117,0)))*conv_2026*Q$7</f>
        <v>0</v>
      </c>
      <c r="R22" s="28">
        <f>(INDEX('Option1 (base case)'!R$106:R$117, MATCH($D22, 'Option1 (base case)'!$G$106:$G$117,0)))*conv_2026*R$7</f>
        <v>0</v>
      </c>
      <c r="S22" s="28">
        <f>(INDEX('Option1 (base case)'!S$106:S$117, MATCH($D22, 'Option1 (base case)'!$G$106:$G$117,0)))*conv_2026*S$7</f>
        <v>0</v>
      </c>
      <c r="T22" s="28">
        <f>(INDEX('Option1 (base case)'!T$106:T$117, MATCH($D22, 'Option1 (base case)'!$G$106:$G$117,0)))*conv_2026*T$7</f>
        <v>0</v>
      </c>
      <c r="U22" s="28">
        <f>(INDEX('Option1 (base case)'!U$106:U$117, MATCH($D22, 'Option1 (base case)'!$G$106:$G$117,0)))*conv_2026*U$7</f>
        <v>0</v>
      </c>
      <c r="V22" s="28">
        <f>(INDEX('Option1 (base case)'!V$106:V$117, MATCH($D22, 'Option1 (base case)'!$G$106:$G$117,0)))*conv_2026*V$7</f>
        <v>0</v>
      </c>
      <c r="W22" s="28">
        <f>(INDEX('Option1 (base case)'!W$106:W$117, MATCH($D22, 'Option1 (base case)'!$G$106:$G$117,0)))*conv_2026*W$7</f>
        <v>0</v>
      </c>
      <c r="X22" s="28">
        <f>(INDEX('Option1 (base case)'!X$106:X$117, MATCH($D22, 'Option1 (base case)'!$G$106:$G$117,0)))*conv_2026*X$7</f>
        <v>0</v>
      </c>
      <c r="Y22" s="28">
        <f>(INDEX('Option1 (base case)'!Y$106:Y$117, MATCH($D22, 'Option1 (base case)'!$G$106:$G$117,0)))*conv_2026*Y$7</f>
        <v>0</v>
      </c>
      <c r="Z22" s="28">
        <f>(INDEX('Option1 (base case)'!Z$106:Z$117, MATCH($D22, 'Option1 (base case)'!$G$106:$G$117,0)))*conv_2026*Z$7</f>
        <v>0</v>
      </c>
      <c r="AA22" s="28">
        <f>(INDEX('Option1 (base case)'!AA$106:AA$117, MATCH($D22, 'Option1 (base case)'!$G$106:$G$117,0)))*conv_2026*AA$7</f>
        <v>0</v>
      </c>
      <c r="AB22" s="28">
        <f>(INDEX('Option1 (base case)'!AB$106:AB$117, MATCH($D22, 'Option1 (base case)'!$G$106:$G$117,0)))*conv_2026*AB$7</f>
        <v>0</v>
      </c>
      <c r="AC22" s="28">
        <f>(INDEX('Option1 (base case)'!AC$106:AC$117, MATCH($D22, 'Option1 (base case)'!$G$106:$G$117,0)))*conv_2026*AC$7</f>
        <v>0</v>
      </c>
      <c r="AD22" s="28">
        <f>(INDEX('Option1 (base case)'!AD$106:AD$117, MATCH($D22, 'Option1 (base case)'!$G$106:$G$117,0)))*conv_2026*AD$7</f>
        <v>0</v>
      </c>
      <c r="AE22" s="28">
        <f>(INDEX('Option1 (base case)'!AE$106:AE$117, MATCH($D22, 'Option1 (base case)'!$G$106:$G$117,0)))*conv_2026*AE$7</f>
        <v>0</v>
      </c>
      <c r="AF22" s="28">
        <f>(INDEX('Option1 (base case)'!AF$106:AF$117, MATCH($D22, 'Option1 (base case)'!$G$106:$G$117,0)))*conv_2026*AF$7</f>
        <v>0</v>
      </c>
      <c r="AG22" s="28">
        <f>(INDEX('Option1 (base case)'!AG$106:AG$117, MATCH($D22, 'Option1 (base case)'!$G$106:$G$117,0)))*conv_2026*AG$7</f>
        <v>0</v>
      </c>
      <c r="AH22" s="6"/>
      <c r="AI22" s="6"/>
    </row>
    <row r="23" spans="1:35" s="2" customFormat="1" x14ac:dyDescent="0.2">
      <c r="A23" s="224" t="s">
        <v>142</v>
      </c>
      <c r="B23" s="224" t="str">
        <f>'Option1 (base case)'!A117</f>
        <v>sens</v>
      </c>
      <c r="C23" s="224">
        <f>'Option1 (base case)'!C117</f>
        <v>0</v>
      </c>
      <c r="D23" s="224" t="str">
        <f t="shared" si="0"/>
        <v>OPTION 1 (base case)sens</v>
      </c>
      <c r="E23" s="216"/>
      <c r="F23" s="28">
        <f t="shared" si="1"/>
        <v>0</v>
      </c>
      <c r="G23" s="6"/>
      <c r="H23" s="28">
        <f>(INDEX('Option1 (base case)'!H$106:H$117, MATCH($D23, 'Option1 (base case)'!$G$106:$G$117,0)))*conv_2026*H$7</f>
        <v>0</v>
      </c>
      <c r="I23" s="28">
        <f>(INDEX('Option1 (base case)'!I$106:I$117, MATCH($D23, 'Option1 (base case)'!$G$106:$G$117,0)))*conv_2026*I$7</f>
        <v>0</v>
      </c>
      <c r="J23" s="28">
        <f>(INDEX('Option1 (base case)'!J$106:J$117, MATCH($D23, 'Option1 (base case)'!$G$106:$G$117,0)))*conv_2026*J$7</f>
        <v>0</v>
      </c>
      <c r="K23" s="28">
        <f>(INDEX('Option1 (base case)'!K$106:K$117, MATCH($D23, 'Option1 (base case)'!$G$106:$G$117,0)))*conv_2026*K$7</f>
        <v>0</v>
      </c>
      <c r="L23" s="28">
        <f>(INDEX('Option1 (base case)'!L$106:L$117, MATCH($D23, 'Option1 (base case)'!$G$106:$G$117,0)))*conv_2026*L$7</f>
        <v>0</v>
      </c>
      <c r="M23" s="28">
        <f>(INDEX('Option1 (base case)'!M$106:M$117, MATCH($D23, 'Option1 (base case)'!$G$106:$G$117,0)))*conv_2026*M$7</f>
        <v>0</v>
      </c>
      <c r="N23" s="28">
        <f>(INDEX('Option1 (base case)'!N$106:N$117, MATCH($D23, 'Option1 (base case)'!$G$106:$G$117,0)))*conv_2026*N$7</f>
        <v>0</v>
      </c>
      <c r="O23" s="28">
        <f>(INDEX('Option1 (base case)'!O$106:O$117, MATCH($D23, 'Option1 (base case)'!$G$106:$G$117,0)))*conv_2026*O$7</f>
        <v>0</v>
      </c>
      <c r="P23" s="28">
        <f>(INDEX('Option1 (base case)'!P$106:P$117, MATCH($D23, 'Option1 (base case)'!$G$106:$G$117,0)))*conv_2026*P$7</f>
        <v>0</v>
      </c>
      <c r="Q23" s="28">
        <f>(INDEX('Option1 (base case)'!Q$106:Q$117, MATCH($D23, 'Option1 (base case)'!$G$106:$G$117,0)))*conv_2026*Q$7</f>
        <v>0</v>
      </c>
      <c r="R23" s="28">
        <f>(INDEX('Option1 (base case)'!R$106:R$117, MATCH($D23, 'Option1 (base case)'!$G$106:$G$117,0)))*conv_2026*R$7</f>
        <v>0</v>
      </c>
      <c r="S23" s="28">
        <f>(INDEX('Option1 (base case)'!S$106:S$117, MATCH($D23, 'Option1 (base case)'!$G$106:$G$117,0)))*conv_2026*S$7</f>
        <v>0</v>
      </c>
      <c r="T23" s="28">
        <f>(INDEX('Option1 (base case)'!T$106:T$117, MATCH($D23, 'Option1 (base case)'!$G$106:$G$117,0)))*conv_2026*T$7</f>
        <v>0</v>
      </c>
      <c r="U23" s="28">
        <f>(INDEX('Option1 (base case)'!U$106:U$117, MATCH($D23, 'Option1 (base case)'!$G$106:$G$117,0)))*conv_2026*U$7</f>
        <v>0</v>
      </c>
      <c r="V23" s="28">
        <f>(INDEX('Option1 (base case)'!V$106:V$117, MATCH($D23, 'Option1 (base case)'!$G$106:$G$117,0)))*conv_2026*V$7</f>
        <v>0</v>
      </c>
      <c r="W23" s="28">
        <f>(INDEX('Option1 (base case)'!W$106:W$117, MATCH($D23, 'Option1 (base case)'!$G$106:$G$117,0)))*conv_2026*W$7</f>
        <v>0</v>
      </c>
      <c r="X23" s="28">
        <f>(INDEX('Option1 (base case)'!X$106:X$117, MATCH($D23, 'Option1 (base case)'!$G$106:$G$117,0)))*conv_2026*X$7</f>
        <v>0</v>
      </c>
      <c r="Y23" s="28">
        <f>(INDEX('Option1 (base case)'!Y$106:Y$117, MATCH($D23, 'Option1 (base case)'!$G$106:$G$117,0)))*conv_2026*Y$7</f>
        <v>0</v>
      </c>
      <c r="Z23" s="28">
        <f>(INDEX('Option1 (base case)'!Z$106:Z$117, MATCH($D23, 'Option1 (base case)'!$G$106:$G$117,0)))*conv_2026*Z$7</f>
        <v>0</v>
      </c>
      <c r="AA23" s="28">
        <f>(INDEX('Option1 (base case)'!AA$106:AA$117, MATCH($D23, 'Option1 (base case)'!$G$106:$G$117,0)))*conv_2026*AA$7</f>
        <v>0</v>
      </c>
      <c r="AB23" s="28">
        <f>(INDEX('Option1 (base case)'!AB$106:AB$117, MATCH($D23, 'Option1 (base case)'!$G$106:$G$117,0)))*conv_2026*AB$7</f>
        <v>0</v>
      </c>
      <c r="AC23" s="28">
        <f>(INDEX('Option1 (base case)'!AC$106:AC$117, MATCH($D23, 'Option1 (base case)'!$G$106:$G$117,0)))*conv_2026*AC$7</f>
        <v>0</v>
      </c>
      <c r="AD23" s="28">
        <f>(INDEX('Option1 (base case)'!AD$106:AD$117, MATCH($D23, 'Option1 (base case)'!$G$106:$G$117,0)))*conv_2026*AD$7</f>
        <v>0</v>
      </c>
      <c r="AE23" s="28">
        <f>(INDEX('Option1 (base case)'!AE$106:AE$117, MATCH($D23, 'Option1 (base case)'!$G$106:$G$117,0)))*conv_2026*AE$7</f>
        <v>0</v>
      </c>
      <c r="AF23" s="28">
        <f>(INDEX('Option1 (base case)'!AF$106:AF$117, MATCH($D23, 'Option1 (base case)'!$G$106:$G$117,0)))*conv_2026*AF$7</f>
        <v>0</v>
      </c>
      <c r="AG23" s="28">
        <f>(INDEX('Option1 (base case)'!AG$106:AG$117, MATCH($D23, 'Option1 (base case)'!$G$106:$G$117,0)))*conv_2026*AG$7</f>
        <v>0</v>
      </c>
      <c r="AH23" s="6"/>
      <c r="AI23" s="6"/>
    </row>
    <row r="24" spans="1:35" s="2" customFormat="1" x14ac:dyDescent="0.2">
      <c r="A24" s="218"/>
      <c r="B24" s="218"/>
      <c r="C24" s="218"/>
      <c r="D24" s="218"/>
      <c r="E24" s="218"/>
      <c r="F24" s="218"/>
      <c r="G24" s="21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5" s="2" customFormat="1" x14ac:dyDescent="0.2">
      <c r="A25" s="218"/>
      <c r="B25" s="218"/>
      <c r="C25" s="218"/>
      <c r="D25" s="218"/>
      <c r="E25" s="218"/>
      <c r="F25" s="218"/>
      <c r="G25" s="21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5" s="2" customFormat="1" x14ac:dyDescent="0.2">
      <c r="A26" s="218"/>
      <c r="B26" s="218"/>
      <c r="C26" s="218"/>
      <c r="D26" s="218"/>
      <c r="E26" s="218"/>
      <c r="F26" s="218"/>
      <c r="G26" s="21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5" s="2" customFormat="1" x14ac:dyDescent="0.2">
      <c r="A27" s="218"/>
      <c r="B27" s="218"/>
      <c r="C27" s="218"/>
      <c r="D27" s="218"/>
      <c r="E27" s="218"/>
      <c r="F27" s="218"/>
      <c r="G27" s="21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5" s="2" customFormat="1" x14ac:dyDescent="0.2">
      <c r="A28" s="224" t="s">
        <v>131</v>
      </c>
      <c r="B28" s="224" t="s">
        <v>119</v>
      </c>
      <c r="C28" s="224" t="s">
        <v>188</v>
      </c>
      <c r="D28" s="224" t="str">
        <f>A28&amp;B28</f>
        <v>Option 2NPV</v>
      </c>
      <c r="E28" s="216"/>
      <c r="F28" s="28">
        <f>SUMPRODUCT($H28:$AG28, $H$5:$AG$5)</f>
        <v>2250914.0365850572</v>
      </c>
      <c r="G28" s="219"/>
      <c r="H28" s="28">
        <f>(INDEX(Option2!H$106:H$117, MATCH($D28, Option2!$G$106:$G$117,0)))*conv_2026*H$7</f>
        <v>0</v>
      </c>
      <c r="I28" s="28">
        <f>(INDEX(Option2!I$106:I$117, MATCH($D28, Option2!$G$106:$G$117,0)))*conv_2026*I$7</f>
        <v>0</v>
      </c>
      <c r="J28" s="28">
        <f>(INDEX(Option2!J$106:J$117, MATCH($D28, Option2!$G$106:$G$117,0)))*conv_2026*J$7</f>
        <v>0</v>
      </c>
      <c r="K28" s="28">
        <f>(INDEX(Option2!K$106:K$117, MATCH($D28, Option2!$G$106:$G$117,0)))*conv_2026*K$7</f>
        <v>0</v>
      </c>
      <c r="L28" s="28">
        <f>(INDEX(Option2!L$106:L$117, MATCH($D28, Option2!$G$106:$G$117,0)))*conv_2026*L$7</f>
        <v>0</v>
      </c>
      <c r="M28" s="28">
        <f>(INDEX(Option2!M$106:M$117, MATCH($D28, Option2!$G$106:$G$117,0)))*conv_2026*M$7</f>
        <v>-83033.290445461113</v>
      </c>
      <c r="N28" s="28">
        <f>(INDEX(Option2!N$106:N$117, MATCH($D28, Option2!$G$106:$G$117,0)))*conv_2026*N$7</f>
        <v>-48120.629365124238</v>
      </c>
      <c r="O28" s="28">
        <f>(INDEX(Option2!O$106:O$117, MATCH($D28, Option2!$G$106:$G$117,0)))*conv_2026*O$7</f>
        <v>80589.324872395882</v>
      </c>
      <c r="P28" s="28">
        <f>(INDEX(Option2!P$106:P$117, MATCH($D28, Option2!$G$106:$G$117,0)))*conv_2026*P$7</f>
        <v>237563.11732251444</v>
      </c>
      <c r="Q28" s="28">
        <f>(INDEX(Option2!Q$106:Q$117, MATCH($D28, Option2!$G$106:$G$117,0)))*conv_2026*Q$7</f>
        <v>237563.11732251444</v>
      </c>
      <c r="R28" s="28">
        <f>(INDEX(Option2!R$106:R$117, MATCH($D28, Option2!$G$106:$G$117,0)))*conv_2026*R$7</f>
        <v>237563.11732251444</v>
      </c>
      <c r="S28" s="28">
        <f>(INDEX(Option2!S$106:S$117, MATCH($D28, Option2!$G$106:$G$117,0)))*conv_2026*S$7</f>
        <v>237563.11732251444</v>
      </c>
      <c r="T28" s="28">
        <f>(INDEX(Option2!T$106:T$117, MATCH($D28, Option2!$G$106:$G$117,0)))*conv_2026*T$7</f>
        <v>237563.11732251444</v>
      </c>
      <c r="U28" s="28">
        <f>(INDEX(Option2!U$106:U$117, MATCH($D28, Option2!$G$106:$G$117,0)))*conv_2026*U$7</f>
        <v>237563.11732251444</v>
      </c>
      <c r="V28" s="28">
        <f>(INDEX(Option2!V$106:V$117, MATCH($D28, Option2!$G$106:$G$117,0)))*conv_2026*V$7</f>
        <v>237563.11732251444</v>
      </c>
      <c r="W28" s="28">
        <f>(INDEX(Option2!W$106:W$117, MATCH($D28, Option2!$G$106:$G$117,0)))*conv_2026*W$7</f>
        <v>237563.11732251444</v>
      </c>
      <c r="X28" s="28">
        <f>(INDEX(Option2!X$106:X$117, MATCH($D28, Option2!$G$106:$G$117,0)))*conv_2026*X$7</f>
        <v>237563.11732251444</v>
      </c>
      <c r="Y28" s="28">
        <f>(INDEX(Option2!Y$106:Y$117, MATCH($D28, Option2!$G$106:$G$117,0)))*conv_2026*Y$7</f>
        <v>237563.11732251444</v>
      </c>
      <c r="Z28" s="28">
        <f>(INDEX(Option2!Z$106:Z$117, MATCH($D28, Option2!$G$106:$G$117,0)))*conv_2026*Z$7</f>
        <v>237563.11732251444</v>
      </c>
      <c r="AA28" s="28">
        <f>(INDEX(Option2!AA$106:AA$117, MATCH($D28, Option2!$G$106:$G$117,0)))*conv_2026*AA$7</f>
        <v>237563.11732251444</v>
      </c>
      <c r="AB28" s="28">
        <f>(INDEX(Option2!AB$106:AB$117, MATCH($D28, Option2!$G$106:$G$117,0)))*conv_2026*AB$7</f>
        <v>237563.11732251444</v>
      </c>
      <c r="AC28" s="28">
        <f>(INDEX(Option2!AC$106:AC$117, MATCH($D28, Option2!$G$106:$G$117,0)))*conv_2026*AC$7</f>
        <v>237563.11732251444</v>
      </c>
      <c r="AD28" s="28">
        <f>(INDEX(Option2!AD$106:AD$117, MATCH($D28, Option2!$G$106:$G$117,0)))*conv_2026*AD$7</f>
        <v>237563.11732251444</v>
      </c>
      <c r="AE28" s="28">
        <f>(INDEX(Option2!AE$106:AE$117, MATCH($D28, Option2!$G$106:$G$117,0)))*conv_2026*AE$7</f>
        <v>237563.11732251444</v>
      </c>
      <c r="AF28" s="28">
        <f>(INDEX(Option2!AF$106:AF$117, MATCH($D28, Option2!$G$106:$G$117,0)))*conv_2026*AF$7</f>
        <v>0</v>
      </c>
      <c r="AG28" s="28">
        <f>(INDEX(Option2!AG$106:AG$117, MATCH($D28, Option2!$G$106:$G$117,0)))*conv_2026*AG$7</f>
        <v>0</v>
      </c>
    </row>
    <row r="29" spans="1:35" s="2" customFormat="1" x14ac:dyDescent="0.2">
      <c r="A29" s="218"/>
      <c r="B29" s="218"/>
      <c r="C29" s="218"/>
      <c r="D29" s="218"/>
      <c r="E29" s="218"/>
      <c r="F29" s="218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</row>
    <row r="30" spans="1:35" s="2" customFormat="1" x14ac:dyDescent="0.2">
      <c r="A30" s="224" t="s">
        <v>131</v>
      </c>
      <c r="B30" s="224" t="str">
        <f>Option2!A110</f>
        <v>sens1</v>
      </c>
      <c r="C30" s="224" t="str">
        <f>Option2!C110</f>
        <v>Capex 10% higher</v>
      </c>
      <c r="D30" s="224" t="str">
        <f t="shared" ref="D30:D37" si="2">A30&amp;B30</f>
        <v>Option 2sens1</v>
      </c>
      <c r="E30" s="216"/>
      <c r="F30" s="28">
        <f>SUMPRODUCT($H30:$AG30, $H$5:$AG$5)</f>
        <v>2056179.0336783482</v>
      </c>
      <c r="G30" s="219"/>
      <c r="H30" s="28">
        <f>IF($B30=0,0, (INDEX(Option2!H$106:H$117, MATCH($D30, Option2!$G$106:$G$117,0)))*conv_2026*H$7)</f>
        <v>0</v>
      </c>
      <c r="I30" s="28">
        <f>IF($B30=0,0, (INDEX(Option2!I$106:I$117, MATCH($D30, Option2!$G$106:$G$117,0)))*conv_2026*I$7)</f>
        <v>0</v>
      </c>
      <c r="J30" s="28">
        <f>IF($B30=0,0, (INDEX(Option2!J$106:J$117, MATCH($D30, Option2!$G$106:$G$117,0)))*conv_2026*J$7)</f>
        <v>0</v>
      </c>
      <c r="K30" s="28">
        <f>IF($B30=0,0, (INDEX(Option2!K$106:K$117, MATCH($D30, Option2!$G$106:$G$117,0)))*conv_2026*K$7)</f>
        <v>0</v>
      </c>
      <c r="L30" s="28">
        <f>IF($B30=0,0, (INDEX(Option2!L$106:L$117, MATCH($D30, Option2!$G$106:$G$117,0)))*conv_2026*L$7)</f>
        <v>0</v>
      </c>
      <c r="M30" s="28">
        <f>IF($B30=0,0, (INDEX(Option2!M$106:M$117, MATCH($D30, Option2!$G$106:$G$117,0)))*conv_2026*M$7)</f>
        <v>-91336.61949000723</v>
      </c>
      <c r="N30" s="28">
        <f>IF($B30=0,0, (INDEX(Option2!N$106:N$117, MATCH($D30, Option2!$G$106:$G$117,0)))*conv_2026*N$7)</f>
        <v>-64727.287454216457</v>
      </c>
      <c r="O30" s="28">
        <f>IF($B30=0,0, (INDEX(Option2!O$106:O$117, MATCH($D30, Option2!$G$106:$G$117,0)))*conv_2026*O$7)</f>
        <v>63982.66678330367</v>
      </c>
      <c r="P30" s="28">
        <f>IF($B30=0,0, (INDEX(Option2!P$106:P$117, MATCH($D30, Option2!$G$106:$G$117,0)))*conv_2026*P$7)</f>
        <v>220956.45923342221</v>
      </c>
      <c r="Q30" s="28">
        <f>IF($B30=0,0, (INDEX(Option2!Q$106:Q$117, MATCH($D30, Option2!$G$106:$G$117,0)))*conv_2026*Q$7)</f>
        <v>220956.45923342221</v>
      </c>
      <c r="R30" s="28">
        <f>IF($B30=0,0, (INDEX(Option2!R$106:R$117, MATCH($D30, Option2!$G$106:$G$117,0)))*conv_2026*R$7)</f>
        <v>220956.45923342221</v>
      </c>
      <c r="S30" s="28">
        <f>IF($B30=0,0, (INDEX(Option2!S$106:S$117, MATCH($D30, Option2!$G$106:$G$117,0)))*conv_2026*S$7)</f>
        <v>220956.45923342221</v>
      </c>
      <c r="T30" s="28">
        <f>IF($B30=0,0, (INDEX(Option2!T$106:T$117, MATCH($D30, Option2!$G$106:$G$117,0)))*conv_2026*T$7)</f>
        <v>220956.45923342221</v>
      </c>
      <c r="U30" s="28">
        <f>IF($B30=0,0, (INDEX(Option2!U$106:U$117, MATCH($D30, Option2!$G$106:$G$117,0)))*conv_2026*U$7)</f>
        <v>220956.45923342221</v>
      </c>
      <c r="V30" s="28">
        <f>IF($B30=0,0, (INDEX(Option2!V$106:V$117, MATCH($D30, Option2!$G$106:$G$117,0)))*conv_2026*V$7)</f>
        <v>220956.45923342221</v>
      </c>
      <c r="W30" s="28">
        <f>IF($B30=0,0, (INDEX(Option2!W$106:W$117, MATCH($D30, Option2!$G$106:$G$117,0)))*conv_2026*W$7)</f>
        <v>220956.45923342221</v>
      </c>
      <c r="X30" s="28">
        <f>IF($B30=0,0, (INDEX(Option2!X$106:X$117, MATCH($D30, Option2!$G$106:$G$117,0)))*conv_2026*X$7)</f>
        <v>220956.45923342221</v>
      </c>
      <c r="Y30" s="28">
        <f>IF($B30=0,0, (INDEX(Option2!Y$106:Y$117, MATCH($D30, Option2!$G$106:$G$117,0)))*conv_2026*Y$7)</f>
        <v>220956.45923342221</v>
      </c>
      <c r="Z30" s="28">
        <f>IF($B30=0,0, (INDEX(Option2!Z$106:Z$117, MATCH($D30, Option2!$G$106:$G$117,0)))*conv_2026*Z$7)</f>
        <v>220956.45923342221</v>
      </c>
      <c r="AA30" s="28">
        <f>IF($B30=0,0, (INDEX(Option2!AA$106:AA$117, MATCH($D30, Option2!$G$106:$G$117,0)))*conv_2026*AA$7)</f>
        <v>220956.45923342221</v>
      </c>
      <c r="AB30" s="28">
        <f>IF($B30=0,0, (INDEX(Option2!AB$106:AB$117, MATCH($D30, Option2!$G$106:$G$117,0)))*conv_2026*AB$7)</f>
        <v>220956.45923342221</v>
      </c>
      <c r="AC30" s="28">
        <f>IF($B30=0,0, (INDEX(Option2!AC$106:AC$117, MATCH($D30, Option2!$G$106:$G$117,0)))*conv_2026*AC$7)</f>
        <v>220956.45923342221</v>
      </c>
      <c r="AD30" s="28">
        <f>IF($B30=0,0, (INDEX(Option2!AD$106:AD$117, MATCH($D30, Option2!$G$106:$G$117,0)))*conv_2026*AD$7)</f>
        <v>220956.45923342221</v>
      </c>
      <c r="AE30" s="28">
        <f>IF($B30=0,0, (INDEX(Option2!AE$106:AE$117, MATCH($D30, Option2!$G$106:$G$117,0)))*conv_2026*AE$7)</f>
        <v>220956.45923342221</v>
      </c>
      <c r="AF30" s="28">
        <f>IF($B30=0,0, (INDEX(Option2!AF$106:AF$117, MATCH($D30, Option2!$G$106:$G$117,0)))*conv_2026*AF$7)</f>
        <v>0</v>
      </c>
      <c r="AG30" s="28">
        <f>IF($B30=0,0, (INDEX(Option2!AG$106:AG$117, MATCH($D30, Option2!$G$106:$G$117,0)))*conv_2026*AG$7)</f>
        <v>0</v>
      </c>
    </row>
    <row r="31" spans="1:35" s="6" customFormat="1" x14ac:dyDescent="0.2">
      <c r="A31" s="224" t="s">
        <v>131</v>
      </c>
      <c r="B31" s="224" t="str">
        <f>Option2!A111</f>
        <v>sens2</v>
      </c>
      <c r="C31" s="224" t="str">
        <f>Option2!C111</f>
        <v>Capex 10% lower</v>
      </c>
      <c r="D31" s="224" t="str">
        <f t="shared" si="2"/>
        <v>Option 2sens2</v>
      </c>
      <c r="E31" s="216"/>
      <c r="F31" s="28">
        <f t="shared" ref="F31:F37" si="3">SUMPRODUCT($H31:$AG31, $H$5:$AG$5)</f>
        <v>2445649.0394917657</v>
      </c>
      <c r="G31" s="224"/>
      <c r="H31" s="28">
        <f>IF($B31=0,0, (INDEX(Option2!H$106:H$117, MATCH($D31, Option2!$G$106:$G$117,0)))*conv_2026*H$7)</f>
        <v>0</v>
      </c>
      <c r="I31" s="28">
        <f>IF($B31=0,0, (INDEX(Option2!I$106:I$117, MATCH($D31, Option2!$G$106:$G$117,0)))*conv_2026*I$7)</f>
        <v>0</v>
      </c>
      <c r="J31" s="28">
        <f>IF($B31=0,0, (INDEX(Option2!J$106:J$117, MATCH($D31, Option2!$G$106:$G$117,0)))*conv_2026*J$7)</f>
        <v>0</v>
      </c>
      <c r="K31" s="28">
        <f>IF($B31=0,0, (INDEX(Option2!K$106:K$117, MATCH($D31, Option2!$G$106:$G$117,0)))*conv_2026*K$7)</f>
        <v>0</v>
      </c>
      <c r="L31" s="28">
        <f>IF($B31=0,0, (INDEX(Option2!L$106:L$117, MATCH($D31, Option2!$G$106:$G$117,0)))*conv_2026*L$7)</f>
        <v>0</v>
      </c>
      <c r="M31" s="28">
        <f>IF($B31=0,0, (INDEX(Option2!M$106:M$117, MATCH($D31, Option2!$G$106:$G$117,0)))*conv_2026*M$7)</f>
        <v>-74729.961400914981</v>
      </c>
      <c r="N31" s="28">
        <f>IF($B31=0,0, (INDEX(Option2!N$106:N$117, MATCH($D31, Option2!$G$106:$G$117,0)))*conv_2026*N$7)</f>
        <v>-31513.971276032014</v>
      </c>
      <c r="O31" s="28">
        <f>IF($B31=0,0, (INDEX(Option2!O$106:O$117, MATCH($D31, Option2!$G$106:$G$117,0)))*conv_2026*O$7)</f>
        <v>97195.982961488102</v>
      </c>
      <c r="P31" s="28">
        <f>IF($B31=0,0, (INDEX(Option2!P$106:P$117, MATCH($D31, Option2!$G$106:$G$117,0)))*conv_2026*P$7)</f>
        <v>254169.77541160668</v>
      </c>
      <c r="Q31" s="28">
        <f>IF($B31=0,0, (INDEX(Option2!Q$106:Q$117, MATCH($D31, Option2!$G$106:$G$117,0)))*conv_2026*Q$7)</f>
        <v>254169.77541160668</v>
      </c>
      <c r="R31" s="28">
        <f>IF($B31=0,0, (INDEX(Option2!R$106:R$117, MATCH($D31, Option2!$G$106:$G$117,0)))*conv_2026*R$7)</f>
        <v>254169.77541160668</v>
      </c>
      <c r="S31" s="28">
        <f>IF($B31=0,0, (INDEX(Option2!S$106:S$117, MATCH($D31, Option2!$G$106:$G$117,0)))*conv_2026*S$7)</f>
        <v>254169.77541160668</v>
      </c>
      <c r="T31" s="28">
        <f>IF($B31=0,0, (INDEX(Option2!T$106:T$117, MATCH($D31, Option2!$G$106:$G$117,0)))*conv_2026*T$7)</f>
        <v>254169.77541160668</v>
      </c>
      <c r="U31" s="28">
        <f>IF($B31=0,0, (INDEX(Option2!U$106:U$117, MATCH($D31, Option2!$G$106:$G$117,0)))*conv_2026*U$7)</f>
        <v>254169.77541160668</v>
      </c>
      <c r="V31" s="28">
        <f>IF($B31=0,0, (INDEX(Option2!V$106:V$117, MATCH($D31, Option2!$G$106:$G$117,0)))*conv_2026*V$7)</f>
        <v>254169.77541160668</v>
      </c>
      <c r="W31" s="28">
        <f>IF($B31=0,0, (INDEX(Option2!W$106:W$117, MATCH($D31, Option2!$G$106:$G$117,0)))*conv_2026*W$7)</f>
        <v>254169.77541160668</v>
      </c>
      <c r="X31" s="28">
        <f>IF($B31=0,0, (INDEX(Option2!X$106:X$117, MATCH($D31, Option2!$G$106:$G$117,0)))*conv_2026*X$7)</f>
        <v>254169.77541160668</v>
      </c>
      <c r="Y31" s="28">
        <f>IF($B31=0,0, (INDEX(Option2!Y$106:Y$117, MATCH($D31, Option2!$G$106:$G$117,0)))*conv_2026*Y$7)</f>
        <v>254169.77541160668</v>
      </c>
      <c r="Z31" s="28">
        <f>IF($B31=0,0, (INDEX(Option2!Z$106:Z$117, MATCH($D31, Option2!$G$106:$G$117,0)))*conv_2026*Z$7)</f>
        <v>254169.77541160668</v>
      </c>
      <c r="AA31" s="28">
        <f>IF($B31=0,0, (INDEX(Option2!AA$106:AA$117, MATCH($D31, Option2!$G$106:$G$117,0)))*conv_2026*AA$7)</f>
        <v>254169.77541160668</v>
      </c>
      <c r="AB31" s="28">
        <f>IF($B31=0,0, (INDEX(Option2!AB$106:AB$117, MATCH($D31, Option2!$G$106:$G$117,0)))*conv_2026*AB$7)</f>
        <v>254169.77541160668</v>
      </c>
      <c r="AC31" s="28">
        <f>IF($B31=0,0, (INDEX(Option2!AC$106:AC$117, MATCH($D31, Option2!$G$106:$G$117,0)))*conv_2026*AC$7)</f>
        <v>254169.77541160668</v>
      </c>
      <c r="AD31" s="28">
        <f>IF($B31=0,0, (INDEX(Option2!AD$106:AD$117, MATCH($D31, Option2!$G$106:$G$117,0)))*conv_2026*AD$7)</f>
        <v>254169.77541160668</v>
      </c>
      <c r="AE31" s="28">
        <f>IF($B31=0,0, (INDEX(Option2!AE$106:AE$117, MATCH($D31, Option2!$G$106:$G$117,0)))*conv_2026*AE$7)</f>
        <v>254169.77541160668</v>
      </c>
      <c r="AF31" s="28">
        <f>IF($B31=0,0, (INDEX(Option2!AF$106:AF$117, MATCH($D31, Option2!$G$106:$G$117,0)))*conv_2026*AF$7)</f>
        <v>0</v>
      </c>
      <c r="AG31" s="28">
        <f>IF($B31=0,0, (INDEX(Option2!AG$106:AG$117, MATCH($D31, Option2!$G$106:$G$117,0)))*conv_2026*AG$7)</f>
        <v>0</v>
      </c>
    </row>
    <row r="32" spans="1:35" s="6" customFormat="1" x14ac:dyDescent="0.2">
      <c r="A32" s="224" t="s">
        <v>131</v>
      </c>
      <c r="B32" s="224" t="str">
        <f>Option2!A112</f>
        <v>sens3</v>
      </c>
      <c r="C32" s="224" t="str">
        <f>Option2!C112</f>
        <v>Total benefits 10% higher</v>
      </c>
      <c r="D32" s="224" t="str">
        <f t="shared" si="2"/>
        <v>Option 2sens3</v>
      </c>
      <c r="E32" s="216"/>
      <c r="F32" s="28">
        <f t="shared" si="3"/>
        <v>2670740.4431502721</v>
      </c>
      <c r="H32" s="28">
        <f>IF($B32=0,0, (INDEX(Option2!H$106:H$117, MATCH($D32, Option2!$G$106:$G$117,0)))*conv_2026*H$7)</f>
        <v>0</v>
      </c>
      <c r="I32" s="28">
        <f>IF($B32=0,0, (INDEX(Option2!I$106:I$117, MATCH($D32, Option2!$G$106:$G$117,0)))*conv_2026*I$7)</f>
        <v>0</v>
      </c>
      <c r="J32" s="28">
        <f>IF($B32=0,0, (INDEX(Option2!J$106:J$117, MATCH($D32, Option2!$G$106:$G$117,0)))*conv_2026*J$7)</f>
        <v>0</v>
      </c>
      <c r="K32" s="28">
        <f>IF($B32=0,0, (INDEX(Option2!K$106:K$117, MATCH($D32, Option2!$G$106:$G$117,0)))*conv_2026*K$7)</f>
        <v>0</v>
      </c>
      <c r="L32" s="28">
        <f>IF($B32=0,0, (INDEX(Option2!L$106:L$117, MATCH($D32, Option2!$G$106:$G$117,0)))*conv_2026*L$7)</f>
        <v>0</v>
      </c>
      <c r="M32" s="28">
        <f>IF($B32=0,0, (INDEX(Option2!M$106:M$117, MATCH($D32, Option2!$G$106:$G$117,0)))*conv_2026*M$7)</f>
        <v>-83033.290445461113</v>
      </c>
      <c r="N32" s="28">
        <f>IF($B32=0,0, (INDEX(Option2!N$106:N$117, MATCH($D32, Option2!$G$106:$G$117,0)))*conv_2026*N$7)</f>
        <v>-36326.034212544437</v>
      </c>
      <c r="O32" s="28">
        <f>IF($B32=0,0, (INDEX(Option2!O$106:O$117, MATCH($D32, Option2!$G$106:$G$117,0)))*conv_2026*O$7)</f>
        <v>105254.91544872771</v>
      </c>
      <c r="P32" s="28">
        <f>IF($B32=0,0, (INDEX(Option2!P$106:P$117, MATCH($D32, Option2!$G$106:$G$117,0)))*conv_2026*P$7)</f>
        <v>277926.08714385814</v>
      </c>
      <c r="Q32" s="28">
        <f>IF($B32=0,0, (INDEX(Option2!Q$106:Q$117, MATCH($D32, Option2!$G$106:$G$117,0)))*conv_2026*Q$7)</f>
        <v>277926.08714385814</v>
      </c>
      <c r="R32" s="28">
        <f>IF($B32=0,0, (INDEX(Option2!R$106:R$117, MATCH($D32, Option2!$G$106:$G$117,0)))*conv_2026*R$7)</f>
        <v>277926.08714385814</v>
      </c>
      <c r="S32" s="28">
        <f>IF($B32=0,0, (INDEX(Option2!S$106:S$117, MATCH($D32, Option2!$G$106:$G$117,0)))*conv_2026*S$7)</f>
        <v>277926.08714385814</v>
      </c>
      <c r="T32" s="28">
        <f>IF($B32=0,0, (INDEX(Option2!T$106:T$117, MATCH($D32, Option2!$G$106:$G$117,0)))*conv_2026*T$7)</f>
        <v>277926.08714385814</v>
      </c>
      <c r="U32" s="28">
        <f>IF($B32=0,0, (INDEX(Option2!U$106:U$117, MATCH($D32, Option2!$G$106:$G$117,0)))*conv_2026*U$7)</f>
        <v>277926.08714385814</v>
      </c>
      <c r="V32" s="28">
        <f>IF($B32=0,0, (INDEX(Option2!V$106:V$117, MATCH($D32, Option2!$G$106:$G$117,0)))*conv_2026*V$7)</f>
        <v>277926.08714385814</v>
      </c>
      <c r="W32" s="28">
        <f>IF($B32=0,0, (INDEX(Option2!W$106:W$117, MATCH($D32, Option2!$G$106:$G$117,0)))*conv_2026*W$7)</f>
        <v>277926.08714385814</v>
      </c>
      <c r="X32" s="28">
        <f>IF($B32=0,0, (INDEX(Option2!X$106:X$117, MATCH($D32, Option2!$G$106:$G$117,0)))*conv_2026*X$7)</f>
        <v>277926.08714385814</v>
      </c>
      <c r="Y32" s="28">
        <f>IF($B32=0,0, (INDEX(Option2!Y$106:Y$117, MATCH($D32, Option2!$G$106:$G$117,0)))*conv_2026*Y$7)</f>
        <v>277926.08714385814</v>
      </c>
      <c r="Z32" s="28">
        <f>IF($B32=0,0, (INDEX(Option2!Z$106:Z$117, MATCH($D32, Option2!$G$106:$G$117,0)))*conv_2026*Z$7)</f>
        <v>277926.08714385814</v>
      </c>
      <c r="AA32" s="28">
        <f>IF($B32=0,0, (INDEX(Option2!AA$106:AA$117, MATCH($D32, Option2!$G$106:$G$117,0)))*conv_2026*AA$7)</f>
        <v>277926.08714385814</v>
      </c>
      <c r="AB32" s="28">
        <f>IF($B32=0,0, (INDEX(Option2!AB$106:AB$117, MATCH($D32, Option2!$G$106:$G$117,0)))*conv_2026*AB$7)</f>
        <v>277926.08714385814</v>
      </c>
      <c r="AC32" s="28">
        <f>IF($B32=0,0, (INDEX(Option2!AC$106:AC$117, MATCH($D32, Option2!$G$106:$G$117,0)))*conv_2026*AC$7)</f>
        <v>277926.08714385814</v>
      </c>
      <c r="AD32" s="28">
        <f>IF($B32=0,0, (INDEX(Option2!AD$106:AD$117, MATCH($D32, Option2!$G$106:$G$117,0)))*conv_2026*AD$7)</f>
        <v>277926.08714385814</v>
      </c>
      <c r="AE32" s="28">
        <f>IF($B32=0,0, (INDEX(Option2!AE$106:AE$117, MATCH($D32, Option2!$G$106:$G$117,0)))*conv_2026*AE$7)</f>
        <v>277926.08714385814</v>
      </c>
      <c r="AF32" s="28">
        <f>IF($B32=0,0, (INDEX(Option2!AF$106:AF$117, MATCH($D32, Option2!$G$106:$G$117,0)))*conv_2026*AF$7)</f>
        <v>0</v>
      </c>
      <c r="AG32" s="28">
        <f>IF($B32=0,0, (INDEX(Option2!AG$106:AG$117, MATCH($D32, Option2!$G$106:$G$117,0)))*conv_2026*AG$7)</f>
        <v>0</v>
      </c>
    </row>
    <row r="33" spans="1:35" s="6" customFormat="1" x14ac:dyDescent="0.2">
      <c r="A33" s="224" t="s">
        <v>131</v>
      </c>
      <c r="B33" s="224" t="str">
        <f>Option2!A113</f>
        <v>sens4</v>
      </c>
      <c r="C33" s="224" t="str">
        <f>Option2!C113</f>
        <v>Total benefits 10% lower</v>
      </c>
      <c r="D33" s="224" t="str">
        <f t="shared" si="2"/>
        <v>Option 2sens4</v>
      </c>
      <c r="E33" s="216"/>
      <c r="F33" s="28">
        <f t="shared" si="3"/>
        <v>1831087.6300198422</v>
      </c>
      <c r="H33" s="28">
        <f>IF($B33=0,0, (INDEX(Option2!H$106:H$117, MATCH($D33, Option2!$G$106:$G$117,0)))*conv_2026*H$7)</f>
        <v>0</v>
      </c>
      <c r="I33" s="28">
        <f>IF($B33=0,0, (INDEX(Option2!I$106:I$117, MATCH($D33, Option2!$G$106:$G$117,0)))*conv_2026*I$7)</f>
        <v>0</v>
      </c>
      <c r="J33" s="28">
        <f>IF($B33=0,0, (INDEX(Option2!J$106:J$117, MATCH($D33, Option2!$G$106:$G$117,0)))*conv_2026*J$7)</f>
        <v>0</v>
      </c>
      <c r="K33" s="28">
        <f>IF($B33=0,0, (INDEX(Option2!K$106:K$117, MATCH($D33, Option2!$G$106:$G$117,0)))*conv_2026*K$7)</f>
        <v>0</v>
      </c>
      <c r="L33" s="28">
        <f>IF($B33=0,0, (INDEX(Option2!L$106:L$117, MATCH($D33, Option2!$G$106:$G$117,0)))*conv_2026*L$7)</f>
        <v>0</v>
      </c>
      <c r="M33" s="28">
        <f>IF($B33=0,0, (INDEX(Option2!M$106:M$117, MATCH($D33, Option2!$G$106:$G$117,0)))*conv_2026*M$7)</f>
        <v>-83033.290445461113</v>
      </c>
      <c r="N33" s="28">
        <f>IF($B33=0,0, (INDEX(Option2!N$106:N$117, MATCH($D33, Option2!$G$106:$G$117,0)))*conv_2026*N$7)</f>
        <v>-59915.224517704031</v>
      </c>
      <c r="O33" s="28">
        <f>IF($B33=0,0, (INDEX(Option2!O$106:O$117, MATCH($D33, Option2!$G$106:$G$117,0)))*conv_2026*O$7)</f>
        <v>55923.734296064074</v>
      </c>
      <c r="P33" s="28">
        <f>IF($B33=0,0, (INDEX(Option2!P$106:P$117, MATCH($D33, Option2!$G$106:$G$117,0)))*conv_2026*P$7)</f>
        <v>197200.14750117075</v>
      </c>
      <c r="Q33" s="28">
        <f>IF($B33=0,0, (INDEX(Option2!Q$106:Q$117, MATCH($D33, Option2!$G$106:$G$117,0)))*conv_2026*Q$7)</f>
        <v>197200.14750117075</v>
      </c>
      <c r="R33" s="28">
        <f>IF($B33=0,0, (INDEX(Option2!R$106:R$117, MATCH($D33, Option2!$G$106:$G$117,0)))*conv_2026*R$7)</f>
        <v>197200.14750117075</v>
      </c>
      <c r="S33" s="28">
        <f>IF($B33=0,0, (INDEX(Option2!S$106:S$117, MATCH($D33, Option2!$G$106:$G$117,0)))*conv_2026*S$7)</f>
        <v>197200.14750117075</v>
      </c>
      <c r="T33" s="28">
        <f>IF($B33=0,0, (INDEX(Option2!T$106:T$117, MATCH($D33, Option2!$G$106:$G$117,0)))*conv_2026*T$7)</f>
        <v>197200.14750117075</v>
      </c>
      <c r="U33" s="28">
        <f>IF($B33=0,0, (INDEX(Option2!U$106:U$117, MATCH($D33, Option2!$G$106:$G$117,0)))*conv_2026*U$7)</f>
        <v>197200.14750117075</v>
      </c>
      <c r="V33" s="28">
        <f>IF($B33=0,0, (INDEX(Option2!V$106:V$117, MATCH($D33, Option2!$G$106:$G$117,0)))*conv_2026*V$7)</f>
        <v>197200.14750117075</v>
      </c>
      <c r="W33" s="28">
        <f>IF($B33=0,0, (INDEX(Option2!W$106:W$117, MATCH($D33, Option2!$G$106:$G$117,0)))*conv_2026*W$7)</f>
        <v>197200.14750117075</v>
      </c>
      <c r="X33" s="28">
        <f>IF($B33=0,0, (INDEX(Option2!X$106:X$117, MATCH($D33, Option2!$G$106:$G$117,0)))*conv_2026*X$7)</f>
        <v>197200.14750117075</v>
      </c>
      <c r="Y33" s="28">
        <f>IF($B33=0,0, (INDEX(Option2!Y$106:Y$117, MATCH($D33, Option2!$G$106:$G$117,0)))*conv_2026*Y$7)</f>
        <v>197200.14750117075</v>
      </c>
      <c r="Z33" s="28">
        <f>IF($B33=0,0, (INDEX(Option2!Z$106:Z$117, MATCH($D33, Option2!$G$106:$G$117,0)))*conv_2026*Z$7)</f>
        <v>197200.14750117075</v>
      </c>
      <c r="AA33" s="28">
        <f>IF($B33=0,0, (INDEX(Option2!AA$106:AA$117, MATCH($D33, Option2!$G$106:$G$117,0)))*conv_2026*AA$7)</f>
        <v>197200.14750117075</v>
      </c>
      <c r="AB33" s="28">
        <f>IF($B33=0,0, (INDEX(Option2!AB$106:AB$117, MATCH($D33, Option2!$G$106:$G$117,0)))*conv_2026*AB$7)</f>
        <v>197200.14750117075</v>
      </c>
      <c r="AC33" s="28">
        <f>IF($B33=0,0, (INDEX(Option2!AC$106:AC$117, MATCH($D33, Option2!$G$106:$G$117,0)))*conv_2026*AC$7)</f>
        <v>197200.14750117075</v>
      </c>
      <c r="AD33" s="28">
        <f>IF($B33=0,0, (INDEX(Option2!AD$106:AD$117, MATCH($D33, Option2!$G$106:$G$117,0)))*conv_2026*AD$7)</f>
        <v>197200.14750117075</v>
      </c>
      <c r="AE33" s="28">
        <f>IF($B33=0,0, (INDEX(Option2!AE$106:AE$117, MATCH($D33, Option2!$G$106:$G$117,0)))*conv_2026*AE$7)</f>
        <v>197200.14750117075</v>
      </c>
      <c r="AF33" s="28">
        <f>IF($B33=0,0, (INDEX(Option2!AF$106:AF$117, MATCH($D33, Option2!$G$106:$G$117,0)))*conv_2026*AF$7)</f>
        <v>0</v>
      </c>
      <c r="AG33" s="28">
        <f>IF($B33=0,0, (INDEX(Option2!AG$106:AG$117, MATCH($D33, Option2!$G$106:$G$117,0)))*conv_2026*AG$7)</f>
        <v>0</v>
      </c>
    </row>
    <row r="34" spans="1:35" s="6" customFormat="1" x14ac:dyDescent="0.2">
      <c r="A34" s="224" t="s">
        <v>131</v>
      </c>
      <c r="B34" s="224" t="str">
        <f>Option2!A114</f>
        <v>sens5</v>
      </c>
      <c r="C34" s="224" t="str">
        <f>Option2!C114</f>
        <v>Capex 10% higher &amp; Total benefits 10% lower</v>
      </c>
      <c r="D34" s="224" t="str">
        <f t="shared" si="2"/>
        <v>Option 2sens5</v>
      </c>
      <c r="E34" s="216"/>
      <c r="F34" s="28">
        <f t="shared" si="3"/>
        <v>1636352.627113133</v>
      </c>
      <c r="H34" s="28">
        <f>IF($B34=0,0, (INDEX(Option2!H$106:H$117, MATCH($D34, Option2!$G$106:$G$117,0)))*conv_2026*H$7)</f>
        <v>0</v>
      </c>
      <c r="I34" s="28">
        <f>IF($B34=0,0, (INDEX(Option2!I$106:I$117, MATCH($D34, Option2!$G$106:$G$117,0)))*conv_2026*I$7)</f>
        <v>0</v>
      </c>
      <c r="J34" s="28">
        <f>IF($B34=0,0, (INDEX(Option2!J$106:J$117, MATCH($D34, Option2!$G$106:$G$117,0)))*conv_2026*J$7)</f>
        <v>0</v>
      </c>
      <c r="K34" s="28">
        <f>IF($B34=0,0, (INDEX(Option2!K$106:K$117, MATCH($D34, Option2!$G$106:$G$117,0)))*conv_2026*K$7)</f>
        <v>0</v>
      </c>
      <c r="L34" s="28">
        <f>IF($B34=0,0, (INDEX(Option2!L$106:L$117, MATCH($D34, Option2!$G$106:$G$117,0)))*conv_2026*L$7)</f>
        <v>0</v>
      </c>
      <c r="M34" s="28">
        <f>IF($B34=0,0, (INDEX(Option2!M$106:M$117, MATCH($D34, Option2!$G$106:$G$117,0)))*conv_2026*M$7)</f>
        <v>-91336.61949000723</v>
      </c>
      <c r="N34" s="28">
        <f>IF($B34=0,0, (INDEX(Option2!N$106:N$117, MATCH($D34, Option2!$G$106:$G$117,0)))*conv_2026*N$7)</f>
        <v>-76521.882606796251</v>
      </c>
      <c r="O34" s="28">
        <f>IF($B34=0,0, (INDEX(Option2!O$106:O$117, MATCH($D34, Option2!$G$106:$G$117,0)))*conv_2026*O$7)</f>
        <v>39317.076206971855</v>
      </c>
      <c r="P34" s="28">
        <f>IF($B34=0,0, (INDEX(Option2!P$106:P$117, MATCH($D34, Option2!$G$106:$G$117,0)))*conv_2026*P$7)</f>
        <v>180593.48941207855</v>
      </c>
      <c r="Q34" s="28">
        <f>IF($B34=0,0, (INDEX(Option2!Q$106:Q$117, MATCH($D34, Option2!$G$106:$G$117,0)))*conv_2026*Q$7)</f>
        <v>180593.48941207855</v>
      </c>
      <c r="R34" s="28">
        <f>IF($B34=0,0, (INDEX(Option2!R$106:R$117, MATCH($D34, Option2!$G$106:$G$117,0)))*conv_2026*R$7)</f>
        <v>180593.48941207855</v>
      </c>
      <c r="S34" s="28">
        <f>IF($B34=0,0, (INDEX(Option2!S$106:S$117, MATCH($D34, Option2!$G$106:$G$117,0)))*conv_2026*S$7)</f>
        <v>180593.48941207855</v>
      </c>
      <c r="T34" s="28">
        <f>IF($B34=0,0, (INDEX(Option2!T$106:T$117, MATCH($D34, Option2!$G$106:$G$117,0)))*conv_2026*T$7)</f>
        <v>180593.48941207855</v>
      </c>
      <c r="U34" s="28">
        <f>IF($B34=0,0, (INDEX(Option2!U$106:U$117, MATCH($D34, Option2!$G$106:$G$117,0)))*conv_2026*U$7)</f>
        <v>180593.48941207855</v>
      </c>
      <c r="V34" s="28">
        <f>IF($B34=0,0, (INDEX(Option2!V$106:V$117, MATCH($D34, Option2!$G$106:$G$117,0)))*conv_2026*V$7)</f>
        <v>180593.48941207855</v>
      </c>
      <c r="W34" s="28">
        <f>IF($B34=0,0, (INDEX(Option2!W$106:W$117, MATCH($D34, Option2!$G$106:$G$117,0)))*conv_2026*W$7)</f>
        <v>180593.48941207855</v>
      </c>
      <c r="X34" s="28">
        <f>IF($B34=0,0, (INDEX(Option2!X$106:X$117, MATCH($D34, Option2!$G$106:$G$117,0)))*conv_2026*X$7)</f>
        <v>180593.48941207855</v>
      </c>
      <c r="Y34" s="28">
        <f>IF($B34=0,0, (INDEX(Option2!Y$106:Y$117, MATCH($D34, Option2!$G$106:$G$117,0)))*conv_2026*Y$7)</f>
        <v>180593.48941207855</v>
      </c>
      <c r="Z34" s="28">
        <f>IF($B34=0,0, (INDEX(Option2!Z$106:Z$117, MATCH($D34, Option2!$G$106:$G$117,0)))*conv_2026*Z$7)</f>
        <v>180593.48941207855</v>
      </c>
      <c r="AA34" s="28">
        <f>IF($B34=0,0, (INDEX(Option2!AA$106:AA$117, MATCH($D34, Option2!$G$106:$G$117,0)))*conv_2026*AA$7)</f>
        <v>180593.48941207855</v>
      </c>
      <c r="AB34" s="28">
        <f>IF($B34=0,0, (INDEX(Option2!AB$106:AB$117, MATCH($D34, Option2!$G$106:$G$117,0)))*conv_2026*AB$7)</f>
        <v>180593.48941207855</v>
      </c>
      <c r="AC34" s="28">
        <f>IF($B34=0,0, (INDEX(Option2!AC$106:AC$117, MATCH($D34, Option2!$G$106:$G$117,0)))*conv_2026*AC$7)</f>
        <v>180593.48941207855</v>
      </c>
      <c r="AD34" s="28">
        <f>IF($B34=0,0, (INDEX(Option2!AD$106:AD$117, MATCH($D34, Option2!$G$106:$G$117,0)))*conv_2026*AD$7)</f>
        <v>180593.48941207855</v>
      </c>
      <c r="AE34" s="28">
        <f>IF($B34=0,0, (INDEX(Option2!AE$106:AE$117, MATCH($D34, Option2!$G$106:$G$117,0)))*conv_2026*AE$7)</f>
        <v>180593.48941207855</v>
      </c>
      <c r="AF34" s="28">
        <f>IF($B34=0,0, (INDEX(Option2!AF$106:AF$117, MATCH($D34, Option2!$G$106:$G$117,0)))*conv_2026*AF$7)</f>
        <v>0</v>
      </c>
      <c r="AG34" s="28">
        <f>IF($B34=0,0, (INDEX(Option2!AG$106:AG$117, MATCH($D34, Option2!$G$106:$G$117,0)))*conv_2026*AG$7)</f>
        <v>0</v>
      </c>
    </row>
    <row r="35" spans="1:35" s="6" customFormat="1" x14ac:dyDescent="0.2">
      <c r="A35" s="224" t="s">
        <v>131</v>
      </c>
      <c r="B35" s="224" t="str">
        <f>Option2!A115</f>
        <v>sens</v>
      </c>
      <c r="C35" s="224">
        <f>Option2!C115</f>
        <v>0</v>
      </c>
      <c r="D35" s="224" t="str">
        <f t="shared" si="2"/>
        <v>Option 2sens</v>
      </c>
      <c r="E35" s="216"/>
      <c r="F35" s="28">
        <f t="shared" si="3"/>
        <v>2250914.0365850572</v>
      </c>
      <c r="H35" s="28">
        <f>IF($B35=0,0, (INDEX(Option2!H$106:H$117, MATCH($D35, Option2!$G$106:$G$117,0)))*conv_2026*H$7)</f>
        <v>0</v>
      </c>
      <c r="I35" s="28">
        <f>IF($B35=0,0, (INDEX(Option2!I$106:I$117, MATCH($D35, Option2!$G$106:$G$117,0)))*conv_2026*I$7)</f>
        <v>0</v>
      </c>
      <c r="J35" s="28">
        <f>IF($B35=0,0, (INDEX(Option2!J$106:J$117, MATCH($D35, Option2!$G$106:$G$117,0)))*conv_2026*J$7)</f>
        <v>0</v>
      </c>
      <c r="K35" s="28">
        <f>IF($B35=0,0, (INDEX(Option2!K$106:K$117, MATCH($D35, Option2!$G$106:$G$117,0)))*conv_2026*K$7)</f>
        <v>0</v>
      </c>
      <c r="L35" s="28">
        <f>IF($B35=0,0, (INDEX(Option2!L$106:L$117, MATCH($D35, Option2!$G$106:$G$117,0)))*conv_2026*L$7)</f>
        <v>0</v>
      </c>
      <c r="M35" s="28">
        <f>IF($B35=0,0, (INDEX(Option2!M$106:M$117, MATCH($D35, Option2!$G$106:$G$117,0)))*conv_2026*M$7)</f>
        <v>-83033.290445461113</v>
      </c>
      <c r="N35" s="28">
        <f>IF($B35=0,0, (INDEX(Option2!N$106:N$117, MATCH($D35, Option2!$G$106:$G$117,0)))*conv_2026*N$7)</f>
        <v>-48120.629365124238</v>
      </c>
      <c r="O35" s="28">
        <f>IF($B35=0,0, (INDEX(Option2!O$106:O$117, MATCH($D35, Option2!$G$106:$G$117,0)))*conv_2026*O$7)</f>
        <v>80589.324872395882</v>
      </c>
      <c r="P35" s="28">
        <f>IF($B35=0,0, (INDEX(Option2!P$106:P$117, MATCH($D35, Option2!$G$106:$G$117,0)))*conv_2026*P$7)</f>
        <v>237563.11732251444</v>
      </c>
      <c r="Q35" s="28">
        <f>IF($B35=0,0, (INDEX(Option2!Q$106:Q$117, MATCH($D35, Option2!$G$106:$G$117,0)))*conv_2026*Q$7)</f>
        <v>237563.11732251444</v>
      </c>
      <c r="R35" s="28">
        <f>IF($B35=0,0, (INDEX(Option2!R$106:R$117, MATCH($D35, Option2!$G$106:$G$117,0)))*conv_2026*R$7)</f>
        <v>237563.11732251444</v>
      </c>
      <c r="S35" s="28">
        <f>IF($B35=0,0, (INDEX(Option2!S$106:S$117, MATCH($D35, Option2!$G$106:$G$117,0)))*conv_2026*S$7)</f>
        <v>237563.11732251444</v>
      </c>
      <c r="T35" s="28">
        <f>IF($B35=0,0, (INDEX(Option2!T$106:T$117, MATCH($D35, Option2!$G$106:$G$117,0)))*conv_2026*T$7)</f>
        <v>237563.11732251444</v>
      </c>
      <c r="U35" s="28">
        <f>IF($B35=0,0, (INDEX(Option2!U$106:U$117, MATCH($D35, Option2!$G$106:$G$117,0)))*conv_2026*U$7)</f>
        <v>237563.11732251444</v>
      </c>
      <c r="V35" s="28">
        <f>IF($B35=0,0, (INDEX(Option2!V$106:V$117, MATCH($D35, Option2!$G$106:$G$117,0)))*conv_2026*V$7)</f>
        <v>237563.11732251444</v>
      </c>
      <c r="W35" s="28">
        <f>IF($B35=0,0, (INDEX(Option2!W$106:W$117, MATCH($D35, Option2!$G$106:$G$117,0)))*conv_2026*W$7)</f>
        <v>237563.11732251444</v>
      </c>
      <c r="X35" s="28">
        <f>IF($B35=0,0, (INDEX(Option2!X$106:X$117, MATCH($D35, Option2!$G$106:$G$117,0)))*conv_2026*X$7)</f>
        <v>237563.11732251444</v>
      </c>
      <c r="Y35" s="28">
        <f>IF($B35=0,0, (INDEX(Option2!Y$106:Y$117, MATCH($D35, Option2!$G$106:$G$117,0)))*conv_2026*Y$7)</f>
        <v>237563.11732251444</v>
      </c>
      <c r="Z35" s="28">
        <f>IF($B35=0,0, (INDEX(Option2!Z$106:Z$117, MATCH($D35, Option2!$G$106:$G$117,0)))*conv_2026*Z$7)</f>
        <v>237563.11732251444</v>
      </c>
      <c r="AA35" s="28">
        <f>IF($B35=0,0, (INDEX(Option2!AA$106:AA$117, MATCH($D35, Option2!$G$106:$G$117,0)))*conv_2026*AA$7)</f>
        <v>237563.11732251444</v>
      </c>
      <c r="AB35" s="28">
        <f>IF($B35=0,0, (INDEX(Option2!AB$106:AB$117, MATCH($D35, Option2!$G$106:$G$117,0)))*conv_2026*AB$7)</f>
        <v>237563.11732251444</v>
      </c>
      <c r="AC35" s="28">
        <f>IF($B35=0,0, (INDEX(Option2!AC$106:AC$117, MATCH($D35, Option2!$G$106:$G$117,0)))*conv_2026*AC$7)</f>
        <v>237563.11732251444</v>
      </c>
      <c r="AD35" s="28">
        <f>IF($B35=0,0, (INDEX(Option2!AD$106:AD$117, MATCH($D35, Option2!$G$106:$G$117,0)))*conv_2026*AD$7)</f>
        <v>237563.11732251444</v>
      </c>
      <c r="AE35" s="28">
        <f>IF($B35=0,0, (INDEX(Option2!AE$106:AE$117, MATCH($D35, Option2!$G$106:$G$117,0)))*conv_2026*AE$7)</f>
        <v>237563.11732251444</v>
      </c>
      <c r="AF35" s="28">
        <f>IF($B35=0,0, (INDEX(Option2!AF$106:AF$117, MATCH($D35, Option2!$G$106:$G$117,0)))*conv_2026*AF$7)</f>
        <v>0</v>
      </c>
      <c r="AG35" s="28">
        <f>IF($B35=0,0, (INDEX(Option2!AG$106:AG$117, MATCH($D35, Option2!$G$106:$G$117,0)))*conv_2026*AG$7)</f>
        <v>0</v>
      </c>
    </row>
    <row r="36" spans="1:35" s="6" customFormat="1" x14ac:dyDescent="0.2">
      <c r="A36" s="224" t="s">
        <v>131</v>
      </c>
      <c r="B36" s="224" t="str">
        <f>Option2!A116</f>
        <v>sens</v>
      </c>
      <c r="C36" s="224">
        <f>Option2!C116</f>
        <v>0</v>
      </c>
      <c r="D36" s="224" t="str">
        <f t="shared" si="2"/>
        <v>Option 2sens</v>
      </c>
      <c r="E36" s="216"/>
      <c r="F36" s="28">
        <f t="shared" si="3"/>
        <v>2250914.0365850572</v>
      </c>
      <c r="H36" s="28">
        <f>IF($B36=0,0, (INDEX(Option2!H$106:H$117, MATCH($D36, Option2!$G$106:$G$117,0)))*conv_2026*H$7)</f>
        <v>0</v>
      </c>
      <c r="I36" s="28">
        <f>IF($B36=0,0, (INDEX(Option2!I$106:I$117, MATCH($D36, Option2!$G$106:$G$117,0)))*conv_2026*I$7)</f>
        <v>0</v>
      </c>
      <c r="J36" s="28">
        <f>IF($B36=0,0, (INDEX(Option2!J$106:J$117, MATCH($D36, Option2!$G$106:$G$117,0)))*conv_2026*J$7)</f>
        <v>0</v>
      </c>
      <c r="K36" s="28">
        <f>IF($B36=0,0, (INDEX(Option2!K$106:K$117, MATCH($D36, Option2!$G$106:$G$117,0)))*conv_2026*K$7)</f>
        <v>0</v>
      </c>
      <c r="L36" s="28">
        <f>IF($B36=0,0, (INDEX(Option2!L$106:L$117, MATCH($D36, Option2!$G$106:$G$117,0)))*conv_2026*L$7)</f>
        <v>0</v>
      </c>
      <c r="M36" s="28">
        <f>IF($B36=0,0, (INDEX(Option2!M$106:M$117, MATCH($D36, Option2!$G$106:$G$117,0)))*conv_2026*M$7)</f>
        <v>-83033.290445461113</v>
      </c>
      <c r="N36" s="28">
        <f>IF($B36=0,0, (INDEX(Option2!N$106:N$117, MATCH($D36, Option2!$G$106:$G$117,0)))*conv_2026*N$7)</f>
        <v>-48120.629365124238</v>
      </c>
      <c r="O36" s="28">
        <f>IF($B36=0,0, (INDEX(Option2!O$106:O$117, MATCH($D36, Option2!$G$106:$G$117,0)))*conv_2026*O$7)</f>
        <v>80589.324872395882</v>
      </c>
      <c r="P36" s="28">
        <f>IF($B36=0,0, (INDEX(Option2!P$106:P$117, MATCH($D36, Option2!$G$106:$G$117,0)))*conv_2026*P$7)</f>
        <v>237563.11732251444</v>
      </c>
      <c r="Q36" s="28">
        <f>IF($B36=0,0, (INDEX(Option2!Q$106:Q$117, MATCH($D36, Option2!$G$106:$G$117,0)))*conv_2026*Q$7)</f>
        <v>237563.11732251444</v>
      </c>
      <c r="R36" s="28">
        <f>IF($B36=0,0, (INDEX(Option2!R$106:R$117, MATCH($D36, Option2!$G$106:$G$117,0)))*conv_2026*R$7)</f>
        <v>237563.11732251444</v>
      </c>
      <c r="S36" s="28">
        <f>IF($B36=0,0, (INDEX(Option2!S$106:S$117, MATCH($D36, Option2!$G$106:$G$117,0)))*conv_2026*S$7)</f>
        <v>237563.11732251444</v>
      </c>
      <c r="T36" s="28">
        <f>IF($B36=0,0, (INDEX(Option2!T$106:T$117, MATCH($D36, Option2!$G$106:$G$117,0)))*conv_2026*T$7)</f>
        <v>237563.11732251444</v>
      </c>
      <c r="U36" s="28">
        <f>IF($B36=0,0, (INDEX(Option2!U$106:U$117, MATCH($D36, Option2!$G$106:$G$117,0)))*conv_2026*U$7)</f>
        <v>237563.11732251444</v>
      </c>
      <c r="V36" s="28">
        <f>IF($B36=0,0, (INDEX(Option2!V$106:V$117, MATCH($D36, Option2!$G$106:$G$117,0)))*conv_2026*V$7)</f>
        <v>237563.11732251444</v>
      </c>
      <c r="W36" s="28">
        <f>IF($B36=0,0, (INDEX(Option2!W$106:W$117, MATCH($D36, Option2!$G$106:$G$117,0)))*conv_2026*W$7)</f>
        <v>237563.11732251444</v>
      </c>
      <c r="X36" s="28">
        <f>IF($B36=0,0, (INDEX(Option2!X$106:X$117, MATCH($D36, Option2!$G$106:$G$117,0)))*conv_2026*X$7)</f>
        <v>237563.11732251444</v>
      </c>
      <c r="Y36" s="28">
        <f>IF($B36=0,0, (INDEX(Option2!Y$106:Y$117, MATCH($D36, Option2!$G$106:$G$117,0)))*conv_2026*Y$7)</f>
        <v>237563.11732251444</v>
      </c>
      <c r="Z36" s="28">
        <f>IF($B36=0,0, (INDEX(Option2!Z$106:Z$117, MATCH($D36, Option2!$G$106:$G$117,0)))*conv_2026*Z$7)</f>
        <v>237563.11732251444</v>
      </c>
      <c r="AA36" s="28">
        <f>IF($B36=0,0, (INDEX(Option2!AA$106:AA$117, MATCH($D36, Option2!$G$106:$G$117,0)))*conv_2026*AA$7)</f>
        <v>237563.11732251444</v>
      </c>
      <c r="AB36" s="28">
        <f>IF($B36=0,0, (INDEX(Option2!AB$106:AB$117, MATCH($D36, Option2!$G$106:$G$117,0)))*conv_2026*AB$7)</f>
        <v>237563.11732251444</v>
      </c>
      <c r="AC36" s="28">
        <f>IF($B36=0,0, (INDEX(Option2!AC$106:AC$117, MATCH($D36, Option2!$G$106:$G$117,0)))*conv_2026*AC$7)</f>
        <v>237563.11732251444</v>
      </c>
      <c r="AD36" s="28">
        <f>IF($B36=0,0, (INDEX(Option2!AD$106:AD$117, MATCH($D36, Option2!$G$106:$G$117,0)))*conv_2026*AD$7)</f>
        <v>237563.11732251444</v>
      </c>
      <c r="AE36" s="28">
        <f>IF($B36=0,0, (INDEX(Option2!AE$106:AE$117, MATCH($D36, Option2!$G$106:$G$117,0)))*conv_2026*AE$7)</f>
        <v>237563.11732251444</v>
      </c>
      <c r="AF36" s="28">
        <f>IF($B36=0,0, (INDEX(Option2!AF$106:AF$117, MATCH($D36, Option2!$G$106:$G$117,0)))*conv_2026*AF$7)</f>
        <v>0</v>
      </c>
      <c r="AG36" s="28">
        <f>IF($B36=0,0, (INDEX(Option2!AG$106:AG$117, MATCH($D36, Option2!$G$106:$G$117,0)))*conv_2026*AG$7)</f>
        <v>0</v>
      </c>
    </row>
    <row r="37" spans="1:35" s="6" customFormat="1" x14ac:dyDescent="0.2">
      <c r="A37" s="224" t="s">
        <v>131</v>
      </c>
      <c r="B37" s="224" t="str">
        <f>Option2!A117</f>
        <v>sens</v>
      </c>
      <c r="C37" s="224">
        <f>Option2!C117</f>
        <v>0</v>
      </c>
      <c r="D37" s="224" t="str">
        <f t="shared" si="2"/>
        <v>Option 2sens</v>
      </c>
      <c r="E37" s="216"/>
      <c r="F37" s="28">
        <f t="shared" si="3"/>
        <v>2250914.0365850572</v>
      </c>
      <c r="H37" s="28">
        <f>IF($B37=0,0, (INDEX(Option2!H$106:H$117, MATCH($D37, Option2!$G$106:$G$117,0)))*conv_2026*H$7)</f>
        <v>0</v>
      </c>
      <c r="I37" s="28">
        <f>IF($B37=0,0, (INDEX(Option2!I$106:I$117, MATCH($D37, Option2!$G$106:$G$117,0)))*conv_2026*I$7)</f>
        <v>0</v>
      </c>
      <c r="J37" s="28">
        <f>IF($B37=0,0, (INDEX(Option2!J$106:J$117, MATCH($D37, Option2!$G$106:$G$117,0)))*conv_2026*J$7)</f>
        <v>0</v>
      </c>
      <c r="K37" s="28">
        <f>IF($B37=0,0, (INDEX(Option2!K$106:K$117, MATCH($D37, Option2!$G$106:$G$117,0)))*conv_2026*K$7)</f>
        <v>0</v>
      </c>
      <c r="L37" s="28">
        <f>IF($B37=0,0, (INDEX(Option2!L$106:L$117, MATCH($D37, Option2!$G$106:$G$117,0)))*conv_2026*L$7)</f>
        <v>0</v>
      </c>
      <c r="M37" s="28">
        <f>IF($B37=0,0, (INDEX(Option2!M$106:M$117, MATCH($D37, Option2!$G$106:$G$117,0)))*conv_2026*M$7)</f>
        <v>-83033.290445461113</v>
      </c>
      <c r="N37" s="28">
        <f>IF($B37=0,0, (INDEX(Option2!N$106:N$117, MATCH($D37, Option2!$G$106:$G$117,0)))*conv_2026*N$7)</f>
        <v>-48120.629365124238</v>
      </c>
      <c r="O37" s="28">
        <f>IF($B37=0,0, (INDEX(Option2!O$106:O$117, MATCH($D37, Option2!$G$106:$G$117,0)))*conv_2026*O$7)</f>
        <v>80589.324872395882</v>
      </c>
      <c r="P37" s="28">
        <f>IF($B37=0,0, (INDEX(Option2!P$106:P$117, MATCH($D37, Option2!$G$106:$G$117,0)))*conv_2026*P$7)</f>
        <v>237563.11732251444</v>
      </c>
      <c r="Q37" s="28">
        <f>IF($B37=0,0, (INDEX(Option2!Q$106:Q$117, MATCH($D37, Option2!$G$106:$G$117,0)))*conv_2026*Q$7)</f>
        <v>237563.11732251444</v>
      </c>
      <c r="R37" s="28">
        <f>IF($B37=0,0, (INDEX(Option2!R$106:R$117, MATCH($D37, Option2!$G$106:$G$117,0)))*conv_2026*R$7)</f>
        <v>237563.11732251444</v>
      </c>
      <c r="S37" s="28">
        <f>IF($B37=0,0, (INDEX(Option2!S$106:S$117, MATCH($D37, Option2!$G$106:$G$117,0)))*conv_2026*S$7)</f>
        <v>237563.11732251444</v>
      </c>
      <c r="T37" s="28">
        <f>IF($B37=0,0, (INDEX(Option2!T$106:T$117, MATCH($D37, Option2!$G$106:$G$117,0)))*conv_2026*T$7)</f>
        <v>237563.11732251444</v>
      </c>
      <c r="U37" s="28">
        <f>IF($B37=0,0, (INDEX(Option2!U$106:U$117, MATCH($D37, Option2!$G$106:$G$117,0)))*conv_2026*U$7)</f>
        <v>237563.11732251444</v>
      </c>
      <c r="V37" s="28">
        <f>IF($B37=0,0, (INDEX(Option2!V$106:V$117, MATCH($D37, Option2!$G$106:$G$117,0)))*conv_2026*V$7)</f>
        <v>237563.11732251444</v>
      </c>
      <c r="W37" s="28">
        <f>IF($B37=0,0, (INDEX(Option2!W$106:W$117, MATCH($D37, Option2!$G$106:$G$117,0)))*conv_2026*W$7)</f>
        <v>237563.11732251444</v>
      </c>
      <c r="X37" s="28">
        <f>IF($B37=0,0, (INDEX(Option2!X$106:X$117, MATCH($D37, Option2!$G$106:$G$117,0)))*conv_2026*X$7)</f>
        <v>237563.11732251444</v>
      </c>
      <c r="Y37" s="28">
        <f>IF($B37=0,0, (INDEX(Option2!Y$106:Y$117, MATCH($D37, Option2!$G$106:$G$117,0)))*conv_2026*Y$7)</f>
        <v>237563.11732251444</v>
      </c>
      <c r="Z37" s="28">
        <f>IF($B37=0,0, (INDEX(Option2!Z$106:Z$117, MATCH($D37, Option2!$G$106:$G$117,0)))*conv_2026*Z$7)</f>
        <v>237563.11732251444</v>
      </c>
      <c r="AA37" s="28">
        <f>IF($B37=0,0, (INDEX(Option2!AA$106:AA$117, MATCH($D37, Option2!$G$106:$G$117,0)))*conv_2026*AA$7)</f>
        <v>237563.11732251444</v>
      </c>
      <c r="AB37" s="28">
        <f>IF($B37=0,0, (INDEX(Option2!AB$106:AB$117, MATCH($D37, Option2!$G$106:$G$117,0)))*conv_2026*AB$7)</f>
        <v>237563.11732251444</v>
      </c>
      <c r="AC37" s="28">
        <f>IF($B37=0,0, (INDEX(Option2!AC$106:AC$117, MATCH($D37, Option2!$G$106:$G$117,0)))*conv_2026*AC$7)</f>
        <v>237563.11732251444</v>
      </c>
      <c r="AD37" s="28">
        <f>IF($B37=0,0, (INDEX(Option2!AD$106:AD$117, MATCH($D37, Option2!$G$106:$G$117,0)))*conv_2026*AD$7)</f>
        <v>237563.11732251444</v>
      </c>
      <c r="AE37" s="28">
        <f>IF($B37=0,0, (INDEX(Option2!AE$106:AE$117, MATCH($D37, Option2!$G$106:$G$117,0)))*conv_2026*AE$7)</f>
        <v>237563.11732251444</v>
      </c>
      <c r="AF37" s="28">
        <f>IF($B37=0,0, (INDEX(Option2!AF$106:AF$117, MATCH($D37, Option2!$G$106:$G$117,0)))*conv_2026*AF$7)</f>
        <v>0</v>
      </c>
      <c r="AG37" s="28">
        <f>IF($B37=0,0, (INDEX(Option2!AG$106:AG$117, MATCH($D37, Option2!$G$106:$G$117,0)))*conv_2026*AG$7)</f>
        <v>0</v>
      </c>
    </row>
    <row r="38" spans="1:35" s="6" customFormat="1" x14ac:dyDescent="0.2">
      <c r="A38" s="224"/>
      <c r="B38" s="224"/>
      <c r="C38" s="224"/>
      <c r="D38" s="224"/>
      <c r="E38" s="224"/>
      <c r="F38" s="28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</row>
    <row r="39" spans="1:35" s="6" customFormat="1" x14ac:dyDescent="0.2">
      <c r="A39" s="224"/>
      <c r="B39" s="224"/>
      <c r="C39" s="224"/>
      <c r="D39" s="224"/>
      <c r="E39" s="224"/>
      <c r="F39" s="28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</row>
    <row r="40" spans="1:35" s="6" customFormat="1" x14ac:dyDescent="0.2">
      <c r="A40" s="224"/>
      <c r="B40" s="224"/>
      <c r="C40" s="224"/>
      <c r="D40" s="224"/>
      <c r="E40" s="224"/>
      <c r="F40" s="28"/>
      <c r="H40" s="28">
        <f>Consol!H50</f>
        <v>0</v>
      </c>
      <c r="I40" s="28">
        <f>Consol!I50</f>
        <v>0</v>
      </c>
      <c r="J40" s="28">
        <f>Consol!J50</f>
        <v>0</v>
      </c>
      <c r="K40" s="28">
        <f>Consol!K50</f>
        <v>0</v>
      </c>
      <c r="L40" s="28">
        <f>Consol!L50</f>
        <v>0</v>
      </c>
      <c r="M40" s="28">
        <f>Consol!M50</f>
        <v>0</v>
      </c>
      <c r="N40" s="28">
        <f>Consol!N50</f>
        <v>-1473662.2889372881</v>
      </c>
      <c r="O40" s="28">
        <f>Consol!O50</f>
        <v>-2700668.6721112579</v>
      </c>
      <c r="P40" s="28">
        <f>Consol!P50</f>
        <v>-2543694.8796611396</v>
      </c>
      <c r="Q40" s="28">
        <f>Consol!Q50</f>
        <v>-2543694.8796611396</v>
      </c>
      <c r="R40" s="28">
        <f>Consol!R50</f>
        <v>-2543694.8796611396</v>
      </c>
      <c r="S40" s="28">
        <f>Consol!S50</f>
        <v>-2543694.8796611396</v>
      </c>
      <c r="T40" s="28">
        <f>Consol!T50</f>
        <v>-2543694.8796611396</v>
      </c>
      <c r="U40" s="28">
        <f>Consol!U50</f>
        <v>-2543694.8796611396</v>
      </c>
      <c r="V40" s="28">
        <f>Consol!V50</f>
        <v>-2543694.8796611396</v>
      </c>
      <c r="W40" s="28">
        <f>Consol!W50</f>
        <v>-2543694.8796611396</v>
      </c>
      <c r="X40" s="28">
        <f>Consol!X50</f>
        <v>-2543694.8796611396</v>
      </c>
      <c r="Y40" s="28">
        <f>Consol!Y50</f>
        <v>-2543694.8796611396</v>
      </c>
      <c r="Z40" s="28">
        <f>Consol!Z50</f>
        <v>-2543694.8796611396</v>
      </c>
      <c r="AA40" s="28">
        <f>Consol!AA50</f>
        <v>-2543694.8796611396</v>
      </c>
      <c r="AB40" s="28">
        <f>Consol!AB50</f>
        <v>-2543694.8796611396</v>
      </c>
      <c r="AC40" s="28">
        <f>Consol!AC50</f>
        <v>-2543694.8796611396</v>
      </c>
      <c r="AD40" s="28">
        <f>Consol!AD50</f>
        <v>-2543694.8796611396</v>
      </c>
      <c r="AE40" s="28">
        <f>Consol!AE50</f>
        <v>-2543694.8796611396</v>
      </c>
      <c r="AF40" s="28">
        <f>Consol!AF50</f>
        <v>0</v>
      </c>
      <c r="AG40" s="28">
        <f>Consol!AG50</f>
        <v>0</v>
      </c>
    </row>
    <row r="41" spans="1:35" s="6" customFormat="1" x14ac:dyDescent="0.2">
      <c r="A41" s="224"/>
      <c r="B41" s="224"/>
      <c r="C41" s="224"/>
      <c r="D41" s="224"/>
      <c r="E41" s="224"/>
      <c r="F41" s="28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</row>
    <row r="42" spans="1:35" s="6" customFormat="1" x14ac:dyDescent="0.2">
      <c r="A42" s="224" t="s">
        <v>132</v>
      </c>
      <c r="B42" s="224" t="s">
        <v>119</v>
      </c>
      <c r="C42" s="224" t="s">
        <v>188</v>
      </c>
      <c r="D42" s="224" t="str">
        <f>A42&amp;B42</f>
        <v>Option 3NPV</v>
      </c>
      <c r="E42" s="216"/>
      <c r="F42" s="28">
        <f t="shared" ref="F42:F51" si="4">SUMPRODUCT($H42:$AG42, $H$5:$AG$5)</f>
        <v>-27978688.376879264</v>
      </c>
      <c r="G42" s="219"/>
      <c r="H42" s="28">
        <f>(INDEX(Option3!H$106:H$117, MATCH($D42, Option3!$G$106:$G$117,0)))*conv_2026*H$7</f>
        <v>0</v>
      </c>
      <c r="I42" s="28">
        <f>(INDEX(Option3!I$106:I$117, MATCH($D42, Option3!$G$106:$G$117,0)))*conv_2026*I$7</f>
        <v>0</v>
      </c>
      <c r="J42" s="28">
        <f>(INDEX(Option3!J$106:J$117, MATCH($D42, Option3!$G$106:$G$117,0)))*conv_2026*J$7</f>
        <v>0</v>
      </c>
      <c r="K42" s="28">
        <f>(INDEX(Option3!K$106:K$117, MATCH($D42, Option3!$G$106:$G$117,0)))*conv_2026*K$7</f>
        <v>0</v>
      </c>
      <c r="L42" s="28">
        <f>(INDEX(Option3!L$106:L$117, MATCH($D42, Option3!$G$106:$G$117,0)))*conv_2026*L$7</f>
        <v>0</v>
      </c>
      <c r="M42" s="28">
        <f>(INDEX(Option3!M$106:M$117, MATCH($D42, Option3!$G$106:$G$117,0)))*conv_2026*M$7</f>
        <v>0</v>
      </c>
      <c r="N42" s="28">
        <f>(INDEX(Option3!N$106:N$117, MATCH($D42, Option3!$G$106:$G$117,0)))*conv_2026*N$7</f>
        <v>-1473662.2889372881</v>
      </c>
      <c r="O42" s="28">
        <f>(INDEX(Option3!O$106:O$117, MATCH($D42, Option3!$G$106:$G$117,0)))*conv_2026*O$7</f>
        <v>-2700668.6721112579</v>
      </c>
      <c r="P42" s="28">
        <f>(INDEX(Option3!P$106:P$117, MATCH($D42, Option3!$G$106:$G$117,0)))*conv_2026*P$7</f>
        <v>-2543694.8796611396</v>
      </c>
      <c r="Q42" s="28">
        <f>(INDEX(Option3!Q$106:Q$117, MATCH($D42, Option3!$G$106:$G$117,0)))*conv_2026*Q$7</f>
        <v>-2543694.8796611396</v>
      </c>
      <c r="R42" s="28">
        <f>(INDEX(Option3!R$106:R$117, MATCH($D42, Option3!$G$106:$G$117,0)))*conv_2026*R$7</f>
        <v>-2543694.8796611396</v>
      </c>
      <c r="S42" s="28">
        <f>(INDEX(Option3!S$106:S$117, MATCH($D42, Option3!$G$106:$G$117,0)))*conv_2026*S$7</f>
        <v>-2543694.8796611396</v>
      </c>
      <c r="T42" s="28">
        <f>(INDEX(Option3!T$106:T$117, MATCH($D42, Option3!$G$106:$G$117,0)))*conv_2026*T$7</f>
        <v>-2543694.8796611396</v>
      </c>
      <c r="U42" s="28">
        <f>(INDEX(Option3!U$106:U$117, MATCH($D42, Option3!$G$106:$G$117,0)))*conv_2026*U$7</f>
        <v>-2543694.8796611396</v>
      </c>
      <c r="V42" s="28">
        <f>(INDEX(Option3!V$106:V$117, MATCH($D42, Option3!$G$106:$G$117,0)))*conv_2026*V$7</f>
        <v>-2543694.8796611396</v>
      </c>
      <c r="W42" s="28">
        <f>(INDEX(Option3!W$106:W$117, MATCH($D42, Option3!$G$106:$G$117,0)))*conv_2026*W$7</f>
        <v>-2543694.8796611396</v>
      </c>
      <c r="X42" s="28">
        <f>(INDEX(Option3!X$106:X$117, MATCH($D42, Option3!$G$106:$G$117,0)))*conv_2026*X$7</f>
        <v>-2543694.8796611396</v>
      </c>
      <c r="Y42" s="28">
        <f>(INDEX(Option3!Y$106:Y$117, MATCH($D42, Option3!$G$106:$G$117,0)))*conv_2026*Y$7</f>
        <v>-2543694.8796611396</v>
      </c>
      <c r="Z42" s="28">
        <f>(INDEX(Option3!Z$106:Z$117, MATCH($D42, Option3!$G$106:$G$117,0)))*conv_2026*Z$7</f>
        <v>-2543694.8796611396</v>
      </c>
      <c r="AA42" s="28">
        <f>(INDEX(Option3!AA$106:AA$117, MATCH($D42, Option3!$G$106:$G$117,0)))*conv_2026*AA$7</f>
        <v>-2543694.8796611396</v>
      </c>
      <c r="AB42" s="28">
        <f>(INDEX(Option3!AB$106:AB$117, MATCH($D42, Option3!$G$106:$G$117,0)))*conv_2026*AB$7</f>
        <v>-2543694.8796611396</v>
      </c>
      <c r="AC42" s="28">
        <f>(INDEX(Option3!AC$106:AC$117, MATCH($D42, Option3!$G$106:$G$117,0)))*conv_2026*AC$7</f>
        <v>-2543694.8796611396</v>
      </c>
      <c r="AD42" s="28">
        <f>(INDEX(Option3!AD$106:AD$117, MATCH($D42, Option3!$G$106:$G$117,0)))*conv_2026*AD$7</f>
        <v>-2543694.8796611396</v>
      </c>
      <c r="AE42" s="28">
        <f>(INDEX(Option3!AE$106:AE$117, MATCH($D42, Option3!$G$106:$G$117,0)))*conv_2026*AE$7</f>
        <v>-2543694.8796611396</v>
      </c>
      <c r="AF42" s="28">
        <f>(INDEX(Option3!AF$106:AF$117, MATCH($D42, Option3!$G$106:$G$117,0)))*conv_2026*AF$7</f>
        <v>0</v>
      </c>
      <c r="AG42" s="28">
        <f>(INDEX(Option3!AG$106:AG$117, MATCH($D42, Option3!$G$106:$G$117,0)))*conv_2026*AG$7</f>
        <v>0</v>
      </c>
      <c r="AH42" s="2"/>
      <c r="AI42" s="2"/>
    </row>
    <row r="43" spans="1:35" s="6" customFormat="1" x14ac:dyDescent="0.2">
      <c r="A43" s="218"/>
      <c r="B43" s="218"/>
      <c r="C43" s="218"/>
      <c r="D43" s="218"/>
      <c r="E43" s="218"/>
      <c r="F43" s="218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"/>
      <c r="AI43" s="2"/>
    </row>
    <row r="44" spans="1:35" s="6" customFormat="1" x14ac:dyDescent="0.2">
      <c r="A44" s="224" t="s">
        <v>132</v>
      </c>
      <c r="B44" s="224" t="str">
        <f>Option3!A110</f>
        <v>sens1</v>
      </c>
      <c r="C44" s="224" t="str">
        <f>Option3!C110</f>
        <v>Capex 10% higher</v>
      </c>
      <c r="D44" s="224" t="str">
        <f t="shared" ref="D44:D51" si="5">A44&amp;B44</f>
        <v>Option 3sens1</v>
      </c>
      <c r="E44" s="216"/>
      <c r="F44" s="28">
        <f t="shared" si="4"/>
        <v>-31186622.24349656</v>
      </c>
      <c r="G44" s="219"/>
      <c r="H44" s="28">
        <f>(INDEX(Option3!H$106:H$117, MATCH($D44, Option3!$G$106:$G$117,0)))*conv_2026*H$7</f>
        <v>0</v>
      </c>
      <c r="I44" s="28">
        <f>(INDEX(Option3!I$106:I$117, MATCH($D44, Option3!$G$106:$G$117,0)))*conv_2026*I$7</f>
        <v>0</v>
      </c>
      <c r="J44" s="28">
        <f>(INDEX(Option3!J$106:J$117, MATCH($D44, Option3!$G$106:$G$117,0)))*conv_2026*J$7</f>
        <v>0</v>
      </c>
      <c r="K44" s="28">
        <f>(INDEX(Option3!K$106:K$117, MATCH($D44, Option3!$G$106:$G$117,0)))*conv_2026*K$7</f>
        <v>0</v>
      </c>
      <c r="L44" s="28">
        <f>(INDEX(Option3!L$106:L$117, MATCH($D44, Option3!$G$106:$G$117,0)))*conv_2026*L$7</f>
        <v>0</v>
      </c>
      <c r="M44" s="28">
        <f>(INDEX(Option3!M$106:M$117, MATCH($D44, Option3!$G$106:$G$117,0)))*conv_2026*M$7</f>
        <v>0</v>
      </c>
      <c r="N44" s="28">
        <f>(INDEX(Option3!N$106:N$117, MATCH($D44, Option3!$G$106:$G$117,0)))*conv_2026*N$7</f>
        <v>-1621028.5178310168</v>
      </c>
      <c r="O44" s="28">
        <f>(INDEX(Option3!O$106:O$117, MATCH($D44, Option3!$G$106:$G$117,0)))*conv_2026*O$7</f>
        <v>-2995401.1298987153</v>
      </c>
      <c r="P44" s="28">
        <f>(INDEX(Option3!P$106:P$117, MATCH($D44, Option3!$G$106:$G$117,0)))*conv_2026*P$7</f>
        <v>-2838427.337448597</v>
      </c>
      <c r="Q44" s="28">
        <f>(INDEX(Option3!Q$106:Q$117, MATCH($D44, Option3!$G$106:$G$117,0)))*conv_2026*Q$7</f>
        <v>-2838427.337448597</v>
      </c>
      <c r="R44" s="28">
        <f>(INDEX(Option3!R$106:R$117, MATCH($D44, Option3!$G$106:$G$117,0)))*conv_2026*R$7</f>
        <v>-2838427.337448597</v>
      </c>
      <c r="S44" s="28">
        <f>(INDEX(Option3!S$106:S$117, MATCH($D44, Option3!$G$106:$G$117,0)))*conv_2026*S$7</f>
        <v>-2838427.337448597</v>
      </c>
      <c r="T44" s="28">
        <f>(INDEX(Option3!T$106:T$117, MATCH($D44, Option3!$G$106:$G$117,0)))*conv_2026*T$7</f>
        <v>-2838427.337448597</v>
      </c>
      <c r="U44" s="28">
        <f>(INDEX(Option3!U$106:U$117, MATCH($D44, Option3!$G$106:$G$117,0)))*conv_2026*U$7</f>
        <v>-2838427.337448597</v>
      </c>
      <c r="V44" s="28">
        <f>(INDEX(Option3!V$106:V$117, MATCH($D44, Option3!$G$106:$G$117,0)))*conv_2026*V$7</f>
        <v>-2838427.337448597</v>
      </c>
      <c r="W44" s="28">
        <f>(INDEX(Option3!W$106:W$117, MATCH($D44, Option3!$G$106:$G$117,0)))*conv_2026*W$7</f>
        <v>-2838427.337448597</v>
      </c>
      <c r="X44" s="28">
        <f>(INDEX(Option3!X$106:X$117, MATCH($D44, Option3!$G$106:$G$117,0)))*conv_2026*X$7</f>
        <v>-2838427.337448597</v>
      </c>
      <c r="Y44" s="28">
        <f>(INDEX(Option3!Y$106:Y$117, MATCH($D44, Option3!$G$106:$G$117,0)))*conv_2026*Y$7</f>
        <v>-2838427.337448597</v>
      </c>
      <c r="Z44" s="28">
        <f>(INDEX(Option3!Z$106:Z$117, MATCH($D44, Option3!$G$106:$G$117,0)))*conv_2026*Z$7</f>
        <v>-2838427.337448597</v>
      </c>
      <c r="AA44" s="28">
        <f>(INDEX(Option3!AA$106:AA$117, MATCH($D44, Option3!$G$106:$G$117,0)))*conv_2026*AA$7</f>
        <v>-2838427.337448597</v>
      </c>
      <c r="AB44" s="28">
        <f>(INDEX(Option3!AB$106:AB$117, MATCH($D44, Option3!$G$106:$G$117,0)))*conv_2026*AB$7</f>
        <v>-2838427.337448597</v>
      </c>
      <c r="AC44" s="28">
        <f>(INDEX(Option3!AC$106:AC$117, MATCH($D44, Option3!$G$106:$G$117,0)))*conv_2026*AC$7</f>
        <v>-2838427.337448597</v>
      </c>
      <c r="AD44" s="28">
        <f>(INDEX(Option3!AD$106:AD$117, MATCH($D44, Option3!$G$106:$G$117,0)))*conv_2026*AD$7</f>
        <v>-2838427.337448597</v>
      </c>
      <c r="AE44" s="28">
        <f>(INDEX(Option3!AE$106:AE$117, MATCH($D44, Option3!$G$106:$G$117,0)))*conv_2026*AE$7</f>
        <v>-2838427.337448597</v>
      </c>
      <c r="AF44" s="28">
        <f>(INDEX(Option3!AF$106:AF$117, MATCH($D44, Option3!$G$106:$G$117,0)))*conv_2026*AF$7</f>
        <v>0</v>
      </c>
      <c r="AG44" s="28">
        <f>(INDEX(Option3!AG$106:AG$117, MATCH($D44, Option3!$G$106:$G$117,0)))*conv_2026*AG$7</f>
        <v>0</v>
      </c>
      <c r="AH44" s="2"/>
      <c r="AI44" s="2"/>
    </row>
    <row r="45" spans="1:35" s="6" customFormat="1" x14ac:dyDescent="0.2">
      <c r="A45" s="224" t="s">
        <v>132</v>
      </c>
      <c r="B45" s="224" t="str">
        <f>Option3!A111</f>
        <v>sens2</v>
      </c>
      <c r="C45" s="224" t="str">
        <f>Option3!C111</f>
        <v>Capex 10% lower</v>
      </c>
      <c r="D45" s="224" t="str">
        <f t="shared" si="5"/>
        <v>Option 3sens2</v>
      </c>
      <c r="E45" s="216"/>
      <c r="F45" s="28">
        <f t="shared" si="4"/>
        <v>-24770754.510261972</v>
      </c>
      <c r="G45" s="224"/>
      <c r="H45" s="28">
        <f>(INDEX(Option3!H$106:H$117, MATCH($D45, Option3!$G$106:$G$117,0)))*conv_2026*H$7</f>
        <v>0</v>
      </c>
      <c r="I45" s="28">
        <f>(INDEX(Option3!I$106:I$117, MATCH($D45, Option3!$G$106:$G$117,0)))*conv_2026*I$7</f>
        <v>0</v>
      </c>
      <c r="J45" s="28">
        <f>(INDEX(Option3!J$106:J$117, MATCH($D45, Option3!$G$106:$G$117,0)))*conv_2026*J$7</f>
        <v>0</v>
      </c>
      <c r="K45" s="28">
        <f>(INDEX(Option3!K$106:K$117, MATCH($D45, Option3!$G$106:$G$117,0)))*conv_2026*K$7</f>
        <v>0</v>
      </c>
      <c r="L45" s="28">
        <f>(INDEX(Option3!L$106:L$117, MATCH($D45, Option3!$G$106:$G$117,0)))*conv_2026*L$7</f>
        <v>0</v>
      </c>
      <c r="M45" s="28">
        <f>(INDEX(Option3!M$106:M$117, MATCH($D45, Option3!$G$106:$G$117,0)))*conv_2026*M$7</f>
        <v>0</v>
      </c>
      <c r="N45" s="28">
        <f>(INDEX(Option3!N$106:N$117, MATCH($D45, Option3!$G$106:$G$117,0)))*conv_2026*N$7</f>
        <v>-1326296.0600435592</v>
      </c>
      <c r="O45" s="28">
        <f>(INDEX(Option3!O$106:O$117, MATCH($D45, Option3!$G$106:$G$117,0)))*conv_2026*O$7</f>
        <v>-2405936.2143238005</v>
      </c>
      <c r="P45" s="28">
        <f>(INDEX(Option3!P$106:P$117, MATCH($D45, Option3!$G$106:$G$117,0)))*conv_2026*P$7</f>
        <v>-2248962.4218736817</v>
      </c>
      <c r="Q45" s="28">
        <f>(INDEX(Option3!Q$106:Q$117, MATCH($D45, Option3!$G$106:$G$117,0)))*conv_2026*Q$7</f>
        <v>-2248962.4218736817</v>
      </c>
      <c r="R45" s="28">
        <f>(INDEX(Option3!R$106:R$117, MATCH($D45, Option3!$G$106:$G$117,0)))*conv_2026*R$7</f>
        <v>-2248962.4218736817</v>
      </c>
      <c r="S45" s="28">
        <f>(INDEX(Option3!S$106:S$117, MATCH($D45, Option3!$G$106:$G$117,0)))*conv_2026*S$7</f>
        <v>-2248962.4218736817</v>
      </c>
      <c r="T45" s="28">
        <f>(INDEX(Option3!T$106:T$117, MATCH($D45, Option3!$G$106:$G$117,0)))*conv_2026*T$7</f>
        <v>-2248962.4218736817</v>
      </c>
      <c r="U45" s="28">
        <f>(INDEX(Option3!U$106:U$117, MATCH($D45, Option3!$G$106:$G$117,0)))*conv_2026*U$7</f>
        <v>-2248962.4218736817</v>
      </c>
      <c r="V45" s="28">
        <f>(INDEX(Option3!V$106:V$117, MATCH($D45, Option3!$G$106:$G$117,0)))*conv_2026*V$7</f>
        <v>-2248962.4218736817</v>
      </c>
      <c r="W45" s="28">
        <f>(INDEX(Option3!W$106:W$117, MATCH($D45, Option3!$G$106:$G$117,0)))*conv_2026*W$7</f>
        <v>-2248962.4218736817</v>
      </c>
      <c r="X45" s="28">
        <f>(INDEX(Option3!X$106:X$117, MATCH($D45, Option3!$G$106:$G$117,0)))*conv_2026*X$7</f>
        <v>-2248962.4218736817</v>
      </c>
      <c r="Y45" s="28">
        <f>(INDEX(Option3!Y$106:Y$117, MATCH($D45, Option3!$G$106:$G$117,0)))*conv_2026*Y$7</f>
        <v>-2248962.4218736817</v>
      </c>
      <c r="Z45" s="28">
        <f>(INDEX(Option3!Z$106:Z$117, MATCH($D45, Option3!$G$106:$G$117,0)))*conv_2026*Z$7</f>
        <v>-2248962.4218736817</v>
      </c>
      <c r="AA45" s="28">
        <f>(INDEX(Option3!AA$106:AA$117, MATCH($D45, Option3!$G$106:$G$117,0)))*conv_2026*AA$7</f>
        <v>-2248962.4218736817</v>
      </c>
      <c r="AB45" s="28">
        <f>(INDEX(Option3!AB$106:AB$117, MATCH($D45, Option3!$G$106:$G$117,0)))*conv_2026*AB$7</f>
        <v>-2248962.4218736817</v>
      </c>
      <c r="AC45" s="28">
        <f>(INDEX(Option3!AC$106:AC$117, MATCH($D45, Option3!$G$106:$G$117,0)))*conv_2026*AC$7</f>
        <v>-2248962.4218736817</v>
      </c>
      <c r="AD45" s="28">
        <f>(INDEX(Option3!AD$106:AD$117, MATCH($D45, Option3!$G$106:$G$117,0)))*conv_2026*AD$7</f>
        <v>-2248962.4218736817</v>
      </c>
      <c r="AE45" s="28">
        <f>(INDEX(Option3!AE$106:AE$117, MATCH($D45, Option3!$G$106:$G$117,0)))*conv_2026*AE$7</f>
        <v>-2248962.4218736817</v>
      </c>
      <c r="AF45" s="28">
        <f>(INDEX(Option3!AF$106:AF$117, MATCH($D45, Option3!$G$106:$G$117,0)))*conv_2026*AF$7</f>
        <v>0</v>
      </c>
      <c r="AG45" s="28">
        <f>(INDEX(Option3!AG$106:AG$117, MATCH($D45, Option3!$G$106:$G$117,0)))*conv_2026*AG$7</f>
        <v>0</v>
      </c>
    </row>
    <row r="46" spans="1:35" s="6" customFormat="1" x14ac:dyDescent="0.2">
      <c r="A46" s="224" t="s">
        <v>132</v>
      </c>
      <c r="B46" s="224" t="str">
        <f>Option3!A112</f>
        <v>sens3</v>
      </c>
      <c r="C46" s="224" t="str">
        <f>Option3!C112</f>
        <v>Total benefits 10% higher</v>
      </c>
      <c r="D46" s="224" t="str">
        <f t="shared" si="5"/>
        <v>Option 3sens3</v>
      </c>
      <c r="E46" s="216"/>
      <c r="F46" s="28">
        <f t="shared" si="4"/>
        <v>-27568623.347949896</v>
      </c>
      <c r="H46" s="28">
        <f>(INDEX(Option3!H$106:H$117, MATCH($D46, Option3!$G$106:$G$117,0)))*conv_2026*H$7</f>
        <v>0</v>
      </c>
      <c r="I46" s="28">
        <f>(INDEX(Option3!I$106:I$117, MATCH($D46, Option3!$G$106:$G$117,0)))*conv_2026*I$7</f>
        <v>0</v>
      </c>
      <c r="J46" s="28">
        <f>(INDEX(Option3!J$106:J$117, MATCH($D46, Option3!$G$106:$G$117,0)))*conv_2026*J$7</f>
        <v>0</v>
      </c>
      <c r="K46" s="28">
        <f>(INDEX(Option3!K$106:K$117, MATCH($D46, Option3!$G$106:$G$117,0)))*conv_2026*K$7</f>
        <v>0</v>
      </c>
      <c r="L46" s="28">
        <f>(INDEX(Option3!L$106:L$117, MATCH($D46, Option3!$G$106:$G$117,0)))*conv_2026*L$7</f>
        <v>0</v>
      </c>
      <c r="M46" s="28">
        <f>(INDEX(Option3!M$106:M$117, MATCH($D46, Option3!$G$106:$G$117,0)))*conv_2026*M$7</f>
        <v>0</v>
      </c>
      <c r="N46" s="28">
        <f>(INDEX(Option3!N$106:N$117, MATCH($D46, Option3!$G$106:$G$117,0)))*conv_2026*N$7</f>
        <v>-1473662.2889372881</v>
      </c>
      <c r="O46" s="28">
        <f>(INDEX(Option3!O$106:O$117, MATCH($D46, Option3!$G$106:$G$117,0)))*conv_2026*O$7</f>
        <v>-2676003.0815349263</v>
      </c>
      <c r="P46" s="28">
        <f>(INDEX(Option3!P$106:P$117, MATCH($D46, Option3!$G$106:$G$117,0)))*conv_2026*P$7</f>
        <v>-2503331.9098397959</v>
      </c>
      <c r="Q46" s="28">
        <f>(INDEX(Option3!Q$106:Q$117, MATCH($D46, Option3!$G$106:$G$117,0)))*conv_2026*Q$7</f>
        <v>-2503331.9098397959</v>
      </c>
      <c r="R46" s="28">
        <f>(INDEX(Option3!R$106:R$117, MATCH($D46, Option3!$G$106:$G$117,0)))*conv_2026*R$7</f>
        <v>-2503331.9098397959</v>
      </c>
      <c r="S46" s="28">
        <f>(INDEX(Option3!S$106:S$117, MATCH($D46, Option3!$G$106:$G$117,0)))*conv_2026*S$7</f>
        <v>-2503331.9098397959</v>
      </c>
      <c r="T46" s="28">
        <f>(INDEX(Option3!T$106:T$117, MATCH($D46, Option3!$G$106:$G$117,0)))*conv_2026*T$7</f>
        <v>-2503331.9098397959</v>
      </c>
      <c r="U46" s="28">
        <f>(INDEX(Option3!U$106:U$117, MATCH($D46, Option3!$G$106:$G$117,0)))*conv_2026*U$7</f>
        <v>-2503331.9098397959</v>
      </c>
      <c r="V46" s="28">
        <f>(INDEX(Option3!V$106:V$117, MATCH($D46, Option3!$G$106:$G$117,0)))*conv_2026*V$7</f>
        <v>-2503331.9098397959</v>
      </c>
      <c r="W46" s="28">
        <f>(INDEX(Option3!W$106:W$117, MATCH($D46, Option3!$G$106:$G$117,0)))*conv_2026*W$7</f>
        <v>-2503331.9098397959</v>
      </c>
      <c r="X46" s="28">
        <f>(INDEX(Option3!X$106:X$117, MATCH($D46, Option3!$G$106:$G$117,0)))*conv_2026*X$7</f>
        <v>-2503331.9098397959</v>
      </c>
      <c r="Y46" s="28">
        <f>(INDEX(Option3!Y$106:Y$117, MATCH($D46, Option3!$G$106:$G$117,0)))*conv_2026*Y$7</f>
        <v>-2503331.9098397959</v>
      </c>
      <c r="Z46" s="28">
        <f>(INDEX(Option3!Z$106:Z$117, MATCH($D46, Option3!$G$106:$G$117,0)))*conv_2026*Z$7</f>
        <v>-2503331.9098397959</v>
      </c>
      <c r="AA46" s="28">
        <f>(INDEX(Option3!AA$106:AA$117, MATCH($D46, Option3!$G$106:$G$117,0)))*conv_2026*AA$7</f>
        <v>-2503331.9098397959</v>
      </c>
      <c r="AB46" s="28">
        <f>(INDEX(Option3!AB$106:AB$117, MATCH($D46, Option3!$G$106:$G$117,0)))*conv_2026*AB$7</f>
        <v>-2503331.9098397959</v>
      </c>
      <c r="AC46" s="28">
        <f>(INDEX(Option3!AC$106:AC$117, MATCH($D46, Option3!$G$106:$G$117,0)))*conv_2026*AC$7</f>
        <v>-2503331.9098397959</v>
      </c>
      <c r="AD46" s="28">
        <f>(INDEX(Option3!AD$106:AD$117, MATCH($D46, Option3!$G$106:$G$117,0)))*conv_2026*AD$7</f>
        <v>-2503331.9098397959</v>
      </c>
      <c r="AE46" s="28">
        <f>(INDEX(Option3!AE$106:AE$117, MATCH($D46, Option3!$G$106:$G$117,0)))*conv_2026*AE$7</f>
        <v>-2503331.9098397959</v>
      </c>
      <c r="AF46" s="28">
        <f>(INDEX(Option3!AF$106:AF$117, MATCH($D46, Option3!$G$106:$G$117,0)))*conv_2026*AF$7</f>
        <v>0</v>
      </c>
      <c r="AG46" s="28">
        <f>(INDEX(Option3!AG$106:AG$117, MATCH($D46, Option3!$G$106:$G$117,0)))*conv_2026*AG$7</f>
        <v>0</v>
      </c>
    </row>
    <row r="47" spans="1:35" s="6" customFormat="1" x14ac:dyDescent="0.2">
      <c r="A47" s="224" t="s">
        <v>132</v>
      </c>
      <c r="B47" s="224" t="str">
        <f>Option3!A113</f>
        <v>sens4</v>
      </c>
      <c r="C47" s="224" t="str">
        <f>Option3!C113</f>
        <v>Total benefits 10% lower</v>
      </c>
      <c r="D47" s="224" t="str">
        <f t="shared" si="5"/>
        <v>Option 3sens4</v>
      </c>
      <c r="E47" s="216"/>
      <c r="F47" s="28">
        <f t="shared" si="4"/>
        <v>-28388753.405808628</v>
      </c>
      <c r="H47" s="28">
        <f>(INDEX(Option3!H$106:H$117, MATCH($D47, Option3!$G$106:$G$117,0)))*conv_2026*H$7</f>
        <v>0</v>
      </c>
      <c r="I47" s="28">
        <f>(INDEX(Option3!I$106:I$117, MATCH($D47, Option3!$G$106:$G$117,0)))*conv_2026*I$7</f>
        <v>0</v>
      </c>
      <c r="J47" s="28">
        <f>(INDEX(Option3!J$106:J$117, MATCH($D47, Option3!$G$106:$G$117,0)))*conv_2026*J$7</f>
        <v>0</v>
      </c>
      <c r="K47" s="28">
        <f>(INDEX(Option3!K$106:K$117, MATCH($D47, Option3!$G$106:$G$117,0)))*conv_2026*K$7</f>
        <v>0</v>
      </c>
      <c r="L47" s="28">
        <f>(INDEX(Option3!L$106:L$117, MATCH($D47, Option3!$G$106:$G$117,0)))*conv_2026*L$7</f>
        <v>0</v>
      </c>
      <c r="M47" s="28">
        <f>(INDEX(Option3!M$106:M$117, MATCH($D47, Option3!$G$106:$G$117,0)))*conv_2026*M$7</f>
        <v>0</v>
      </c>
      <c r="N47" s="28">
        <f>(INDEX(Option3!N$106:N$117, MATCH($D47, Option3!$G$106:$G$117,0)))*conv_2026*N$7</f>
        <v>-1473662.2889372881</v>
      </c>
      <c r="O47" s="28">
        <f>(INDEX(Option3!O$106:O$117, MATCH($D47, Option3!$G$106:$G$117,0)))*conv_2026*O$7</f>
        <v>-2725334.26268759</v>
      </c>
      <c r="P47" s="28">
        <f>(INDEX(Option3!P$106:P$117, MATCH($D47, Option3!$G$106:$G$117,0)))*conv_2026*P$7</f>
        <v>-2584057.8494824828</v>
      </c>
      <c r="Q47" s="28">
        <f>(INDEX(Option3!Q$106:Q$117, MATCH($D47, Option3!$G$106:$G$117,0)))*conv_2026*Q$7</f>
        <v>-2584057.8494824828</v>
      </c>
      <c r="R47" s="28">
        <f>(INDEX(Option3!R$106:R$117, MATCH($D47, Option3!$G$106:$G$117,0)))*conv_2026*R$7</f>
        <v>-2584057.8494824828</v>
      </c>
      <c r="S47" s="28">
        <f>(INDEX(Option3!S$106:S$117, MATCH($D47, Option3!$G$106:$G$117,0)))*conv_2026*S$7</f>
        <v>-2584057.8494824828</v>
      </c>
      <c r="T47" s="28">
        <f>(INDEX(Option3!T$106:T$117, MATCH($D47, Option3!$G$106:$G$117,0)))*conv_2026*T$7</f>
        <v>-2584057.8494824828</v>
      </c>
      <c r="U47" s="28">
        <f>(INDEX(Option3!U$106:U$117, MATCH($D47, Option3!$G$106:$G$117,0)))*conv_2026*U$7</f>
        <v>-2584057.8494824828</v>
      </c>
      <c r="V47" s="28">
        <f>(INDEX(Option3!V$106:V$117, MATCH($D47, Option3!$G$106:$G$117,0)))*conv_2026*V$7</f>
        <v>-2584057.8494824828</v>
      </c>
      <c r="W47" s="28">
        <f>(INDEX(Option3!W$106:W$117, MATCH($D47, Option3!$G$106:$G$117,0)))*conv_2026*W$7</f>
        <v>-2584057.8494824828</v>
      </c>
      <c r="X47" s="28">
        <f>(INDEX(Option3!X$106:X$117, MATCH($D47, Option3!$G$106:$G$117,0)))*conv_2026*X$7</f>
        <v>-2584057.8494824828</v>
      </c>
      <c r="Y47" s="28">
        <f>(INDEX(Option3!Y$106:Y$117, MATCH($D47, Option3!$G$106:$G$117,0)))*conv_2026*Y$7</f>
        <v>-2584057.8494824828</v>
      </c>
      <c r="Z47" s="28">
        <f>(INDEX(Option3!Z$106:Z$117, MATCH($D47, Option3!$G$106:$G$117,0)))*conv_2026*Z$7</f>
        <v>-2584057.8494824828</v>
      </c>
      <c r="AA47" s="28">
        <f>(INDEX(Option3!AA$106:AA$117, MATCH($D47, Option3!$G$106:$G$117,0)))*conv_2026*AA$7</f>
        <v>-2584057.8494824828</v>
      </c>
      <c r="AB47" s="28">
        <f>(INDEX(Option3!AB$106:AB$117, MATCH($D47, Option3!$G$106:$G$117,0)))*conv_2026*AB$7</f>
        <v>-2584057.8494824828</v>
      </c>
      <c r="AC47" s="28">
        <f>(INDEX(Option3!AC$106:AC$117, MATCH($D47, Option3!$G$106:$G$117,0)))*conv_2026*AC$7</f>
        <v>-2584057.8494824828</v>
      </c>
      <c r="AD47" s="28">
        <f>(INDEX(Option3!AD$106:AD$117, MATCH($D47, Option3!$G$106:$G$117,0)))*conv_2026*AD$7</f>
        <v>-2584057.8494824828</v>
      </c>
      <c r="AE47" s="28">
        <f>(INDEX(Option3!AE$106:AE$117, MATCH($D47, Option3!$G$106:$G$117,0)))*conv_2026*AE$7</f>
        <v>-2584057.8494824828</v>
      </c>
      <c r="AF47" s="28">
        <f>(INDEX(Option3!AF$106:AF$117, MATCH($D47, Option3!$G$106:$G$117,0)))*conv_2026*AF$7</f>
        <v>0</v>
      </c>
      <c r="AG47" s="28">
        <f>(INDEX(Option3!AG$106:AG$117, MATCH($D47, Option3!$G$106:$G$117,0)))*conv_2026*AG$7</f>
        <v>0</v>
      </c>
    </row>
    <row r="48" spans="1:35" s="6" customFormat="1" x14ac:dyDescent="0.2">
      <c r="A48" s="224" t="s">
        <v>132</v>
      </c>
      <c r="B48" s="224" t="str">
        <f>Option3!A114</f>
        <v>sens5</v>
      </c>
      <c r="C48" s="224" t="str">
        <f>Option3!C114</f>
        <v>Capex 10% higher &amp; Total benefits 10% lower</v>
      </c>
      <c r="D48" s="224" t="str">
        <f t="shared" si="5"/>
        <v>Option 3sens5</v>
      </c>
      <c r="E48" s="216"/>
      <c r="F48" s="28">
        <f t="shared" si="4"/>
        <v>-31596687.272425923</v>
      </c>
      <c r="H48" s="28">
        <f>(INDEX(Option3!H$106:H$117, MATCH($D48, Option3!$G$106:$G$117,0)))*conv_2026*H$7</f>
        <v>0</v>
      </c>
      <c r="I48" s="28">
        <f>(INDEX(Option3!I$106:I$117, MATCH($D48, Option3!$G$106:$G$117,0)))*conv_2026*I$7</f>
        <v>0</v>
      </c>
      <c r="J48" s="28">
        <f>(INDEX(Option3!J$106:J$117, MATCH($D48, Option3!$G$106:$G$117,0)))*conv_2026*J$7</f>
        <v>0</v>
      </c>
      <c r="K48" s="28">
        <f>(INDEX(Option3!K$106:K$117, MATCH($D48, Option3!$G$106:$G$117,0)))*conv_2026*K$7</f>
        <v>0</v>
      </c>
      <c r="L48" s="28">
        <f>(INDEX(Option3!L$106:L$117, MATCH($D48, Option3!$G$106:$G$117,0)))*conv_2026*L$7</f>
        <v>0</v>
      </c>
      <c r="M48" s="28">
        <f>(INDEX(Option3!M$106:M$117, MATCH($D48, Option3!$G$106:$G$117,0)))*conv_2026*M$7</f>
        <v>0</v>
      </c>
      <c r="N48" s="28">
        <f>(INDEX(Option3!N$106:N$117, MATCH($D48, Option3!$G$106:$G$117,0)))*conv_2026*N$7</f>
        <v>-1621028.5178310168</v>
      </c>
      <c r="O48" s="28">
        <f>(INDEX(Option3!O$106:O$117, MATCH($D48, Option3!$G$106:$G$117,0)))*conv_2026*O$7</f>
        <v>-3020066.7204750474</v>
      </c>
      <c r="P48" s="28">
        <f>(INDEX(Option3!P$106:P$117, MATCH($D48, Option3!$G$106:$G$117,0)))*conv_2026*P$7</f>
        <v>-2878790.3072699406</v>
      </c>
      <c r="Q48" s="28">
        <f>(INDEX(Option3!Q$106:Q$117, MATCH($D48, Option3!$G$106:$G$117,0)))*conv_2026*Q$7</f>
        <v>-2878790.3072699406</v>
      </c>
      <c r="R48" s="28">
        <f>(INDEX(Option3!R$106:R$117, MATCH($D48, Option3!$G$106:$G$117,0)))*conv_2026*R$7</f>
        <v>-2878790.3072699406</v>
      </c>
      <c r="S48" s="28">
        <f>(INDEX(Option3!S$106:S$117, MATCH($D48, Option3!$G$106:$G$117,0)))*conv_2026*S$7</f>
        <v>-2878790.3072699406</v>
      </c>
      <c r="T48" s="28">
        <f>(INDEX(Option3!T$106:T$117, MATCH($D48, Option3!$G$106:$G$117,0)))*conv_2026*T$7</f>
        <v>-2878790.3072699406</v>
      </c>
      <c r="U48" s="28">
        <f>(INDEX(Option3!U$106:U$117, MATCH($D48, Option3!$G$106:$G$117,0)))*conv_2026*U$7</f>
        <v>-2878790.3072699406</v>
      </c>
      <c r="V48" s="28">
        <f>(INDEX(Option3!V$106:V$117, MATCH($D48, Option3!$G$106:$G$117,0)))*conv_2026*V$7</f>
        <v>-2878790.3072699406</v>
      </c>
      <c r="W48" s="28">
        <f>(INDEX(Option3!W$106:W$117, MATCH($D48, Option3!$G$106:$G$117,0)))*conv_2026*W$7</f>
        <v>-2878790.3072699406</v>
      </c>
      <c r="X48" s="28">
        <f>(INDEX(Option3!X$106:X$117, MATCH($D48, Option3!$G$106:$G$117,0)))*conv_2026*X$7</f>
        <v>-2878790.3072699406</v>
      </c>
      <c r="Y48" s="28">
        <f>(INDEX(Option3!Y$106:Y$117, MATCH($D48, Option3!$G$106:$G$117,0)))*conv_2026*Y$7</f>
        <v>-2878790.3072699406</v>
      </c>
      <c r="Z48" s="28">
        <f>(INDEX(Option3!Z$106:Z$117, MATCH($D48, Option3!$G$106:$G$117,0)))*conv_2026*Z$7</f>
        <v>-2878790.3072699406</v>
      </c>
      <c r="AA48" s="28">
        <f>(INDEX(Option3!AA$106:AA$117, MATCH($D48, Option3!$G$106:$G$117,0)))*conv_2026*AA$7</f>
        <v>-2878790.3072699406</v>
      </c>
      <c r="AB48" s="28">
        <f>(INDEX(Option3!AB$106:AB$117, MATCH($D48, Option3!$G$106:$G$117,0)))*conv_2026*AB$7</f>
        <v>-2878790.3072699406</v>
      </c>
      <c r="AC48" s="28">
        <f>(INDEX(Option3!AC$106:AC$117, MATCH($D48, Option3!$G$106:$G$117,0)))*conv_2026*AC$7</f>
        <v>-2878790.3072699406</v>
      </c>
      <c r="AD48" s="28">
        <f>(INDEX(Option3!AD$106:AD$117, MATCH($D48, Option3!$G$106:$G$117,0)))*conv_2026*AD$7</f>
        <v>-2878790.3072699406</v>
      </c>
      <c r="AE48" s="28">
        <f>(INDEX(Option3!AE$106:AE$117, MATCH($D48, Option3!$G$106:$G$117,0)))*conv_2026*AE$7</f>
        <v>-2878790.3072699406</v>
      </c>
      <c r="AF48" s="28">
        <f>(INDEX(Option3!AF$106:AF$117, MATCH($D48, Option3!$G$106:$G$117,0)))*conv_2026*AF$7</f>
        <v>0</v>
      </c>
      <c r="AG48" s="28">
        <f>(INDEX(Option3!AG$106:AG$117, MATCH($D48, Option3!$G$106:$G$117,0)))*conv_2026*AG$7</f>
        <v>0</v>
      </c>
    </row>
    <row r="49" spans="1:35" s="6" customFormat="1" x14ac:dyDescent="0.2">
      <c r="A49" s="224" t="s">
        <v>132</v>
      </c>
      <c r="B49" s="224" t="str">
        <f>Option3!A115</f>
        <v>sens</v>
      </c>
      <c r="C49" s="224">
        <f>Option3!C115</f>
        <v>0</v>
      </c>
      <c r="D49" s="224" t="str">
        <f t="shared" si="5"/>
        <v>Option 3sens</v>
      </c>
      <c r="E49" s="216"/>
      <c r="F49" s="28">
        <f t="shared" si="4"/>
        <v>-27978688.376879264</v>
      </c>
      <c r="H49" s="28">
        <f>(INDEX(Option3!H$106:H$117, MATCH($D49, Option3!$G$106:$G$117,0)))*conv_2026*H$7</f>
        <v>0</v>
      </c>
      <c r="I49" s="28">
        <f>(INDEX(Option3!I$106:I$117, MATCH($D49, Option3!$G$106:$G$117,0)))*conv_2026*I$7</f>
        <v>0</v>
      </c>
      <c r="J49" s="28">
        <f>(INDEX(Option3!J$106:J$117, MATCH($D49, Option3!$G$106:$G$117,0)))*conv_2026*J$7</f>
        <v>0</v>
      </c>
      <c r="K49" s="28">
        <f>(INDEX(Option3!K$106:K$117, MATCH($D49, Option3!$G$106:$G$117,0)))*conv_2026*K$7</f>
        <v>0</v>
      </c>
      <c r="L49" s="28">
        <f>(INDEX(Option3!L$106:L$117, MATCH($D49, Option3!$G$106:$G$117,0)))*conv_2026*L$7</f>
        <v>0</v>
      </c>
      <c r="M49" s="28">
        <f>(INDEX(Option3!M$106:M$117, MATCH($D49, Option3!$G$106:$G$117,0)))*conv_2026*M$7</f>
        <v>0</v>
      </c>
      <c r="N49" s="28">
        <f>(INDEX(Option3!N$106:N$117, MATCH($D49, Option3!$G$106:$G$117,0)))*conv_2026*N$7</f>
        <v>-1473662.2889372881</v>
      </c>
      <c r="O49" s="28">
        <f>(INDEX(Option3!O$106:O$117, MATCH($D49, Option3!$G$106:$G$117,0)))*conv_2026*O$7</f>
        <v>-2700668.6721112579</v>
      </c>
      <c r="P49" s="28">
        <f>(INDEX(Option3!P$106:P$117, MATCH($D49, Option3!$G$106:$G$117,0)))*conv_2026*P$7</f>
        <v>-2543694.8796611396</v>
      </c>
      <c r="Q49" s="28">
        <f>(INDEX(Option3!Q$106:Q$117, MATCH($D49, Option3!$G$106:$G$117,0)))*conv_2026*Q$7</f>
        <v>-2543694.8796611396</v>
      </c>
      <c r="R49" s="28">
        <f>(INDEX(Option3!R$106:R$117, MATCH($D49, Option3!$G$106:$G$117,0)))*conv_2026*R$7</f>
        <v>-2543694.8796611396</v>
      </c>
      <c r="S49" s="28">
        <f>(INDEX(Option3!S$106:S$117, MATCH($D49, Option3!$G$106:$G$117,0)))*conv_2026*S$7</f>
        <v>-2543694.8796611396</v>
      </c>
      <c r="T49" s="28">
        <f>(INDEX(Option3!T$106:T$117, MATCH($D49, Option3!$G$106:$G$117,0)))*conv_2026*T$7</f>
        <v>-2543694.8796611396</v>
      </c>
      <c r="U49" s="28">
        <f>(INDEX(Option3!U$106:U$117, MATCH($D49, Option3!$G$106:$G$117,0)))*conv_2026*U$7</f>
        <v>-2543694.8796611396</v>
      </c>
      <c r="V49" s="28">
        <f>(INDEX(Option3!V$106:V$117, MATCH($D49, Option3!$G$106:$G$117,0)))*conv_2026*V$7</f>
        <v>-2543694.8796611396</v>
      </c>
      <c r="W49" s="28">
        <f>(INDEX(Option3!W$106:W$117, MATCH($D49, Option3!$G$106:$G$117,0)))*conv_2026*W$7</f>
        <v>-2543694.8796611396</v>
      </c>
      <c r="X49" s="28">
        <f>(INDEX(Option3!X$106:X$117, MATCH($D49, Option3!$G$106:$G$117,0)))*conv_2026*X$7</f>
        <v>-2543694.8796611396</v>
      </c>
      <c r="Y49" s="28">
        <f>(INDEX(Option3!Y$106:Y$117, MATCH($D49, Option3!$G$106:$G$117,0)))*conv_2026*Y$7</f>
        <v>-2543694.8796611396</v>
      </c>
      <c r="Z49" s="28">
        <f>(INDEX(Option3!Z$106:Z$117, MATCH($D49, Option3!$G$106:$G$117,0)))*conv_2026*Z$7</f>
        <v>-2543694.8796611396</v>
      </c>
      <c r="AA49" s="28">
        <f>(INDEX(Option3!AA$106:AA$117, MATCH($D49, Option3!$G$106:$G$117,0)))*conv_2026*AA$7</f>
        <v>-2543694.8796611396</v>
      </c>
      <c r="AB49" s="28">
        <f>(INDEX(Option3!AB$106:AB$117, MATCH($D49, Option3!$G$106:$G$117,0)))*conv_2026*AB$7</f>
        <v>-2543694.8796611396</v>
      </c>
      <c r="AC49" s="28">
        <f>(INDEX(Option3!AC$106:AC$117, MATCH($D49, Option3!$G$106:$G$117,0)))*conv_2026*AC$7</f>
        <v>-2543694.8796611396</v>
      </c>
      <c r="AD49" s="28">
        <f>(INDEX(Option3!AD$106:AD$117, MATCH($D49, Option3!$G$106:$G$117,0)))*conv_2026*AD$7</f>
        <v>-2543694.8796611396</v>
      </c>
      <c r="AE49" s="28">
        <f>(INDEX(Option3!AE$106:AE$117, MATCH($D49, Option3!$G$106:$G$117,0)))*conv_2026*AE$7</f>
        <v>-2543694.8796611396</v>
      </c>
      <c r="AF49" s="28">
        <f>(INDEX(Option3!AF$106:AF$117, MATCH($D49, Option3!$G$106:$G$117,0)))*conv_2026*AF$7</f>
        <v>0</v>
      </c>
      <c r="AG49" s="28">
        <f>(INDEX(Option3!AG$106:AG$117, MATCH($D49, Option3!$G$106:$G$117,0)))*conv_2026*AG$7</f>
        <v>0</v>
      </c>
    </row>
    <row r="50" spans="1:35" s="6" customFormat="1" x14ac:dyDescent="0.2">
      <c r="A50" s="224" t="s">
        <v>132</v>
      </c>
      <c r="B50" s="224" t="str">
        <f>Option3!A116</f>
        <v>sens</v>
      </c>
      <c r="C50" s="224">
        <f>Option3!C116</f>
        <v>0</v>
      </c>
      <c r="D50" s="224" t="str">
        <f t="shared" si="5"/>
        <v>Option 3sens</v>
      </c>
      <c r="E50" s="216"/>
      <c r="F50" s="28">
        <f t="shared" si="4"/>
        <v>-27978688.376879264</v>
      </c>
      <c r="H50" s="28">
        <f>(INDEX(Option3!H$106:H$117, MATCH($D50, Option3!$G$106:$G$117,0)))*conv_2026*H$7</f>
        <v>0</v>
      </c>
      <c r="I50" s="28">
        <f>(INDEX(Option3!I$106:I$117, MATCH($D50, Option3!$G$106:$G$117,0)))*conv_2026*I$7</f>
        <v>0</v>
      </c>
      <c r="J50" s="28">
        <f>(INDEX(Option3!J$106:J$117, MATCH($D50, Option3!$G$106:$G$117,0)))*conv_2026*J$7</f>
        <v>0</v>
      </c>
      <c r="K50" s="28">
        <f>(INDEX(Option3!K$106:K$117, MATCH($D50, Option3!$G$106:$G$117,0)))*conv_2026*K$7</f>
        <v>0</v>
      </c>
      <c r="L50" s="28">
        <f>(INDEX(Option3!L$106:L$117, MATCH($D50, Option3!$G$106:$G$117,0)))*conv_2026*L$7</f>
        <v>0</v>
      </c>
      <c r="M50" s="28">
        <f>(INDEX(Option3!M$106:M$117, MATCH($D50, Option3!$G$106:$G$117,0)))*conv_2026*M$7</f>
        <v>0</v>
      </c>
      <c r="N50" s="28">
        <f>(INDEX(Option3!N$106:N$117, MATCH($D50, Option3!$G$106:$G$117,0)))*conv_2026*N$7</f>
        <v>-1473662.2889372881</v>
      </c>
      <c r="O50" s="28">
        <f>(INDEX(Option3!O$106:O$117, MATCH($D50, Option3!$G$106:$G$117,0)))*conv_2026*O$7</f>
        <v>-2700668.6721112579</v>
      </c>
      <c r="P50" s="28">
        <f>(INDEX(Option3!P$106:P$117, MATCH($D50, Option3!$G$106:$G$117,0)))*conv_2026*P$7</f>
        <v>-2543694.8796611396</v>
      </c>
      <c r="Q50" s="28">
        <f>(INDEX(Option3!Q$106:Q$117, MATCH($D50, Option3!$G$106:$G$117,0)))*conv_2026*Q$7</f>
        <v>-2543694.8796611396</v>
      </c>
      <c r="R50" s="28">
        <f>(INDEX(Option3!R$106:R$117, MATCH($D50, Option3!$G$106:$G$117,0)))*conv_2026*R$7</f>
        <v>-2543694.8796611396</v>
      </c>
      <c r="S50" s="28">
        <f>(INDEX(Option3!S$106:S$117, MATCH($D50, Option3!$G$106:$G$117,0)))*conv_2026*S$7</f>
        <v>-2543694.8796611396</v>
      </c>
      <c r="T50" s="28">
        <f>(INDEX(Option3!T$106:T$117, MATCH($D50, Option3!$G$106:$G$117,0)))*conv_2026*T$7</f>
        <v>-2543694.8796611396</v>
      </c>
      <c r="U50" s="28">
        <f>(INDEX(Option3!U$106:U$117, MATCH($D50, Option3!$G$106:$G$117,0)))*conv_2026*U$7</f>
        <v>-2543694.8796611396</v>
      </c>
      <c r="V50" s="28">
        <f>(INDEX(Option3!V$106:V$117, MATCH($D50, Option3!$G$106:$G$117,0)))*conv_2026*V$7</f>
        <v>-2543694.8796611396</v>
      </c>
      <c r="W50" s="28">
        <f>(INDEX(Option3!W$106:W$117, MATCH($D50, Option3!$G$106:$G$117,0)))*conv_2026*W$7</f>
        <v>-2543694.8796611396</v>
      </c>
      <c r="X50" s="28">
        <f>(INDEX(Option3!X$106:X$117, MATCH($D50, Option3!$G$106:$G$117,0)))*conv_2026*X$7</f>
        <v>-2543694.8796611396</v>
      </c>
      <c r="Y50" s="28">
        <f>(INDEX(Option3!Y$106:Y$117, MATCH($D50, Option3!$G$106:$G$117,0)))*conv_2026*Y$7</f>
        <v>-2543694.8796611396</v>
      </c>
      <c r="Z50" s="28">
        <f>(INDEX(Option3!Z$106:Z$117, MATCH($D50, Option3!$G$106:$G$117,0)))*conv_2026*Z$7</f>
        <v>-2543694.8796611396</v>
      </c>
      <c r="AA50" s="28">
        <f>(INDEX(Option3!AA$106:AA$117, MATCH($D50, Option3!$G$106:$G$117,0)))*conv_2026*AA$7</f>
        <v>-2543694.8796611396</v>
      </c>
      <c r="AB50" s="28">
        <f>(INDEX(Option3!AB$106:AB$117, MATCH($D50, Option3!$G$106:$G$117,0)))*conv_2026*AB$7</f>
        <v>-2543694.8796611396</v>
      </c>
      <c r="AC50" s="28">
        <f>(INDEX(Option3!AC$106:AC$117, MATCH($D50, Option3!$G$106:$G$117,0)))*conv_2026*AC$7</f>
        <v>-2543694.8796611396</v>
      </c>
      <c r="AD50" s="28">
        <f>(INDEX(Option3!AD$106:AD$117, MATCH($D50, Option3!$G$106:$G$117,0)))*conv_2026*AD$7</f>
        <v>-2543694.8796611396</v>
      </c>
      <c r="AE50" s="28">
        <f>(INDEX(Option3!AE$106:AE$117, MATCH($D50, Option3!$G$106:$G$117,0)))*conv_2026*AE$7</f>
        <v>-2543694.8796611396</v>
      </c>
      <c r="AF50" s="28">
        <f>(INDEX(Option3!AF$106:AF$117, MATCH($D50, Option3!$G$106:$G$117,0)))*conv_2026*AF$7</f>
        <v>0</v>
      </c>
      <c r="AG50" s="28">
        <f>(INDEX(Option3!AG$106:AG$117, MATCH($D50, Option3!$G$106:$G$117,0)))*conv_2026*AG$7</f>
        <v>0</v>
      </c>
    </row>
    <row r="51" spans="1:35" s="6" customFormat="1" x14ac:dyDescent="0.2">
      <c r="A51" s="224" t="s">
        <v>132</v>
      </c>
      <c r="B51" s="224" t="str">
        <f>Option3!A117</f>
        <v>sens</v>
      </c>
      <c r="C51" s="224">
        <f>Option3!C117</f>
        <v>0</v>
      </c>
      <c r="D51" s="224" t="str">
        <f t="shared" si="5"/>
        <v>Option 3sens</v>
      </c>
      <c r="E51" s="216"/>
      <c r="F51" s="28">
        <f t="shared" si="4"/>
        <v>-27978688.376879264</v>
      </c>
      <c r="H51" s="28">
        <f>(INDEX(Option3!H$106:H$117, MATCH($D51, Option3!$G$106:$G$117,0)))*conv_2026*H$7</f>
        <v>0</v>
      </c>
      <c r="I51" s="28">
        <f>(INDEX(Option3!I$106:I$117, MATCH($D51, Option3!$G$106:$G$117,0)))*conv_2026*I$7</f>
        <v>0</v>
      </c>
      <c r="J51" s="28">
        <f>(INDEX(Option3!J$106:J$117, MATCH($D51, Option3!$G$106:$G$117,0)))*conv_2026*J$7</f>
        <v>0</v>
      </c>
      <c r="K51" s="28">
        <f>(INDEX(Option3!K$106:K$117, MATCH($D51, Option3!$G$106:$G$117,0)))*conv_2026*K$7</f>
        <v>0</v>
      </c>
      <c r="L51" s="28">
        <f>(INDEX(Option3!L$106:L$117, MATCH($D51, Option3!$G$106:$G$117,0)))*conv_2026*L$7</f>
        <v>0</v>
      </c>
      <c r="M51" s="28">
        <f>(INDEX(Option3!M$106:M$117, MATCH($D51, Option3!$G$106:$G$117,0)))*conv_2026*M$7</f>
        <v>0</v>
      </c>
      <c r="N51" s="28">
        <f>(INDEX(Option3!N$106:N$117, MATCH($D51, Option3!$G$106:$G$117,0)))*conv_2026*N$7</f>
        <v>-1473662.2889372881</v>
      </c>
      <c r="O51" s="28">
        <f>(INDEX(Option3!O$106:O$117, MATCH($D51, Option3!$G$106:$G$117,0)))*conv_2026*O$7</f>
        <v>-2700668.6721112579</v>
      </c>
      <c r="P51" s="28">
        <f>(INDEX(Option3!P$106:P$117, MATCH($D51, Option3!$G$106:$G$117,0)))*conv_2026*P$7</f>
        <v>-2543694.8796611396</v>
      </c>
      <c r="Q51" s="28">
        <f>(INDEX(Option3!Q$106:Q$117, MATCH($D51, Option3!$G$106:$G$117,0)))*conv_2026*Q$7</f>
        <v>-2543694.8796611396</v>
      </c>
      <c r="R51" s="28">
        <f>(INDEX(Option3!R$106:R$117, MATCH($D51, Option3!$G$106:$G$117,0)))*conv_2026*R$7</f>
        <v>-2543694.8796611396</v>
      </c>
      <c r="S51" s="28">
        <f>(INDEX(Option3!S$106:S$117, MATCH($D51, Option3!$G$106:$G$117,0)))*conv_2026*S$7</f>
        <v>-2543694.8796611396</v>
      </c>
      <c r="T51" s="28">
        <f>(INDEX(Option3!T$106:T$117, MATCH($D51, Option3!$G$106:$G$117,0)))*conv_2026*T$7</f>
        <v>-2543694.8796611396</v>
      </c>
      <c r="U51" s="28">
        <f>(INDEX(Option3!U$106:U$117, MATCH($D51, Option3!$G$106:$G$117,0)))*conv_2026*U$7</f>
        <v>-2543694.8796611396</v>
      </c>
      <c r="V51" s="28">
        <f>(INDEX(Option3!V$106:V$117, MATCH($D51, Option3!$G$106:$G$117,0)))*conv_2026*V$7</f>
        <v>-2543694.8796611396</v>
      </c>
      <c r="W51" s="28">
        <f>(INDEX(Option3!W$106:W$117, MATCH($D51, Option3!$G$106:$G$117,0)))*conv_2026*W$7</f>
        <v>-2543694.8796611396</v>
      </c>
      <c r="X51" s="28">
        <f>(INDEX(Option3!X$106:X$117, MATCH($D51, Option3!$G$106:$G$117,0)))*conv_2026*X$7</f>
        <v>-2543694.8796611396</v>
      </c>
      <c r="Y51" s="28">
        <f>(INDEX(Option3!Y$106:Y$117, MATCH($D51, Option3!$G$106:$G$117,0)))*conv_2026*Y$7</f>
        <v>-2543694.8796611396</v>
      </c>
      <c r="Z51" s="28">
        <f>(INDEX(Option3!Z$106:Z$117, MATCH($D51, Option3!$G$106:$G$117,0)))*conv_2026*Z$7</f>
        <v>-2543694.8796611396</v>
      </c>
      <c r="AA51" s="28">
        <f>(INDEX(Option3!AA$106:AA$117, MATCH($D51, Option3!$G$106:$G$117,0)))*conv_2026*AA$7</f>
        <v>-2543694.8796611396</v>
      </c>
      <c r="AB51" s="28">
        <f>(INDEX(Option3!AB$106:AB$117, MATCH($D51, Option3!$G$106:$G$117,0)))*conv_2026*AB$7</f>
        <v>-2543694.8796611396</v>
      </c>
      <c r="AC51" s="28">
        <f>(INDEX(Option3!AC$106:AC$117, MATCH($D51, Option3!$G$106:$G$117,0)))*conv_2026*AC$7</f>
        <v>-2543694.8796611396</v>
      </c>
      <c r="AD51" s="28">
        <f>(INDEX(Option3!AD$106:AD$117, MATCH($D51, Option3!$G$106:$G$117,0)))*conv_2026*AD$7</f>
        <v>-2543694.8796611396</v>
      </c>
      <c r="AE51" s="28">
        <f>(INDEX(Option3!AE$106:AE$117, MATCH($D51, Option3!$G$106:$G$117,0)))*conv_2026*AE$7</f>
        <v>-2543694.8796611396</v>
      </c>
      <c r="AF51" s="28">
        <f>(INDEX(Option3!AF$106:AF$117, MATCH($D51, Option3!$G$106:$G$117,0)))*conv_2026*AF$7</f>
        <v>0</v>
      </c>
      <c r="AG51" s="28">
        <f>(INDEX(Option3!AG$106:AG$117, MATCH($D51, Option3!$G$106:$G$117,0)))*conv_2026*AG$7</f>
        <v>0</v>
      </c>
    </row>
    <row r="52" spans="1:35" s="6" customFormat="1" x14ac:dyDescent="0.2">
      <c r="A52" s="224"/>
      <c r="B52" s="224"/>
      <c r="C52" s="224"/>
      <c r="D52" s="224"/>
      <c r="E52" s="224"/>
      <c r="F52" s="28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</row>
    <row r="53" spans="1:35" s="6" customFormat="1" x14ac:dyDescent="0.2">
      <c r="A53" s="224"/>
      <c r="B53" s="224"/>
      <c r="C53" s="224"/>
      <c r="D53" s="224"/>
      <c r="E53" s="224"/>
      <c r="F53" s="28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</row>
    <row r="54" spans="1:35" s="6" customFormat="1" x14ac:dyDescent="0.2">
      <c r="A54" s="224"/>
      <c r="B54" s="224"/>
      <c r="C54" s="224"/>
      <c r="D54" s="224"/>
      <c r="E54" s="224"/>
      <c r="F54" s="28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</row>
    <row r="55" spans="1:35" s="6" customFormat="1" x14ac:dyDescent="0.2">
      <c r="A55" s="224"/>
      <c r="B55" s="224"/>
      <c r="C55" s="224"/>
      <c r="D55" s="224"/>
      <c r="E55" s="224"/>
      <c r="F55" s="28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</row>
    <row r="56" spans="1:35" s="6" customFormat="1" x14ac:dyDescent="0.2">
      <c r="A56" s="224" t="s">
        <v>133</v>
      </c>
      <c r="B56" s="224" t="s">
        <v>119</v>
      </c>
      <c r="C56" s="224" t="s">
        <v>188</v>
      </c>
      <c r="D56" s="224" t="str">
        <f>A56&amp;B56</f>
        <v>Option 4NPV</v>
      </c>
      <c r="E56" s="216"/>
      <c r="F56" s="28">
        <f t="shared" ref="F56:F65" si="6">SUMPRODUCT($H56:$AG56, $H$5:$AG$5)</f>
        <v>0</v>
      </c>
      <c r="G56" s="219"/>
      <c r="H56" s="28">
        <f>(INDEX(Option4!H$106:H$117, MATCH($D56, Option4!$G$106:$G$117,0)))*conv_2026*H$7</f>
        <v>0</v>
      </c>
      <c r="I56" s="28">
        <f>(INDEX(Option4!I$106:I$117, MATCH($D56, Option4!$G$106:$G$117,0)))*conv_2026*I$7</f>
        <v>0</v>
      </c>
      <c r="J56" s="28">
        <f>(INDEX(Option4!J$106:J$117, MATCH($D56, Option4!$G$106:$G$117,0)))*conv_2026*J$7</f>
        <v>0</v>
      </c>
      <c r="K56" s="28">
        <f>(INDEX(Option4!K$106:K$117, MATCH($D56, Option4!$G$106:$G$117,0)))*conv_2026*K$7</f>
        <v>0</v>
      </c>
      <c r="L56" s="28">
        <f>(INDEX(Option4!L$106:L$117, MATCH($D56, Option4!$G$106:$G$117,0)))*conv_2026*L$7</f>
        <v>0</v>
      </c>
      <c r="M56" s="28">
        <f>(INDEX(Option4!M$106:M$117, MATCH($D56, Option4!$G$106:$G$117,0)))*conv_2026*M$7</f>
        <v>0</v>
      </c>
      <c r="N56" s="28">
        <f>(INDEX(Option4!N$106:N$117, MATCH($D56, Option4!$G$106:$G$117,0)))*conv_2026*N$7</f>
        <v>0</v>
      </c>
      <c r="O56" s="28">
        <f>(INDEX(Option4!O$106:O$117, MATCH($D56, Option4!$G$106:$G$117,0)))*conv_2026*O$7</f>
        <v>0</v>
      </c>
      <c r="P56" s="28">
        <f>(INDEX(Option4!P$106:P$117, MATCH($D56, Option4!$G$106:$G$117,0)))*conv_2026*P$7</f>
        <v>0</v>
      </c>
      <c r="Q56" s="28">
        <f>(INDEX(Option4!Q$106:Q$117, MATCH($D56, Option4!$G$106:$G$117,0)))*conv_2026*Q$7</f>
        <v>0</v>
      </c>
      <c r="R56" s="28">
        <f>(INDEX(Option4!R$106:R$117, MATCH($D56, Option4!$G$106:$G$117,0)))*conv_2026*R$7</f>
        <v>0</v>
      </c>
      <c r="S56" s="28">
        <f>(INDEX(Option4!S$106:S$117, MATCH($D56, Option4!$G$106:$G$117,0)))*conv_2026*S$7</f>
        <v>0</v>
      </c>
      <c r="T56" s="28">
        <f>(INDEX(Option4!T$106:T$117, MATCH($D56, Option4!$G$106:$G$117,0)))*conv_2026*T$7</f>
        <v>0</v>
      </c>
      <c r="U56" s="28">
        <f>(INDEX(Option4!U$106:U$117, MATCH($D56, Option4!$G$106:$G$117,0)))*conv_2026*U$7</f>
        <v>0</v>
      </c>
      <c r="V56" s="28">
        <f>(INDEX(Option4!V$106:V$117, MATCH($D56, Option4!$G$106:$G$117,0)))*conv_2026*V$7</f>
        <v>0</v>
      </c>
      <c r="W56" s="28">
        <f>(INDEX(Option4!W$106:W$117, MATCH($D56, Option4!$G$106:$G$117,0)))*conv_2026*W$7</f>
        <v>0</v>
      </c>
      <c r="X56" s="28">
        <f>(INDEX(Option4!X$106:X$117, MATCH($D56, Option4!$G$106:$G$117,0)))*conv_2026*X$7</f>
        <v>0</v>
      </c>
      <c r="Y56" s="28">
        <f>(INDEX(Option4!Y$106:Y$117, MATCH($D56, Option4!$G$106:$G$117,0)))*conv_2026*Y$7</f>
        <v>0</v>
      </c>
      <c r="Z56" s="28">
        <f>(INDEX(Option4!Z$106:Z$117, MATCH($D56, Option4!$G$106:$G$117,0)))*conv_2026*Z$7</f>
        <v>0</v>
      </c>
      <c r="AA56" s="28">
        <f>(INDEX(Option4!AA$106:AA$117, MATCH($D56, Option4!$G$106:$G$117,0)))*conv_2026*AA$7</f>
        <v>0</v>
      </c>
      <c r="AB56" s="28">
        <f>(INDEX(Option4!AB$106:AB$117, MATCH($D56, Option4!$G$106:$G$117,0)))*conv_2026*AB$7</f>
        <v>0</v>
      </c>
      <c r="AC56" s="28">
        <f>(INDEX(Option4!AC$106:AC$117, MATCH($D56, Option4!$G$106:$G$117,0)))*conv_2026*AC$7</f>
        <v>0</v>
      </c>
      <c r="AD56" s="28">
        <f>(INDEX(Option4!AD$106:AD$117, MATCH($D56, Option4!$G$106:$G$117,0)))*conv_2026*AD$7</f>
        <v>0</v>
      </c>
      <c r="AE56" s="28">
        <f>(INDEX(Option4!AE$106:AE$117, MATCH($D56, Option4!$G$106:$G$117,0)))*conv_2026*AE$7</f>
        <v>0</v>
      </c>
      <c r="AF56" s="28">
        <f>(INDEX(Option4!AF$106:AF$117, MATCH($D56, Option4!$G$106:$G$117,0)))*conv_2026*AF$7</f>
        <v>0</v>
      </c>
      <c r="AG56" s="28">
        <f>(INDEX(Option4!AG$106:AG$117, MATCH($D56, Option4!$G$106:$G$117,0)))*conv_2026*AG$7</f>
        <v>0</v>
      </c>
      <c r="AH56" s="2"/>
      <c r="AI56" s="2"/>
    </row>
    <row r="57" spans="1:35" s="6" customFormat="1" x14ac:dyDescent="0.2">
      <c r="A57" s="218"/>
      <c r="B57" s="218"/>
      <c r="C57" s="218"/>
      <c r="D57" s="218"/>
      <c r="E57" s="218"/>
      <c r="F57" s="218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"/>
      <c r="AI57" s="2"/>
    </row>
    <row r="58" spans="1:35" s="6" customFormat="1" x14ac:dyDescent="0.2">
      <c r="A58" s="224" t="s">
        <v>133</v>
      </c>
      <c r="B58" s="224" t="str">
        <f>Option4!A110</f>
        <v>sens1</v>
      </c>
      <c r="C58" s="224" t="str">
        <f>Option4!C110</f>
        <v>Capex 10% higher</v>
      </c>
      <c r="D58" s="224" t="str">
        <f t="shared" ref="D58:D65" si="7">A58&amp;B58</f>
        <v>Option 4sens1</v>
      </c>
      <c r="E58" s="216"/>
      <c r="F58" s="28">
        <f t="shared" si="6"/>
        <v>0</v>
      </c>
      <c r="G58" s="219"/>
      <c r="H58" s="28">
        <f>(INDEX(Option4!H$106:H$117, MATCH($D58, Option4!$G$106:$G$117,0)))*conv_2026*H$7</f>
        <v>0</v>
      </c>
      <c r="I58" s="28">
        <f>(INDEX(Option4!I$106:I$117, MATCH($D58, Option4!$G$106:$G$117,0)))*conv_2026*I$7</f>
        <v>0</v>
      </c>
      <c r="J58" s="28">
        <f>(INDEX(Option4!J$106:J$117, MATCH($D58, Option4!$G$106:$G$117,0)))*conv_2026*J$7</f>
        <v>0</v>
      </c>
      <c r="K58" s="28">
        <f>(INDEX(Option4!K$106:K$117, MATCH($D58, Option4!$G$106:$G$117,0)))*conv_2026*K$7</f>
        <v>0</v>
      </c>
      <c r="L58" s="28">
        <f>(INDEX(Option4!L$106:L$117, MATCH($D58, Option4!$G$106:$G$117,0)))*conv_2026*L$7</f>
        <v>0</v>
      </c>
      <c r="M58" s="28">
        <f>(INDEX(Option4!M$106:M$117, MATCH($D58, Option4!$G$106:$G$117,0)))*conv_2026*M$7</f>
        <v>0</v>
      </c>
      <c r="N58" s="28">
        <f>(INDEX(Option4!N$106:N$117, MATCH($D58, Option4!$G$106:$G$117,0)))*conv_2026*N$7</f>
        <v>0</v>
      </c>
      <c r="O58" s="28">
        <f>(INDEX(Option4!O$106:O$117, MATCH($D58, Option4!$G$106:$G$117,0)))*conv_2026*O$7</f>
        <v>0</v>
      </c>
      <c r="P58" s="28">
        <f>(INDEX(Option4!P$106:P$117, MATCH($D58, Option4!$G$106:$G$117,0)))*conv_2026*P$7</f>
        <v>0</v>
      </c>
      <c r="Q58" s="28">
        <f>(INDEX(Option4!Q$106:Q$117, MATCH($D58, Option4!$G$106:$G$117,0)))*conv_2026*Q$7</f>
        <v>0</v>
      </c>
      <c r="R58" s="28">
        <f>(INDEX(Option4!R$106:R$117, MATCH($D58, Option4!$G$106:$G$117,0)))*conv_2026*R$7</f>
        <v>0</v>
      </c>
      <c r="S58" s="28">
        <f>(INDEX(Option4!S$106:S$117, MATCH($D58, Option4!$G$106:$G$117,0)))*conv_2026*S$7</f>
        <v>0</v>
      </c>
      <c r="T58" s="28">
        <f>(INDEX(Option4!T$106:T$117, MATCH($D58, Option4!$G$106:$G$117,0)))*conv_2026*T$7</f>
        <v>0</v>
      </c>
      <c r="U58" s="28">
        <f>(INDEX(Option4!U$106:U$117, MATCH($D58, Option4!$G$106:$G$117,0)))*conv_2026*U$7</f>
        <v>0</v>
      </c>
      <c r="V58" s="28">
        <f>(INDEX(Option4!V$106:V$117, MATCH($D58, Option4!$G$106:$G$117,0)))*conv_2026*V$7</f>
        <v>0</v>
      </c>
      <c r="W58" s="28">
        <f>(INDEX(Option4!W$106:W$117, MATCH($D58, Option4!$G$106:$G$117,0)))*conv_2026*W$7</f>
        <v>0</v>
      </c>
      <c r="X58" s="28">
        <f>(INDEX(Option4!X$106:X$117, MATCH($D58, Option4!$G$106:$G$117,0)))*conv_2026*X$7</f>
        <v>0</v>
      </c>
      <c r="Y58" s="28">
        <f>(INDEX(Option4!Y$106:Y$117, MATCH($D58, Option4!$G$106:$G$117,0)))*conv_2026*Y$7</f>
        <v>0</v>
      </c>
      <c r="Z58" s="28">
        <f>(INDEX(Option4!Z$106:Z$117, MATCH($D58, Option4!$G$106:$G$117,0)))*conv_2026*Z$7</f>
        <v>0</v>
      </c>
      <c r="AA58" s="28">
        <f>(INDEX(Option4!AA$106:AA$117, MATCH($D58, Option4!$G$106:$G$117,0)))*conv_2026*AA$7</f>
        <v>0</v>
      </c>
      <c r="AB58" s="28">
        <f>(INDEX(Option4!AB$106:AB$117, MATCH($D58, Option4!$G$106:$G$117,0)))*conv_2026*AB$7</f>
        <v>0</v>
      </c>
      <c r="AC58" s="28">
        <f>(INDEX(Option4!AC$106:AC$117, MATCH($D58, Option4!$G$106:$G$117,0)))*conv_2026*AC$7</f>
        <v>0</v>
      </c>
      <c r="AD58" s="28">
        <f>(INDEX(Option4!AD$106:AD$117, MATCH($D58, Option4!$G$106:$G$117,0)))*conv_2026*AD$7</f>
        <v>0</v>
      </c>
      <c r="AE58" s="28">
        <f>(INDEX(Option4!AE$106:AE$117, MATCH($D58, Option4!$G$106:$G$117,0)))*conv_2026*AE$7</f>
        <v>0</v>
      </c>
      <c r="AF58" s="28">
        <f>(INDEX(Option4!AF$106:AF$117, MATCH($D58, Option4!$G$106:$G$117,0)))*conv_2026*AF$7</f>
        <v>0</v>
      </c>
      <c r="AG58" s="28">
        <f>(INDEX(Option4!AG$106:AG$117, MATCH($D58, Option4!$G$106:$G$117,0)))*conv_2026*AG$7</f>
        <v>0</v>
      </c>
      <c r="AH58" s="2"/>
      <c r="AI58" s="2"/>
    </row>
    <row r="59" spans="1:35" s="6" customFormat="1" x14ac:dyDescent="0.2">
      <c r="A59" s="224" t="s">
        <v>133</v>
      </c>
      <c r="B59" s="224" t="str">
        <f>Option4!A111</f>
        <v>sens2</v>
      </c>
      <c r="C59" s="224" t="str">
        <f>Option4!C111</f>
        <v>Capex 10% lower</v>
      </c>
      <c r="D59" s="224" t="str">
        <f t="shared" si="7"/>
        <v>Option 4sens2</v>
      </c>
      <c r="E59" s="216"/>
      <c r="F59" s="28">
        <f t="shared" si="6"/>
        <v>0</v>
      </c>
      <c r="G59" s="224"/>
      <c r="H59" s="28">
        <f>(INDEX(Option4!H$106:H$117, MATCH($D59, Option4!$G$106:$G$117,0)))*conv_2026*H$7</f>
        <v>0</v>
      </c>
      <c r="I59" s="28">
        <f>(INDEX(Option4!I$106:I$117, MATCH($D59, Option4!$G$106:$G$117,0)))*conv_2026*I$7</f>
        <v>0</v>
      </c>
      <c r="J59" s="28">
        <f>(INDEX(Option4!J$106:J$117, MATCH($D59, Option4!$G$106:$G$117,0)))*conv_2026*J$7</f>
        <v>0</v>
      </c>
      <c r="K59" s="28">
        <f>(INDEX(Option4!K$106:K$117, MATCH($D59, Option4!$G$106:$G$117,0)))*conv_2026*K$7</f>
        <v>0</v>
      </c>
      <c r="L59" s="28">
        <f>(INDEX(Option4!L$106:L$117, MATCH($D59, Option4!$G$106:$G$117,0)))*conv_2026*L$7</f>
        <v>0</v>
      </c>
      <c r="M59" s="28">
        <f>(INDEX(Option4!M$106:M$117, MATCH($D59, Option4!$G$106:$G$117,0)))*conv_2026*M$7</f>
        <v>0</v>
      </c>
      <c r="N59" s="28">
        <f>(INDEX(Option4!N$106:N$117, MATCH($D59, Option4!$G$106:$G$117,0)))*conv_2026*N$7</f>
        <v>0</v>
      </c>
      <c r="O59" s="28">
        <f>(INDEX(Option4!O$106:O$117, MATCH($D59, Option4!$G$106:$G$117,0)))*conv_2026*O$7</f>
        <v>0</v>
      </c>
      <c r="P59" s="28">
        <f>(INDEX(Option4!P$106:P$117, MATCH($D59, Option4!$G$106:$G$117,0)))*conv_2026*P$7</f>
        <v>0</v>
      </c>
      <c r="Q59" s="28">
        <f>(INDEX(Option4!Q$106:Q$117, MATCH($D59, Option4!$G$106:$G$117,0)))*conv_2026*Q$7</f>
        <v>0</v>
      </c>
      <c r="R59" s="28">
        <f>(INDEX(Option4!R$106:R$117, MATCH($D59, Option4!$G$106:$G$117,0)))*conv_2026*R$7</f>
        <v>0</v>
      </c>
      <c r="S59" s="28">
        <f>(INDEX(Option4!S$106:S$117, MATCH($D59, Option4!$G$106:$G$117,0)))*conv_2026*S$7</f>
        <v>0</v>
      </c>
      <c r="T59" s="28">
        <f>(INDEX(Option4!T$106:T$117, MATCH($D59, Option4!$G$106:$G$117,0)))*conv_2026*T$7</f>
        <v>0</v>
      </c>
      <c r="U59" s="28">
        <f>(INDEX(Option4!U$106:U$117, MATCH($D59, Option4!$G$106:$G$117,0)))*conv_2026*U$7</f>
        <v>0</v>
      </c>
      <c r="V59" s="28">
        <f>(INDEX(Option4!V$106:V$117, MATCH($D59, Option4!$G$106:$G$117,0)))*conv_2026*V$7</f>
        <v>0</v>
      </c>
      <c r="W59" s="28">
        <f>(INDEX(Option4!W$106:W$117, MATCH($D59, Option4!$G$106:$G$117,0)))*conv_2026*W$7</f>
        <v>0</v>
      </c>
      <c r="X59" s="28">
        <f>(INDEX(Option4!X$106:X$117, MATCH($D59, Option4!$G$106:$G$117,0)))*conv_2026*X$7</f>
        <v>0</v>
      </c>
      <c r="Y59" s="28">
        <f>(INDEX(Option4!Y$106:Y$117, MATCH($D59, Option4!$G$106:$G$117,0)))*conv_2026*Y$7</f>
        <v>0</v>
      </c>
      <c r="Z59" s="28">
        <f>(INDEX(Option4!Z$106:Z$117, MATCH($D59, Option4!$G$106:$G$117,0)))*conv_2026*Z$7</f>
        <v>0</v>
      </c>
      <c r="AA59" s="28">
        <f>(INDEX(Option4!AA$106:AA$117, MATCH($D59, Option4!$G$106:$G$117,0)))*conv_2026*AA$7</f>
        <v>0</v>
      </c>
      <c r="AB59" s="28">
        <f>(INDEX(Option4!AB$106:AB$117, MATCH($D59, Option4!$G$106:$G$117,0)))*conv_2026*AB$7</f>
        <v>0</v>
      </c>
      <c r="AC59" s="28">
        <f>(INDEX(Option4!AC$106:AC$117, MATCH($D59, Option4!$G$106:$G$117,0)))*conv_2026*AC$7</f>
        <v>0</v>
      </c>
      <c r="AD59" s="28">
        <f>(INDEX(Option4!AD$106:AD$117, MATCH($D59, Option4!$G$106:$G$117,0)))*conv_2026*AD$7</f>
        <v>0</v>
      </c>
      <c r="AE59" s="28">
        <f>(INDEX(Option4!AE$106:AE$117, MATCH($D59, Option4!$G$106:$G$117,0)))*conv_2026*AE$7</f>
        <v>0</v>
      </c>
      <c r="AF59" s="28">
        <f>(INDEX(Option4!AF$106:AF$117, MATCH($D59, Option4!$G$106:$G$117,0)))*conv_2026*AF$7</f>
        <v>0</v>
      </c>
      <c r="AG59" s="28">
        <f>(INDEX(Option4!AG$106:AG$117, MATCH($D59, Option4!$G$106:$G$117,0)))*conv_2026*AG$7</f>
        <v>0</v>
      </c>
    </row>
    <row r="60" spans="1:35" s="6" customFormat="1" x14ac:dyDescent="0.2">
      <c r="A60" s="224" t="s">
        <v>133</v>
      </c>
      <c r="B60" s="224" t="str">
        <f>Option4!A112</f>
        <v>sens3</v>
      </c>
      <c r="C60" s="224" t="str">
        <f>Option4!C112</f>
        <v>Total benefits 10% higher</v>
      </c>
      <c r="D60" s="224" t="str">
        <f t="shared" si="7"/>
        <v>Option 4sens3</v>
      </c>
      <c r="E60" s="216"/>
      <c r="F60" s="28">
        <f t="shared" si="6"/>
        <v>0</v>
      </c>
      <c r="H60" s="28">
        <f>(INDEX(Option4!H$106:H$117, MATCH($D60, Option4!$G$106:$G$117,0)))*conv_2026*H$7</f>
        <v>0</v>
      </c>
      <c r="I60" s="28">
        <f>(INDEX(Option4!I$106:I$117, MATCH($D60, Option4!$G$106:$G$117,0)))*conv_2026*I$7</f>
        <v>0</v>
      </c>
      <c r="J60" s="28">
        <f>(INDEX(Option4!J$106:J$117, MATCH($D60, Option4!$G$106:$G$117,0)))*conv_2026*J$7</f>
        <v>0</v>
      </c>
      <c r="K60" s="28">
        <f>(INDEX(Option4!K$106:K$117, MATCH($D60, Option4!$G$106:$G$117,0)))*conv_2026*K$7</f>
        <v>0</v>
      </c>
      <c r="L60" s="28">
        <f>(INDEX(Option4!L$106:L$117, MATCH($D60, Option4!$G$106:$G$117,0)))*conv_2026*L$7</f>
        <v>0</v>
      </c>
      <c r="M60" s="28">
        <f>(INDEX(Option4!M$106:M$117, MATCH($D60, Option4!$G$106:$G$117,0)))*conv_2026*M$7</f>
        <v>0</v>
      </c>
      <c r="N60" s="28">
        <f>(INDEX(Option4!N$106:N$117, MATCH($D60, Option4!$G$106:$G$117,0)))*conv_2026*N$7</f>
        <v>0</v>
      </c>
      <c r="O60" s="28">
        <f>(INDEX(Option4!O$106:O$117, MATCH($D60, Option4!$G$106:$G$117,0)))*conv_2026*O$7</f>
        <v>0</v>
      </c>
      <c r="P60" s="28">
        <f>(INDEX(Option4!P$106:P$117, MATCH($D60, Option4!$G$106:$G$117,0)))*conv_2026*P$7</f>
        <v>0</v>
      </c>
      <c r="Q60" s="28">
        <f>(INDEX(Option4!Q$106:Q$117, MATCH($D60, Option4!$G$106:$G$117,0)))*conv_2026*Q$7</f>
        <v>0</v>
      </c>
      <c r="R60" s="28">
        <f>(INDEX(Option4!R$106:R$117, MATCH($D60, Option4!$G$106:$G$117,0)))*conv_2026*R$7</f>
        <v>0</v>
      </c>
      <c r="S60" s="28">
        <f>(INDEX(Option4!S$106:S$117, MATCH($D60, Option4!$G$106:$G$117,0)))*conv_2026*S$7</f>
        <v>0</v>
      </c>
      <c r="T60" s="28">
        <f>(INDEX(Option4!T$106:T$117, MATCH($D60, Option4!$G$106:$G$117,0)))*conv_2026*T$7</f>
        <v>0</v>
      </c>
      <c r="U60" s="28">
        <f>(INDEX(Option4!U$106:U$117, MATCH($D60, Option4!$G$106:$G$117,0)))*conv_2026*U$7</f>
        <v>0</v>
      </c>
      <c r="V60" s="28">
        <f>(INDEX(Option4!V$106:V$117, MATCH($D60, Option4!$G$106:$G$117,0)))*conv_2026*V$7</f>
        <v>0</v>
      </c>
      <c r="W60" s="28">
        <f>(INDEX(Option4!W$106:W$117, MATCH($D60, Option4!$G$106:$G$117,0)))*conv_2026*W$7</f>
        <v>0</v>
      </c>
      <c r="X60" s="28">
        <f>(INDEX(Option4!X$106:X$117, MATCH($D60, Option4!$G$106:$G$117,0)))*conv_2026*X$7</f>
        <v>0</v>
      </c>
      <c r="Y60" s="28">
        <f>(INDEX(Option4!Y$106:Y$117, MATCH($D60, Option4!$G$106:$G$117,0)))*conv_2026*Y$7</f>
        <v>0</v>
      </c>
      <c r="Z60" s="28">
        <f>(INDEX(Option4!Z$106:Z$117, MATCH($D60, Option4!$G$106:$G$117,0)))*conv_2026*Z$7</f>
        <v>0</v>
      </c>
      <c r="AA60" s="28">
        <f>(INDEX(Option4!AA$106:AA$117, MATCH($D60, Option4!$G$106:$G$117,0)))*conv_2026*AA$7</f>
        <v>0</v>
      </c>
      <c r="AB60" s="28">
        <f>(INDEX(Option4!AB$106:AB$117, MATCH($D60, Option4!$G$106:$G$117,0)))*conv_2026*AB$7</f>
        <v>0</v>
      </c>
      <c r="AC60" s="28">
        <f>(INDEX(Option4!AC$106:AC$117, MATCH($D60, Option4!$G$106:$G$117,0)))*conv_2026*AC$7</f>
        <v>0</v>
      </c>
      <c r="AD60" s="28">
        <f>(INDEX(Option4!AD$106:AD$117, MATCH($D60, Option4!$G$106:$G$117,0)))*conv_2026*AD$7</f>
        <v>0</v>
      </c>
      <c r="AE60" s="28">
        <f>(INDEX(Option4!AE$106:AE$117, MATCH($D60, Option4!$G$106:$G$117,0)))*conv_2026*AE$7</f>
        <v>0</v>
      </c>
      <c r="AF60" s="28">
        <f>(INDEX(Option4!AF$106:AF$117, MATCH($D60, Option4!$G$106:$G$117,0)))*conv_2026*AF$7</f>
        <v>0</v>
      </c>
      <c r="AG60" s="28">
        <f>(INDEX(Option4!AG$106:AG$117, MATCH($D60, Option4!$G$106:$G$117,0)))*conv_2026*AG$7</f>
        <v>0</v>
      </c>
    </row>
    <row r="61" spans="1:35" s="6" customFormat="1" x14ac:dyDescent="0.2">
      <c r="A61" s="224" t="s">
        <v>133</v>
      </c>
      <c r="B61" s="224" t="str">
        <f>Option4!A113</f>
        <v>sens4</v>
      </c>
      <c r="C61" s="224" t="str">
        <f>Option4!C113</f>
        <v>Total benefits 10% lower</v>
      </c>
      <c r="D61" s="224" t="str">
        <f t="shared" si="7"/>
        <v>Option 4sens4</v>
      </c>
      <c r="E61" s="216"/>
      <c r="F61" s="28">
        <f t="shared" si="6"/>
        <v>0</v>
      </c>
      <c r="H61" s="28">
        <f>(INDEX(Option4!H$106:H$117, MATCH($D61, Option4!$G$106:$G$117,0)))*conv_2026*H$7</f>
        <v>0</v>
      </c>
      <c r="I61" s="28">
        <f>(INDEX(Option4!I$106:I$117, MATCH($D61, Option4!$G$106:$G$117,0)))*conv_2026*I$7</f>
        <v>0</v>
      </c>
      <c r="J61" s="28">
        <f>(INDEX(Option4!J$106:J$117, MATCH($D61, Option4!$G$106:$G$117,0)))*conv_2026*J$7</f>
        <v>0</v>
      </c>
      <c r="K61" s="28">
        <f>(INDEX(Option4!K$106:K$117, MATCH($D61, Option4!$G$106:$G$117,0)))*conv_2026*K$7</f>
        <v>0</v>
      </c>
      <c r="L61" s="28">
        <f>(INDEX(Option4!L$106:L$117, MATCH($D61, Option4!$G$106:$G$117,0)))*conv_2026*L$7</f>
        <v>0</v>
      </c>
      <c r="M61" s="28">
        <f>(INDEX(Option4!M$106:M$117, MATCH($D61, Option4!$G$106:$G$117,0)))*conv_2026*M$7</f>
        <v>0</v>
      </c>
      <c r="N61" s="28">
        <f>(INDEX(Option4!N$106:N$117, MATCH($D61, Option4!$G$106:$G$117,0)))*conv_2026*N$7</f>
        <v>0</v>
      </c>
      <c r="O61" s="28">
        <f>(INDEX(Option4!O$106:O$117, MATCH($D61, Option4!$G$106:$G$117,0)))*conv_2026*O$7</f>
        <v>0</v>
      </c>
      <c r="P61" s="28">
        <f>(INDEX(Option4!P$106:P$117, MATCH($D61, Option4!$G$106:$G$117,0)))*conv_2026*P$7</f>
        <v>0</v>
      </c>
      <c r="Q61" s="28">
        <f>(INDEX(Option4!Q$106:Q$117, MATCH($D61, Option4!$G$106:$G$117,0)))*conv_2026*Q$7</f>
        <v>0</v>
      </c>
      <c r="R61" s="28">
        <f>(INDEX(Option4!R$106:R$117, MATCH($D61, Option4!$G$106:$G$117,0)))*conv_2026*R$7</f>
        <v>0</v>
      </c>
      <c r="S61" s="28">
        <f>(INDEX(Option4!S$106:S$117, MATCH($D61, Option4!$G$106:$G$117,0)))*conv_2026*S$7</f>
        <v>0</v>
      </c>
      <c r="T61" s="28">
        <f>(INDEX(Option4!T$106:T$117, MATCH($D61, Option4!$G$106:$G$117,0)))*conv_2026*T$7</f>
        <v>0</v>
      </c>
      <c r="U61" s="28">
        <f>(INDEX(Option4!U$106:U$117, MATCH($D61, Option4!$G$106:$G$117,0)))*conv_2026*U$7</f>
        <v>0</v>
      </c>
      <c r="V61" s="28">
        <f>(INDEX(Option4!V$106:V$117, MATCH($D61, Option4!$G$106:$G$117,0)))*conv_2026*V$7</f>
        <v>0</v>
      </c>
      <c r="W61" s="28">
        <f>(INDEX(Option4!W$106:W$117, MATCH($D61, Option4!$G$106:$G$117,0)))*conv_2026*W$7</f>
        <v>0</v>
      </c>
      <c r="X61" s="28">
        <f>(INDEX(Option4!X$106:X$117, MATCH($D61, Option4!$G$106:$G$117,0)))*conv_2026*X$7</f>
        <v>0</v>
      </c>
      <c r="Y61" s="28">
        <f>(INDEX(Option4!Y$106:Y$117, MATCH($D61, Option4!$G$106:$G$117,0)))*conv_2026*Y$7</f>
        <v>0</v>
      </c>
      <c r="Z61" s="28">
        <f>(INDEX(Option4!Z$106:Z$117, MATCH($D61, Option4!$G$106:$G$117,0)))*conv_2026*Z$7</f>
        <v>0</v>
      </c>
      <c r="AA61" s="28">
        <f>(INDEX(Option4!AA$106:AA$117, MATCH($D61, Option4!$G$106:$G$117,0)))*conv_2026*AA$7</f>
        <v>0</v>
      </c>
      <c r="AB61" s="28">
        <f>(INDEX(Option4!AB$106:AB$117, MATCH($D61, Option4!$G$106:$G$117,0)))*conv_2026*AB$7</f>
        <v>0</v>
      </c>
      <c r="AC61" s="28">
        <f>(INDEX(Option4!AC$106:AC$117, MATCH($D61, Option4!$G$106:$G$117,0)))*conv_2026*AC$7</f>
        <v>0</v>
      </c>
      <c r="AD61" s="28">
        <f>(INDEX(Option4!AD$106:AD$117, MATCH($D61, Option4!$G$106:$G$117,0)))*conv_2026*AD$7</f>
        <v>0</v>
      </c>
      <c r="AE61" s="28">
        <f>(INDEX(Option4!AE$106:AE$117, MATCH($D61, Option4!$G$106:$G$117,0)))*conv_2026*AE$7</f>
        <v>0</v>
      </c>
      <c r="AF61" s="28">
        <f>(INDEX(Option4!AF$106:AF$117, MATCH($D61, Option4!$G$106:$G$117,0)))*conv_2026*AF$7</f>
        <v>0</v>
      </c>
      <c r="AG61" s="28">
        <f>(INDEX(Option4!AG$106:AG$117, MATCH($D61, Option4!$G$106:$G$117,0)))*conv_2026*AG$7</f>
        <v>0</v>
      </c>
    </row>
    <row r="62" spans="1:35" s="6" customFormat="1" x14ac:dyDescent="0.2">
      <c r="A62" s="224" t="s">
        <v>133</v>
      </c>
      <c r="B62" s="224" t="str">
        <f>Option4!A114</f>
        <v>sens5</v>
      </c>
      <c r="C62" s="224" t="str">
        <f>Option4!C114</f>
        <v>Capex 10% higher &amp; Total benefits 10% lower</v>
      </c>
      <c r="D62" s="224" t="str">
        <f t="shared" si="7"/>
        <v>Option 4sens5</v>
      </c>
      <c r="E62" s="216"/>
      <c r="F62" s="28">
        <f t="shared" si="6"/>
        <v>0</v>
      </c>
      <c r="H62" s="28">
        <f>(INDEX(Option4!H$106:H$117, MATCH($D62, Option4!$G$106:$G$117,0)))*conv_2026*H$7</f>
        <v>0</v>
      </c>
      <c r="I62" s="28">
        <f>(INDEX(Option4!I$106:I$117, MATCH($D62, Option4!$G$106:$G$117,0)))*conv_2026*I$7</f>
        <v>0</v>
      </c>
      <c r="J62" s="28">
        <f>(INDEX(Option4!J$106:J$117, MATCH($D62, Option4!$G$106:$G$117,0)))*conv_2026*J$7</f>
        <v>0</v>
      </c>
      <c r="K62" s="28">
        <f>(INDEX(Option4!K$106:K$117, MATCH($D62, Option4!$G$106:$G$117,0)))*conv_2026*K$7</f>
        <v>0</v>
      </c>
      <c r="L62" s="28">
        <f>(INDEX(Option4!L$106:L$117, MATCH($D62, Option4!$G$106:$G$117,0)))*conv_2026*L$7</f>
        <v>0</v>
      </c>
      <c r="M62" s="28">
        <f>(INDEX(Option4!M$106:M$117, MATCH($D62, Option4!$G$106:$G$117,0)))*conv_2026*M$7</f>
        <v>0</v>
      </c>
      <c r="N62" s="28">
        <f>(INDEX(Option4!N$106:N$117, MATCH($D62, Option4!$G$106:$G$117,0)))*conv_2026*N$7</f>
        <v>0</v>
      </c>
      <c r="O62" s="28">
        <f>(INDEX(Option4!O$106:O$117, MATCH($D62, Option4!$G$106:$G$117,0)))*conv_2026*O$7</f>
        <v>0</v>
      </c>
      <c r="P62" s="28">
        <f>(INDEX(Option4!P$106:P$117, MATCH($D62, Option4!$G$106:$G$117,0)))*conv_2026*P$7</f>
        <v>0</v>
      </c>
      <c r="Q62" s="28">
        <f>(INDEX(Option4!Q$106:Q$117, MATCH($D62, Option4!$G$106:$G$117,0)))*conv_2026*Q$7</f>
        <v>0</v>
      </c>
      <c r="R62" s="28">
        <f>(INDEX(Option4!R$106:R$117, MATCH($D62, Option4!$G$106:$G$117,0)))*conv_2026*R$7</f>
        <v>0</v>
      </c>
      <c r="S62" s="28">
        <f>(INDEX(Option4!S$106:S$117, MATCH($D62, Option4!$G$106:$G$117,0)))*conv_2026*S$7</f>
        <v>0</v>
      </c>
      <c r="T62" s="28">
        <f>(INDEX(Option4!T$106:T$117, MATCH($D62, Option4!$G$106:$G$117,0)))*conv_2026*T$7</f>
        <v>0</v>
      </c>
      <c r="U62" s="28">
        <f>(INDEX(Option4!U$106:U$117, MATCH($D62, Option4!$G$106:$G$117,0)))*conv_2026*U$7</f>
        <v>0</v>
      </c>
      <c r="V62" s="28">
        <f>(INDEX(Option4!V$106:V$117, MATCH($D62, Option4!$G$106:$G$117,0)))*conv_2026*V$7</f>
        <v>0</v>
      </c>
      <c r="W62" s="28">
        <f>(INDEX(Option4!W$106:W$117, MATCH($D62, Option4!$G$106:$G$117,0)))*conv_2026*W$7</f>
        <v>0</v>
      </c>
      <c r="X62" s="28">
        <f>(INDEX(Option4!X$106:X$117, MATCH($D62, Option4!$G$106:$G$117,0)))*conv_2026*X$7</f>
        <v>0</v>
      </c>
      <c r="Y62" s="28">
        <f>(INDEX(Option4!Y$106:Y$117, MATCH($D62, Option4!$G$106:$G$117,0)))*conv_2026*Y$7</f>
        <v>0</v>
      </c>
      <c r="Z62" s="28">
        <f>(INDEX(Option4!Z$106:Z$117, MATCH($D62, Option4!$G$106:$G$117,0)))*conv_2026*Z$7</f>
        <v>0</v>
      </c>
      <c r="AA62" s="28">
        <f>(INDEX(Option4!AA$106:AA$117, MATCH($D62, Option4!$G$106:$G$117,0)))*conv_2026*AA$7</f>
        <v>0</v>
      </c>
      <c r="AB62" s="28">
        <f>(INDEX(Option4!AB$106:AB$117, MATCH($D62, Option4!$G$106:$G$117,0)))*conv_2026*AB$7</f>
        <v>0</v>
      </c>
      <c r="AC62" s="28">
        <f>(INDEX(Option4!AC$106:AC$117, MATCH($D62, Option4!$G$106:$G$117,0)))*conv_2026*AC$7</f>
        <v>0</v>
      </c>
      <c r="AD62" s="28">
        <f>(INDEX(Option4!AD$106:AD$117, MATCH($D62, Option4!$G$106:$G$117,0)))*conv_2026*AD$7</f>
        <v>0</v>
      </c>
      <c r="AE62" s="28">
        <f>(INDEX(Option4!AE$106:AE$117, MATCH($D62, Option4!$G$106:$G$117,0)))*conv_2026*AE$7</f>
        <v>0</v>
      </c>
      <c r="AF62" s="28">
        <f>(INDEX(Option4!AF$106:AF$117, MATCH($D62, Option4!$G$106:$G$117,0)))*conv_2026*AF$7</f>
        <v>0</v>
      </c>
      <c r="AG62" s="28">
        <f>(INDEX(Option4!AG$106:AG$117, MATCH($D62, Option4!$G$106:$G$117,0)))*conv_2026*AG$7</f>
        <v>0</v>
      </c>
    </row>
    <row r="63" spans="1:35" s="6" customFormat="1" x14ac:dyDescent="0.2">
      <c r="A63" s="224" t="s">
        <v>133</v>
      </c>
      <c r="B63" s="224" t="str">
        <f>Option4!A115</f>
        <v>sens</v>
      </c>
      <c r="C63" s="224">
        <f>Option4!C115</f>
        <v>0</v>
      </c>
      <c r="D63" s="224" t="str">
        <f t="shared" si="7"/>
        <v>Option 4sens</v>
      </c>
      <c r="E63" s="216"/>
      <c r="F63" s="28">
        <f t="shared" si="6"/>
        <v>0</v>
      </c>
      <c r="H63" s="28">
        <f>(INDEX(Option4!H$106:H$117, MATCH($D63, Option4!$G$106:$G$117,0)))*conv_2026*H$7</f>
        <v>0</v>
      </c>
      <c r="I63" s="28">
        <f>(INDEX(Option4!I$106:I$117, MATCH($D63, Option4!$G$106:$G$117,0)))*conv_2026*I$7</f>
        <v>0</v>
      </c>
      <c r="J63" s="28">
        <f>(INDEX(Option4!J$106:J$117, MATCH($D63, Option4!$G$106:$G$117,0)))*conv_2026*J$7</f>
        <v>0</v>
      </c>
      <c r="K63" s="28">
        <f>(INDEX(Option4!K$106:K$117, MATCH($D63, Option4!$G$106:$G$117,0)))*conv_2026*K$7</f>
        <v>0</v>
      </c>
      <c r="L63" s="28">
        <f>(INDEX(Option4!L$106:L$117, MATCH($D63, Option4!$G$106:$G$117,0)))*conv_2026*L$7</f>
        <v>0</v>
      </c>
      <c r="M63" s="28">
        <f>(INDEX(Option4!M$106:M$117, MATCH($D63, Option4!$G$106:$G$117,0)))*conv_2026*M$7</f>
        <v>0</v>
      </c>
      <c r="N63" s="28">
        <f>(INDEX(Option4!N$106:N$117, MATCH($D63, Option4!$G$106:$G$117,0)))*conv_2026*N$7</f>
        <v>0</v>
      </c>
      <c r="O63" s="28">
        <f>(INDEX(Option4!O$106:O$117, MATCH($D63, Option4!$G$106:$G$117,0)))*conv_2026*O$7</f>
        <v>0</v>
      </c>
      <c r="P63" s="28">
        <f>(INDEX(Option4!P$106:P$117, MATCH($D63, Option4!$G$106:$G$117,0)))*conv_2026*P$7</f>
        <v>0</v>
      </c>
      <c r="Q63" s="28">
        <f>(INDEX(Option4!Q$106:Q$117, MATCH($D63, Option4!$G$106:$G$117,0)))*conv_2026*Q$7</f>
        <v>0</v>
      </c>
      <c r="R63" s="28">
        <f>(INDEX(Option4!R$106:R$117, MATCH($D63, Option4!$G$106:$G$117,0)))*conv_2026*R$7</f>
        <v>0</v>
      </c>
      <c r="S63" s="28">
        <f>(INDEX(Option4!S$106:S$117, MATCH($D63, Option4!$G$106:$G$117,0)))*conv_2026*S$7</f>
        <v>0</v>
      </c>
      <c r="T63" s="28">
        <f>(INDEX(Option4!T$106:T$117, MATCH($D63, Option4!$G$106:$G$117,0)))*conv_2026*T$7</f>
        <v>0</v>
      </c>
      <c r="U63" s="28">
        <f>(INDEX(Option4!U$106:U$117, MATCH($D63, Option4!$G$106:$G$117,0)))*conv_2026*U$7</f>
        <v>0</v>
      </c>
      <c r="V63" s="28">
        <f>(INDEX(Option4!V$106:V$117, MATCH($D63, Option4!$G$106:$G$117,0)))*conv_2026*V$7</f>
        <v>0</v>
      </c>
      <c r="W63" s="28">
        <f>(INDEX(Option4!W$106:W$117, MATCH($D63, Option4!$G$106:$G$117,0)))*conv_2026*W$7</f>
        <v>0</v>
      </c>
      <c r="X63" s="28">
        <f>(INDEX(Option4!X$106:X$117, MATCH($D63, Option4!$G$106:$G$117,0)))*conv_2026*X$7</f>
        <v>0</v>
      </c>
      <c r="Y63" s="28">
        <f>(INDEX(Option4!Y$106:Y$117, MATCH($D63, Option4!$G$106:$G$117,0)))*conv_2026*Y$7</f>
        <v>0</v>
      </c>
      <c r="Z63" s="28">
        <f>(INDEX(Option4!Z$106:Z$117, MATCH($D63, Option4!$G$106:$G$117,0)))*conv_2026*Z$7</f>
        <v>0</v>
      </c>
      <c r="AA63" s="28">
        <f>(INDEX(Option4!AA$106:AA$117, MATCH($D63, Option4!$G$106:$G$117,0)))*conv_2026*AA$7</f>
        <v>0</v>
      </c>
      <c r="AB63" s="28">
        <f>(INDEX(Option4!AB$106:AB$117, MATCH($D63, Option4!$G$106:$G$117,0)))*conv_2026*AB$7</f>
        <v>0</v>
      </c>
      <c r="AC63" s="28">
        <f>(INDEX(Option4!AC$106:AC$117, MATCH($D63, Option4!$G$106:$G$117,0)))*conv_2026*AC$7</f>
        <v>0</v>
      </c>
      <c r="AD63" s="28">
        <f>(INDEX(Option4!AD$106:AD$117, MATCH($D63, Option4!$G$106:$G$117,0)))*conv_2026*AD$7</f>
        <v>0</v>
      </c>
      <c r="AE63" s="28">
        <f>(INDEX(Option4!AE$106:AE$117, MATCH($D63, Option4!$G$106:$G$117,0)))*conv_2026*AE$7</f>
        <v>0</v>
      </c>
      <c r="AF63" s="28">
        <f>(INDEX(Option4!AF$106:AF$117, MATCH($D63, Option4!$G$106:$G$117,0)))*conv_2026*AF$7</f>
        <v>0</v>
      </c>
      <c r="AG63" s="28">
        <f>(INDEX(Option4!AG$106:AG$117, MATCH($D63, Option4!$G$106:$G$117,0)))*conv_2026*AG$7</f>
        <v>0</v>
      </c>
    </row>
    <row r="64" spans="1:35" s="6" customFormat="1" x14ac:dyDescent="0.2">
      <c r="A64" s="224" t="s">
        <v>133</v>
      </c>
      <c r="B64" s="224" t="str">
        <f>Option4!A116</f>
        <v>sens</v>
      </c>
      <c r="C64" s="224">
        <f>Option4!C116</f>
        <v>0</v>
      </c>
      <c r="D64" s="224" t="str">
        <f t="shared" si="7"/>
        <v>Option 4sens</v>
      </c>
      <c r="E64" s="216"/>
      <c r="F64" s="28">
        <f t="shared" si="6"/>
        <v>0</v>
      </c>
      <c r="H64" s="28">
        <f>(INDEX(Option4!H$106:H$117, MATCH($D64, Option4!$G$106:$G$117,0)))*conv_2026*H$7</f>
        <v>0</v>
      </c>
      <c r="I64" s="28">
        <f>(INDEX(Option4!I$106:I$117, MATCH($D64, Option4!$G$106:$G$117,0)))*conv_2026*I$7</f>
        <v>0</v>
      </c>
      <c r="J64" s="28">
        <f>(INDEX(Option4!J$106:J$117, MATCH($D64, Option4!$G$106:$G$117,0)))*conv_2026*J$7</f>
        <v>0</v>
      </c>
      <c r="K64" s="28">
        <f>(INDEX(Option4!K$106:K$117, MATCH($D64, Option4!$G$106:$G$117,0)))*conv_2026*K$7</f>
        <v>0</v>
      </c>
      <c r="L64" s="28">
        <f>(INDEX(Option4!L$106:L$117, MATCH($D64, Option4!$G$106:$G$117,0)))*conv_2026*L$7</f>
        <v>0</v>
      </c>
      <c r="M64" s="28">
        <f>(INDEX(Option4!M$106:M$117, MATCH($D64, Option4!$G$106:$G$117,0)))*conv_2026*M$7</f>
        <v>0</v>
      </c>
      <c r="N64" s="28">
        <f>(INDEX(Option4!N$106:N$117, MATCH($D64, Option4!$G$106:$G$117,0)))*conv_2026*N$7</f>
        <v>0</v>
      </c>
      <c r="O64" s="28">
        <f>(INDEX(Option4!O$106:O$117, MATCH($D64, Option4!$G$106:$G$117,0)))*conv_2026*O$7</f>
        <v>0</v>
      </c>
      <c r="P64" s="28">
        <f>(INDEX(Option4!P$106:P$117, MATCH($D64, Option4!$G$106:$G$117,0)))*conv_2026*P$7</f>
        <v>0</v>
      </c>
      <c r="Q64" s="28">
        <f>(INDEX(Option4!Q$106:Q$117, MATCH($D64, Option4!$G$106:$G$117,0)))*conv_2026*Q$7</f>
        <v>0</v>
      </c>
      <c r="R64" s="28">
        <f>(INDEX(Option4!R$106:R$117, MATCH($D64, Option4!$G$106:$G$117,0)))*conv_2026*R$7</f>
        <v>0</v>
      </c>
      <c r="S64" s="28">
        <f>(INDEX(Option4!S$106:S$117, MATCH($D64, Option4!$G$106:$G$117,0)))*conv_2026*S$7</f>
        <v>0</v>
      </c>
      <c r="T64" s="28">
        <f>(INDEX(Option4!T$106:T$117, MATCH($D64, Option4!$G$106:$G$117,0)))*conv_2026*T$7</f>
        <v>0</v>
      </c>
      <c r="U64" s="28">
        <f>(INDEX(Option4!U$106:U$117, MATCH($D64, Option4!$G$106:$G$117,0)))*conv_2026*U$7</f>
        <v>0</v>
      </c>
      <c r="V64" s="28">
        <f>(INDEX(Option4!V$106:V$117, MATCH($D64, Option4!$G$106:$G$117,0)))*conv_2026*V$7</f>
        <v>0</v>
      </c>
      <c r="W64" s="28">
        <f>(INDEX(Option4!W$106:W$117, MATCH($D64, Option4!$G$106:$G$117,0)))*conv_2026*W$7</f>
        <v>0</v>
      </c>
      <c r="X64" s="28">
        <f>(INDEX(Option4!X$106:X$117, MATCH($D64, Option4!$G$106:$G$117,0)))*conv_2026*X$7</f>
        <v>0</v>
      </c>
      <c r="Y64" s="28">
        <f>(INDEX(Option4!Y$106:Y$117, MATCH($D64, Option4!$G$106:$G$117,0)))*conv_2026*Y$7</f>
        <v>0</v>
      </c>
      <c r="Z64" s="28">
        <f>(INDEX(Option4!Z$106:Z$117, MATCH($D64, Option4!$G$106:$G$117,0)))*conv_2026*Z$7</f>
        <v>0</v>
      </c>
      <c r="AA64" s="28">
        <f>(INDEX(Option4!AA$106:AA$117, MATCH($D64, Option4!$G$106:$G$117,0)))*conv_2026*AA$7</f>
        <v>0</v>
      </c>
      <c r="AB64" s="28">
        <f>(INDEX(Option4!AB$106:AB$117, MATCH($D64, Option4!$G$106:$G$117,0)))*conv_2026*AB$7</f>
        <v>0</v>
      </c>
      <c r="AC64" s="28">
        <f>(INDEX(Option4!AC$106:AC$117, MATCH($D64, Option4!$G$106:$G$117,0)))*conv_2026*AC$7</f>
        <v>0</v>
      </c>
      <c r="AD64" s="28">
        <f>(INDEX(Option4!AD$106:AD$117, MATCH($D64, Option4!$G$106:$G$117,0)))*conv_2026*AD$7</f>
        <v>0</v>
      </c>
      <c r="AE64" s="28">
        <f>(INDEX(Option4!AE$106:AE$117, MATCH($D64, Option4!$G$106:$G$117,0)))*conv_2026*AE$7</f>
        <v>0</v>
      </c>
      <c r="AF64" s="28">
        <f>(INDEX(Option4!AF$106:AF$117, MATCH($D64, Option4!$G$106:$G$117,0)))*conv_2026*AF$7</f>
        <v>0</v>
      </c>
      <c r="AG64" s="28">
        <f>(INDEX(Option4!AG$106:AG$117, MATCH($D64, Option4!$G$106:$G$117,0)))*conv_2026*AG$7</f>
        <v>0</v>
      </c>
    </row>
    <row r="65" spans="1:35" s="6" customFormat="1" x14ac:dyDescent="0.2">
      <c r="A65" s="224" t="s">
        <v>133</v>
      </c>
      <c r="B65" s="224" t="str">
        <f>Option4!A117</f>
        <v>sens</v>
      </c>
      <c r="C65" s="224">
        <f>Option4!C117</f>
        <v>0</v>
      </c>
      <c r="D65" s="224" t="str">
        <f t="shared" si="7"/>
        <v>Option 4sens</v>
      </c>
      <c r="E65" s="216"/>
      <c r="F65" s="28">
        <f t="shared" si="6"/>
        <v>0</v>
      </c>
      <c r="H65" s="28">
        <f>(INDEX(Option4!H$106:H$117, MATCH($D65, Option4!$G$106:$G$117,0)))*conv_2026*H$7</f>
        <v>0</v>
      </c>
      <c r="I65" s="28">
        <f>(INDEX(Option4!I$106:I$117, MATCH($D65, Option4!$G$106:$G$117,0)))*conv_2026*I$7</f>
        <v>0</v>
      </c>
      <c r="J65" s="28">
        <f>(INDEX(Option4!J$106:J$117, MATCH($D65, Option4!$G$106:$G$117,0)))*conv_2026*J$7</f>
        <v>0</v>
      </c>
      <c r="K65" s="28">
        <f>(INDEX(Option4!K$106:K$117, MATCH($D65, Option4!$G$106:$G$117,0)))*conv_2026*K$7</f>
        <v>0</v>
      </c>
      <c r="L65" s="28">
        <f>(INDEX(Option4!L$106:L$117, MATCH($D65, Option4!$G$106:$G$117,0)))*conv_2026*L$7</f>
        <v>0</v>
      </c>
      <c r="M65" s="28">
        <f>(INDEX(Option4!M$106:M$117, MATCH($D65, Option4!$G$106:$G$117,0)))*conv_2026*M$7</f>
        <v>0</v>
      </c>
      <c r="N65" s="28">
        <f>(INDEX(Option4!N$106:N$117, MATCH($D65, Option4!$G$106:$G$117,0)))*conv_2026*N$7</f>
        <v>0</v>
      </c>
      <c r="O65" s="28">
        <f>(INDEX(Option4!O$106:O$117, MATCH($D65, Option4!$G$106:$G$117,0)))*conv_2026*O$7</f>
        <v>0</v>
      </c>
      <c r="P65" s="28">
        <f>(INDEX(Option4!P$106:P$117, MATCH($D65, Option4!$G$106:$G$117,0)))*conv_2026*P$7</f>
        <v>0</v>
      </c>
      <c r="Q65" s="28">
        <f>(INDEX(Option4!Q$106:Q$117, MATCH($D65, Option4!$G$106:$G$117,0)))*conv_2026*Q$7</f>
        <v>0</v>
      </c>
      <c r="R65" s="28">
        <f>(INDEX(Option4!R$106:R$117, MATCH($D65, Option4!$G$106:$G$117,0)))*conv_2026*R$7</f>
        <v>0</v>
      </c>
      <c r="S65" s="28">
        <f>(INDEX(Option4!S$106:S$117, MATCH($D65, Option4!$G$106:$G$117,0)))*conv_2026*S$7</f>
        <v>0</v>
      </c>
      <c r="T65" s="28">
        <f>(INDEX(Option4!T$106:T$117, MATCH($D65, Option4!$G$106:$G$117,0)))*conv_2026*T$7</f>
        <v>0</v>
      </c>
      <c r="U65" s="28">
        <f>(INDEX(Option4!U$106:U$117, MATCH($D65, Option4!$G$106:$G$117,0)))*conv_2026*U$7</f>
        <v>0</v>
      </c>
      <c r="V65" s="28">
        <f>(INDEX(Option4!V$106:V$117, MATCH($D65, Option4!$G$106:$G$117,0)))*conv_2026*V$7</f>
        <v>0</v>
      </c>
      <c r="W65" s="28">
        <f>(INDEX(Option4!W$106:W$117, MATCH($D65, Option4!$G$106:$G$117,0)))*conv_2026*W$7</f>
        <v>0</v>
      </c>
      <c r="X65" s="28">
        <f>(INDEX(Option4!X$106:X$117, MATCH($D65, Option4!$G$106:$G$117,0)))*conv_2026*X$7</f>
        <v>0</v>
      </c>
      <c r="Y65" s="28">
        <f>(INDEX(Option4!Y$106:Y$117, MATCH($D65, Option4!$G$106:$G$117,0)))*conv_2026*Y$7</f>
        <v>0</v>
      </c>
      <c r="Z65" s="28">
        <f>(INDEX(Option4!Z$106:Z$117, MATCH($D65, Option4!$G$106:$G$117,0)))*conv_2026*Z$7</f>
        <v>0</v>
      </c>
      <c r="AA65" s="28">
        <f>(INDEX(Option4!AA$106:AA$117, MATCH($D65, Option4!$G$106:$G$117,0)))*conv_2026*AA$7</f>
        <v>0</v>
      </c>
      <c r="AB65" s="28">
        <f>(INDEX(Option4!AB$106:AB$117, MATCH($D65, Option4!$G$106:$G$117,0)))*conv_2026*AB$7</f>
        <v>0</v>
      </c>
      <c r="AC65" s="28">
        <f>(INDEX(Option4!AC$106:AC$117, MATCH($D65, Option4!$G$106:$G$117,0)))*conv_2026*AC$7</f>
        <v>0</v>
      </c>
      <c r="AD65" s="28">
        <f>(INDEX(Option4!AD$106:AD$117, MATCH($D65, Option4!$G$106:$G$117,0)))*conv_2026*AD$7</f>
        <v>0</v>
      </c>
      <c r="AE65" s="28">
        <f>(INDEX(Option4!AE$106:AE$117, MATCH($D65, Option4!$G$106:$G$117,0)))*conv_2026*AE$7</f>
        <v>0</v>
      </c>
      <c r="AF65" s="28">
        <f>(INDEX(Option4!AF$106:AF$117, MATCH($D65, Option4!$G$106:$G$117,0)))*conv_2026*AF$7</f>
        <v>0</v>
      </c>
      <c r="AG65" s="28">
        <f>(INDEX(Option4!AG$106:AG$117, MATCH($D65, Option4!$G$106:$G$117,0)))*conv_2026*AG$7</f>
        <v>0</v>
      </c>
    </row>
    <row r="66" spans="1:35" s="6" customFormat="1" x14ac:dyDescent="0.2">
      <c r="A66" s="224"/>
      <c r="B66" s="224"/>
      <c r="C66" s="224"/>
      <c r="D66" s="224"/>
      <c r="E66" s="224"/>
      <c r="F66" s="28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</row>
    <row r="67" spans="1:35" s="6" customFormat="1" x14ac:dyDescent="0.2">
      <c r="A67" s="224"/>
      <c r="B67" s="224"/>
      <c r="C67" s="224"/>
      <c r="D67" s="224"/>
      <c r="E67" s="224"/>
      <c r="F67" s="28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</row>
    <row r="68" spans="1:35" s="6" customFormat="1" x14ac:dyDescent="0.2">
      <c r="A68" s="224"/>
      <c r="B68" s="224"/>
      <c r="C68" s="224"/>
      <c r="D68" s="224"/>
      <c r="E68" s="224"/>
      <c r="F68" s="28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</row>
    <row r="69" spans="1:35" s="6" customFormat="1" x14ac:dyDescent="0.2">
      <c r="A69" s="224"/>
      <c r="B69" s="224"/>
      <c r="C69" s="224"/>
      <c r="D69" s="224"/>
      <c r="E69" s="224"/>
      <c r="F69" s="28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</row>
    <row r="70" spans="1:35" s="6" customFormat="1" x14ac:dyDescent="0.2">
      <c r="A70" s="224" t="s">
        <v>154</v>
      </c>
      <c r="B70" s="224" t="s">
        <v>119</v>
      </c>
      <c r="C70" s="224" t="s">
        <v>188</v>
      </c>
      <c r="D70" s="224" t="str">
        <f>A70&amp;B70</f>
        <v>Option 5NPV</v>
      </c>
      <c r="E70" s="216"/>
      <c r="F70" s="28">
        <f t="shared" ref="F70:F79" si="8">SUMPRODUCT($H70:$AG70, $H$5:$AG$5)</f>
        <v>0</v>
      </c>
      <c r="G70" s="219"/>
      <c r="H70" s="28">
        <f>(INDEX(Option5!H$106:H$117, MATCH($D70, Option5!$G$106:$G$117,0)))*conv_2026*H$7</f>
        <v>0</v>
      </c>
      <c r="I70" s="28">
        <f>(INDEX(Option5!I$106:I$117, MATCH($D70, Option5!$G$106:$G$117,0)))*conv_2026*I$7</f>
        <v>0</v>
      </c>
      <c r="J70" s="28">
        <f>(INDEX(Option5!J$106:J$117, MATCH($D70, Option5!$G$106:$G$117,0)))*conv_2026*J$7</f>
        <v>0</v>
      </c>
      <c r="K70" s="28">
        <f>(INDEX(Option5!K$106:K$117, MATCH($D70, Option5!$G$106:$G$117,0)))*conv_2026*K$7</f>
        <v>0</v>
      </c>
      <c r="L70" s="28">
        <f>(INDEX(Option5!L$106:L$117, MATCH($D70, Option5!$G$106:$G$117,0)))*conv_2026*L$7</f>
        <v>0</v>
      </c>
      <c r="M70" s="28">
        <f>(INDEX(Option5!M$106:M$117, MATCH($D70, Option5!$G$106:$G$117,0)))*conv_2026*M$7</f>
        <v>0</v>
      </c>
      <c r="N70" s="28">
        <f>(INDEX(Option5!N$106:N$117, MATCH($D70, Option5!$G$106:$G$117,0)))*conv_2026*N$7</f>
        <v>0</v>
      </c>
      <c r="O70" s="28">
        <f>(INDEX(Option5!O$106:O$117, MATCH($D70, Option5!$G$106:$G$117,0)))*conv_2026*O$7</f>
        <v>0</v>
      </c>
      <c r="P70" s="28">
        <f>(INDEX(Option5!P$106:P$117, MATCH($D70, Option5!$G$106:$G$117,0)))*conv_2026*P$7</f>
        <v>0</v>
      </c>
      <c r="Q70" s="28">
        <f>(INDEX(Option5!Q$106:Q$117, MATCH($D70, Option5!$G$106:$G$117,0)))*conv_2026*Q$7</f>
        <v>0</v>
      </c>
      <c r="R70" s="28">
        <f>(INDEX(Option5!R$106:R$117, MATCH($D70, Option5!$G$106:$G$117,0)))*conv_2026*R$7</f>
        <v>0</v>
      </c>
      <c r="S70" s="28">
        <f>(INDEX(Option5!S$106:S$117, MATCH($D70, Option5!$G$106:$G$117,0)))*conv_2026*S$7</f>
        <v>0</v>
      </c>
      <c r="T70" s="28">
        <f>(INDEX(Option5!T$106:T$117, MATCH($D70, Option5!$G$106:$G$117,0)))*conv_2026*T$7</f>
        <v>0</v>
      </c>
      <c r="U70" s="28">
        <f>(INDEX(Option5!U$106:U$117, MATCH($D70, Option5!$G$106:$G$117,0)))*conv_2026*U$7</f>
        <v>0</v>
      </c>
      <c r="V70" s="28">
        <f>(INDEX(Option5!V$106:V$117, MATCH($D70, Option5!$G$106:$G$117,0)))*conv_2026*V$7</f>
        <v>0</v>
      </c>
      <c r="W70" s="28">
        <f>(INDEX(Option5!W$106:W$117, MATCH($D70, Option5!$G$106:$G$117,0)))*conv_2026*W$7</f>
        <v>0</v>
      </c>
      <c r="X70" s="28">
        <f>(INDEX(Option5!X$106:X$117, MATCH($D70, Option5!$G$106:$G$117,0)))*conv_2026*X$7</f>
        <v>0</v>
      </c>
      <c r="Y70" s="28">
        <f>(INDEX(Option5!Y$106:Y$117, MATCH($D70, Option5!$G$106:$G$117,0)))*conv_2026*Y$7</f>
        <v>0</v>
      </c>
      <c r="Z70" s="28">
        <f>(INDEX(Option5!Z$106:Z$117, MATCH($D70, Option5!$G$106:$G$117,0)))*conv_2026*Z$7</f>
        <v>0</v>
      </c>
      <c r="AA70" s="28">
        <f>(INDEX(Option5!AA$106:AA$117, MATCH($D70, Option5!$G$106:$G$117,0)))*conv_2026*AA$7</f>
        <v>0</v>
      </c>
      <c r="AB70" s="28">
        <f>(INDEX(Option5!AB$106:AB$117, MATCH($D70, Option5!$G$106:$G$117,0)))*conv_2026*AB$7</f>
        <v>0</v>
      </c>
      <c r="AC70" s="28">
        <f>(INDEX(Option5!AC$106:AC$117, MATCH($D70, Option5!$G$106:$G$117,0)))*conv_2026*AC$7</f>
        <v>0</v>
      </c>
      <c r="AD70" s="28">
        <f>(INDEX(Option5!AD$106:AD$117, MATCH($D70, Option5!$G$106:$G$117,0)))*conv_2026*AD$7</f>
        <v>0</v>
      </c>
      <c r="AE70" s="28">
        <f>(INDEX(Option5!AE$106:AE$117, MATCH($D70, Option5!$G$106:$G$117,0)))*conv_2026*AE$7</f>
        <v>0</v>
      </c>
      <c r="AF70" s="28">
        <f>(INDEX(Option5!AF$106:AF$117, MATCH($D70, Option5!$G$106:$G$117,0)))*conv_2026*AF$7</f>
        <v>0</v>
      </c>
      <c r="AG70" s="28">
        <f>(INDEX(Option5!AG$106:AG$117, MATCH($D70, Option5!$G$106:$G$117,0)))*conv_2026*AG$7</f>
        <v>0</v>
      </c>
      <c r="AH70" s="2"/>
      <c r="AI70" s="2"/>
    </row>
    <row r="71" spans="1:35" s="6" customFormat="1" x14ac:dyDescent="0.2">
      <c r="A71" s="218"/>
      <c r="B71" s="218"/>
      <c r="C71" s="218"/>
      <c r="D71" s="218"/>
      <c r="E71" s="218"/>
      <c r="F71" s="218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"/>
      <c r="AI71" s="2"/>
    </row>
    <row r="72" spans="1:35" s="6" customFormat="1" x14ac:dyDescent="0.2">
      <c r="A72" s="224" t="s">
        <v>154</v>
      </c>
      <c r="B72" s="224" t="str">
        <f>Option5!A110</f>
        <v>sens1</v>
      </c>
      <c r="C72" s="224" t="str">
        <f>Option5!C110</f>
        <v>Capex 10% higher</v>
      </c>
      <c r="D72" s="224" t="str">
        <f t="shared" ref="D72:D79" si="9">A72&amp;B72</f>
        <v>Option 5sens1</v>
      </c>
      <c r="E72" s="216"/>
      <c r="F72" s="28">
        <f t="shared" si="8"/>
        <v>0</v>
      </c>
      <c r="G72" s="219"/>
      <c r="H72" s="28">
        <f>(INDEX(Option5!H$106:H$117, MATCH($D72, Option5!$G$106:$G$117,0)))*conv_2026*H$7</f>
        <v>0</v>
      </c>
      <c r="I72" s="28">
        <f>(INDEX(Option5!I$106:I$117, MATCH($D72, Option5!$G$106:$G$117,0)))*conv_2026*I$7</f>
        <v>0</v>
      </c>
      <c r="J72" s="28">
        <f>(INDEX(Option5!J$106:J$117, MATCH($D72, Option5!$G$106:$G$117,0)))*conv_2026*J$7</f>
        <v>0</v>
      </c>
      <c r="K72" s="28">
        <f>(INDEX(Option5!K$106:K$117, MATCH($D72, Option5!$G$106:$G$117,0)))*conv_2026*K$7</f>
        <v>0</v>
      </c>
      <c r="L72" s="28">
        <f>(INDEX(Option5!L$106:L$117, MATCH($D72, Option5!$G$106:$G$117,0)))*conv_2026*L$7</f>
        <v>0</v>
      </c>
      <c r="M72" s="28">
        <f>(INDEX(Option5!M$106:M$117, MATCH($D72, Option5!$G$106:$G$117,0)))*conv_2026*M$7</f>
        <v>0</v>
      </c>
      <c r="N72" s="28">
        <f>(INDEX(Option5!N$106:N$117, MATCH($D72, Option5!$G$106:$G$117,0)))*conv_2026*N$7</f>
        <v>0</v>
      </c>
      <c r="O72" s="28">
        <f>(INDEX(Option5!O$106:O$117, MATCH($D72, Option5!$G$106:$G$117,0)))*conv_2026*O$7</f>
        <v>0</v>
      </c>
      <c r="P72" s="28">
        <f>(INDEX(Option5!P$106:P$117, MATCH($D72, Option5!$G$106:$G$117,0)))*conv_2026*P$7</f>
        <v>0</v>
      </c>
      <c r="Q72" s="28">
        <f>(INDEX(Option5!Q$106:Q$117, MATCH($D72, Option5!$G$106:$G$117,0)))*conv_2026*Q$7</f>
        <v>0</v>
      </c>
      <c r="R72" s="28">
        <f>(INDEX(Option5!R$106:R$117, MATCH($D72, Option5!$G$106:$G$117,0)))*conv_2026*R$7</f>
        <v>0</v>
      </c>
      <c r="S72" s="28">
        <f>(INDEX(Option5!S$106:S$117, MATCH($D72, Option5!$G$106:$G$117,0)))*conv_2026*S$7</f>
        <v>0</v>
      </c>
      <c r="T72" s="28">
        <f>(INDEX(Option5!T$106:T$117, MATCH($D72, Option5!$G$106:$G$117,0)))*conv_2026*T$7</f>
        <v>0</v>
      </c>
      <c r="U72" s="28">
        <f>(INDEX(Option5!U$106:U$117, MATCH($D72, Option5!$G$106:$G$117,0)))*conv_2026*U$7</f>
        <v>0</v>
      </c>
      <c r="V72" s="28">
        <f>(INDEX(Option5!V$106:V$117, MATCH($D72, Option5!$G$106:$G$117,0)))*conv_2026*V$7</f>
        <v>0</v>
      </c>
      <c r="W72" s="28">
        <f>(INDEX(Option5!W$106:W$117, MATCH($D72, Option5!$G$106:$G$117,0)))*conv_2026*W$7</f>
        <v>0</v>
      </c>
      <c r="X72" s="28">
        <f>(INDEX(Option5!X$106:X$117, MATCH($D72, Option5!$G$106:$G$117,0)))*conv_2026*X$7</f>
        <v>0</v>
      </c>
      <c r="Y72" s="28">
        <f>(INDEX(Option5!Y$106:Y$117, MATCH($D72, Option5!$G$106:$G$117,0)))*conv_2026*Y$7</f>
        <v>0</v>
      </c>
      <c r="Z72" s="28">
        <f>(INDEX(Option5!Z$106:Z$117, MATCH($D72, Option5!$G$106:$G$117,0)))*conv_2026*Z$7</f>
        <v>0</v>
      </c>
      <c r="AA72" s="28">
        <f>(INDEX(Option5!AA$106:AA$117, MATCH($D72, Option5!$G$106:$G$117,0)))*conv_2026*AA$7</f>
        <v>0</v>
      </c>
      <c r="AB72" s="28">
        <f>(INDEX(Option5!AB$106:AB$117, MATCH($D72, Option5!$G$106:$G$117,0)))*conv_2026*AB$7</f>
        <v>0</v>
      </c>
      <c r="AC72" s="28">
        <f>(INDEX(Option5!AC$106:AC$117, MATCH($D72, Option5!$G$106:$G$117,0)))*conv_2026*AC$7</f>
        <v>0</v>
      </c>
      <c r="AD72" s="28">
        <f>(INDEX(Option5!AD$106:AD$117, MATCH($D72, Option5!$G$106:$G$117,0)))*conv_2026*AD$7</f>
        <v>0</v>
      </c>
      <c r="AE72" s="28">
        <f>(INDEX(Option5!AE$106:AE$117, MATCH($D72, Option5!$G$106:$G$117,0)))*conv_2026*AE$7</f>
        <v>0</v>
      </c>
      <c r="AF72" s="28">
        <f>(INDEX(Option5!AF$106:AF$117, MATCH($D72, Option5!$G$106:$G$117,0)))*conv_2026*AF$7</f>
        <v>0</v>
      </c>
      <c r="AG72" s="28">
        <f>(INDEX(Option5!AG$106:AG$117, MATCH($D72, Option5!$G$106:$G$117,0)))*conv_2026*AG$7</f>
        <v>0</v>
      </c>
      <c r="AH72" s="2"/>
      <c r="AI72" s="2"/>
    </row>
    <row r="73" spans="1:35" s="6" customFormat="1" x14ac:dyDescent="0.2">
      <c r="A73" s="224" t="s">
        <v>154</v>
      </c>
      <c r="B73" s="224" t="str">
        <f>Option5!A111</f>
        <v>sens2</v>
      </c>
      <c r="C73" s="224" t="str">
        <f>Option5!C111</f>
        <v>Capex 10% lower</v>
      </c>
      <c r="D73" s="224" t="str">
        <f t="shared" si="9"/>
        <v>Option 5sens2</v>
      </c>
      <c r="E73" s="216"/>
      <c r="F73" s="28">
        <f t="shared" si="8"/>
        <v>0</v>
      </c>
      <c r="G73" s="224"/>
      <c r="H73" s="28">
        <f>(INDEX(Option5!H$106:H$117, MATCH($D73, Option5!$G$106:$G$117,0)))*conv_2026*H$7</f>
        <v>0</v>
      </c>
      <c r="I73" s="28">
        <f>(INDEX(Option5!I$106:I$117, MATCH($D73, Option5!$G$106:$G$117,0)))*conv_2026*I$7</f>
        <v>0</v>
      </c>
      <c r="J73" s="28">
        <f>(INDEX(Option5!J$106:J$117, MATCH($D73, Option5!$G$106:$G$117,0)))*conv_2026*J$7</f>
        <v>0</v>
      </c>
      <c r="K73" s="28">
        <f>(INDEX(Option5!K$106:K$117, MATCH($D73, Option5!$G$106:$G$117,0)))*conv_2026*K$7</f>
        <v>0</v>
      </c>
      <c r="L73" s="28">
        <f>(INDEX(Option5!L$106:L$117, MATCH($D73, Option5!$G$106:$G$117,0)))*conv_2026*L$7</f>
        <v>0</v>
      </c>
      <c r="M73" s="28">
        <f>(INDEX(Option5!M$106:M$117, MATCH($D73, Option5!$G$106:$G$117,0)))*conv_2026*M$7</f>
        <v>0</v>
      </c>
      <c r="N73" s="28">
        <f>(INDEX(Option5!N$106:N$117, MATCH($D73, Option5!$G$106:$G$117,0)))*conv_2026*N$7</f>
        <v>0</v>
      </c>
      <c r="O73" s="28">
        <f>(INDEX(Option5!O$106:O$117, MATCH($D73, Option5!$G$106:$G$117,0)))*conv_2026*O$7</f>
        <v>0</v>
      </c>
      <c r="P73" s="28">
        <f>(INDEX(Option5!P$106:P$117, MATCH($D73, Option5!$G$106:$G$117,0)))*conv_2026*P$7</f>
        <v>0</v>
      </c>
      <c r="Q73" s="28">
        <f>(INDEX(Option5!Q$106:Q$117, MATCH($D73, Option5!$G$106:$G$117,0)))*conv_2026*Q$7</f>
        <v>0</v>
      </c>
      <c r="R73" s="28">
        <f>(INDEX(Option5!R$106:R$117, MATCH($D73, Option5!$G$106:$G$117,0)))*conv_2026*R$7</f>
        <v>0</v>
      </c>
      <c r="S73" s="28">
        <f>(INDEX(Option5!S$106:S$117, MATCH($D73, Option5!$G$106:$G$117,0)))*conv_2026*S$7</f>
        <v>0</v>
      </c>
      <c r="T73" s="28">
        <f>(INDEX(Option5!T$106:T$117, MATCH($D73, Option5!$G$106:$G$117,0)))*conv_2026*T$7</f>
        <v>0</v>
      </c>
      <c r="U73" s="28">
        <f>(INDEX(Option5!U$106:U$117, MATCH($D73, Option5!$G$106:$G$117,0)))*conv_2026*U$7</f>
        <v>0</v>
      </c>
      <c r="V73" s="28">
        <f>(INDEX(Option5!V$106:V$117, MATCH($D73, Option5!$G$106:$G$117,0)))*conv_2026*V$7</f>
        <v>0</v>
      </c>
      <c r="W73" s="28">
        <f>(INDEX(Option5!W$106:W$117, MATCH($D73, Option5!$G$106:$G$117,0)))*conv_2026*W$7</f>
        <v>0</v>
      </c>
      <c r="X73" s="28">
        <f>(INDEX(Option5!X$106:X$117, MATCH($D73, Option5!$G$106:$G$117,0)))*conv_2026*X$7</f>
        <v>0</v>
      </c>
      <c r="Y73" s="28">
        <f>(INDEX(Option5!Y$106:Y$117, MATCH($D73, Option5!$G$106:$G$117,0)))*conv_2026*Y$7</f>
        <v>0</v>
      </c>
      <c r="Z73" s="28">
        <f>(INDEX(Option5!Z$106:Z$117, MATCH($D73, Option5!$G$106:$G$117,0)))*conv_2026*Z$7</f>
        <v>0</v>
      </c>
      <c r="AA73" s="28">
        <f>(INDEX(Option5!AA$106:AA$117, MATCH($D73, Option5!$G$106:$G$117,0)))*conv_2026*AA$7</f>
        <v>0</v>
      </c>
      <c r="AB73" s="28">
        <f>(INDEX(Option5!AB$106:AB$117, MATCH($D73, Option5!$G$106:$G$117,0)))*conv_2026*AB$7</f>
        <v>0</v>
      </c>
      <c r="AC73" s="28">
        <f>(INDEX(Option5!AC$106:AC$117, MATCH($D73, Option5!$G$106:$G$117,0)))*conv_2026*AC$7</f>
        <v>0</v>
      </c>
      <c r="AD73" s="28">
        <f>(INDEX(Option5!AD$106:AD$117, MATCH($D73, Option5!$G$106:$G$117,0)))*conv_2026*AD$7</f>
        <v>0</v>
      </c>
      <c r="AE73" s="28">
        <f>(INDEX(Option5!AE$106:AE$117, MATCH($D73, Option5!$G$106:$G$117,0)))*conv_2026*AE$7</f>
        <v>0</v>
      </c>
      <c r="AF73" s="28">
        <f>(INDEX(Option5!AF$106:AF$117, MATCH($D73, Option5!$G$106:$G$117,0)))*conv_2026*AF$7</f>
        <v>0</v>
      </c>
      <c r="AG73" s="28">
        <f>(INDEX(Option5!AG$106:AG$117, MATCH($D73, Option5!$G$106:$G$117,0)))*conv_2026*AG$7</f>
        <v>0</v>
      </c>
    </row>
    <row r="74" spans="1:35" s="6" customFormat="1" x14ac:dyDescent="0.2">
      <c r="A74" s="224" t="s">
        <v>154</v>
      </c>
      <c r="B74" s="224" t="str">
        <f>Option5!A112</f>
        <v>sens3</v>
      </c>
      <c r="C74" s="224" t="str">
        <f>Option5!C112</f>
        <v>Total benefits 10% higher</v>
      </c>
      <c r="D74" s="224" t="str">
        <f t="shared" si="9"/>
        <v>Option 5sens3</v>
      </c>
      <c r="E74" s="216"/>
      <c r="F74" s="28">
        <f t="shared" si="8"/>
        <v>0</v>
      </c>
      <c r="H74" s="28">
        <f>(INDEX(Option5!H$106:H$117, MATCH($D74, Option5!$G$106:$G$117,0)))*conv_2026*H$7</f>
        <v>0</v>
      </c>
      <c r="I74" s="28">
        <f>(INDEX(Option5!I$106:I$117, MATCH($D74, Option5!$G$106:$G$117,0)))*conv_2026*I$7</f>
        <v>0</v>
      </c>
      <c r="J74" s="28">
        <f>(INDEX(Option5!J$106:J$117, MATCH($D74, Option5!$G$106:$G$117,0)))*conv_2026*J$7</f>
        <v>0</v>
      </c>
      <c r="K74" s="28">
        <f>(INDEX(Option5!K$106:K$117, MATCH($D74, Option5!$G$106:$G$117,0)))*conv_2026*K$7</f>
        <v>0</v>
      </c>
      <c r="L74" s="28">
        <f>(INDEX(Option5!L$106:L$117, MATCH($D74, Option5!$G$106:$G$117,0)))*conv_2026*L$7</f>
        <v>0</v>
      </c>
      <c r="M74" s="28">
        <f>(INDEX(Option5!M$106:M$117, MATCH($D74, Option5!$G$106:$G$117,0)))*conv_2026*M$7</f>
        <v>0</v>
      </c>
      <c r="N74" s="28">
        <f>(INDEX(Option5!N$106:N$117, MATCH($D74, Option5!$G$106:$G$117,0)))*conv_2026*N$7</f>
        <v>0</v>
      </c>
      <c r="O74" s="28">
        <f>(INDEX(Option5!O$106:O$117, MATCH($D74, Option5!$G$106:$G$117,0)))*conv_2026*O$7</f>
        <v>0</v>
      </c>
      <c r="P74" s="28">
        <f>(INDEX(Option5!P$106:P$117, MATCH($D74, Option5!$G$106:$G$117,0)))*conv_2026*P$7</f>
        <v>0</v>
      </c>
      <c r="Q74" s="28">
        <f>(INDEX(Option5!Q$106:Q$117, MATCH($D74, Option5!$G$106:$G$117,0)))*conv_2026*Q$7</f>
        <v>0</v>
      </c>
      <c r="R74" s="28">
        <f>(INDEX(Option5!R$106:R$117, MATCH($D74, Option5!$G$106:$G$117,0)))*conv_2026*R$7</f>
        <v>0</v>
      </c>
      <c r="S74" s="28">
        <f>(INDEX(Option5!S$106:S$117, MATCH($D74, Option5!$G$106:$G$117,0)))*conv_2026*S$7</f>
        <v>0</v>
      </c>
      <c r="T74" s="28">
        <f>(INDEX(Option5!T$106:T$117, MATCH($D74, Option5!$G$106:$G$117,0)))*conv_2026*T$7</f>
        <v>0</v>
      </c>
      <c r="U74" s="28">
        <f>(INDEX(Option5!U$106:U$117, MATCH($D74, Option5!$G$106:$G$117,0)))*conv_2026*U$7</f>
        <v>0</v>
      </c>
      <c r="V74" s="28">
        <f>(INDEX(Option5!V$106:V$117, MATCH($D74, Option5!$G$106:$G$117,0)))*conv_2026*V$7</f>
        <v>0</v>
      </c>
      <c r="W74" s="28">
        <f>(INDEX(Option5!W$106:W$117, MATCH($D74, Option5!$G$106:$G$117,0)))*conv_2026*W$7</f>
        <v>0</v>
      </c>
      <c r="X74" s="28">
        <f>(INDEX(Option5!X$106:X$117, MATCH($D74, Option5!$G$106:$G$117,0)))*conv_2026*X$7</f>
        <v>0</v>
      </c>
      <c r="Y74" s="28">
        <f>(INDEX(Option5!Y$106:Y$117, MATCH($D74, Option5!$G$106:$G$117,0)))*conv_2026*Y$7</f>
        <v>0</v>
      </c>
      <c r="Z74" s="28">
        <f>(INDEX(Option5!Z$106:Z$117, MATCH($D74, Option5!$G$106:$G$117,0)))*conv_2026*Z$7</f>
        <v>0</v>
      </c>
      <c r="AA74" s="28">
        <f>(INDEX(Option5!AA$106:AA$117, MATCH($D74, Option5!$G$106:$G$117,0)))*conv_2026*AA$7</f>
        <v>0</v>
      </c>
      <c r="AB74" s="28">
        <f>(INDEX(Option5!AB$106:AB$117, MATCH($D74, Option5!$G$106:$G$117,0)))*conv_2026*AB$7</f>
        <v>0</v>
      </c>
      <c r="AC74" s="28">
        <f>(INDEX(Option5!AC$106:AC$117, MATCH($D74, Option5!$G$106:$G$117,0)))*conv_2026*AC$7</f>
        <v>0</v>
      </c>
      <c r="AD74" s="28">
        <f>(INDEX(Option5!AD$106:AD$117, MATCH($D74, Option5!$G$106:$G$117,0)))*conv_2026*AD$7</f>
        <v>0</v>
      </c>
      <c r="AE74" s="28">
        <f>(INDEX(Option5!AE$106:AE$117, MATCH($D74, Option5!$G$106:$G$117,0)))*conv_2026*AE$7</f>
        <v>0</v>
      </c>
      <c r="AF74" s="28">
        <f>(INDEX(Option5!AF$106:AF$117, MATCH($D74, Option5!$G$106:$G$117,0)))*conv_2026*AF$7</f>
        <v>0</v>
      </c>
      <c r="AG74" s="28">
        <f>(INDEX(Option5!AG$106:AG$117, MATCH($D74, Option5!$G$106:$G$117,0)))*conv_2026*AG$7</f>
        <v>0</v>
      </c>
    </row>
    <row r="75" spans="1:35" s="6" customFormat="1" x14ac:dyDescent="0.2">
      <c r="A75" s="224" t="s">
        <v>154</v>
      </c>
      <c r="B75" s="224" t="str">
        <f>Option5!A113</f>
        <v>sens4</v>
      </c>
      <c r="C75" s="224" t="str">
        <f>Option5!C113</f>
        <v>Total benefits 10% lower</v>
      </c>
      <c r="D75" s="224" t="str">
        <f t="shared" si="9"/>
        <v>Option 5sens4</v>
      </c>
      <c r="E75" s="216"/>
      <c r="F75" s="28">
        <f t="shared" si="8"/>
        <v>0</v>
      </c>
      <c r="H75" s="28">
        <f>(INDEX(Option5!H$106:H$117, MATCH($D75, Option5!$G$106:$G$117,0)))*conv_2026*H$7</f>
        <v>0</v>
      </c>
      <c r="I75" s="28">
        <f>(INDEX(Option5!I$106:I$117, MATCH($D75, Option5!$G$106:$G$117,0)))*conv_2026*I$7</f>
        <v>0</v>
      </c>
      <c r="J75" s="28">
        <f>(INDEX(Option5!J$106:J$117, MATCH($D75, Option5!$G$106:$G$117,0)))*conv_2026*J$7</f>
        <v>0</v>
      </c>
      <c r="K75" s="28">
        <f>(INDEX(Option5!K$106:K$117, MATCH($D75, Option5!$G$106:$G$117,0)))*conv_2026*K$7</f>
        <v>0</v>
      </c>
      <c r="L75" s="28">
        <f>(INDEX(Option5!L$106:L$117, MATCH($D75, Option5!$G$106:$G$117,0)))*conv_2026*L$7</f>
        <v>0</v>
      </c>
      <c r="M75" s="28">
        <f>(INDEX(Option5!M$106:M$117, MATCH($D75, Option5!$G$106:$G$117,0)))*conv_2026*M$7</f>
        <v>0</v>
      </c>
      <c r="N75" s="28">
        <f>(INDEX(Option5!N$106:N$117, MATCH($D75, Option5!$G$106:$G$117,0)))*conv_2026*N$7</f>
        <v>0</v>
      </c>
      <c r="O75" s="28">
        <f>(INDEX(Option5!O$106:O$117, MATCH($D75, Option5!$G$106:$G$117,0)))*conv_2026*O$7</f>
        <v>0</v>
      </c>
      <c r="P75" s="28">
        <f>(INDEX(Option5!P$106:P$117, MATCH($D75, Option5!$G$106:$G$117,0)))*conv_2026*P$7</f>
        <v>0</v>
      </c>
      <c r="Q75" s="28">
        <f>(INDEX(Option5!Q$106:Q$117, MATCH($D75, Option5!$G$106:$G$117,0)))*conv_2026*Q$7</f>
        <v>0</v>
      </c>
      <c r="R75" s="28">
        <f>(INDEX(Option5!R$106:R$117, MATCH($D75, Option5!$G$106:$G$117,0)))*conv_2026*R$7</f>
        <v>0</v>
      </c>
      <c r="S75" s="28">
        <f>(INDEX(Option5!S$106:S$117, MATCH($D75, Option5!$G$106:$G$117,0)))*conv_2026*S$7</f>
        <v>0</v>
      </c>
      <c r="T75" s="28">
        <f>(INDEX(Option5!T$106:T$117, MATCH($D75, Option5!$G$106:$G$117,0)))*conv_2026*T$7</f>
        <v>0</v>
      </c>
      <c r="U75" s="28">
        <f>(INDEX(Option5!U$106:U$117, MATCH($D75, Option5!$G$106:$G$117,0)))*conv_2026*U$7</f>
        <v>0</v>
      </c>
      <c r="V75" s="28">
        <f>(INDEX(Option5!V$106:V$117, MATCH($D75, Option5!$G$106:$G$117,0)))*conv_2026*V$7</f>
        <v>0</v>
      </c>
      <c r="W75" s="28">
        <f>(INDEX(Option5!W$106:W$117, MATCH($D75, Option5!$G$106:$G$117,0)))*conv_2026*W$7</f>
        <v>0</v>
      </c>
      <c r="X75" s="28">
        <f>(INDEX(Option5!X$106:X$117, MATCH($D75, Option5!$G$106:$G$117,0)))*conv_2026*X$7</f>
        <v>0</v>
      </c>
      <c r="Y75" s="28">
        <f>(INDEX(Option5!Y$106:Y$117, MATCH($D75, Option5!$G$106:$G$117,0)))*conv_2026*Y$7</f>
        <v>0</v>
      </c>
      <c r="Z75" s="28">
        <f>(INDEX(Option5!Z$106:Z$117, MATCH($D75, Option5!$G$106:$G$117,0)))*conv_2026*Z$7</f>
        <v>0</v>
      </c>
      <c r="AA75" s="28">
        <f>(INDEX(Option5!AA$106:AA$117, MATCH($D75, Option5!$G$106:$G$117,0)))*conv_2026*AA$7</f>
        <v>0</v>
      </c>
      <c r="AB75" s="28">
        <f>(INDEX(Option5!AB$106:AB$117, MATCH($D75, Option5!$G$106:$G$117,0)))*conv_2026*AB$7</f>
        <v>0</v>
      </c>
      <c r="AC75" s="28">
        <f>(INDEX(Option5!AC$106:AC$117, MATCH($D75, Option5!$G$106:$G$117,0)))*conv_2026*AC$7</f>
        <v>0</v>
      </c>
      <c r="AD75" s="28">
        <f>(INDEX(Option5!AD$106:AD$117, MATCH($D75, Option5!$G$106:$G$117,0)))*conv_2026*AD$7</f>
        <v>0</v>
      </c>
      <c r="AE75" s="28">
        <f>(INDEX(Option5!AE$106:AE$117, MATCH($D75, Option5!$G$106:$G$117,0)))*conv_2026*AE$7</f>
        <v>0</v>
      </c>
      <c r="AF75" s="28">
        <f>(INDEX(Option5!AF$106:AF$117, MATCH($D75, Option5!$G$106:$G$117,0)))*conv_2026*AF$7</f>
        <v>0</v>
      </c>
      <c r="AG75" s="28">
        <f>(INDEX(Option5!AG$106:AG$117, MATCH($D75, Option5!$G$106:$G$117,0)))*conv_2026*AG$7</f>
        <v>0</v>
      </c>
    </row>
    <row r="76" spans="1:35" s="6" customFormat="1" x14ac:dyDescent="0.2">
      <c r="A76" s="224" t="s">
        <v>154</v>
      </c>
      <c r="B76" s="224" t="str">
        <f>Option5!A114</f>
        <v>sens5</v>
      </c>
      <c r="C76" s="224" t="str">
        <f>Option5!C114</f>
        <v>Capex 10% higher &amp; Total benefits 10% lower</v>
      </c>
      <c r="D76" s="224" t="str">
        <f t="shared" si="9"/>
        <v>Option 5sens5</v>
      </c>
      <c r="E76" s="216"/>
      <c r="F76" s="28">
        <f t="shared" si="8"/>
        <v>0</v>
      </c>
      <c r="H76" s="28">
        <f>(INDEX(Option5!H$106:H$117, MATCH($D76, Option5!$G$106:$G$117,0)))*conv_2026*H$7</f>
        <v>0</v>
      </c>
      <c r="I76" s="28">
        <f>(INDEX(Option5!I$106:I$117, MATCH($D76, Option5!$G$106:$G$117,0)))*conv_2026*I$7</f>
        <v>0</v>
      </c>
      <c r="J76" s="28">
        <f>(INDEX(Option5!J$106:J$117, MATCH($D76, Option5!$G$106:$G$117,0)))*conv_2026*J$7</f>
        <v>0</v>
      </c>
      <c r="K76" s="28">
        <f>(INDEX(Option5!K$106:K$117, MATCH($D76, Option5!$G$106:$G$117,0)))*conv_2026*K$7</f>
        <v>0</v>
      </c>
      <c r="L76" s="28">
        <f>(INDEX(Option5!L$106:L$117, MATCH($D76, Option5!$G$106:$G$117,0)))*conv_2026*L$7</f>
        <v>0</v>
      </c>
      <c r="M76" s="28">
        <f>(INDEX(Option5!M$106:M$117, MATCH($D76, Option5!$G$106:$G$117,0)))*conv_2026*M$7</f>
        <v>0</v>
      </c>
      <c r="N76" s="28">
        <f>(INDEX(Option5!N$106:N$117, MATCH($D76, Option5!$G$106:$G$117,0)))*conv_2026*N$7</f>
        <v>0</v>
      </c>
      <c r="O76" s="28">
        <f>(INDEX(Option5!O$106:O$117, MATCH($D76, Option5!$G$106:$G$117,0)))*conv_2026*O$7</f>
        <v>0</v>
      </c>
      <c r="P76" s="28">
        <f>(INDEX(Option5!P$106:P$117, MATCH($D76, Option5!$G$106:$G$117,0)))*conv_2026*P$7</f>
        <v>0</v>
      </c>
      <c r="Q76" s="28">
        <f>(INDEX(Option5!Q$106:Q$117, MATCH($D76, Option5!$G$106:$G$117,0)))*conv_2026*Q$7</f>
        <v>0</v>
      </c>
      <c r="R76" s="28">
        <f>(INDEX(Option5!R$106:R$117, MATCH($D76, Option5!$G$106:$G$117,0)))*conv_2026*R$7</f>
        <v>0</v>
      </c>
      <c r="S76" s="28">
        <f>(INDEX(Option5!S$106:S$117, MATCH($D76, Option5!$G$106:$G$117,0)))*conv_2026*S$7</f>
        <v>0</v>
      </c>
      <c r="T76" s="28">
        <f>(INDEX(Option5!T$106:T$117, MATCH($D76, Option5!$G$106:$G$117,0)))*conv_2026*T$7</f>
        <v>0</v>
      </c>
      <c r="U76" s="28">
        <f>(INDEX(Option5!U$106:U$117, MATCH($D76, Option5!$G$106:$G$117,0)))*conv_2026*U$7</f>
        <v>0</v>
      </c>
      <c r="V76" s="28">
        <f>(INDEX(Option5!V$106:V$117, MATCH($D76, Option5!$G$106:$G$117,0)))*conv_2026*V$7</f>
        <v>0</v>
      </c>
      <c r="W76" s="28">
        <f>(INDEX(Option5!W$106:W$117, MATCH($D76, Option5!$G$106:$G$117,0)))*conv_2026*W$7</f>
        <v>0</v>
      </c>
      <c r="X76" s="28">
        <f>(INDEX(Option5!X$106:X$117, MATCH($D76, Option5!$G$106:$G$117,0)))*conv_2026*X$7</f>
        <v>0</v>
      </c>
      <c r="Y76" s="28">
        <f>(INDEX(Option5!Y$106:Y$117, MATCH($D76, Option5!$G$106:$G$117,0)))*conv_2026*Y$7</f>
        <v>0</v>
      </c>
      <c r="Z76" s="28">
        <f>(INDEX(Option5!Z$106:Z$117, MATCH($D76, Option5!$G$106:$G$117,0)))*conv_2026*Z$7</f>
        <v>0</v>
      </c>
      <c r="AA76" s="28">
        <f>(INDEX(Option5!AA$106:AA$117, MATCH($D76, Option5!$G$106:$G$117,0)))*conv_2026*AA$7</f>
        <v>0</v>
      </c>
      <c r="AB76" s="28">
        <f>(INDEX(Option5!AB$106:AB$117, MATCH($D76, Option5!$G$106:$G$117,0)))*conv_2026*AB$7</f>
        <v>0</v>
      </c>
      <c r="AC76" s="28">
        <f>(INDEX(Option5!AC$106:AC$117, MATCH($D76, Option5!$G$106:$G$117,0)))*conv_2026*AC$7</f>
        <v>0</v>
      </c>
      <c r="AD76" s="28">
        <f>(INDEX(Option5!AD$106:AD$117, MATCH($D76, Option5!$G$106:$G$117,0)))*conv_2026*AD$7</f>
        <v>0</v>
      </c>
      <c r="AE76" s="28">
        <f>(INDEX(Option5!AE$106:AE$117, MATCH($D76, Option5!$G$106:$G$117,0)))*conv_2026*AE$7</f>
        <v>0</v>
      </c>
      <c r="AF76" s="28">
        <f>(INDEX(Option5!AF$106:AF$117, MATCH($D76, Option5!$G$106:$G$117,0)))*conv_2026*AF$7</f>
        <v>0</v>
      </c>
      <c r="AG76" s="28">
        <f>(INDEX(Option5!AG$106:AG$117, MATCH($D76, Option5!$G$106:$G$117,0)))*conv_2026*AG$7</f>
        <v>0</v>
      </c>
    </row>
    <row r="77" spans="1:35" s="6" customFormat="1" x14ac:dyDescent="0.2">
      <c r="A77" s="224" t="s">
        <v>154</v>
      </c>
      <c r="B77" s="224" t="str">
        <f>Option5!A115</f>
        <v>sens</v>
      </c>
      <c r="C77" s="224">
        <f>Option5!C115</f>
        <v>0</v>
      </c>
      <c r="D77" s="224" t="str">
        <f t="shared" si="9"/>
        <v>Option 5sens</v>
      </c>
      <c r="E77" s="216"/>
      <c r="F77" s="28">
        <f t="shared" si="8"/>
        <v>0</v>
      </c>
      <c r="H77" s="28">
        <f>(INDEX(Option5!H$106:H$117, MATCH($D77, Option5!$G$106:$G$117,0)))*conv_2026*H$7</f>
        <v>0</v>
      </c>
      <c r="I77" s="28">
        <f>(INDEX(Option5!I$106:I$117, MATCH($D77, Option5!$G$106:$G$117,0)))*conv_2026*I$7</f>
        <v>0</v>
      </c>
      <c r="J77" s="28">
        <f>(INDEX(Option5!J$106:J$117, MATCH($D77, Option5!$G$106:$G$117,0)))*conv_2026*J$7</f>
        <v>0</v>
      </c>
      <c r="K77" s="28">
        <f>(INDEX(Option5!K$106:K$117, MATCH($D77, Option5!$G$106:$G$117,0)))*conv_2026*K$7</f>
        <v>0</v>
      </c>
      <c r="L77" s="28">
        <f>(INDEX(Option5!L$106:L$117, MATCH($D77, Option5!$G$106:$G$117,0)))*conv_2026*L$7</f>
        <v>0</v>
      </c>
      <c r="M77" s="28">
        <f>(INDEX(Option5!M$106:M$117, MATCH($D77, Option5!$G$106:$G$117,0)))*conv_2026*M$7</f>
        <v>0</v>
      </c>
      <c r="N77" s="28">
        <f>(INDEX(Option5!N$106:N$117, MATCH($D77, Option5!$G$106:$G$117,0)))*conv_2026*N$7</f>
        <v>0</v>
      </c>
      <c r="O77" s="28">
        <f>(INDEX(Option5!O$106:O$117, MATCH($D77, Option5!$G$106:$G$117,0)))*conv_2026*O$7</f>
        <v>0</v>
      </c>
      <c r="P77" s="28">
        <f>(INDEX(Option5!P$106:P$117, MATCH($D77, Option5!$G$106:$G$117,0)))*conv_2026*P$7</f>
        <v>0</v>
      </c>
      <c r="Q77" s="28">
        <f>(INDEX(Option5!Q$106:Q$117, MATCH($D77, Option5!$G$106:$G$117,0)))*conv_2026*Q$7</f>
        <v>0</v>
      </c>
      <c r="R77" s="28">
        <f>(INDEX(Option5!R$106:R$117, MATCH($D77, Option5!$G$106:$G$117,0)))*conv_2026*R$7</f>
        <v>0</v>
      </c>
      <c r="S77" s="28">
        <f>(INDEX(Option5!S$106:S$117, MATCH($D77, Option5!$G$106:$G$117,0)))*conv_2026*S$7</f>
        <v>0</v>
      </c>
      <c r="T77" s="28">
        <f>(INDEX(Option5!T$106:T$117, MATCH($D77, Option5!$G$106:$G$117,0)))*conv_2026*T$7</f>
        <v>0</v>
      </c>
      <c r="U77" s="28">
        <f>(INDEX(Option5!U$106:U$117, MATCH($D77, Option5!$G$106:$G$117,0)))*conv_2026*U$7</f>
        <v>0</v>
      </c>
      <c r="V77" s="28">
        <f>(INDEX(Option5!V$106:V$117, MATCH($D77, Option5!$G$106:$G$117,0)))*conv_2026*V$7</f>
        <v>0</v>
      </c>
      <c r="W77" s="28">
        <f>(INDEX(Option5!W$106:W$117, MATCH($D77, Option5!$G$106:$G$117,0)))*conv_2026*W$7</f>
        <v>0</v>
      </c>
      <c r="X77" s="28">
        <f>(INDEX(Option5!X$106:X$117, MATCH($D77, Option5!$G$106:$G$117,0)))*conv_2026*X$7</f>
        <v>0</v>
      </c>
      <c r="Y77" s="28">
        <f>(INDEX(Option5!Y$106:Y$117, MATCH($D77, Option5!$G$106:$G$117,0)))*conv_2026*Y$7</f>
        <v>0</v>
      </c>
      <c r="Z77" s="28">
        <f>(INDEX(Option5!Z$106:Z$117, MATCH($D77, Option5!$G$106:$G$117,0)))*conv_2026*Z$7</f>
        <v>0</v>
      </c>
      <c r="AA77" s="28">
        <f>(INDEX(Option5!AA$106:AA$117, MATCH($D77, Option5!$G$106:$G$117,0)))*conv_2026*AA$7</f>
        <v>0</v>
      </c>
      <c r="AB77" s="28">
        <f>(INDEX(Option5!AB$106:AB$117, MATCH($D77, Option5!$G$106:$G$117,0)))*conv_2026*AB$7</f>
        <v>0</v>
      </c>
      <c r="AC77" s="28">
        <f>(INDEX(Option5!AC$106:AC$117, MATCH($D77, Option5!$G$106:$G$117,0)))*conv_2026*AC$7</f>
        <v>0</v>
      </c>
      <c r="AD77" s="28">
        <f>(INDEX(Option5!AD$106:AD$117, MATCH($D77, Option5!$G$106:$G$117,0)))*conv_2026*AD$7</f>
        <v>0</v>
      </c>
      <c r="AE77" s="28">
        <f>(INDEX(Option5!AE$106:AE$117, MATCH($D77, Option5!$G$106:$G$117,0)))*conv_2026*AE$7</f>
        <v>0</v>
      </c>
      <c r="AF77" s="28">
        <f>(INDEX(Option5!AF$106:AF$117, MATCH($D77, Option5!$G$106:$G$117,0)))*conv_2026*AF$7</f>
        <v>0</v>
      </c>
      <c r="AG77" s="28">
        <f>(INDEX(Option5!AG$106:AG$117, MATCH($D77, Option5!$G$106:$G$117,0)))*conv_2026*AG$7</f>
        <v>0</v>
      </c>
    </row>
    <row r="78" spans="1:35" s="6" customFormat="1" x14ac:dyDescent="0.2">
      <c r="A78" s="224" t="s">
        <v>154</v>
      </c>
      <c r="B78" s="224" t="str">
        <f>Option5!A116</f>
        <v>sens</v>
      </c>
      <c r="C78" s="224">
        <f>Option5!C116</f>
        <v>0</v>
      </c>
      <c r="D78" s="224" t="str">
        <f t="shared" si="9"/>
        <v>Option 5sens</v>
      </c>
      <c r="E78" s="216"/>
      <c r="F78" s="28">
        <f t="shared" si="8"/>
        <v>0</v>
      </c>
      <c r="H78" s="28">
        <f>(INDEX(Option5!H$106:H$117, MATCH($D78, Option5!$G$106:$G$117,0)))*conv_2026*H$7</f>
        <v>0</v>
      </c>
      <c r="I78" s="28">
        <f>(INDEX(Option5!I$106:I$117, MATCH($D78, Option5!$G$106:$G$117,0)))*conv_2026*I$7</f>
        <v>0</v>
      </c>
      <c r="J78" s="28">
        <f>(INDEX(Option5!J$106:J$117, MATCH($D78, Option5!$G$106:$G$117,0)))*conv_2026*J$7</f>
        <v>0</v>
      </c>
      <c r="K78" s="28">
        <f>(INDEX(Option5!K$106:K$117, MATCH($D78, Option5!$G$106:$G$117,0)))*conv_2026*K$7</f>
        <v>0</v>
      </c>
      <c r="L78" s="28">
        <f>(INDEX(Option5!L$106:L$117, MATCH($D78, Option5!$G$106:$G$117,0)))*conv_2026*L$7</f>
        <v>0</v>
      </c>
      <c r="M78" s="28">
        <f>(INDEX(Option5!M$106:M$117, MATCH($D78, Option5!$G$106:$G$117,0)))*conv_2026*M$7</f>
        <v>0</v>
      </c>
      <c r="N78" s="28">
        <f>(INDEX(Option5!N$106:N$117, MATCH($D78, Option5!$G$106:$G$117,0)))*conv_2026*N$7</f>
        <v>0</v>
      </c>
      <c r="O78" s="28">
        <f>(INDEX(Option5!O$106:O$117, MATCH($D78, Option5!$G$106:$G$117,0)))*conv_2026*O$7</f>
        <v>0</v>
      </c>
      <c r="P78" s="28">
        <f>(INDEX(Option5!P$106:P$117, MATCH($D78, Option5!$G$106:$G$117,0)))*conv_2026*P$7</f>
        <v>0</v>
      </c>
      <c r="Q78" s="28">
        <f>(INDEX(Option5!Q$106:Q$117, MATCH($D78, Option5!$G$106:$G$117,0)))*conv_2026*Q$7</f>
        <v>0</v>
      </c>
      <c r="R78" s="28">
        <f>(INDEX(Option5!R$106:R$117, MATCH($D78, Option5!$G$106:$G$117,0)))*conv_2026*R$7</f>
        <v>0</v>
      </c>
      <c r="S78" s="28">
        <f>(INDEX(Option5!S$106:S$117, MATCH($D78, Option5!$G$106:$G$117,0)))*conv_2026*S$7</f>
        <v>0</v>
      </c>
      <c r="T78" s="28">
        <f>(INDEX(Option5!T$106:T$117, MATCH($D78, Option5!$G$106:$G$117,0)))*conv_2026*T$7</f>
        <v>0</v>
      </c>
      <c r="U78" s="28">
        <f>(INDEX(Option5!U$106:U$117, MATCH($D78, Option5!$G$106:$G$117,0)))*conv_2026*U$7</f>
        <v>0</v>
      </c>
      <c r="V78" s="28">
        <f>(INDEX(Option5!V$106:V$117, MATCH($D78, Option5!$G$106:$G$117,0)))*conv_2026*V$7</f>
        <v>0</v>
      </c>
      <c r="W78" s="28">
        <f>(INDEX(Option5!W$106:W$117, MATCH($D78, Option5!$G$106:$G$117,0)))*conv_2026*W$7</f>
        <v>0</v>
      </c>
      <c r="X78" s="28">
        <f>(INDEX(Option5!X$106:X$117, MATCH($D78, Option5!$G$106:$G$117,0)))*conv_2026*X$7</f>
        <v>0</v>
      </c>
      <c r="Y78" s="28">
        <f>(INDEX(Option5!Y$106:Y$117, MATCH($D78, Option5!$G$106:$G$117,0)))*conv_2026*Y$7</f>
        <v>0</v>
      </c>
      <c r="Z78" s="28">
        <f>(INDEX(Option5!Z$106:Z$117, MATCH($D78, Option5!$G$106:$G$117,0)))*conv_2026*Z$7</f>
        <v>0</v>
      </c>
      <c r="AA78" s="28">
        <f>(INDEX(Option5!AA$106:AA$117, MATCH($D78, Option5!$G$106:$G$117,0)))*conv_2026*AA$7</f>
        <v>0</v>
      </c>
      <c r="AB78" s="28">
        <f>(INDEX(Option5!AB$106:AB$117, MATCH($D78, Option5!$G$106:$G$117,0)))*conv_2026*AB$7</f>
        <v>0</v>
      </c>
      <c r="AC78" s="28">
        <f>(INDEX(Option5!AC$106:AC$117, MATCH($D78, Option5!$G$106:$G$117,0)))*conv_2026*AC$7</f>
        <v>0</v>
      </c>
      <c r="AD78" s="28">
        <f>(INDEX(Option5!AD$106:AD$117, MATCH($D78, Option5!$G$106:$G$117,0)))*conv_2026*AD$7</f>
        <v>0</v>
      </c>
      <c r="AE78" s="28">
        <f>(INDEX(Option5!AE$106:AE$117, MATCH($D78, Option5!$G$106:$G$117,0)))*conv_2026*AE$7</f>
        <v>0</v>
      </c>
      <c r="AF78" s="28">
        <f>(INDEX(Option5!AF$106:AF$117, MATCH($D78, Option5!$G$106:$G$117,0)))*conv_2026*AF$7</f>
        <v>0</v>
      </c>
      <c r="AG78" s="28">
        <f>(INDEX(Option5!AG$106:AG$117, MATCH($D78, Option5!$G$106:$G$117,0)))*conv_2026*AG$7</f>
        <v>0</v>
      </c>
    </row>
    <row r="79" spans="1:35" s="6" customFormat="1" x14ac:dyDescent="0.2">
      <c r="A79" s="224" t="s">
        <v>154</v>
      </c>
      <c r="B79" s="224" t="str">
        <f>Option5!A117</f>
        <v>sens</v>
      </c>
      <c r="C79" s="224">
        <f>Option5!C117</f>
        <v>0</v>
      </c>
      <c r="D79" s="224" t="str">
        <f t="shared" si="9"/>
        <v>Option 5sens</v>
      </c>
      <c r="E79" s="216"/>
      <c r="F79" s="28">
        <f t="shared" si="8"/>
        <v>0</v>
      </c>
      <c r="H79" s="28">
        <f>(INDEX(Option5!H$106:H$117, MATCH($D79, Option5!$G$106:$G$117,0)))*conv_2026*H$7</f>
        <v>0</v>
      </c>
      <c r="I79" s="28">
        <f>(INDEX(Option5!I$106:I$117, MATCH($D79, Option5!$G$106:$G$117,0)))*conv_2026*I$7</f>
        <v>0</v>
      </c>
      <c r="J79" s="28">
        <f>(INDEX(Option5!J$106:J$117, MATCH($D79, Option5!$G$106:$G$117,0)))*conv_2026*J$7</f>
        <v>0</v>
      </c>
      <c r="K79" s="28">
        <f>(INDEX(Option5!K$106:K$117, MATCH($D79, Option5!$G$106:$G$117,0)))*conv_2026*K$7</f>
        <v>0</v>
      </c>
      <c r="L79" s="28">
        <f>(INDEX(Option5!L$106:L$117, MATCH($D79, Option5!$G$106:$G$117,0)))*conv_2026*L$7</f>
        <v>0</v>
      </c>
      <c r="M79" s="28">
        <f>(INDEX(Option5!M$106:M$117, MATCH($D79, Option5!$G$106:$G$117,0)))*conv_2026*M$7</f>
        <v>0</v>
      </c>
      <c r="N79" s="28">
        <f>(INDEX(Option5!N$106:N$117, MATCH($D79, Option5!$G$106:$G$117,0)))*conv_2026*N$7</f>
        <v>0</v>
      </c>
      <c r="O79" s="28">
        <f>(INDEX(Option5!O$106:O$117, MATCH($D79, Option5!$G$106:$G$117,0)))*conv_2026*O$7</f>
        <v>0</v>
      </c>
      <c r="P79" s="28">
        <f>(INDEX(Option5!P$106:P$117, MATCH($D79, Option5!$G$106:$G$117,0)))*conv_2026*P$7</f>
        <v>0</v>
      </c>
      <c r="Q79" s="28">
        <f>(INDEX(Option5!Q$106:Q$117, MATCH($D79, Option5!$G$106:$G$117,0)))*conv_2026*Q$7</f>
        <v>0</v>
      </c>
      <c r="R79" s="28">
        <f>(INDEX(Option5!R$106:R$117, MATCH($D79, Option5!$G$106:$G$117,0)))*conv_2026*R$7</f>
        <v>0</v>
      </c>
      <c r="S79" s="28">
        <f>(INDEX(Option5!S$106:S$117, MATCH($D79, Option5!$G$106:$G$117,0)))*conv_2026*S$7</f>
        <v>0</v>
      </c>
      <c r="T79" s="28">
        <f>(INDEX(Option5!T$106:T$117, MATCH($D79, Option5!$G$106:$G$117,0)))*conv_2026*T$7</f>
        <v>0</v>
      </c>
      <c r="U79" s="28">
        <f>(INDEX(Option5!U$106:U$117, MATCH($D79, Option5!$G$106:$G$117,0)))*conv_2026*U$7</f>
        <v>0</v>
      </c>
      <c r="V79" s="28">
        <f>(INDEX(Option5!V$106:V$117, MATCH($D79, Option5!$G$106:$G$117,0)))*conv_2026*V$7</f>
        <v>0</v>
      </c>
      <c r="W79" s="28">
        <f>(INDEX(Option5!W$106:W$117, MATCH($D79, Option5!$G$106:$G$117,0)))*conv_2026*W$7</f>
        <v>0</v>
      </c>
      <c r="X79" s="28">
        <f>(INDEX(Option5!X$106:X$117, MATCH($D79, Option5!$G$106:$G$117,0)))*conv_2026*X$7</f>
        <v>0</v>
      </c>
      <c r="Y79" s="28">
        <f>(INDEX(Option5!Y$106:Y$117, MATCH($D79, Option5!$G$106:$G$117,0)))*conv_2026*Y$7</f>
        <v>0</v>
      </c>
      <c r="Z79" s="28">
        <f>(INDEX(Option5!Z$106:Z$117, MATCH($D79, Option5!$G$106:$G$117,0)))*conv_2026*Z$7</f>
        <v>0</v>
      </c>
      <c r="AA79" s="28">
        <f>(INDEX(Option5!AA$106:AA$117, MATCH($D79, Option5!$G$106:$G$117,0)))*conv_2026*AA$7</f>
        <v>0</v>
      </c>
      <c r="AB79" s="28">
        <f>(INDEX(Option5!AB$106:AB$117, MATCH($D79, Option5!$G$106:$G$117,0)))*conv_2026*AB$7</f>
        <v>0</v>
      </c>
      <c r="AC79" s="28">
        <f>(INDEX(Option5!AC$106:AC$117, MATCH($D79, Option5!$G$106:$G$117,0)))*conv_2026*AC$7</f>
        <v>0</v>
      </c>
      <c r="AD79" s="28">
        <f>(INDEX(Option5!AD$106:AD$117, MATCH($D79, Option5!$G$106:$G$117,0)))*conv_2026*AD$7</f>
        <v>0</v>
      </c>
      <c r="AE79" s="28">
        <f>(INDEX(Option5!AE$106:AE$117, MATCH($D79, Option5!$G$106:$G$117,0)))*conv_2026*AE$7</f>
        <v>0</v>
      </c>
      <c r="AF79" s="28">
        <f>(INDEX(Option5!AF$106:AF$117, MATCH($D79, Option5!$G$106:$G$117,0)))*conv_2026*AF$7</f>
        <v>0</v>
      </c>
      <c r="AG79" s="28">
        <f>(INDEX(Option5!AG$106:AG$117, MATCH($D79, Option5!$G$106:$G$117,0)))*conv_2026*AG$7</f>
        <v>0</v>
      </c>
    </row>
    <row r="80" spans="1:35" s="6" customFormat="1" x14ac:dyDescent="0.2">
      <c r="F80" s="221"/>
    </row>
    <row r="81" spans="1:34" s="6" customFormat="1" x14ac:dyDescent="0.2">
      <c r="F81" s="221"/>
    </row>
    <row r="82" spans="1:34" s="6" customFormat="1" x14ac:dyDescent="0.2">
      <c r="F82" s="221"/>
    </row>
    <row r="83" spans="1:34" s="6" customFormat="1" x14ac:dyDescent="0.2">
      <c r="F83" s="221"/>
    </row>
    <row r="84" spans="1:34" s="6" customFormat="1" ht="15" x14ac:dyDescent="0.25">
      <c r="A84" s="177" t="s">
        <v>159</v>
      </c>
      <c r="B84" s="48"/>
      <c r="C84" s="17"/>
      <c r="D84" s="17"/>
      <c r="E84" s="73"/>
      <c r="F84" s="17"/>
      <c r="G84" s="197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8"/>
      <c r="AH84" s="8"/>
    </row>
    <row r="85" spans="1:34" s="6" customFormat="1" x14ac:dyDescent="0.2">
      <c r="F85" s="221"/>
    </row>
    <row r="86" spans="1:34" s="6" customFormat="1" x14ac:dyDescent="0.2">
      <c r="F86" s="221"/>
    </row>
    <row r="87" spans="1:34" s="6" customFormat="1" x14ac:dyDescent="0.2">
      <c r="E87" s="221"/>
    </row>
    <row r="88" spans="1:34" s="6" customFormat="1" x14ac:dyDescent="0.2">
      <c r="C88" s="235" t="b" cm="1">
        <f t="array" ref="C88:G88">TRANSPOSE(Data!F9:F13)</f>
        <v>0</v>
      </c>
      <c r="D88" s="235" t="b">
        <v>0</v>
      </c>
      <c r="E88" s="236" t="b">
        <v>0</v>
      </c>
      <c r="F88" s="235" t="b">
        <v>1</v>
      </c>
      <c r="G88" s="235" t="b">
        <v>1</v>
      </c>
      <c r="K88" s="6" t="b">
        <f>AND(_xlfn.ANCHORARRAY(C88))</f>
        <v>0</v>
      </c>
    </row>
    <row r="89" spans="1:34" s="6" customFormat="1" x14ac:dyDescent="0.2">
      <c r="A89" s="53"/>
      <c r="B89" s="53"/>
      <c r="C89" s="237" t="str" cm="1">
        <f t="array" ref="C89:G89">TRANSPOSE(options)</f>
        <v>Option 1 (base case)</v>
      </c>
      <c r="D89" s="237" t="str">
        <v>Option 2</v>
      </c>
      <c r="E89" s="237" t="str">
        <v>Option 3</v>
      </c>
      <c r="F89" s="237" t="str">
        <v>Option 4</v>
      </c>
      <c r="G89" s="237" t="str">
        <v>Option 5</v>
      </c>
      <c r="I89" s="237" t="s">
        <v>228</v>
      </c>
      <c r="K89" s="53" t="s">
        <v>229</v>
      </c>
    </row>
    <row r="90" spans="1:34" s="6" customFormat="1" x14ac:dyDescent="0.2">
      <c r="A90" s="227" t="s">
        <v>119</v>
      </c>
      <c r="B90" s="227" t="s">
        <v>219</v>
      </c>
      <c r="C90" s="93">
        <f t="shared" ref="C90:G98" si="10">IF(OR($B90=0,C$88),"", INDEX($F$14:$F$81, MATCH(C$89&amp;$A90,$D$14:$D$81,0))/10^6)</f>
        <v>0</v>
      </c>
      <c r="D90" s="93">
        <f t="shared" si="10"/>
        <v>2.2509140365850571</v>
      </c>
      <c r="E90" s="93">
        <f t="shared" si="10"/>
        <v>-27.978688376879262</v>
      </c>
      <c r="F90" s="93" t="str">
        <f t="shared" si="10"/>
        <v/>
      </c>
      <c r="G90" s="93" t="str">
        <f t="shared" si="10"/>
        <v/>
      </c>
      <c r="H90" s="162"/>
      <c r="I90" s="93">
        <f t="shared" ref="I90:I98" si="11">_xlfn.MAXIFS(C90:G90,_xlfn.ANCHORARRAY( C$88),FALSE)</f>
        <v>2.2509140365850571</v>
      </c>
      <c r="K90" s="6" t="str">
        <f t="shared" ref="K90:K98" si="12">IF(OR(B90=0,$K$88),"", INDEX(_xlfn.ANCHORARRAY($C$89), MATCH(I90, $C90:$G90,0)))</f>
        <v>Option 2</v>
      </c>
    </row>
    <row r="91" spans="1:34" s="6" customFormat="1" x14ac:dyDescent="0.2">
      <c r="A91" s="227" t="str">
        <f>"sens"&amp;Assumptions!B111</f>
        <v>sens1</v>
      </c>
      <c r="B91" s="227" t="str">
        <f>Assumptions!C111</f>
        <v>Capex 10% higher</v>
      </c>
      <c r="C91" s="93">
        <f t="shared" si="10"/>
        <v>0</v>
      </c>
      <c r="D91" s="93">
        <f t="shared" si="10"/>
        <v>2.0561790336783483</v>
      </c>
      <c r="E91" s="93">
        <f t="shared" si="10"/>
        <v>-31.186622243496558</v>
      </c>
      <c r="F91" s="93" t="str">
        <f t="shared" si="10"/>
        <v/>
      </c>
      <c r="G91" s="93" t="str">
        <f t="shared" si="10"/>
        <v/>
      </c>
      <c r="H91" s="162"/>
      <c r="I91" s="93">
        <f t="shared" si="11"/>
        <v>2.0561790336783483</v>
      </c>
      <c r="K91" s="6" t="str">
        <f t="shared" si="12"/>
        <v>Option 2</v>
      </c>
    </row>
    <row r="92" spans="1:34" s="6" customFormat="1" x14ac:dyDescent="0.2">
      <c r="A92" s="227" t="str">
        <f>"sens"&amp;Assumptions!B112</f>
        <v>sens2</v>
      </c>
      <c r="B92" s="227" t="str">
        <f>Assumptions!C112</f>
        <v>Capex 10% lower</v>
      </c>
      <c r="C92" s="93">
        <f t="shared" si="10"/>
        <v>0</v>
      </c>
      <c r="D92" s="93">
        <f t="shared" si="10"/>
        <v>2.4456490394917658</v>
      </c>
      <c r="E92" s="93">
        <f t="shared" si="10"/>
        <v>-24.770754510261973</v>
      </c>
      <c r="F92" s="93" t="str">
        <f t="shared" si="10"/>
        <v/>
      </c>
      <c r="G92" s="93" t="str">
        <f t="shared" si="10"/>
        <v/>
      </c>
      <c r="H92" s="162"/>
      <c r="I92" s="93">
        <f t="shared" si="11"/>
        <v>2.4456490394917658</v>
      </c>
      <c r="K92" s="6" t="str">
        <f t="shared" si="12"/>
        <v>Option 2</v>
      </c>
    </row>
    <row r="93" spans="1:34" s="6" customFormat="1" x14ac:dyDescent="0.2">
      <c r="A93" s="227" t="str">
        <f>"sens"&amp;Assumptions!B113</f>
        <v>sens3</v>
      </c>
      <c r="B93" s="227" t="str">
        <f>Assumptions!C113</f>
        <v>Total benefits 10% higher</v>
      </c>
      <c r="C93" s="93">
        <f t="shared" si="10"/>
        <v>0</v>
      </c>
      <c r="D93" s="93">
        <f t="shared" si="10"/>
        <v>2.6707404431502719</v>
      </c>
      <c r="E93" s="93">
        <f t="shared" si="10"/>
        <v>-27.568623347949895</v>
      </c>
      <c r="F93" s="93" t="str">
        <f t="shared" si="10"/>
        <v/>
      </c>
      <c r="G93" s="93" t="str">
        <f t="shared" si="10"/>
        <v/>
      </c>
      <c r="H93" s="162"/>
      <c r="I93" s="93">
        <f t="shared" si="11"/>
        <v>2.6707404431502719</v>
      </c>
      <c r="K93" s="6" t="str">
        <f t="shared" si="12"/>
        <v>Option 2</v>
      </c>
    </row>
    <row r="94" spans="1:34" s="6" customFormat="1" x14ac:dyDescent="0.2">
      <c r="A94" s="227" t="str">
        <f>"sens"&amp;Assumptions!B114</f>
        <v>sens4</v>
      </c>
      <c r="B94" s="227" t="str">
        <f>Assumptions!C114</f>
        <v>Total benefits 10% lower</v>
      </c>
      <c r="C94" s="93">
        <f t="shared" si="10"/>
        <v>0</v>
      </c>
      <c r="D94" s="93">
        <f t="shared" si="10"/>
        <v>1.8310876300198422</v>
      </c>
      <c r="E94" s="93">
        <f t="shared" si="10"/>
        <v>-28.388753405808629</v>
      </c>
      <c r="F94" s="93" t="str">
        <f t="shared" si="10"/>
        <v/>
      </c>
      <c r="G94" s="93" t="str">
        <f t="shared" si="10"/>
        <v/>
      </c>
      <c r="H94" s="162"/>
      <c r="I94" s="93">
        <f t="shared" si="11"/>
        <v>1.8310876300198422</v>
      </c>
      <c r="K94" s="6" t="str">
        <f t="shared" si="12"/>
        <v>Option 2</v>
      </c>
    </row>
    <row r="95" spans="1:34" s="6" customFormat="1" x14ac:dyDescent="0.2">
      <c r="A95" s="227" t="str">
        <f>"sens"&amp;Assumptions!B115</f>
        <v>sens5</v>
      </c>
      <c r="B95" s="227" t="str">
        <f>Assumptions!C115</f>
        <v>Capex 10% higher &amp; Total benefits 10% lower</v>
      </c>
      <c r="C95" s="93">
        <f t="shared" si="10"/>
        <v>0</v>
      </c>
      <c r="D95" s="93">
        <f t="shared" si="10"/>
        <v>1.636352627113133</v>
      </c>
      <c r="E95" s="93">
        <f t="shared" si="10"/>
        <v>-31.596687272425925</v>
      </c>
      <c r="F95" s="93" t="str">
        <f t="shared" si="10"/>
        <v/>
      </c>
      <c r="G95" s="93" t="str">
        <f t="shared" si="10"/>
        <v/>
      </c>
      <c r="H95" s="162"/>
      <c r="I95" s="93">
        <f t="shared" si="11"/>
        <v>1.636352627113133</v>
      </c>
      <c r="K95" s="6" t="str">
        <f t="shared" si="12"/>
        <v>Option 2</v>
      </c>
    </row>
    <row r="96" spans="1:34" s="6" customFormat="1" x14ac:dyDescent="0.2">
      <c r="A96" s="227" t="str">
        <f>"sens"&amp;Assumptions!B116</f>
        <v>sens</v>
      </c>
      <c r="B96" s="227">
        <f>Assumptions!C116</f>
        <v>0</v>
      </c>
      <c r="C96" s="93" t="str">
        <f t="shared" si="10"/>
        <v/>
      </c>
      <c r="D96" s="93" t="str">
        <f t="shared" si="10"/>
        <v/>
      </c>
      <c r="E96" s="93" t="str">
        <f t="shared" si="10"/>
        <v/>
      </c>
      <c r="F96" s="93" t="str">
        <f t="shared" si="10"/>
        <v/>
      </c>
      <c r="G96" s="93" t="str">
        <f t="shared" si="10"/>
        <v/>
      </c>
      <c r="H96" s="162"/>
      <c r="I96" s="93">
        <f t="shared" si="11"/>
        <v>0</v>
      </c>
      <c r="K96" s="6" t="str">
        <f t="shared" si="12"/>
        <v/>
      </c>
    </row>
    <row r="97" spans="1:11" x14ac:dyDescent="0.2">
      <c r="A97" s="227" t="str">
        <f>"sens"&amp;Assumptions!B117</f>
        <v>sens</v>
      </c>
      <c r="B97" s="227">
        <f>Assumptions!C117</f>
        <v>0</v>
      </c>
      <c r="C97" s="93" t="str">
        <f t="shared" si="10"/>
        <v/>
      </c>
      <c r="D97" s="93" t="str">
        <f t="shared" si="10"/>
        <v/>
      </c>
      <c r="E97" s="93" t="str">
        <f t="shared" si="10"/>
        <v/>
      </c>
      <c r="F97" s="93" t="str">
        <f t="shared" si="10"/>
        <v/>
      </c>
      <c r="G97" s="93" t="str">
        <f t="shared" si="10"/>
        <v/>
      </c>
      <c r="H97" s="240"/>
      <c r="I97" s="93">
        <f t="shared" si="11"/>
        <v>0</v>
      </c>
      <c r="K97" s="6" t="str">
        <f t="shared" si="12"/>
        <v/>
      </c>
    </row>
    <row r="98" spans="1:11" x14ac:dyDescent="0.2">
      <c r="A98" s="227" t="str">
        <f>"sens"&amp;Assumptions!B118</f>
        <v>sens</v>
      </c>
      <c r="B98" s="227">
        <f>Assumptions!C118</f>
        <v>0</v>
      </c>
      <c r="C98" s="93" t="str">
        <f t="shared" si="10"/>
        <v/>
      </c>
      <c r="D98" s="93" t="str">
        <f t="shared" si="10"/>
        <v/>
      </c>
      <c r="E98" s="93" t="str">
        <f t="shared" si="10"/>
        <v/>
      </c>
      <c r="F98" s="93" t="str">
        <f t="shared" si="10"/>
        <v/>
      </c>
      <c r="G98" s="93" t="str">
        <f t="shared" si="10"/>
        <v/>
      </c>
      <c r="H98" s="240"/>
      <c r="I98" s="93">
        <f t="shared" si="11"/>
        <v>0</v>
      </c>
      <c r="K98" s="6" t="str">
        <f t="shared" si="12"/>
        <v/>
      </c>
    </row>
    <row r="99" spans="1:11" x14ac:dyDescent="0.2">
      <c r="C99" s="28"/>
      <c r="E99"/>
      <c r="F99" s="8"/>
    </row>
    <row r="100" spans="1:11" x14ac:dyDescent="0.2">
      <c r="E100"/>
      <c r="F100" s="8"/>
    </row>
    <row r="101" spans="1:11" x14ac:dyDescent="0.2">
      <c r="E101"/>
      <c r="F101" s="8"/>
    </row>
    <row r="102" spans="1:11" x14ac:dyDescent="0.2">
      <c r="E102"/>
      <c r="F102" s="8"/>
    </row>
    <row r="103" spans="1:11" x14ac:dyDescent="0.2">
      <c r="E103"/>
      <c r="F103" s="8"/>
    </row>
    <row r="104" spans="1:11" x14ac:dyDescent="0.2">
      <c r="E104"/>
      <c r="F104" s="8"/>
    </row>
    <row r="105" spans="1:11" x14ac:dyDescent="0.2">
      <c r="E105"/>
      <c r="F105" s="8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C41" sqref="C41:C42"/>
    </sheetView>
  </sheetViews>
  <sheetFormatPr defaultRowHeight="12.75" x14ac:dyDescent="0.2"/>
  <cols>
    <col min="2" max="2" width="21.375" customWidth="1"/>
    <col min="3" max="3" width="20.5" customWidth="1"/>
    <col min="4" max="4" width="14.5" style="43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3" t="str">
        <f>bus</f>
        <v>Powercor</v>
      </c>
      <c r="B1" s="13"/>
      <c r="C1" s="13"/>
      <c r="D1" s="4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3" ht="18.75" x14ac:dyDescent="0.3">
      <c r="A2" s="50" t="str">
        <f>proj</f>
        <v>Melton new feeder</v>
      </c>
      <c r="B2" s="13"/>
      <c r="C2" s="13"/>
      <c r="D2" s="4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3" ht="15.75" x14ac:dyDescent="0.25">
      <c r="A3" s="5"/>
    </row>
    <row r="4" spans="1:23" s="1" customFormat="1" ht="15" x14ac:dyDescent="0.2">
      <c r="A4" s="16" t="s">
        <v>201</v>
      </c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5"/>
      <c r="R4" s="15"/>
    </row>
    <row r="5" spans="1:23" s="1" customFormat="1" x14ac:dyDescent="0.2"/>
    <row r="6" spans="1:23" s="1" customFormat="1" x14ac:dyDescent="0.2">
      <c r="B6" s="69" t="s">
        <v>128</v>
      </c>
      <c r="C6" s="69"/>
      <c r="D6" s="44"/>
      <c r="E6" s="27"/>
      <c r="F6" s="40"/>
      <c r="G6" s="27"/>
      <c r="H6" s="41">
        <v>44377</v>
      </c>
      <c r="I6" s="39">
        <f>IF(EOMONTH(H6,12)&gt;output_dollars, output_dollars, EOMONTH(H6,12))</f>
        <v>44742</v>
      </c>
      <c r="J6" s="39">
        <f>IF(EOMONTH(I6,12)&gt;output_dollars, output_dollars, EOMONTH(I6,12))</f>
        <v>45107</v>
      </c>
      <c r="K6" s="39">
        <f>IF(EOMONTH(J6,12)&gt;output_dollars, output_dollars, EOMONTH(J6,12))</f>
        <v>45473</v>
      </c>
      <c r="L6" s="39">
        <f>IF(EOMONTH(K6,12)&gt;output_dollars, output_dollars, EOMONTH(K6,12))</f>
        <v>45838</v>
      </c>
      <c r="M6" s="39">
        <f>IF(EOMONTH(L6,12)&gt;output_dollars, output_dollars, EOMONTH(L6,12))</f>
        <v>46203</v>
      </c>
    </row>
    <row r="7" spans="1:23" s="20" customFormat="1" x14ac:dyDescent="0.2">
      <c r="D7" s="45"/>
      <c r="N7" s="1"/>
      <c r="O7"/>
      <c r="P7"/>
      <c r="Q7"/>
      <c r="R7"/>
      <c r="S7"/>
      <c r="T7"/>
      <c r="U7"/>
      <c r="V7"/>
      <c r="W7"/>
    </row>
    <row r="8" spans="1:23" s="20" customFormat="1" x14ac:dyDescent="0.2">
      <c r="B8" s="20" t="s">
        <v>35</v>
      </c>
      <c r="D8" s="45"/>
      <c r="H8" s="35">
        <v>0</v>
      </c>
      <c r="I8" s="35">
        <v>8.6058519793459354E-3</v>
      </c>
      <c r="J8" s="35">
        <v>3.4982935153583528E-2</v>
      </c>
      <c r="K8" s="35">
        <v>7.8318219291014124E-2</v>
      </c>
      <c r="L8" s="35">
        <v>4.0519877675840865E-2</v>
      </c>
      <c r="M8" s="35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0"/>
      <c r="O9"/>
      <c r="P9"/>
      <c r="Q9"/>
      <c r="R9"/>
      <c r="S9"/>
      <c r="T9"/>
      <c r="U9"/>
      <c r="V9"/>
      <c r="W9"/>
    </row>
    <row r="10" spans="1:23" s="1" customFormat="1" x14ac:dyDescent="0.2">
      <c r="D10" s="10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0" t="s">
        <v>74</v>
      </c>
      <c r="C11"/>
      <c r="D11"/>
      <c r="E11"/>
      <c r="F11"/>
      <c r="G11"/>
      <c r="H11" s="70">
        <f>H6</f>
        <v>44377</v>
      </c>
      <c r="I11" s="70">
        <f>EOMONTH(H11,6)</f>
        <v>44561</v>
      </c>
      <c r="J11" s="70">
        <f>EOMONTH(I11,6)</f>
        <v>44742</v>
      </c>
      <c r="K11" s="70">
        <f t="shared" ref="K11:Q11" si="0">EOMONTH(J11,6)</f>
        <v>44926</v>
      </c>
      <c r="L11" s="70">
        <f t="shared" si="0"/>
        <v>45107</v>
      </c>
      <c r="M11" s="70">
        <f t="shared" si="0"/>
        <v>45291</v>
      </c>
      <c r="N11" s="70">
        <f t="shared" si="0"/>
        <v>45473</v>
      </c>
      <c r="O11" s="70">
        <f t="shared" si="0"/>
        <v>45657</v>
      </c>
      <c r="P11" s="70">
        <f t="shared" si="0"/>
        <v>45838</v>
      </c>
      <c r="Q11" s="70">
        <f t="shared" si="0"/>
        <v>46022</v>
      </c>
      <c r="R11" s="70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0" t="s">
        <v>75</v>
      </c>
      <c r="C12"/>
      <c r="D12"/>
      <c r="E12"/>
      <c r="F12"/>
      <c r="G12"/>
      <c r="H12" s="68">
        <f t="shared" ref="H12:R12" si="1">IF(MONTH(H11)=12, EOMONTH(H11,6), H11)</f>
        <v>44377</v>
      </c>
      <c r="I12" s="68">
        <f t="shared" si="1"/>
        <v>44742</v>
      </c>
      <c r="J12" s="68">
        <f t="shared" si="1"/>
        <v>44742</v>
      </c>
      <c r="K12" s="68">
        <f t="shared" si="1"/>
        <v>45107</v>
      </c>
      <c r="L12" s="68">
        <f t="shared" si="1"/>
        <v>45107</v>
      </c>
      <c r="M12" s="68">
        <f t="shared" si="1"/>
        <v>45473</v>
      </c>
      <c r="N12" s="68">
        <f t="shared" si="1"/>
        <v>45473</v>
      </c>
      <c r="O12" s="68">
        <f t="shared" si="1"/>
        <v>45838</v>
      </c>
      <c r="P12" s="68">
        <f t="shared" si="1"/>
        <v>45838</v>
      </c>
      <c r="Q12" s="68">
        <f t="shared" si="1"/>
        <v>46203</v>
      </c>
      <c r="R12" s="68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0" t="s">
        <v>35</v>
      </c>
      <c r="C13"/>
      <c r="D13"/>
      <c r="E13"/>
      <c r="F13"/>
      <c r="G13"/>
      <c r="H13" s="71">
        <f t="shared" ref="H13:R13" si="2">IF(output_dollars&lt;H12,0,INDEX($H$8:$M$8,MATCH(H12,CY_years,0)))</f>
        <v>0</v>
      </c>
      <c r="I13" s="71">
        <f t="shared" si="2"/>
        <v>8.6058519793459354E-3</v>
      </c>
      <c r="J13" s="71">
        <f t="shared" si="2"/>
        <v>8.6058519793459354E-3</v>
      </c>
      <c r="K13" s="71">
        <f t="shared" si="2"/>
        <v>3.4982935153583528E-2</v>
      </c>
      <c r="L13" s="71">
        <f t="shared" si="2"/>
        <v>3.4982935153583528E-2</v>
      </c>
      <c r="M13" s="71">
        <f t="shared" si="2"/>
        <v>7.8318219291014124E-2</v>
      </c>
      <c r="N13" s="71">
        <f t="shared" si="2"/>
        <v>7.8318219291014124E-2</v>
      </c>
      <c r="O13" s="71">
        <f t="shared" si="2"/>
        <v>4.0519877675840865E-2</v>
      </c>
      <c r="P13" s="71">
        <f t="shared" si="2"/>
        <v>4.0519877675840865E-2</v>
      </c>
      <c r="Q13" s="71">
        <f t="shared" si="2"/>
        <v>0.03</v>
      </c>
      <c r="R13" s="71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0" customFormat="1" x14ac:dyDescent="0.2">
      <c r="A15"/>
      <c r="B15" s="20" t="s">
        <v>76</v>
      </c>
      <c r="C15"/>
      <c r="D15"/>
      <c r="E15"/>
      <c r="F15"/>
      <c r="G15"/>
      <c r="H15" s="36">
        <v>1</v>
      </c>
      <c r="I15" s="20">
        <f t="shared" ref="I15:R15" si="3">H15*(1+I$13)^0.5</f>
        <v>1.0042937080253693</v>
      </c>
      <c r="J15" s="20">
        <f t="shared" si="3"/>
        <v>1.0086058519793457</v>
      </c>
      <c r="K15" s="20">
        <f t="shared" si="3"/>
        <v>1.0260961975293987</v>
      </c>
      <c r="L15" s="20">
        <f t="shared" si="3"/>
        <v>1.0438898450946641</v>
      </c>
      <c r="M15" s="20">
        <f t="shared" si="3"/>
        <v>1.0839971599793141</v>
      </c>
      <c r="N15" s="20">
        <f t="shared" si="3"/>
        <v>1.1256454388984505</v>
      </c>
      <c r="O15" s="20">
        <f t="shared" si="3"/>
        <v>1.1482244927118261</v>
      </c>
      <c r="P15" s="20">
        <f t="shared" si="3"/>
        <v>1.1712564543889838</v>
      </c>
      <c r="Q15" s="20">
        <f t="shared" si="3"/>
        <v>1.1886954750508179</v>
      </c>
      <c r="R15" s="20">
        <f t="shared" si="3"/>
        <v>1.2063941480206535</v>
      </c>
      <c r="S15"/>
      <c r="T15"/>
      <c r="U15"/>
      <c r="V15"/>
      <c r="W15"/>
    </row>
    <row r="16" spans="1:23" s="20" customFormat="1" x14ac:dyDescent="0.2">
      <c r="A16"/>
      <c r="B16" s="20" t="s">
        <v>186</v>
      </c>
      <c r="C16" s="60">
        <f>input_dollars</f>
        <v>45291</v>
      </c>
      <c r="D16" s="20">
        <f>INDEX(hy_escalation, MATCH(C16,hy_dates,0))</f>
        <v>1.0839971599793141</v>
      </c>
      <c r="E16"/>
      <c r="F16"/>
      <c r="G16"/>
      <c r="S16"/>
      <c r="T16"/>
      <c r="U16"/>
      <c r="V16"/>
      <c r="W16"/>
    </row>
    <row r="17" spans="1:34" s="20" customFormat="1" x14ac:dyDescent="0.2">
      <c r="A17"/>
      <c r="B17" s="20" t="s">
        <v>187</v>
      </c>
      <c r="C17" s="60">
        <f>output_dollars</f>
        <v>46203</v>
      </c>
      <c r="D17" s="20">
        <f>INDEX(hy_escalation, MATCH(C17,hy_dates,0))</f>
        <v>1.2063941480206535</v>
      </c>
      <c r="E17"/>
      <c r="F17"/>
      <c r="G17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20" t="s">
        <v>77</v>
      </c>
      <c r="D19" s="20">
        <f>D17/D16</f>
        <v>1.1129126464165968</v>
      </c>
      <c r="L19" s="248"/>
    </row>
    <row r="20" spans="1:34" x14ac:dyDescent="0.2">
      <c r="B20" s="20"/>
      <c r="D20" s="20"/>
    </row>
    <row r="21" spans="1:34" x14ac:dyDescent="0.2">
      <c r="B21" s="20" t="s">
        <v>212</v>
      </c>
      <c r="C21" s="60">
        <f>vcr_date</f>
        <v>45291</v>
      </c>
      <c r="D21" s="20">
        <f>INDEX(hy_escalation, MATCH(C21,hy_dates,0))</f>
        <v>1.0839971599793141</v>
      </c>
    </row>
    <row r="22" spans="1:34" x14ac:dyDescent="0.2">
      <c r="B22" s="20" t="s">
        <v>213</v>
      </c>
      <c r="C22" s="60">
        <f>input_dollars</f>
        <v>45291</v>
      </c>
      <c r="D22" s="20">
        <f>INDEX(hy_escalation, MATCH(C22,hy_dates,0))</f>
        <v>1.0839971599793141</v>
      </c>
    </row>
    <row r="23" spans="1:34" x14ac:dyDescent="0.2">
      <c r="B23" s="20" t="s">
        <v>214</v>
      </c>
      <c r="D23" s="20">
        <f>D22/D21</f>
        <v>1</v>
      </c>
    </row>
    <row r="25" spans="1:34" x14ac:dyDescent="0.2">
      <c r="B25" s="20" t="s">
        <v>238</v>
      </c>
      <c r="C25" s="6" t="str">
        <f>start</f>
        <v>2026-27</v>
      </c>
    </row>
    <row r="28" spans="1:34" s="1" customFormat="1" ht="15" x14ac:dyDescent="0.2">
      <c r="A28" s="16" t="s">
        <v>210</v>
      </c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15"/>
      <c r="P28" s="15"/>
      <c r="Q28" s="15"/>
      <c r="R28" s="15"/>
    </row>
    <row r="31" spans="1:34" x14ac:dyDescent="0.2">
      <c r="B31" s="168" t="s">
        <v>1</v>
      </c>
      <c r="C31" s="169" t="s">
        <v>193</v>
      </c>
      <c r="D31" s="170" t="s">
        <v>200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115" t="s">
        <v>131</v>
      </c>
      <c r="C32" s="167">
        <f>Option2!$G$92</f>
        <v>4</v>
      </c>
      <c r="D32" s="8" t="b">
        <f>NOT(Data!C10)</f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x14ac:dyDescent="0.2">
      <c r="B33" s="115" t="s">
        <v>132</v>
      </c>
      <c r="C33" s="167">
        <f>Option3!$G$92</f>
        <v>5</v>
      </c>
      <c r="D33" s="8" t="b">
        <f>NOT(Data!C11)</f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x14ac:dyDescent="0.2">
      <c r="B34" s="115" t="s">
        <v>133</v>
      </c>
      <c r="C34" s="167" t="str">
        <f>Option4!$G$92</f>
        <v>Not used</v>
      </c>
      <c r="D34" s="8" t="b">
        <f>NOT(Data!C12)</f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x14ac:dyDescent="0.2">
      <c r="B35" s="115" t="s">
        <v>154</v>
      </c>
      <c r="C35" s="167" t="str">
        <f>Option5!$G$92</f>
        <v>Not used</v>
      </c>
      <c r="D35" s="8" t="b">
        <f>NOT(Data!C13)</f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x14ac:dyDescent="0.2">
      <c r="B36" s="8"/>
      <c r="C36" s="7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2">
      <c r="B37" s="8"/>
      <c r="C37" s="7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x14ac:dyDescent="0.2">
      <c r="B38" s="171" t="s">
        <v>193</v>
      </c>
      <c r="C38" s="171" cm="1">
        <f t="array" ref="C38">IF(OR(NOT(Data!$C$10:$C$13)), _xlfn.MINIFS($C$32:$C$35,$D$32:$D$35,TRUE), 0)</f>
        <v>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x14ac:dyDescent="0.2">
      <c r="B39" s="8"/>
      <c r="C39" s="7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2">
      <c r="A40" s="8"/>
      <c r="B40" s="8"/>
      <c r="C40" s="7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6" t="s">
        <v>244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15"/>
      <c r="P46" s="15"/>
      <c r="Q46" s="15"/>
      <c r="R46" s="15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3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3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3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3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3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13" t="s">
        <v>211</v>
      </c>
    </row>
    <row r="74" spans="1:4" x14ac:dyDescent="0.2">
      <c r="B74" s="21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>
      <selection activeCell="C11" sqref="C11"/>
    </sheetView>
  </sheetViews>
  <sheetFormatPr defaultColWidth="9" defaultRowHeight="12.75" x14ac:dyDescent="0.2"/>
  <cols>
    <col min="1" max="1" width="5.375" style="6" customWidth="1"/>
    <col min="2" max="2" width="24.5" style="6" customWidth="1"/>
    <col min="3" max="3" width="9" style="6"/>
    <col min="4" max="4" width="9.875" style="6" bestFit="1" customWidth="1"/>
    <col min="5" max="5" width="10.875" style="6" customWidth="1"/>
    <col min="6" max="14" width="9" style="6"/>
    <col min="15" max="15" width="30.125" style="6" customWidth="1"/>
    <col min="16" max="16" width="43.25" style="6" customWidth="1"/>
    <col min="17" max="20" width="9" style="6"/>
    <col min="21" max="21" width="11.375" style="6" bestFit="1" customWidth="1"/>
    <col min="22" max="26" width="9" style="6"/>
    <col min="27" max="27" width="19.125" style="6" customWidth="1"/>
    <col min="28" max="16384" width="9" style="6"/>
  </cols>
  <sheetData>
    <row r="1" spans="1:27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42"/>
      <c r="L1" s="42"/>
      <c r="M1" s="42"/>
      <c r="N1" s="13"/>
      <c r="O1" s="13"/>
      <c r="P1" s="13"/>
      <c r="Q1" s="13"/>
      <c r="R1" s="13"/>
      <c r="S1" s="13"/>
      <c r="T1"/>
      <c r="U1" s="125"/>
      <c r="V1"/>
      <c r="W1"/>
    </row>
    <row r="2" spans="1:27" ht="18.75" x14ac:dyDescent="0.3">
      <c r="A2" s="50" t="str">
        <f>proj</f>
        <v>Melton new feeder</v>
      </c>
      <c r="B2" s="50"/>
      <c r="C2" s="50"/>
      <c r="D2" s="50"/>
      <c r="E2" s="50"/>
      <c r="F2" s="50"/>
      <c r="G2" s="13"/>
      <c r="H2" s="13"/>
      <c r="I2" s="13"/>
      <c r="J2" s="13"/>
      <c r="K2" s="42"/>
      <c r="L2" s="42"/>
      <c r="M2" s="42"/>
      <c r="N2" s="13"/>
      <c r="O2" s="13"/>
      <c r="P2" s="13"/>
      <c r="Q2" s="13"/>
      <c r="R2" s="13"/>
      <c r="S2" s="13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7" t="s">
        <v>51</v>
      </c>
      <c r="B5" s="17"/>
      <c r="C5" s="17"/>
      <c r="D5" s="17"/>
      <c r="E5" s="17"/>
      <c r="F5" s="18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/>
      <c r="U5"/>
      <c r="V5"/>
    </row>
    <row r="6" spans="1:27" x14ac:dyDescent="0.2">
      <c r="T6"/>
      <c r="U6"/>
      <c r="V6"/>
    </row>
    <row r="7" spans="1:27" x14ac:dyDescent="0.2">
      <c r="A7" s="12" t="s">
        <v>80</v>
      </c>
      <c r="T7"/>
      <c r="U7"/>
      <c r="V7"/>
    </row>
    <row r="8" spans="1:27" x14ac:dyDescent="0.2">
      <c r="A8" s="53"/>
      <c r="B8" s="53"/>
      <c r="C8" s="47" t="s">
        <v>83</v>
      </c>
      <c r="D8" s="47" t="s">
        <v>199</v>
      </c>
      <c r="F8" s="6" t="s">
        <v>227</v>
      </c>
      <c r="T8"/>
      <c r="U8"/>
      <c r="V8"/>
    </row>
    <row r="9" spans="1:27" x14ac:dyDescent="0.2">
      <c r="A9" s="25" t="s">
        <v>144</v>
      </c>
      <c r="B9" s="76" t="s">
        <v>143</v>
      </c>
      <c r="C9" s="19" t="b">
        <v>0</v>
      </c>
      <c r="D9" s="6" t="str">
        <f>IF(C9, $C$8, "")</f>
        <v/>
      </c>
      <c r="E9" s="6" t="str">
        <f>B9&amp;": "&amp;Assumptions!E14</f>
        <v>Option 1 (base case): No change to existing practices</v>
      </c>
      <c r="F9" s="6" t="b">
        <f>compliance</f>
        <v>0</v>
      </c>
      <c r="T9"/>
      <c r="U9"/>
      <c r="V9"/>
      <c r="W9"/>
    </row>
    <row r="10" spans="1:27" x14ac:dyDescent="0.2">
      <c r="A10" s="25" t="s">
        <v>145</v>
      </c>
      <c r="B10" s="76" t="s">
        <v>131</v>
      </c>
      <c r="C10" s="19" t="b">
        <f>SUM(Option2!I$17:AB$17, Option2!I$19:AB$19)=0</f>
        <v>0</v>
      </c>
      <c r="D10" s="6" t="str">
        <f>IF(C10, $C$8, "")</f>
        <v/>
      </c>
      <c r="F10" s="6" t="b">
        <f>C10</f>
        <v>0</v>
      </c>
      <c r="T10"/>
      <c r="U10"/>
      <c r="V10"/>
      <c r="W10"/>
      <c r="Z10"/>
      <c r="AA10"/>
    </row>
    <row r="11" spans="1:27" x14ac:dyDescent="0.2">
      <c r="A11" s="25" t="s">
        <v>146</v>
      </c>
      <c r="B11" s="76" t="s">
        <v>132</v>
      </c>
      <c r="C11" s="19" t="b">
        <f>SUM(Option3!I$17:AB$17, Option3!I$19:AB$19)=0</f>
        <v>0</v>
      </c>
      <c r="D11" s="6" t="str">
        <f>IF(C11, $C$8, "")</f>
        <v/>
      </c>
      <c r="F11" s="6" t="b">
        <f>C11</f>
        <v>0</v>
      </c>
      <c r="T11"/>
      <c r="U11"/>
      <c r="V11"/>
      <c r="W11"/>
      <c r="Z11"/>
      <c r="AA11"/>
    </row>
    <row r="12" spans="1:27" x14ac:dyDescent="0.2">
      <c r="A12" s="25" t="s">
        <v>147</v>
      </c>
      <c r="B12" s="76" t="s">
        <v>133</v>
      </c>
      <c r="C12" s="19" t="b">
        <f>SUM(Option4!I$17:AB$17, Option4!I$19:AB$19)=0</f>
        <v>1</v>
      </c>
      <c r="D12" s="6" t="str">
        <f>IF(C12, $C$8, "")</f>
        <v>Not used</v>
      </c>
      <c r="F12" s="6" t="b">
        <f>C12</f>
        <v>1</v>
      </c>
      <c r="T12"/>
      <c r="U12"/>
      <c r="V12"/>
      <c r="W12"/>
      <c r="Z12"/>
      <c r="AA12"/>
    </row>
    <row r="13" spans="1:27" x14ac:dyDescent="0.2">
      <c r="A13" s="25" t="s">
        <v>155</v>
      </c>
      <c r="B13" s="76" t="s">
        <v>154</v>
      </c>
      <c r="C13" s="19" t="b">
        <f>SUM(Option5!I$17:AB$17, Option5!I$19:AB$19)=0</f>
        <v>1</v>
      </c>
      <c r="D13" s="6" t="str">
        <f>IF(C13, $C$8, "")</f>
        <v>Not used</v>
      </c>
      <c r="F13" s="6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6" t="s">
        <v>223</v>
      </c>
      <c r="D16" s="21" t="s">
        <v>225</v>
      </c>
      <c r="E16" s="6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76" t="s">
        <v>58</v>
      </c>
      <c r="C19" s="19"/>
      <c r="T19"/>
      <c r="U19"/>
      <c r="V19"/>
      <c r="W19"/>
      <c r="Z19"/>
      <c r="AA19"/>
    </row>
    <row r="20" spans="1:27" x14ac:dyDescent="0.2">
      <c r="B20" s="76" t="s">
        <v>95</v>
      </c>
      <c r="C20" s="19"/>
      <c r="T20"/>
      <c r="U20"/>
      <c r="V20"/>
      <c r="W20"/>
      <c r="Z20"/>
      <c r="AA20"/>
    </row>
    <row r="21" spans="1:27" x14ac:dyDescent="0.2">
      <c r="B21" s="7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6" t="s">
        <v>221</v>
      </c>
      <c r="B24" s="90"/>
      <c r="T24"/>
      <c r="U24"/>
      <c r="V24"/>
      <c r="W24"/>
    </row>
    <row r="25" spans="1:27" x14ac:dyDescent="0.2">
      <c r="B25" s="21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2" t="s">
        <v>85</v>
      </c>
      <c r="T28"/>
      <c r="U28"/>
      <c r="V28"/>
      <c r="W28"/>
    </row>
    <row r="29" spans="1:27" x14ac:dyDescent="0.2">
      <c r="A29" s="12"/>
      <c r="B29" s="47"/>
      <c r="C29" s="47" t="s">
        <v>87</v>
      </c>
      <c r="T29"/>
      <c r="U29"/>
      <c r="V29"/>
      <c r="W29"/>
    </row>
    <row r="30" spans="1:27" x14ac:dyDescent="0.2">
      <c r="B30" s="21" t="s">
        <v>30</v>
      </c>
      <c r="C30" s="21">
        <v>-1</v>
      </c>
      <c r="T30"/>
      <c r="U30"/>
      <c r="V30"/>
      <c r="W30"/>
    </row>
    <row r="31" spans="1:27" x14ac:dyDescent="0.2">
      <c r="B31" s="21" t="s">
        <v>91</v>
      </c>
      <c r="C31" s="21">
        <v>-1</v>
      </c>
      <c r="T31"/>
      <c r="U31"/>
      <c r="V31"/>
      <c r="W31"/>
      <c r="AA31" s="59"/>
    </row>
    <row r="32" spans="1:27" x14ac:dyDescent="0.2">
      <c r="B32" s="21" t="s">
        <v>31</v>
      </c>
      <c r="C32" s="21">
        <v>-1</v>
      </c>
      <c r="T32"/>
      <c r="U32"/>
      <c r="V32"/>
      <c r="W32"/>
      <c r="AA32" s="59"/>
    </row>
    <row r="33" spans="1:23" x14ac:dyDescent="0.2">
      <c r="B33" s="21" t="s">
        <v>140</v>
      </c>
      <c r="C33" s="21">
        <v>1</v>
      </c>
      <c r="T33"/>
      <c r="U33"/>
      <c r="V33"/>
      <c r="W33"/>
    </row>
    <row r="34" spans="1:23" x14ac:dyDescent="0.2">
      <c r="B34" s="21" t="s">
        <v>122</v>
      </c>
      <c r="C34" s="21">
        <v>1</v>
      </c>
      <c r="T34"/>
      <c r="U34"/>
      <c r="V34"/>
      <c r="W34"/>
    </row>
    <row r="35" spans="1:23" x14ac:dyDescent="0.2">
      <c r="B35" s="21" t="s">
        <v>188</v>
      </c>
      <c r="C35" s="21">
        <v>1</v>
      </c>
      <c r="T35"/>
      <c r="U35"/>
      <c r="V35"/>
      <c r="W35"/>
    </row>
    <row r="36" spans="1:23" x14ac:dyDescent="0.2">
      <c r="B36" s="21" t="s">
        <v>172</v>
      </c>
      <c r="C36" s="21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2" t="s">
        <v>54</v>
      </c>
      <c r="T41"/>
      <c r="U41"/>
      <c r="V41"/>
      <c r="W41"/>
    </row>
    <row r="42" spans="1:23" x14ac:dyDescent="0.2">
      <c r="A42" s="53"/>
      <c r="B42" s="53"/>
      <c r="C42" s="47" t="s">
        <v>87</v>
      </c>
      <c r="D42" s="47" t="s">
        <v>81</v>
      </c>
      <c r="E42" s="47" t="s">
        <v>25</v>
      </c>
      <c r="F42" s="6" t="s">
        <v>110</v>
      </c>
      <c r="T42"/>
      <c r="U42"/>
      <c r="V42"/>
      <c r="W42"/>
    </row>
    <row r="43" spans="1:23" x14ac:dyDescent="0.2">
      <c r="A43" s="25">
        <v>1</v>
      </c>
      <c r="B43" s="25" t="s">
        <v>106</v>
      </c>
      <c r="C43" s="25" t="s">
        <v>23</v>
      </c>
      <c r="D43" s="25" t="b">
        <v>0</v>
      </c>
      <c r="E43" s="21" t="s">
        <v>40</v>
      </c>
      <c r="F43" s="25" t="b">
        <v>0</v>
      </c>
      <c r="T43"/>
      <c r="U43"/>
      <c r="V43"/>
      <c r="W43"/>
    </row>
    <row r="44" spans="1:23" x14ac:dyDescent="0.2">
      <c r="A44" s="25">
        <f>A43+1</f>
        <v>2</v>
      </c>
      <c r="B44" s="25" t="s">
        <v>97</v>
      </c>
      <c r="C44" s="25" t="s">
        <v>97</v>
      </c>
      <c r="D44" s="25" t="b">
        <v>0</v>
      </c>
      <c r="E44" s="21" t="s">
        <v>104</v>
      </c>
      <c r="F44" s="25" t="b">
        <v>1</v>
      </c>
      <c r="T44"/>
      <c r="U44"/>
      <c r="V44"/>
      <c r="W44"/>
    </row>
    <row r="45" spans="1:23" x14ac:dyDescent="0.2">
      <c r="A45" s="25">
        <f t="shared" ref="A45:A55" si="0">A44+1</f>
        <v>3</v>
      </c>
      <c r="B45" s="25" t="s">
        <v>108</v>
      </c>
      <c r="C45" s="25" t="s">
        <v>107</v>
      </c>
      <c r="D45" s="25" t="b">
        <v>0</v>
      </c>
      <c r="E45" s="21" t="s">
        <v>104</v>
      </c>
      <c r="F45" s="25" t="b">
        <v>1</v>
      </c>
      <c r="T45"/>
      <c r="U45"/>
      <c r="V45"/>
      <c r="W45"/>
    </row>
    <row r="46" spans="1:23" x14ac:dyDescent="0.2">
      <c r="A46" s="25">
        <f t="shared" si="0"/>
        <v>4</v>
      </c>
      <c r="B46" s="25" t="s">
        <v>105</v>
      </c>
      <c r="C46" s="25" t="s">
        <v>109</v>
      </c>
      <c r="D46" s="25" t="b">
        <v>0</v>
      </c>
      <c r="E46" s="21" t="s">
        <v>104</v>
      </c>
      <c r="F46" s="25" t="b">
        <v>1</v>
      </c>
      <c r="T46"/>
      <c r="U46"/>
      <c r="V46"/>
      <c r="W46"/>
    </row>
    <row r="47" spans="1:23" ht="13.5" x14ac:dyDescent="0.25">
      <c r="A47" s="25">
        <f t="shared" si="0"/>
        <v>5</v>
      </c>
      <c r="B47" s="25" t="s">
        <v>59</v>
      </c>
      <c r="C47" s="25" t="s">
        <v>60</v>
      </c>
      <c r="D47" s="25" t="b">
        <v>1</v>
      </c>
      <c r="E47" s="21" t="s">
        <v>40</v>
      </c>
      <c r="F47" s="25" t="b">
        <v>0</v>
      </c>
      <c r="T47"/>
      <c r="U47"/>
      <c r="V47"/>
      <c r="W47"/>
    </row>
    <row r="48" spans="1:23" x14ac:dyDescent="0.2">
      <c r="A48" s="25">
        <f t="shared" si="0"/>
        <v>6</v>
      </c>
      <c r="B48" s="25" t="s">
        <v>14</v>
      </c>
      <c r="C48" s="25" t="s">
        <v>18</v>
      </c>
      <c r="D48" s="25" t="b">
        <v>1</v>
      </c>
      <c r="E48" s="21" t="s">
        <v>40</v>
      </c>
      <c r="F48" s="25" t="b">
        <v>0</v>
      </c>
      <c r="I48"/>
      <c r="T48"/>
      <c r="U48"/>
      <c r="V48"/>
      <c r="W48"/>
    </row>
    <row r="49" spans="1:23" x14ac:dyDescent="0.2">
      <c r="A49" s="25">
        <f t="shared" si="0"/>
        <v>7</v>
      </c>
      <c r="B49" s="25" t="s">
        <v>4</v>
      </c>
      <c r="C49" s="25" t="s">
        <v>18</v>
      </c>
      <c r="D49" s="25" t="b">
        <v>1</v>
      </c>
      <c r="E49" s="21" t="s">
        <v>40</v>
      </c>
      <c r="F49" s="25" t="b">
        <v>0</v>
      </c>
      <c r="T49"/>
      <c r="U49"/>
      <c r="V49"/>
      <c r="W49"/>
    </row>
    <row r="50" spans="1:23" x14ac:dyDescent="0.2">
      <c r="A50" s="25">
        <f t="shared" si="0"/>
        <v>8</v>
      </c>
      <c r="B50" s="25" t="s">
        <v>5</v>
      </c>
      <c r="C50" s="25" t="s">
        <v>18</v>
      </c>
      <c r="D50" s="25" t="b">
        <v>1</v>
      </c>
      <c r="E50" s="21" t="s">
        <v>40</v>
      </c>
      <c r="F50" s="25" t="b">
        <v>0</v>
      </c>
      <c r="T50"/>
      <c r="U50"/>
      <c r="V50"/>
      <c r="W50"/>
    </row>
    <row r="51" spans="1:23" x14ac:dyDescent="0.2">
      <c r="A51" s="25">
        <f t="shared" si="0"/>
        <v>9</v>
      </c>
      <c r="B51" s="25" t="s">
        <v>15</v>
      </c>
      <c r="C51" s="25" t="s">
        <v>18</v>
      </c>
      <c r="D51" s="25" t="b">
        <v>1</v>
      </c>
      <c r="E51" s="21" t="s">
        <v>48</v>
      </c>
      <c r="F51" s="25" t="b">
        <v>0</v>
      </c>
      <c r="T51"/>
      <c r="U51"/>
      <c r="V51"/>
      <c r="W51"/>
    </row>
    <row r="52" spans="1:23" x14ac:dyDescent="0.2">
      <c r="A52" s="25">
        <f t="shared" si="0"/>
        <v>10</v>
      </c>
      <c r="B52" s="25" t="s">
        <v>9</v>
      </c>
      <c r="C52" s="25" t="s">
        <v>18</v>
      </c>
      <c r="D52" s="25" t="b">
        <v>1</v>
      </c>
      <c r="E52" s="21" t="s">
        <v>82</v>
      </c>
      <c r="F52" s="25" t="b">
        <v>0</v>
      </c>
      <c r="T52"/>
      <c r="U52"/>
      <c r="V52"/>
      <c r="W52"/>
    </row>
    <row r="53" spans="1:23" x14ac:dyDescent="0.2">
      <c r="A53" s="25">
        <f t="shared" si="0"/>
        <v>11</v>
      </c>
      <c r="B53" s="25" t="s">
        <v>10</v>
      </c>
      <c r="C53" s="25" t="s">
        <v>18</v>
      </c>
      <c r="D53" s="25" t="b">
        <v>1</v>
      </c>
      <c r="E53" s="21" t="s">
        <v>82</v>
      </c>
      <c r="F53" s="25" t="b">
        <v>0</v>
      </c>
      <c r="T53"/>
      <c r="U53"/>
      <c r="V53"/>
      <c r="W53"/>
    </row>
    <row r="54" spans="1:23" x14ac:dyDescent="0.2">
      <c r="A54" s="25">
        <f t="shared" si="0"/>
        <v>12</v>
      </c>
      <c r="B54" s="25" t="s">
        <v>6</v>
      </c>
      <c r="C54" s="25" t="s">
        <v>18</v>
      </c>
      <c r="D54" s="25" t="b">
        <v>1</v>
      </c>
      <c r="E54" s="21" t="s">
        <v>48</v>
      </c>
      <c r="F54" s="25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5">
        <f t="shared" si="0"/>
        <v>13</v>
      </c>
      <c r="B55" s="25" t="s">
        <v>7</v>
      </c>
      <c r="C55" s="25" t="s">
        <v>18</v>
      </c>
      <c r="D55" s="25" t="b">
        <v>1</v>
      </c>
      <c r="E55" s="21" t="s">
        <v>48</v>
      </c>
      <c r="F55" s="25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2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47"/>
      <c r="B59" s="47"/>
      <c r="C59" s="77"/>
      <c r="D59" s="47" t="s">
        <v>42</v>
      </c>
      <c r="E59" s="47" t="s">
        <v>3</v>
      </c>
      <c r="F59" s="47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5" t="s">
        <v>14</v>
      </c>
      <c r="C60" s="25" t="s">
        <v>53</v>
      </c>
      <c r="D60" s="84">
        <v>0</v>
      </c>
      <c r="E60" s="84">
        <v>151432.81740793545</v>
      </c>
      <c r="F60" s="84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5" t="s">
        <v>4</v>
      </c>
      <c r="C61" s="25" t="s">
        <v>53</v>
      </c>
      <c r="D61" s="84">
        <v>0</v>
      </c>
      <c r="E61" s="84">
        <v>24590</v>
      </c>
      <c r="F61" s="84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5" t="s">
        <v>5</v>
      </c>
      <c r="C62" s="25" t="s">
        <v>53</v>
      </c>
      <c r="D62" s="84">
        <v>4220.9953699573898</v>
      </c>
      <c r="E62" s="84">
        <v>88.357719508603083</v>
      </c>
      <c r="F62" s="84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5" t="s">
        <v>15</v>
      </c>
      <c r="C63" s="25" t="s">
        <v>34</v>
      </c>
      <c r="D63" s="84">
        <v>0</v>
      </c>
      <c r="E63" s="84">
        <v>0</v>
      </c>
      <c r="F63" s="84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5" t="s">
        <v>9</v>
      </c>
      <c r="C64" s="25" t="s">
        <v>33</v>
      </c>
      <c r="D64" s="84">
        <v>0.54769380678923496</v>
      </c>
      <c r="E64" s="84">
        <v>0.35181336539087127</v>
      </c>
      <c r="F64" s="84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5" t="s">
        <v>10</v>
      </c>
      <c r="C65" s="25" t="s">
        <v>33</v>
      </c>
      <c r="D65" s="84">
        <v>0.54769380678923496</v>
      </c>
      <c r="E65" s="84">
        <v>0.35181336539087127</v>
      </c>
      <c r="F65" s="84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5" t="s">
        <v>6</v>
      </c>
      <c r="C66" s="25" t="s">
        <v>34</v>
      </c>
      <c r="D66" s="84">
        <v>0</v>
      </c>
      <c r="E66" s="84">
        <v>0</v>
      </c>
      <c r="F66" s="84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5" t="s">
        <v>7</v>
      </c>
      <c r="C67" s="25" t="s">
        <v>34</v>
      </c>
      <c r="D67" s="84">
        <v>0</v>
      </c>
      <c r="E67" s="84">
        <v>0</v>
      </c>
      <c r="F67" s="84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6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6" t="s">
        <v>161</v>
      </c>
      <c r="C70" s="83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6" t="s">
        <v>162</v>
      </c>
      <c r="C71" s="83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6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6" t="s">
        <v>164</v>
      </c>
      <c r="C75" s="13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6" t="s">
        <v>191</v>
      </c>
      <c r="C78" s="6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2" t="s">
        <v>98</v>
      </c>
      <c r="B83" s="12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2"/>
      <c r="B84" s="57" t="s">
        <v>50</v>
      </c>
      <c r="F84" s="13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6" t="s">
        <v>99</v>
      </c>
      <c r="F85" s="13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6" t="s">
        <v>100</v>
      </c>
      <c r="F86" s="13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6" t="s">
        <v>101</v>
      </c>
      <c r="F87" s="13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6" t="s">
        <v>102</v>
      </c>
      <c r="F88" s="13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6" t="s">
        <v>111</v>
      </c>
      <c r="F89" s="13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6" t="s">
        <v>103</v>
      </c>
      <c r="F90" s="134">
        <v>3</v>
      </c>
      <c r="K90" s="1"/>
      <c r="L90" s="1"/>
      <c r="M90" s="1"/>
      <c r="N90" s="1"/>
      <c r="O90" s="1"/>
    </row>
    <row r="91" spans="1:23" x14ac:dyDescent="0.2">
      <c r="A91" s="1"/>
      <c r="B91" s="6" t="s">
        <v>112</v>
      </c>
      <c r="F91" s="134">
        <v>6</v>
      </c>
      <c r="K91" s="1"/>
      <c r="L91" s="1"/>
      <c r="M91" s="1"/>
      <c r="N91" s="1"/>
      <c r="O91" s="1"/>
    </row>
    <row r="92" spans="1:23" x14ac:dyDescent="0.2">
      <c r="A92" s="1"/>
      <c r="B92" s="6" t="s">
        <v>178</v>
      </c>
      <c r="F92" s="134">
        <v>6</v>
      </c>
      <c r="K92" s="1"/>
      <c r="L92" s="1"/>
      <c r="M92" s="1"/>
      <c r="N92" s="1"/>
      <c r="O92" s="1"/>
    </row>
    <row r="93" spans="1:23" x14ac:dyDescent="0.2">
      <c r="A93" s="1"/>
      <c r="B93" s="6" t="s">
        <v>179</v>
      </c>
      <c r="F93" s="13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2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2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2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7" t="s">
        <v>86</v>
      </c>
      <c r="B104" s="17"/>
      <c r="C104" s="17"/>
      <c r="D104" s="17"/>
      <c r="E104" s="17"/>
      <c r="F104" s="18"/>
      <c r="G104" s="17"/>
      <c r="H104" s="17"/>
      <c r="I104" s="1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5" x14ac:dyDescent="0.2">
      <c r="U105"/>
      <c r="V105"/>
      <c r="W105"/>
      <c r="X105"/>
      <c r="Y105"/>
    </row>
    <row r="106" spans="1:25" x14ac:dyDescent="0.2">
      <c r="B106" s="6" t="s">
        <v>41</v>
      </c>
      <c r="F106" s="6" t="s">
        <v>49</v>
      </c>
      <c r="H106" s="6" t="s">
        <v>52</v>
      </c>
      <c r="J106" s="6" t="s">
        <v>26</v>
      </c>
      <c r="N106" s="6" t="s">
        <v>89</v>
      </c>
      <c r="P106" s="6" t="s">
        <v>160</v>
      </c>
      <c r="R106" s="6" t="s">
        <v>27</v>
      </c>
      <c r="T106" s="6" t="s">
        <v>224</v>
      </c>
      <c r="U106"/>
      <c r="V106" s="6" t="s">
        <v>235</v>
      </c>
      <c r="W106"/>
      <c r="Y106"/>
    </row>
    <row r="107" spans="1:25" x14ac:dyDescent="0.2">
      <c r="B107" s="23" t="s">
        <v>42</v>
      </c>
      <c r="C107" s="110" t="s">
        <v>136</v>
      </c>
      <c r="D107" s="110" t="s">
        <v>230</v>
      </c>
      <c r="F107" s="57" t="s">
        <v>50</v>
      </c>
      <c r="H107" s="23" t="b">
        <v>0</v>
      </c>
      <c r="J107" s="23" t="s">
        <v>45</v>
      </c>
      <c r="K107" s="38">
        <v>6</v>
      </c>
      <c r="L107" s="38" t="s">
        <v>37</v>
      </c>
      <c r="N107" s="38" t="s">
        <v>83</v>
      </c>
      <c r="Q107" s="22"/>
      <c r="R107" s="21">
        <v>2026</v>
      </c>
      <c r="T107" s="21" t="s">
        <v>226</v>
      </c>
      <c r="U107"/>
      <c r="V107" s="21" t="s">
        <v>19</v>
      </c>
      <c r="W107"/>
    </row>
    <row r="108" spans="1:25" x14ac:dyDescent="0.2">
      <c r="B108" s="23" t="s">
        <v>3</v>
      </c>
      <c r="C108" s="110" t="s">
        <v>137</v>
      </c>
      <c r="D108" s="110" t="s">
        <v>231</v>
      </c>
      <c r="F108" s="23" t="s">
        <v>17</v>
      </c>
      <c r="H108" s="23" t="b">
        <v>1</v>
      </c>
      <c r="J108" s="23" t="s">
        <v>36</v>
      </c>
      <c r="K108" s="38">
        <v>12</v>
      </c>
      <c r="L108" s="38" t="s">
        <v>38</v>
      </c>
      <c r="Q108" s="22"/>
      <c r="R108" s="21">
        <f>R107-1</f>
        <v>2025</v>
      </c>
      <c r="T108" s="21" t="s">
        <v>225</v>
      </c>
      <c r="U108"/>
      <c r="V108" s="21" t="s">
        <v>47</v>
      </c>
      <c r="W108"/>
    </row>
    <row r="109" spans="1:25" x14ac:dyDescent="0.2">
      <c r="B109" s="23" t="s">
        <v>43</v>
      </c>
      <c r="C109" s="110" t="s">
        <v>138</v>
      </c>
      <c r="D109" s="110" t="s">
        <v>232</v>
      </c>
      <c r="F109" s="23" t="s">
        <v>2</v>
      </c>
      <c r="J109" s="19"/>
      <c r="K109" s="19"/>
      <c r="L109" s="22"/>
      <c r="Q109" s="22"/>
      <c r="R109" s="21">
        <f t="shared" ref="R109:R113" si="1">R108-1</f>
        <v>2024</v>
      </c>
      <c r="T109" s="21" t="s">
        <v>96</v>
      </c>
      <c r="U109"/>
      <c r="V109" s="21" t="s">
        <v>236</v>
      </c>
      <c r="W109"/>
      <c r="X109"/>
      <c r="Y109"/>
    </row>
    <row r="110" spans="1:25" x14ac:dyDescent="0.2">
      <c r="C110" s="107"/>
      <c r="D110" s="107"/>
      <c r="F110" s="23"/>
      <c r="J110" s="19"/>
      <c r="K110" s="19"/>
      <c r="Q110" s="22"/>
      <c r="R110" s="21">
        <f t="shared" si="1"/>
        <v>2023</v>
      </c>
      <c r="U110"/>
      <c r="V110" s="21"/>
      <c r="W110"/>
      <c r="X110"/>
      <c r="Y110"/>
    </row>
    <row r="111" spans="1:25" x14ac:dyDescent="0.2">
      <c r="C111" s="107"/>
      <c r="D111" s="107"/>
      <c r="J111" s="19"/>
      <c r="K111" s="19"/>
      <c r="R111" s="21">
        <f t="shared" si="1"/>
        <v>2022</v>
      </c>
      <c r="U111"/>
      <c r="W111"/>
      <c r="X111"/>
      <c r="Y111"/>
    </row>
    <row r="112" spans="1:25" x14ac:dyDescent="0.2">
      <c r="J112" s="19"/>
      <c r="K112" s="19"/>
      <c r="R112" s="21">
        <f t="shared" si="1"/>
        <v>2021</v>
      </c>
      <c r="U112"/>
      <c r="W112"/>
      <c r="X112"/>
      <c r="Y112"/>
    </row>
    <row r="113" spans="18:25" x14ac:dyDescent="0.2">
      <c r="R113" s="21">
        <f t="shared" si="1"/>
        <v>2020</v>
      </c>
      <c r="U113"/>
      <c r="V113" s="222"/>
      <c r="W113"/>
      <c r="X113"/>
      <c r="Y113"/>
    </row>
    <row r="114" spans="18:25" x14ac:dyDescent="0.2">
      <c r="R114" s="21"/>
      <c r="U114"/>
      <c r="V114" s="222"/>
      <c r="W114"/>
      <c r="X114"/>
      <c r="Y114"/>
    </row>
    <row r="115" spans="18:25" x14ac:dyDescent="0.2">
      <c r="U115"/>
      <c r="V115" s="222"/>
      <c r="W115"/>
      <c r="X115"/>
      <c r="Y115"/>
    </row>
    <row r="116" spans="18:25" x14ac:dyDescent="0.2">
      <c r="U116"/>
      <c r="V11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2025-01-29T16:18:56Z</dcterms:modified>
</cp:coreProperties>
</file>