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38C3CED9-9B8A-4409-9F2E-2F5E643485EF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J30" i="72"/>
  <c r="K30" i="72"/>
  <c r="L30" i="72"/>
  <c r="M30" i="72"/>
  <c r="N30" i="72"/>
  <c r="O30" i="72"/>
  <c r="P30" i="72"/>
  <c r="Q30" i="72"/>
  <c r="R30" i="72"/>
  <c r="S30" i="72"/>
  <c r="T30" i="72"/>
  <c r="U30" i="72"/>
  <c r="V30" i="72"/>
  <c r="W30" i="72"/>
  <c r="X30" i="72"/>
  <c r="Y30" i="72"/>
  <c r="Z30" i="72"/>
  <c r="AA30" i="72"/>
  <c r="AB30" i="72"/>
  <c r="AC30" i="72"/>
  <c r="AD30" i="72"/>
  <c r="AE30" i="72"/>
  <c r="AF30" i="72"/>
  <c r="AG30" i="72"/>
  <c r="J33" i="72"/>
  <c r="K33" i="72"/>
  <c r="L33" i="72"/>
  <c r="M33" i="72"/>
  <c r="N33" i="72"/>
  <c r="O33" i="72"/>
  <c r="P33" i="72"/>
  <c r="Q33" i="72"/>
  <c r="R33" i="72"/>
  <c r="S33" i="72"/>
  <c r="T33" i="72"/>
  <c r="U33" i="72"/>
  <c r="V33" i="72"/>
  <c r="W33" i="72"/>
  <c r="X33" i="72"/>
  <c r="Y33" i="72"/>
  <c r="Z33" i="72"/>
  <c r="AA33" i="72"/>
  <c r="AB33" i="72"/>
  <c r="AC33" i="72"/>
  <c r="AD33" i="72"/>
  <c r="AE33" i="72"/>
  <c r="AF33" i="72"/>
  <c r="AG33" i="72"/>
  <c r="I33" i="72"/>
  <c r="I30" i="72"/>
  <c r="J14" i="72"/>
  <c r="K14" i="72"/>
  <c r="L14" i="72"/>
  <c r="M14" i="72"/>
  <c r="N14" i="72"/>
  <c r="O14" i="72"/>
  <c r="P14" i="72"/>
  <c r="Q14" i="72"/>
  <c r="R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I14" i="72"/>
  <c r="J30" i="81"/>
  <c r="K30" i="81"/>
  <c r="L30" i="81"/>
  <c r="M30" i="81"/>
  <c r="N30" i="81"/>
  <c r="O30" i="81"/>
  <c r="P30" i="81"/>
  <c r="Q30" i="81"/>
  <c r="R30" i="81"/>
  <c r="S30" i="81"/>
  <c r="T30" i="81"/>
  <c r="U30" i="81"/>
  <c r="V30" i="81"/>
  <c r="W30" i="81"/>
  <c r="X30" i="81"/>
  <c r="Y30" i="81"/>
  <c r="Z30" i="81"/>
  <c r="AA30" i="81"/>
  <c r="AB30" i="81"/>
  <c r="AC30" i="81"/>
  <c r="AD30" i="81"/>
  <c r="AE30" i="81"/>
  <c r="AF30" i="81"/>
  <c r="AG30" i="81"/>
  <c r="J33" i="81"/>
  <c r="K33" i="81"/>
  <c r="L33" i="81"/>
  <c r="M33" i="81"/>
  <c r="N33" i="81"/>
  <c r="O33" i="81"/>
  <c r="P33" i="81"/>
  <c r="Q33" i="81"/>
  <c r="R33" i="81"/>
  <c r="S33" i="81"/>
  <c r="T33" i="81"/>
  <c r="U33" i="81"/>
  <c r="V33" i="81"/>
  <c r="W33" i="81"/>
  <c r="X33" i="81"/>
  <c r="Y33" i="81"/>
  <c r="Z33" i="81"/>
  <c r="AA33" i="81"/>
  <c r="AB33" i="81"/>
  <c r="AC33" i="81"/>
  <c r="AD33" i="81"/>
  <c r="AE33" i="81"/>
  <c r="AF33" i="81"/>
  <c r="AG33" i="81"/>
  <c r="I33" i="81"/>
  <c r="I30" i="81"/>
  <c r="J14" i="81"/>
  <c r="K14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I14" i="81"/>
  <c r="J30" i="73"/>
  <c r="K30" i="73"/>
  <c r="L30" i="73"/>
  <c r="M30" i="73"/>
  <c r="N30" i="73"/>
  <c r="O30" i="73"/>
  <c r="P30" i="73"/>
  <c r="Q30" i="73"/>
  <c r="R30" i="73"/>
  <c r="S30" i="73"/>
  <c r="T30" i="73"/>
  <c r="U30" i="73"/>
  <c r="V30" i="73"/>
  <c r="W30" i="73"/>
  <c r="X30" i="73"/>
  <c r="Y30" i="73"/>
  <c r="Z30" i="73"/>
  <c r="AA30" i="73"/>
  <c r="AB30" i="73"/>
  <c r="AC30" i="73"/>
  <c r="AD30" i="73"/>
  <c r="AE30" i="73"/>
  <c r="AF30" i="73"/>
  <c r="AG30" i="73"/>
  <c r="J33" i="73"/>
  <c r="K33" i="73"/>
  <c r="L33" i="73"/>
  <c r="M33" i="73"/>
  <c r="N33" i="73"/>
  <c r="O33" i="73"/>
  <c r="P33" i="73"/>
  <c r="Q33" i="73"/>
  <c r="R33" i="73"/>
  <c r="S33" i="73"/>
  <c r="T33" i="73"/>
  <c r="U33" i="73"/>
  <c r="V33" i="73"/>
  <c r="W33" i="73"/>
  <c r="X33" i="73"/>
  <c r="Y33" i="73"/>
  <c r="Z33" i="73"/>
  <c r="AA33" i="73"/>
  <c r="AB33" i="73"/>
  <c r="AC33" i="73"/>
  <c r="AD33" i="73"/>
  <c r="AE33" i="73"/>
  <c r="AF33" i="73"/>
  <c r="AG33" i="73"/>
  <c r="I33" i="73"/>
  <c r="I30" i="73"/>
  <c r="J14" i="73"/>
  <c r="K14" i="73"/>
  <c r="L14" i="73"/>
  <c r="M14" i="73"/>
  <c r="N14" i="73"/>
  <c r="O14" i="73"/>
  <c r="P14" i="73"/>
  <c r="Q14" i="73"/>
  <c r="R14" i="73"/>
  <c r="S14" i="73"/>
  <c r="T14" i="73"/>
  <c r="U14" i="73"/>
  <c r="V14" i="73"/>
  <c r="W14" i="73"/>
  <c r="X14" i="73"/>
  <c r="Y14" i="73"/>
  <c r="Z14" i="73"/>
  <c r="AA14" i="73"/>
  <c r="AB14" i="73"/>
  <c r="AC14" i="73"/>
  <c r="AD14" i="73"/>
  <c r="AE14" i="73"/>
  <c r="AF14" i="73"/>
  <c r="AG14" i="73"/>
  <c r="I14" i="73"/>
  <c r="J30" i="68"/>
  <c r="K30" i="68"/>
  <c r="L30" i="68"/>
  <c r="M30" i="68"/>
  <c r="N30" i="68"/>
  <c r="O30" i="68"/>
  <c r="P30" i="68"/>
  <c r="Q30" i="68"/>
  <c r="R30" i="68"/>
  <c r="S30" i="68"/>
  <c r="T30" i="68"/>
  <c r="U30" i="68"/>
  <c r="V30" i="68"/>
  <c r="W30" i="68"/>
  <c r="X30" i="68"/>
  <c r="Y30" i="68"/>
  <c r="Z30" i="68"/>
  <c r="AA30" i="68"/>
  <c r="AB30" i="68"/>
  <c r="AC30" i="68"/>
  <c r="AD30" i="68"/>
  <c r="AE30" i="68"/>
  <c r="AF30" i="68"/>
  <c r="AG30" i="68"/>
  <c r="I30" i="68"/>
  <c r="F61" i="88"/>
  <c r="F60" i="88"/>
  <c r="F57" i="88"/>
  <c r="F52" i="88"/>
  <c r="I44" i="87"/>
  <c r="H44" i="87"/>
  <c r="E20" i="88"/>
  <c r="E8" i="88"/>
  <c r="F75" i="88"/>
  <c r="F39" i="88"/>
  <c r="F35" i="88"/>
  <c r="F34" i="88"/>
  <c r="F14" i="88"/>
  <c r="F19" i="88"/>
  <c r="F23" i="88"/>
  <c r="E19" i="88"/>
  <c r="F84" i="88"/>
  <c r="G84" i="88" s="1"/>
  <c r="H84" i="88" s="1"/>
  <c r="I84" i="88" s="1"/>
  <c r="J84" i="88" s="1"/>
  <c r="K84" i="88" s="1"/>
  <c r="L84" i="88" s="1"/>
  <c r="M84" i="88" s="1"/>
  <c r="N84" i="88" s="1"/>
  <c r="O84" i="88" s="1"/>
  <c r="P84" i="88" s="1"/>
  <c r="Q84" i="88" s="1"/>
  <c r="R84" i="88" s="1"/>
  <c r="S84" i="88" s="1"/>
  <c r="T84" i="88" s="1"/>
  <c r="U84" i="88" s="1"/>
  <c r="V84" i="88" s="1"/>
  <c r="W84" i="88" s="1"/>
  <c r="X84" i="88" s="1"/>
  <c r="Y84" i="88" s="1"/>
  <c r="Z84" i="88" s="1"/>
  <c r="AA84" i="88" s="1"/>
  <c r="AB84" i="88" s="1"/>
  <c r="AC84" i="88" s="1"/>
  <c r="E78" i="88"/>
  <c r="F64" i="88"/>
  <c r="G64" i="88" s="1"/>
  <c r="H64" i="88" s="1"/>
  <c r="I64" i="88" s="1"/>
  <c r="J64" i="88" s="1"/>
  <c r="K64" i="88" s="1"/>
  <c r="L64" i="88" s="1"/>
  <c r="M64" i="88" s="1"/>
  <c r="N64" i="88" s="1"/>
  <c r="O64" i="88" s="1"/>
  <c r="P64" i="88" s="1"/>
  <c r="Q64" i="88" s="1"/>
  <c r="R64" i="88" s="1"/>
  <c r="S64" i="88" s="1"/>
  <c r="T64" i="88" s="1"/>
  <c r="U64" i="88" s="1"/>
  <c r="V64" i="88" s="1"/>
  <c r="W64" i="88" s="1"/>
  <c r="X64" i="88" s="1"/>
  <c r="Y64" i="88" s="1"/>
  <c r="Z64" i="88" s="1"/>
  <c r="AA64" i="88" s="1"/>
  <c r="AB64" i="88" s="1"/>
  <c r="AC64" i="88" s="1"/>
  <c r="F42" i="88"/>
  <c r="G42" i="88" s="1"/>
  <c r="H42" i="88" s="1"/>
  <c r="I42" i="88" s="1"/>
  <c r="J42" i="88" s="1"/>
  <c r="K42" i="88" s="1"/>
  <c r="L42" i="88" s="1"/>
  <c r="M42" i="88" s="1"/>
  <c r="N42" i="88" s="1"/>
  <c r="O42" i="88" s="1"/>
  <c r="P42" i="88" s="1"/>
  <c r="Q42" i="88" s="1"/>
  <c r="R42" i="88" s="1"/>
  <c r="S42" i="88" s="1"/>
  <c r="T42" i="88" s="1"/>
  <c r="U42" i="88" s="1"/>
  <c r="V42" i="88" s="1"/>
  <c r="W42" i="88" s="1"/>
  <c r="X42" i="88" s="1"/>
  <c r="Y42" i="88" s="1"/>
  <c r="Z42" i="88" s="1"/>
  <c r="AA42" i="88" s="1"/>
  <c r="AB42" i="88" s="1"/>
  <c r="AC42" i="88" s="1"/>
  <c r="E38" i="88"/>
  <c r="F25" i="88"/>
  <c r="G25" i="88" s="1"/>
  <c r="H25" i="88" s="1"/>
  <c r="I25" i="88" s="1"/>
  <c r="J25" i="88" s="1"/>
  <c r="K25" i="88" s="1"/>
  <c r="L25" i="88" s="1"/>
  <c r="M25" i="88" s="1"/>
  <c r="N25" i="88" s="1"/>
  <c r="O25" i="88" s="1"/>
  <c r="P25" i="88" s="1"/>
  <c r="Q25" i="88" s="1"/>
  <c r="R25" i="88" s="1"/>
  <c r="S25" i="88" s="1"/>
  <c r="T25" i="88" s="1"/>
  <c r="U25" i="88" s="1"/>
  <c r="V25" i="88" s="1"/>
  <c r="W25" i="88" s="1"/>
  <c r="X25" i="88" s="1"/>
  <c r="Y25" i="88" s="1"/>
  <c r="Z25" i="88" s="1"/>
  <c r="AA25" i="88" s="1"/>
  <c r="AB25" i="88" s="1"/>
  <c r="AC25" i="88" s="1"/>
  <c r="E22" i="88"/>
  <c r="E18" i="88"/>
  <c r="E17" i="88"/>
  <c r="A2" i="88"/>
  <c r="A1" i="88"/>
  <c r="G43" i="87"/>
  <c r="H43" i="87" s="1"/>
  <c r="I43" i="87" s="1"/>
  <c r="F43" i="87"/>
  <c r="E40" i="87"/>
  <c r="F32" i="87"/>
  <c r="G32" i="87" s="1"/>
  <c r="H32" i="87" s="1"/>
  <c r="I32" i="87" s="1"/>
  <c r="E29" i="87"/>
  <c r="I22" i="87"/>
  <c r="H22" i="87"/>
  <c r="H21" i="87"/>
  <c r="I21" i="87" s="1"/>
  <c r="G21" i="87"/>
  <c r="F21" i="87"/>
  <c r="E18" i="87"/>
  <c r="A2" i="87"/>
  <c r="A1" i="87"/>
  <c r="E14" i="88" l="1"/>
  <c r="E21" i="88"/>
  <c r="E23" i="88" s="1"/>
  <c r="I33" i="87"/>
  <c r="H33" i="87"/>
  <c r="I9" i="68"/>
  <c r="H9" i="68" s="1"/>
  <c r="H9" i="75" s="1"/>
  <c r="H5" i="75" s="1"/>
  <c r="E52" i="88" l="1"/>
  <c r="E60" i="88" s="1"/>
  <c r="E34" i="88"/>
  <c r="E35" i="88" s="1"/>
  <c r="P27" i="88"/>
  <c r="E57" i="88"/>
  <c r="E61" i="88" s="1"/>
  <c r="Y26" i="88"/>
  <c r="E75" i="88"/>
  <c r="O26" i="88"/>
  <c r="E79" i="88"/>
  <c r="N26" i="88"/>
  <c r="M26" i="88"/>
  <c r="Q26" i="88"/>
  <c r="U26" i="88"/>
  <c r="V26" i="88"/>
  <c r="W26" i="88"/>
  <c r="X26" i="88"/>
  <c r="E26" i="88"/>
  <c r="E66" i="88" s="1"/>
  <c r="P26" i="88"/>
  <c r="F26" i="88"/>
  <c r="Z26" i="88"/>
  <c r="H26" i="88"/>
  <c r="AB26" i="88"/>
  <c r="I26" i="88"/>
  <c r="AC26" i="88"/>
  <c r="G26" i="88"/>
  <c r="AA26" i="88"/>
  <c r="T26" i="88"/>
  <c r="J26" i="88"/>
  <c r="S26" i="88"/>
  <c r="K26" i="88"/>
  <c r="R26" i="88"/>
  <c r="L26" i="88"/>
  <c r="Q27" i="88"/>
  <c r="R27" i="88"/>
  <c r="S27" i="88"/>
  <c r="U27" i="88"/>
  <c r="W27" i="88"/>
  <c r="X27" i="88"/>
  <c r="V27" i="88"/>
  <c r="E27" i="88"/>
  <c r="AC27" i="88"/>
  <c r="Y27" i="88"/>
  <c r="K27" i="88"/>
  <c r="F27" i="88"/>
  <c r="L27" i="88"/>
  <c r="L67" i="88" s="1"/>
  <c r="Z27" i="88"/>
  <c r="Z67" i="88" s="1"/>
  <c r="N27" i="88"/>
  <c r="N67" i="88" s="1"/>
  <c r="G27" i="88"/>
  <c r="M27" i="88"/>
  <c r="AA27" i="88"/>
  <c r="O27" i="88"/>
  <c r="E39" i="88"/>
  <c r="X45" i="88" s="1"/>
  <c r="AB27" i="88"/>
  <c r="H27" i="88"/>
  <c r="I27" i="88"/>
  <c r="J27" i="88"/>
  <c r="T27" i="88"/>
  <c r="C25" i="62"/>
  <c r="A2" i="43"/>
  <c r="F67" i="88" l="1"/>
  <c r="K67" i="88"/>
  <c r="E53" i="88"/>
  <c r="E44" i="88"/>
  <c r="V67" i="88"/>
  <c r="T67" i="88"/>
  <c r="X67" i="88"/>
  <c r="J67" i="88"/>
  <c r="W67" i="88"/>
  <c r="I67" i="88"/>
  <c r="U67" i="88"/>
  <c r="S67" i="88"/>
  <c r="AB67" i="88"/>
  <c r="R67" i="88"/>
  <c r="Q67" i="88"/>
  <c r="O67" i="88"/>
  <c r="AA67" i="88"/>
  <c r="M67" i="88"/>
  <c r="G67" i="88"/>
  <c r="H45" i="88"/>
  <c r="H67" i="88"/>
  <c r="Y67" i="88"/>
  <c r="P67" i="88"/>
  <c r="P45" i="88"/>
  <c r="AC67" i="88"/>
  <c r="Y45" i="88"/>
  <c r="E67" i="88"/>
  <c r="J33" i="68"/>
  <c r="F66" i="88"/>
  <c r="T33" i="68"/>
  <c r="P66" i="88"/>
  <c r="AB33" i="68"/>
  <c r="X66" i="88"/>
  <c r="AA33" i="68"/>
  <c r="W66" i="88"/>
  <c r="Z33" i="68"/>
  <c r="V66" i="88"/>
  <c r="P33" i="68"/>
  <c r="L66" i="88"/>
  <c r="Y33" i="68"/>
  <c r="U66" i="88"/>
  <c r="V33" i="68"/>
  <c r="R66" i="88"/>
  <c r="U33" i="68"/>
  <c r="Q66" i="88"/>
  <c r="O33" i="68"/>
  <c r="K66" i="88"/>
  <c r="Q33" i="68"/>
  <c r="M66" i="88"/>
  <c r="W33" i="68"/>
  <c r="S66" i="88"/>
  <c r="R33" i="68"/>
  <c r="N66" i="88"/>
  <c r="N33" i="68"/>
  <c r="J66" i="88"/>
  <c r="X33" i="68"/>
  <c r="T66" i="88"/>
  <c r="S33" i="68"/>
  <c r="O66" i="88"/>
  <c r="AE33" i="68"/>
  <c r="AA66" i="88"/>
  <c r="K33" i="68"/>
  <c r="G66" i="88"/>
  <c r="AC33" i="68"/>
  <c r="Y66" i="88"/>
  <c r="AG33" i="68"/>
  <c r="AC66" i="88"/>
  <c r="M33" i="68"/>
  <c r="I66" i="88"/>
  <c r="AF33" i="68"/>
  <c r="AB66" i="88"/>
  <c r="L33" i="68"/>
  <c r="H66" i="88"/>
  <c r="AD33" i="68"/>
  <c r="Z66" i="88"/>
  <c r="Y87" i="88"/>
  <c r="F87" i="88"/>
  <c r="Z87" i="88"/>
  <c r="AB87" i="88"/>
  <c r="AC87" i="88"/>
  <c r="N87" i="88"/>
  <c r="O87" i="88"/>
  <c r="Q87" i="88"/>
  <c r="R87" i="88"/>
  <c r="S87" i="88"/>
  <c r="T87" i="88"/>
  <c r="U87" i="88"/>
  <c r="G87" i="88"/>
  <c r="AA87" i="88"/>
  <c r="H87" i="88"/>
  <c r="I87" i="88"/>
  <c r="J87" i="88"/>
  <c r="K87" i="88"/>
  <c r="E87" i="88"/>
  <c r="L87" i="88"/>
  <c r="M87" i="88"/>
  <c r="P87" i="88"/>
  <c r="V87" i="88"/>
  <c r="W87" i="88"/>
  <c r="X87" i="88"/>
  <c r="I33" i="68"/>
  <c r="P86" i="88"/>
  <c r="O86" i="88"/>
  <c r="K86" i="88"/>
  <c r="AA86" i="88"/>
  <c r="Z86" i="88"/>
  <c r="F86" i="88"/>
  <c r="X86" i="88"/>
  <c r="W86" i="88"/>
  <c r="V86" i="88"/>
  <c r="U86" i="88"/>
  <c r="T86" i="88"/>
  <c r="R86" i="88"/>
  <c r="Q86" i="88"/>
  <c r="N86" i="88"/>
  <c r="M86" i="88"/>
  <c r="L86" i="88"/>
  <c r="J86" i="88"/>
  <c r="AC86" i="88"/>
  <c r="I86" i="88"/>
  <c r="AB86" i="88"/>
  <c r="H86" i="88"/>
  <c r="G86" i="88"/>
  <c r="Y86" i="88"/>
  <c r="E86" i="88"/>
  <c r="S86" i="88"/>
  <c r="E45" i="88"/>
  <c r="I44" i="88"/>
  <c r="J44" i="88" s="1"/>
  <c r="K44" i="88" s="1"/>
  <c r="L44" i="88" s="1"/>
  <c r="M44" i="88" s="1"/>
  <c r="N44" i="88" s="1"/>
  <c r="O44" i="88" s="1"/>
  <c r="P44" i="88" s="1"/>
  <c r="Q44" i="88" s="1"/>
  <c r="R44" i="88" s="1"/>
  <c r="S44" i="88" s="1"/>
  <c r="T44" i="88" s="1"/>
  <c r="U44" i="88" s="1"/>
  <c r="V44" i="88" s="1"/>
  <c r="W44" i="88" s="1"/>
  <c r="X44" i="88" s="1"/>
  <c r="Y44" i="88" s="1"/>
  <c r="Z44" i="88" s="1"/>
  <c r="AA44" i="88" s="1"/>
  <c r="AB44" i="88" s="1"/>
  <c r="AC44" i="88" s="1"/>
  <c r="W45" i="88"/>
  <c r="Z45" i="88"/>
  <c r="F44" i="88"/>
  <c r="I45" i="88"/>
  <c r="AA45" i="88"/>
  <c r="AB45" i="88"/>
  <c r="J45" i="88"/>
  <c r="K45" i="88"/>
  <c r="L45" i="88"/>
  <c r="M45" i="88"/>
  <c r="N45" i="88"/>
  <c r="G44" i="88"/>
  <c r="O45" i="88"/>
  <c r="AC45" i="88"/>
  <c r="Q45" i="88"/>
  <c r="R45" i="88"/>
  <c r="S45" i="88"/>
  <c r="T45" i="88"/>
  <c r="H44" i="88"/>
  <c r="U45" i="88"/>
  <c r="V45" i="88"/>
  <c r="G45" i="88"/>
  <c r="F45" i="88"/>
  <c r="C111" i="43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G113" i="82"/>
  <c r="E113" i="82"/>
  <c r="D113" i="82"/>
  <c r="C113" i="82"/>
  <c r="A113" i="82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G112" i="73"/>
  <c r="E112" i="73"/>
  <c r="D112" i="73"/>
  <c r="C112" i="73"/>
  <c r="A112" i="73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7" i="68" l="1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G93" i="85"/>
  <c r="G94" i="85"/>
  <c r="G92" i="85"/>
  <c r="D98" i="85"/>
  <c r="G90" i="85"/>
  <c r="F98" i="85"/>
  <c r="I75" i="33" s="1"/>
  <c r="E98" i="85"/>
  <c r="D96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73" l="1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J9" i="85" s="1"/>
  <c r="AD80" i="73" l="1"/>
  <c r="AE77" i="73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s="1"/>
  <c r="AE80" i="73" l="1"/>
  <c r="AF77" i="73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L9" i="85" s="1"/>
  <c r="K9" i="72"/>
  <c r="K9" i="73"/>
  <c r="AF80" i="73" l="1"/>
  <c r="AG77" i="73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M9" i="85" s="1"/>
  <c r="L9" i="73"/>
  <c r="L9" i="72"/>
  <c r="AG82" i="73" l="1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N9" i="85" s="1"/>
  <c r="M9" i="73"/>
  <c r="M9" i="72"/>
  <c r="M5" i="85" l="1"/>
  <c r="AG82" i="81"/>
  <c r="AG107" i="81" s="1"/>
  <c r="M88" i="75"/>
  <c r="M97" i="75" s="1"/>
  <c r="N9" i="75"/>
  <c r="N5" i="75" s="1"/>
  <c r="N9" i="82"/>
  <c r="N9" i="81"/>
  <c r="O9" i="68"/>
  <c r="O9" i="85" s="1"/>
  <c r="N9" i="73"/>
  <c r="N9" i="72"/>
  <c r="N5" i="85" l="1"/>
  <c r="N88" i="75"/>
  <c r="N97" i="75" s="1"/>
  <c r="O9" i="75"/>
  <c r="O5" i="75" s="1"/>
  <c r="O9" i="82"/>
  <c r="O9" i="81"/>
  <c r="P9" i="68"/>
  <c r="P9" i="85" s="1"/>
  <c r="O9" i="73"/>
  <c r="O9" i="72"/>
  <c r="O5" i="85" l="1"/>
  <c r="O88" i="75"/>
  <c r="O97" i="75" s="1"/>
  <c r="P9" i="75"/>
  <c r="P5" i="75" s="1"/>
  <c r="P9" i="82"/>
  <c r="P9" i="81"/>
  <c r="Q9" i="68"/>
  <c r="Q9" i="85" s="1"/>
  <c r="P9" i="73"/>
  <c r="P9" i="72"/>
  <c r="P5" i="85" l="1"/>
  <c r="P88" i="75"/>
  <c r="P97" i="75" s="1"/>
  <c r="Q9" i="75"/>
  <c r="Q5" i="75" s="1"/>
  <c r="Q9" i="82"/>
  <c r="Q9" i="81"/>
  <c r="R9" i="68"/>
  <c r="R9" i="85" s="1"/>
  <c r="Q9" i="73"/>
  <c r="Q9" i="72"/>
  <c r="Q5" i="85" l="1"/>
  <c r="Q88" i="75"/>
  <c r="Q97" i="75" s="1"/>
  <c r="R9" i="75"/>
  <c r="R5" i="75" s="1"/>
  <c r="R9" i="82"/>
  <c r="R9" i="81"/>
  <c r="S9" i="68"/>
  <c r="S9" i="85" s="1"/>
  <c r="R9" i="72"/>
  <c r="R9" i="73"/>
  <c r="R5" i="85" l="1"/>
  <c r="R88" i="75"/>
  <c r="R97" i="75" s="1"/>
  <c r="S9" i="75"/>
  <c r="S5" i="75" s="1"/>
  <c r="S9" i="82"/>
  <c r="S9" i="81"/>
  <c r="T9" i="68"/>
  <c r="T9" i="85" s="1"/>
  <c r="S9" i="72"/>
  <c r="S9" i="73"/>
  <c r="S5" i="85" l="1"/>
  <c r="S88" i="75"/>
  <c r="S97" i="75" s="1"/>
  <c r="T9" i="75"/>
  <c r="T5" i="75" s="1"/>
  <c r="T9" i="82"/>
  <c r="T9" i="81"/>
  <c r="U9" i="68"/>
  <c r="U9" i="85" s="1"/>
  <c r="T9" i="73"/>
  <c r="T9" i="72"/>
  <c r="T5" i="85" l="1"/>
  <c r="T88" i="75"/>
  <c r="T97" i="75" s="1"/>
  <c r="U9" i="75"/>
  <c r="U5" i="75" s="1"/>
  <c r="U9" i="82"/>
  <c r="U9" i="81"/>
  <c r="V9" i="68"/>
  <c r="V9" i="85" s="1"/>
  <c r="U9" i="72"/>
  <c r="U9" i="73"/>
  <c r="U5" i="85" l="1"/>
  <c r="U88" i="75"/>
  <c r="U97" i="75" s="1"/>
  <c r="V9" i="75"/>
  <c r="V5" i="75" s="1"/>
  <c r="V9" i="82"/>
  <c r="V9" i="81"/>
  <c r="W9" i="68"/>
  <c r="W9" i="85" s="1"/>
  <c r="V9" i="73"/>
  <c r="V9" i="72"/>
  <c r="V5" i="85" l="1"/>
  <c r="V88" i="75"/>
  <c r="V97" i="75" s="1"/>
  <c r="W9" i="75"/>
  <c r="W5" i="75" s="1"/>
  <c r="W9" i="82"/>
  <c r="W9" i="81"/>
  <c r="X9" i="68"/>
  <c r="X9" i="85" s="1"/>
  <c r="W9" i="73"/>
  <c r="W9" i="72"/>
  <c r="W5" i="85" l="1"/>
  <c r="W88" i="75"/>
  <c r="W97" i="75" s="1"/>
  <c r="X9" i="75"/>
  <c r="X5" i="75" s="1"/>
  <c r="X9" i="82"/>
  <c r="X9" i="81"/>
  <c r="Y9" i="68"/>
  <c r="Y9" i="85" s="1"/>
  <c r="X9" i="73"/>
  <c r="X9" i="72"/>
  <c r="X5" i="85" l="1"/>
  <c r="X88" i="75"/>
  <c r="X97" i="75" s="1"/>
  <c r="Y9" i="75"/>
  <c r="Y5" i="75" s="1"/>
  <c r="Y9" i="82"/>
  <c r="Y9" i="81"/>
  <c r="Z9" i="68"/>
  <c r="Z9" i="85" s="1"/>
  <c r="Y9" i="73"/>
  <c r="Y9" i="72"/>
  <c r="Y5" i="85" l="1"/>
  <c r="Y88" i="75"/>
  <c r="Y97" i="75" s="1"/>
  <c r="Z9" i="75"/>
  <c r="Z5" i="75" s="1"/>
  <c r="Z9" i="82"/>
  <c r="Z9" i="81"/>
  <c r="AA9" i="68"/>
  <c r="AA9" i="85" s="1"/>
  <c r="Z9" i="72"/>
  <c r="Z9" i="73"/>
  <c r="Z5" i="85" l="1"/>
  <c r="Z88" i="75"/>
  <c r="Z97" i="75" s="1"/>
  <c r="AA9" i="75"/>
  <c r="AA5" i="75" s="1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5" i="75" s="1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75" l="1"/>
  <c r="AC5" i="85" s="1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75" l="1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75" l="1"/>
  <c r="AE5" i="85" s="1"/>
  <c r="AF9" i="82"/>
  <c r="AF9" i="81"/>
  <c r="AF9" i="75"/>
  <c r="AF9" i="72"/>
  <c r="AF9" i="73"/>
  <c r="AG9" i="68"/>
  <c r="AG9" i="85" s="1"/>
  <c r="AF5" i="75" l="1"/>
  <c r="AF5" i="85" s="1"/>
  <c r="AF88" i="75"/>
  <c r="AF97" i="75" s="1"/>
  <c r="AG9" i="82"/>
  <c r="AG9" i="75"/>
  <c r="AG9" i="81"/>
  <c r="AG9" i="73"/>
  <c r="AG9" i="72"/>
  <c r="AG5" i="75" l="1"/>
  <c r="AG5" i="85"/>
  <c r="AG88" i="75"/>
  <c r="AG97" i="75" s="1"/>
  <c r="E49" i="81" l="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81"/>
  <c r="E47" i="72"/>
  <c r="E51" i="68"/>
  <c r="E52" i="72"/>
  <c r="E47" i="68"/>
  <c r="E50" i="72"/>
  <c r="E52" i="82"/>
  <c r="E48" i="73"/>
  <c r="E50" i="68"/>
  <c r="E48" i="68"/>
  <c r="E51" i="73"/>
  <c r="E51" i="82"/>
  <c r="E46" i="81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Q30" i="82" a="1"/>
  <c r="Q30" i="82" s="1"/>
  <c r="AF30" i="82" a="1"/>
  <c r="AF30" i="82" s="1"/>
  <c r="W30" i="82" a="1"/>
  <c r="W30" i="82" s="1"/>
  <c r="Y30" i="82" a="1"/>
  <c r="Y30" i="82" s="1"/>
  <c r="AC30" i="82" a="1"/>
  <c r="AC30" i="82" s="1"/>
  <c r="X30" i="82" a="1"/>
  <c r="X30" i="82" s="1"/>
  <c r="T30" i="82" a="1"/>
  <c r="T30" i="82" s="1"/>
  <c r="AG30" i="82" a="1"/>
  <c r="AG30" i="82" s="1"/>
  <c r="P30" i="82" a="1"/>
  <c r="P30" i="82" s="1"/>
  <c r="O30" i="82" a="1"/>
  <c r="O30" i="82" s="1"/>
  <c r="L30" i="82" a="1"/>
  <c r="L30" i="82" s="1"/>
  <c r="I30" i="82" a="1"/>
  <c r="I30" i="82" s="1"/>
  <c r="AB30" i="82" a="1"/>
  <c r="AB30" i="82" s="1"/>
  <c r="J30" i="82" a="1"/>
  <c r="J30" i="82" s="1"/>
  <c r="U30" i="82" a="1"/>
  <c r="U30" i="82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AD30" i="82" a="1"/>
  <c r="AD30" i="82" s="1"/>
  <c r="K30" i="82" a="1"/>
  <c r="K30" i="82" s="1"/>
  <c r="Z30" i="82" a="1"/>
  <c r="Z30" i="82" s="1"/>
  <c r="S30" i="82" a="1"/>
  <c r="S30" i="82" s="1"/>
  <c r="R30" i="82" a="1"/>
  <c r="R30" i="82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O28" i="68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AA99" i="75"/>
  <c r="O99" i="75"/>
  <c r="I99" i="75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P48" i="75" l="1"/>
  <c r="P50" i="75" s="1"/>
  <c r="P40" i="85" s="1"/>
  <c r="P87" i="72"/>
  <c r="P106" i="72" s="1"/>
  <c r="P111" i="72" s="1" a="1"/>
  <c r="P111" i="72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2" i="72" l="1" a="1"/>
  <c r="P112" i="72" s="1"/>
  <c r="P115" i="72" a="1"/>
  <c r="P115" i="72" s="1"/>
  <c r="P116" i="72" a="1"/>
  <c r="P116" i="72" s="1"/>
  <c r="P113" i="72" a="1"/>
  <c r="P113" i="72" s="1"/>
  <c r="P110" i="72" a="1"/>
  <c r="P110" i="72" s="1"/>
  <c r="P117" i="72" a="1"/>
  <c r="P117" i="72" s="1"/>
  <c r="P114" i="72" a="1"/>
  <c r="P114" i="72" s="1"/>
  <c r="P42" i="85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95" i="85" l="1"/>
  <c r="I72" i="33" s="1"/>
  <c r="F77" i="85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J31" i="33"/>
  <c r="F30" i="33"/>
  <c r="H30" i="33"/>
  <c r="G31" i="33"/>
  <c r="H31" i="33"/>
  <c r="A91" i="75"/>
  <c r="J30" i="33"/>
  <c r="G30" i="33"/>
  <c r="F31" i="33"/>
  <c r="I30" i="33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<sst xmlns="http://schemas.openxmlformats.org/spreadsheetml/2006/main" count="860" uniqueCount="314">
  <si>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</si>
  <si>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</si>
  <si>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</si>
  <si>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</si>
  <si>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</si>
  <si>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</si>
  <si>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</si>
  <si>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</si>
  <si>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</si>
  <si>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</si>
  <si>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</si>
  <si>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</si>
  <si>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</si>
  <si>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</si>
  <si>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</si>
  <si>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</si>
  <si>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</si>
  <si>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</si>
  <si>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</si>
  <si>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</si>
  <si>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</si>
  <si>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</si>
  <si>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</si>
  <si>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</si>
  <si>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</si>
  <si>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</si>
  <si>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</si>
  <si>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</si>
  <si>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</si>
  <si>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</si>
  <si>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</si>
  <si>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</si>
  <si>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</si>
  <si>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</si>
  <si>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</si>
  <si>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</si>
  <si>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</si>
  <si>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</si>
  <si>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</si>
  <si>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</si>
  <si>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</si>
  <si>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</si>
  <si>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</si>
  <si>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</si>
  <si>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</si>
  <si>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</si>
  <si>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</si>
  <si>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</si>
  <si>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</si>
  <si>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</si>
  <si>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</si>
  <si>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</si>
  <si>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</si>
  <si>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</si>
  <si>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</si>
  <si>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</si>
  <si>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</si>
  <si>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</si>
  <si>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</si>
  <si>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</si>
  <si>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</si>
  <si>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</si>
  <si>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</si>
  <si>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</si>
  <si>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</si>
  <si>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</si>
  <si>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</si>
  <si>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</si>
  <si>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</si>
  <si>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</si>
  <si>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</si>
  <si>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</si>
  <si>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</si>
  <si>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</si>
  <si>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</si>
  <si>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</si>
  <si>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</si>
  <si>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</si>
  <si>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</si>
  <si>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</si>
  <si>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</si>
  <si>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</si>
  <si>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</si>
  <si>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</si>
  <si>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</si>
  <si>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</si>
  <si>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</si>
  <si>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</si>
  <si>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</si>
  <si>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</si>
  <si>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</si>
  <si>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</si>
  <si>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</si>
  <si>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</si>
  <si>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</si>
  <si>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</si>
  <si>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</si>
  <si>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</si>
  <si>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</si>
  <si>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</si>
  <si>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</si>
  <si>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</si>
  <si>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</si>
  <si>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</si>
  <si>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</si>
  <si>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</si>
  <si>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</si>
  <si>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</si>
  <si>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</si>
  <si>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</si>
  <si>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</si>
  <si>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</si>
  <si>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</si>
  <si>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</si>
  <si>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</si>
  <si>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</si>
  <si>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</si>
  <si>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</si>
  <si>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</si>
  <si>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</si>
  <si>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</si>
  <si>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</si>
  <si>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</si>
  <si>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</si>
  <si>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</si>
  <si>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</si>
  <si>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</si>
  <si>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</si>
  <si>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</si>
  <si>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</si>
  <si>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</si>
  <si>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</si>
  <si>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</si>
  <si>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</si>
  <si>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</si>
  <si>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</si>
  <si>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</si>
  <si>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</si>
  <si>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</si>
  <si>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</si>
  <si>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Horsham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</si>
  <si>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</si>
  <si>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</si>
  <si>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</si>
  <si>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</si>
  <si>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</si>
  <si>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</si>
  <si>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</si>
  <si>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</si>
  <si>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</si>
  <si>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</si>
  <si>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</si>
  <si>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</si>
  <si>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</si>
  <si>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</si>
  <si>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</si>
  <si>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</si>
  <si>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</si>
  <si>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</si>
  <si>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</si>
  <si>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</si>
  <si>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</si>
  <si>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</si>
  <si>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</si>
  <si>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</si>
  <si>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</si>
  <si>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</si>
  <si>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</si>
  <si>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</si>
  <si>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</si>
  <si>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</si>
  <si>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</si>
  <si>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</si>
  <si>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</si>
  <si>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</si>
  <si>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</si>
  <si>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</si>
  <si>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</si>
  <si>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</si>
  <si>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</si>
  <si>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</si>
  <si>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</si>
  <si>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</si>
  <si>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</si>
  <si>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</si>
  <si>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</si>
  <si>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</si>
  <si>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</si>
  <si>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</si>
  <si>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</si>
  <si>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</si>
  <si>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</si>
  <si>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</si>
  <si>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</si>
  <si>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</si>
  <si>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</si>
  <si>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</si>
  <si>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</si>
  <si>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</si>
  <si>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</si>
  <si>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</si>
  <si>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</si>
  <si>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</si>
  <si>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</si>
  <si>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</si>
  <si>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</si>
  <si>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</si>
  <si>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</si>
  <si>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</si>
  <si>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</si>
  <si>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</si>
  <si>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</si>
  <si>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</si>
  <si>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</si>
  <si>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</si>
  <si>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</si>
  <si>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</si>
  <si>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</si>
  <si>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</si>
  <si>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</si>
  <si>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</si>
  <si>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</si>
  <si>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</si>
  <si>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</si>
  <si>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</si>
  <si>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</si>
  <si>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</si>
  <si>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</si>
  <si>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</si>
  <si>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</si>
  <si>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</si>
  <si>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</si>
  <si>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</si>
  <si>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</si>
  <si>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</si>
  <si>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</si>
  <si>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</si>
  <si>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</si>
  <si>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</si>
  <si>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</si>
  <si>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</si>
  <si>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</si>
  <si>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</si>
  <si>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</si>
  <si>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</si>
  <si>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WORKINGS - COSTS</t>
  </si>
  <si>
    <t>Option 1 (base case) - no change to existing practices</t>
  </si>
  <si>
    <t>Total capital costs</t>
  </si>
  <si>
    <t>Total operating costs</t>
  </si>
  <si>
    <t>Option 2 - Install single REFCL at Horsham (HSM) ZSS</t>
  </si>
  <si>
    <t>ZSS single REFCL costs</t>
  </si>
  <si>
    <t>in 2023 $</t>
  </si>
  <si>
    <t>from cost estimators for HSM ZSS</t>
  </si>
  <si>
    <t>Network distribution cost</t>
  </si>
  <si>
    <t>from cost estimators for HSM network</t>
  </si>
  <si>
    <t>Total capital cost</t>
  </si>
  <si>
    <t>Assuming project spans across 2 years</t>
  </si>
  <si>
    <t>Option 2 capital cost</t>
  </si>
  <si>
    <t>Option 3 - Install covered conductor for Horsham feeders</t>
  </si>
  <si>
    <t>Covered conductor length for Horsham feeders, which can be covered by REFCL</t>
  </si>
  <si>
    <t>km</t>
  </si>
  <si>
    <t>per REFCL HSM functional scope</t>
  </si>
  <si>
    <t>Covered conductor unit cost</t>
  </si>
  <si>
    <t>/km</t>
  </si>
  <si>
    <t>from PAL covered conductor cost estimation</t>
  </si>
  <si>
    <t>Option 3 capital cost</t>
  </si>
  <si>
    <t>Option 4 - Install Three REFCLs (one per Tx) at HSM ZSS in 2029-30 as per Bushfire Mitigation Regulation performance requirements</t>
  </si>
  <si>
    <t>ZSS 3 REFCL costs</t>
  </si>
  <si>
    <t>WORKINGS - RISKS</t>
  </si>
  <si>
    <t>June 2022 to Dec 2023</t>
  </si>
  <si>
    <t>June 2022 to June 2023</t>
  </si>
  <si>
    <t>Bushfire risk</t>
  </si>
  <si>
    <t xml:space="preserve">Annual bushfire risk </t>
  </si>
  <si>
    <t>Safety risk from contact</t>
  </si>
  <si>
    <t>Total bare line length</t>
  </si>
  <si>
    <t>Disproportionate factor for loss of human life</t>
  </si>
  <si>
    <t>Annual safety risk cost</t>
  </si>
  <si>
    <t>Length of Horsham bare overhead feeders</t>
  </si>
  <si>
    <t>Total annual safety risk cost for Horsham feeders</t>
  </si>
  <si>
    <t>Safety risk</t>
  </si>
  <si>
    <t>Option 2 - Install Single REFCL at Horsham (HSM) ZSS in 2029-30</t>
  </si>
  <si>
    <t>Annual bushfire risk reduction after project is completed</t>
  </si>
  <si>
    <t>Residual annual bushfire risk after project is completed</t>
  </si>
  <si>
    <t>Effectiveness of REFCL to reducing safety risk from contact</t>
  </si>
  <si>
    <t>SME input i.e. Effective (98%) for 32% (per REFCL safety assessment) of the year in Fire mode</t>
  </si>
  <si>
    <t>Residual annual safety risk after project is completed</t>
  </si>
  <si>
    <t>Assuming project spans across 2029-30 and 2030-31</t>
  </si>
  <si>
    <t>Effectiveness of covered conductor to reducing safety risk from contact</t>
  </si>
  <si>
    <t>Annual bushfire risk reduction for each of the 2 years</t>
  </si>
  <si>
    <t>Annual safety risk reduction for each of the 2 years</t>
  </si>
  <si>
    <t>Horsham REFCL</t>
  </si>
  <si>
    <t>Install Single REFCL at HSM ZSS in 2029-30</t>
  </si>
  <si>
    <t>Install covered conductor for HSM feeders</t>
  </si>
  <si>
    <t>Install three REFCLs (one per Tx) at HSM ZSS in 2029-30</t>
  </si>
  <si>
    <t>HSM</t>
  </si>
  <si>
    <t>Sourced from Bushfire Risk Model</t>
  </si>
  <si>
    <t>Likelihood of plant &amp; equipment contact with OH lines resulting in fatal &amp; credibly fatal outcome (pa)</t>
  </si>
  <si>
    <t>Fatal / serious incident HV contacts is 1 per annum (based on the 2013-2022 10-year average across the Powercor network).</t>
  </si>
  <si>
    <t>Risk reduction after project is completed</t>
  </si>
  <si>
    <t>Effectiveness of REFCL to reduce safety risk from contact</t>
  </si>
  <si>
    <t>54% per CSIRO model with one REFCL per transformer; reduced to 50% with single REFCL</t>
  </si>
  <si>
    <t>$/km</t>
  </si>
  <si>
    <t>Paper: "Safety-Related Contact Currents for Humans Touching Medium Voltage Covered Conductor"</t>
  </si>
  <si>
    <t>Conversion from June 2022 to December 2023</t>
  </si>
  <si>
    <t>Program duration (years)</t>
  </si>
  <si>
    <t xml:space="preserve">Project duration </t>
  </si>
  <si>
    <t>years</t>
  </si>
  <si>
    <t>Risk reduction effectiveness</t>
  </si>
  <si>
    <t>ACIL Allen RIS report</t>
  </si>
  <si>
    <t>Risk reduction profile</t>
  </si>
  <si>
    <t>Effective (98%) for 32% (per REFCL safety assessment) of the year in Fire mode</t>
  </si>
  <si>
    <t>Covered conductor</t>
  </si>
  <si>
    <t>Single REFCL</t>
  </si>
  <si>
    <t>Three REFCLs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</si>
</sst>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#,##0.000_);\(#,##0.000\);\-\-_)"/>
    <numFmt numFmtId="197" formatCode="_-&quot;$&quot;* #,##0_-;\-&quot;$&quot;* #,##0_-;_-&quot;$&quot;* &quot;-&quot;??_-;_-@_-"/>
    <numFmt numFmtId="198" formatCode="_-* #,##0_-;\-* #,##0_-;_-* &quot;-&quot;??_-;_-@_-"/>
    <numFmt numFmtId="199" formatCode="0.0%"/>
  </numFmts>
  <fonts count="11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b/>
      <sz val="14"/>
      <color theme="1"/>
      <name val="Calibri"/>
      <family val="2"/>
    </font>
    <font>
      <sz val="8"/>
      <color rgb="FF000000"/>
      <name val="Arial"/>
      <family val="2"/>
    </font>
    <font>
      <sz val="10"/>
      <color rgb="FF7030A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9" fillId="0" borderId="0"/>
    <xf numFmtId="9" fontId="79" fillId="0" borderId="0" applyFont="0" applyFill="0" applyBorder="0" applyAlignment="0" applyProtection="0"/>
    <xf numFmtId="0" fontId="18" fillId="0" borderId="0"/>
    <xf numFmtId="4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0" borderId="0" applyFill="0" applyBorder="0"/>
    <xf numFmtId="44" fontId="18" fillId="0" borderId="0" applyFont="0" applyFill="0" applyBorder="0" applyAlignment="0" applyProtection="0"/>
    <xf numFmtId="0" fontId="99" fillId="0" borderId="0" applyNumberFormat="0" applyFill="0" applyBorder="0" applyAlignment="0" applyProtection="0"/>
    <xf numFmtId="9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01" fillId="0" borderId="16" applyNumberFormat="0" applyFill="0" applyAlignment="0" applyProtection="0"/>
    <xf numFmtId="0" fontId="102" fillId="0" borderId="17" applyNumberFormat="0" applyFill="0" applyAlignment="0" applyProtection="0"/>
    <xf numFmtId="0" fontId="103" fillId="0" borderId="18" applyNumberFormat="0" applyFill="0" applyAlignment="0" applyProtection="0"/>
    <xf numFmtId="0" fontId="103" fillId="0" borderId="0" applyNumberFormat="0" applyFill="0" applyBorder="0" applyAlignment="0" applyProtection="0"/>
    <xf numFmtId="0" fontId="104" fillId="19" borderId="0" applyNumberFormat="0" applyBorder="0" applyAlignment="0" applyProtection="0"/>
    <xf numFmtId="0" fontId="105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22" borderId="19" applyNumberFormat="0" applyAlignment="0" applyProtection="0"/>
    <xf numFmtId="0" fontId="108" fillId="23" borderId="20" applyNumberFormat="0" applyAlignment="0" applyProtection="0"/>
    <xf numFmtId="0" fontId="109" fillId="23" borderId="19" applyNumberFormat="0" applyAlignment="0" applyProtection="0"/>
    <xf numFmtId="0" fontId="110" fillId="0" borderId="21" applyNumberFormat="0" applyFill="0" applyAlignment="0" applyProtection="0"/>
    <xf numFmtId="0" fontId="100" fillId="24" borderId="22" applyNumberFormat="0" applyAlignment="0" applyProtection="0"/>
    <xf numFmtId="0" fontId="111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11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12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12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12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12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12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0" fontId="18" fillId="25" borderId="23" applyNumberFormat="0" applyFont="0" applyAlignment="0" applyProtection="0"/>
    <xf numFmtId="0" fontId="113" fillId="0" borderId="0" applyNumberFormat="0" applyFill="0" applyBorder="0" applyAlignment="0" applyProtection="0"/>
    <xf numFmtId="44" fontId="79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</cellStyleXfs>
  <cellXfs count="393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8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9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60" fillId="0" borderId="0" xfId="0" applyNumberFormat="1" applyFont="1"/>
    <xf numFmtId="0" fontId="59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1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2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2" fillId="10" borderId="0" xfId="18" applyNumberFormat="1" applyFont="1" applyFill="1" applyAlignment="1">
      <alignment horizontal="left" vertical="center"/>
    </xf>
    <xf numFmtId="0" fontId="63" fillId="0" borderId="0" xfId="18" applyFont="1"/>
    <xf numFmtId="0" fontId="64" fillId="0" borderId="7" xfId="18" applyFont="1" applyFill="1" applyBorder="1" applyAlignment="1">
      <alignment vertical="center"/>
    </xf>
    <xf numFmtId="0" fontId="65" fillId="0" borderId="0" xfId="18" applyFont="1"/>
    <xf numFmtId="0" fontId="60" fillId="0" borderId="0" xfId="0" applyFont="1"/>
    <xf numFmtId="168" fontId="65" fillId="0" borderId="0" xfId="18" applyNumberFormat="1" applyFont="1" applyFill="1" applyAlignment="1">
      <alignment horizontal="left"/>
    </xf>
    <xf numFmtId="0" fontId="64" fillId="0" borderId="0" xfId="18" applyFont="1" applyFill="1" applyBorder="1" applyAlignment="1">
      <alignment vertical="center"/>
    </xf>
    <xf numFmtId="168" fontId="66" fillId="0" borderId="0" xfId="18" applyNumberFormat="1" applyFont="1" applyFill="1" applyAlignment="1">
      <alignment horizontal="left"/>
    </xf>
    <xf numFmtId="168" fontId="67" fillId="0" borderId="0" xfId="18" applyNumberFormat="1" applyFont="1" applyAlignment="1">
      <alignment horizontal="left" vertical="center"/>
    </xf>
    <xf numFmtId="0" fontId="64" fillId="0" borderId="0" xfId="18" applyFont="1" applyFill="1" applyBorder="1" applyAlignment="1">
      <alignment horizontal="left" vertical="center"/>
    </xf>
    <xf numFmtId="0" fontId="65" fillId="0" borderId="0" xfId="18" applyFont="1" applyAlignment="1">
      <alignment horizontal="left"/>
    </xf>
    <xf numFmtId="0" fontId="68" fillId="0" borderId="0" xfId="18" applyFont="1" applyAlignment="1">
      <alignment horizontal="left" vertical="center"/>
    </xf>
    <xf numFmtId="0" fontId="67" fillId="0" borderId="0" xfId="18" applyFont="1" applyAlignment="1">
      <alignment horizontal="left" vertical="center"/>
    </xf>
    <xf numFmtId="168" fontId="67" fillId="0" borderId="11" xfId="18" applyNumberFormat="1" applyFont="1" applyBorder="1" applyAlignment="1">
      <alignment horizontal="left" vertical="center"/>
    </xf>
    <xf numFmtId="168" fontId="69" fillId="0" borderId="0" xfId="18" applyNumberFormat="1" applyFont="1" applyAlignment="1">
      <alignment horizontal="left" vertical="center"/>
    </xf>
    <xf numFmtId="168" fontId="67" fillId="0" borderId="0" xfId="18" applyNumberFormat="1" applyFont="1" applyBorder="1" applyAlignment="1">
      <alignment horizontal="left" vertical="center"/>
    </xf>
    <xf numFmtId="0" fontId="70" fillId="0" borderId="0" xfId="0" applyFont="1"/>
    <xf numFmtId="0" fontId="46" fillId="0" borderId="0" xfId="18" applyFont="1"/>
    <xf numFmtId="0" fontId="71" fillId="11" borderId="0" xfId="18" applyFont="1" applyFill="1" applyAlignment="1">
      <alignment horizontal="right" vertical="center"/>
    </xf>
    <xf numFmtId="167" fontId="67" fillId="0" borderId="0" xfId="18" applyNumberFormat="1" applyFont="1" applyAlignment="1">
      <alignment horizontal="right" vertical="center"/>
    </xf>
    <xf numFmtId="0" fontId="64" fillId="0" borderId="7" xfId="18" applyFont="1" applyBorder="1" applyAlignment="1">
      <alignment horizontal="right" vertical="center"/>
    </xf>
    <xf numFmtId="166" fontId="73" fillId="10" borderId="0" xfId="16" applyFont="1" applyFill="1" applyAlignment="1">
      <alignment horizontal="right"/>
    </xf>
    <xf numFmtId="0" fontId="72" fillId="0" borderId="0" xfId="8" applyFont="1" applyAlignment="1">
      <alignment horizontal="right"/>
    </xf>
    <xf numFmtId="168" fontId="67" fillId="0" borderId="0" xfId="18" applyNumberFormat="1" applyFont="1" applyAlignment="1">
      <alignment horizontal="right" vertical="center"/>
    </xf>
    <xf numFmtId="168" fontId="69" fillId="0" borderId="0" xfId="18" applyNumberFormat="1" applyFont="1" applyAlignment="1">
      <alignment horizontal="right" vertical="center"/>
    </xf>
    <xf numFmtId="168" fontId="67" fillId="0" borderId="4" xfId="18" applyNumberFormat="1" applyFont="1" applyBorder="1" applyAlignment="1">
      <alignment horizontal="right" vertical="center"/>
    </xf>
    <xf numFmtId="0" fontId="65" fillId="0" borderId="0" xfId="18" applyFont="1" applyAlignment="1">
      <alignment horizontal="right"/>
    </xf>
    <xf numFmtId="0" fontId="65" fillId="0" borderId="0" xfId="0" applyFont="1" applyAlignment="1">
      <alignment horizontal="right"/>
    </xf>
    <xf numFmtId="0" fontId="74" fillId="0" borderId="0" xfId="18" applyFont="1" applyAlignment="1">
      <alignment vertical="center"/>
    </xf>
    <xf numFmtId="0" fontId="26" fillId="0" borderId="0" xfId="18" applyFont="1"/>
    <xf numFmtId="178" fontId="74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5" fillId="0" borderId="0" xfId="18" applyNumberFormat="1" applyFont="1" applyAlignment="1">
      <alignment horizontal="left"/>
    </xf>
    <xf numFmtId="0" fontId="76" fillId="0" borderId="11" xfId="0" applyFont="1" applyFill="1" applyBorder="1" applyAlignment="1"/>
    <xf numFmtId="166" fontId="75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7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9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80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81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7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2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3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80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185" fontId="21" fillId="0" borderId="8" xfId="22" applyNumberFormat="1" applyAlignment="1">
      <alignment horizontal="center"/>
    </xf>
    <xf numFmtId="0" fontId="18" fillId="16" borderId="0" xfId="20" applyFill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0" fontId="89" fillId="0" borderId="0" xfId="20" applyFont="1"/>
    <xf numFmtId="194" fontId="90" fillId="0" borderId="0" xfId="20" applyNumberFormat="1" applyFont="1" applyAlignment="1">
      <alignment horizontal="left"/>
    </xf>
    <xf numFmtId="0" fontId="91" fillId="0" borderId="0" xfId="20" applyFont="1"/>
    <xf numFmtId="195" fontId="92" fillId="10" borderId="0" xfId="16" applyNumberFormat="1" applyFont="1" applyFill="1" applyAlignment="1">
      <alignment horizontal="right"/>
    </xf>
    <xf numFmtId="195" fontId="93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96" fontId="25" fillId="8" borderId="0" xfId="16" applyNumberFormat="1" applyFont="1" applyFill="1"/>
    <xf numFmtId="166" fontId="25" fillId="8" borderId="0" xfId="16" applyFont="1" applyFill="1" applyAlignment="1">
      <alignment horizontal="left"/>
    </xf>
    <xf numFmtId="0" fontId="94" fillId="0" borderId="0" xfId="18" applyFont="1"/>
    <xf numFmtId="196" fontId="15" fillId="0" borderId="0" xfId="18" applyNumberFormat="1"/>
    <xf numFmtId="0" fontId="24" fillId="17" borderId="0" xfId="18" applyFont="1" applyFill="1" applyAlignment="1">
      <alignment vertical="center"/>
    </xf>
    <xf numFmtId="196" fontId="24" fillId="17" borderId="0" xfId="18" applyNumberFormat="1" applyFont="1" applyFill="1" applyAlignment="1">
      <alignment vertical="center"/>
    </xf>
    <xf numFmtId="0" fontId="24" fillId="17" borderId="0" xfId="18" applyFont="1" applyFill="1" applyAlignment="1">
      <alignment horizontal="left" vertical="center"/>
    </xf>
    <xf numFmtId="0" fontId="67" fillId="0" borderId="0" xfId="34" applyFont="1"/>
    <xf numFmtId="196" fontId="67" fillId="0" borderId="0" xfId="34" applyNumberFormat="1" applyFont="1"/>
    <xf numFmtId="0" fontId="67" fillId="0" borderId="0" xfId="34" applyFont="1" applyAlignment="1">
      <alignment horizontal="left"/>
    </xf>
    <xf numFmtId="0" fontId="15" fillId="8" borderId="0" xfId="18" applyFill="1"/>
    <xf numFmtId="0" fontId="56" fillId="8" borderId="0" xfId="18" applyFont="1" applyFill="1"/>
    <xf numFmtId="0" fontId="57" fillId="8" borderId="0" xfId="18" applyFont="1" applyFill="1"/>
    <xf numFmtId="197" fontId="15" fillId="2" borderId="0" xfId="18" applyNumberFormat="1" applyFill="1"/>
    <xf numFmtId="0" fontId="96" fillId="0" borderId="0" xfId="18" applyFont="1"/>
    <xf numFmtId="197" fontId="15" fillId="0" borderId="0" xfId="18" applyNumberFormat="1"/>
    <xf numFmtId="0" fontId="15" fillId="18" borderId="0" xfId="18" applyFill="1" applyAlignment="1">
      <alignment horizontal="right"/>
    </xf>
    <xf numFmtId="0" fontId="57" fillId="8" borderId="0" xfId="18" applyFont="1" applyFill="1" applyAlignment="1">
      <alignment horizontal="right"/>
    </xf>
    <xf numFmtId="198" fontId="15" fillId="2" borderId="0" xfId="31" applyNumberFormat="1" applyFont="1" applyFill="1"/>
    <xf numFmtId="197" fontId="15" fillId="2" borderId="0" xfId="32" applyNumberFormat="1" applyFont="1" applyFill="1"/>
    <xf numFmtId="0" fontId="97" fillId="0" borderId="0" xfId="18" applyFont="1"/>
    <xf numFmtId="197" fontId="15" fillId="0" borderId="0" xfId="32" applyNumberFormat="1" applyFont="1"/>
    <xf numFmtId="197" fontId="15" fillId="0" borderId="0" xfId="32" applyNumberFormat="1" applyFont="1" applyAlignment="1">
      <alignment horizontal="left"/>
    </xf>
    <xf numFmtId="196" fontId="34" fillId="0" borderId="0" xfId="18" applyNumberFormat="1" applyFont="1"/>
    <xf numFmtId="197" fontId="34" fillId="0" borderId="0" xfId="32" applyNumberFormat="1" applyFont="1"/>
    <xf numFmtId="0" fontId="98" fillId="0" borderId="0" xfId="18" applyFont="1"/>
    <xf numFmtId="0" fontId="98" fillId="0" borderId="0" xfId="18" applyFont="1" applyAlignment="1">
      <alignment horizontal="right"/>
    </xf>
    <xf numFmtId="197" fontId="98" fillId="0" borderId="0" xfId="32" applyNumberFormat="1" applyFont="1"/>
    <xf numFmtId="197" fontId="15" fillId="0" borderId="0" xfId="35" applyNumberFormat="1" applyFont="1" applyFill="1" applyBorder="1"/>
    <xf numFmtId="197" fontId="15" fillId="0" borderId="0" xfId="35" applyNumberFormat="1" applyFont="1" applyFill="1"/>
    <xf numFmtId="0" fontId="17" fillId="0" borderId="0" xfId="18" applyFont="1" applyAlignment="1">
      <alignment horizontal="right"/>
    </xf>
    <xf numFmtId="199" fontId="15" fillId="0" borderId="0" xfId="18" applyNumberFormat="1"/>
    <xf numFmtId="9" fontId="15" fillId="2" borderId="0" xfId="33" applyFont="1" applyFill="1"/>
    <xf numFmtId="44" fontId="15" fillId="0" borderId="0" xfId="18" applyNumberFormat="1"/>
    <xf numFmtId="199" fontId="15" fillId="2" borderId="0" xfId="18" applyNumberFormat="1" applyFill="1"/>
    <xf numFmtId="9" fontId="34" fillId="2" borderId="0" xfId="18" applyNumberFormat="1" applyFont="1" applyFill="1"/>
    <xf numFmtId="0" fontId="34" fillId="0" borderId="0" xfId="18" applyFont="1" applyAlignment="1">
      <alignment horizontal="right"/>
    </xf>
    <xf numFmtId="168" fontId="65" fillId="0" borderId="0" xfId="18" quotePrefix="1" applyNumberFormat="1" applyFont="1" applyFill="1" applyAlignment="1">
      <alignment horizontal="left"/>
    </xf>
    <xf numFmtId="0" fontId="15" fillId="0" borderId="0" xfId="18" applyFill="1"/>
    <xf numFmtId="0" fontId="21" fillId="0" borderId="8" xfId="22" applyNumberFormat="1">
      <alignment horizontal="right"/>
    </xf>
    <xf numFmtId="197" fontId="21" fillId="0" borderId="8" xfId="22" applyNumberFormat="1">
      <alignment horizontal="right"/>
    </xf>
    <xf numFmtId="198" fontId="21" fillId="0" borderId="8" xfId="22" applyNumberFormat="1">
      <alignment horizontal="right"/>
    </xf>
    <xf numFmtId="0" fontId="27" fillId="2" borderId="0" xfId="23" applyNumberFormat="1" applyAlignment="1">
      <alignment horizontal="right"/>
    </xf>
    <xf numFmtId="198" fontId="27" fillId="2" borderId="0" xfId="23" applyNumberFormat="1"/>
    <xf numFmtId="9" fontId="27" fillId="2" borderId="0" xfId="23" applyNumberFormat="1"/>
    <xf numFmtId="3" fontId="15" fillId="0" borderId="0" xfId="18" applyNumberFormat="1"/>
    <xf numFmtId="0" fontId="27" fillId="2" borderId="0" xfId="18" applyFont="1" applyFill="1" applyAlignment="1">
      <alignment horizontal="left"/>
    </xf>
    <xf numFmtId="167" fontId="27" fillId="2" borderId="8" xfId="18" applyNumberFormat="1" applyFont="1" applyFill="1" applyBorder="1" applyAlignment="1">
      <alignment horizontal="right" vertical="center"/>
    </xf>
    <xf numFmtId="0" fontId="27" fillId="2" borderId="0" xfId="18" applyFont="1" applyFill="1" applyAlignment="1">
      <alignment horizontal="left"/>
    </xf>
    <xf numFmtId="167" fontId="27" fillId="2" borderId="8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0" fontId="27" fillId="2" borderId="0" xfId="18" applyFont="1" applyFill="1" applyAlignment="1">
      <alignment horizontal="left"/>
    </xf>
    <xf numFmtId="177" fontId="34" fillId="2" borderId="0" xfId="18" applyNumberFormat="1" applyFont="1" applyFill="1" applyBorder="1" applyAlignment="1">
      <alignment horizontal="right" vertical="center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88" fillId="0" borderId="0" xfId="20" applyNumberFormat="1" applyFont="1" applyAlignment="1">
      <alignment horizontal="left"/>
    </xf>
  </cellXfs>
  <cellStyles count="88">
    <cellStyle name="20% - Accent1 2" xfId="57" xr:uid="{9A2E55C0-6611-43C9-AE88-2B38858268E2}"/>
    <cellStyle name="20% - Accent2 2" xfId="61" xr:uid="{1D3FE3E6-1C31-46DD-8371-22DFEA99171A}"/>
    <cellStyle name="20% - Accent3 2" xfId="65" xr:uid="{7A33975A-D280-46D7-92EB-E9718211148D}"/>
    <cellStyle name="20% - Accent4 2" xfId="69" xr:uid="{98C609C6-6C56-423A-8893-4FE596436A3D}"/>
    <cellStyle name="20% - Accent5 2" xfId="73" xr:uid="{D1B1ED05-19DB-461F-9816-53428E3A0BA6}"/>
    <cellStyle name="20% - Accent6 2" xfId="77" xr:uid="{AF79ABF0-DDA9-4AEE-99F2-C6BF1B80F643}"/>
    <cellStyle name="40% - Accent1 2" xfId="58" xr:uid="{C4245309-8706-4CDE-AD1E-5DC90991B37C}"/>
    <cellStyle name="40% - Accent2 2" xfId="62" xr:uid="{0557A0D7-F439-4286-9492-3AC24A5B3B5B}"/>
    <cellStyle name="40% - Accent3 2" xfId="66" xr:uid="{322CD496-E1CA-4BBD-A525-4E0DF03F4D83}"/>
    <cellStyle name="40% - Accent4 2" xfId="70" xr:uid="{7DFCF89D-EDA5-45F4-9F71-2A0CF37BB114}"/>
    <cellStyle name="40% - Accent5 2" xfId="74" xr:uid="{60B94E99-6D7C-43E9-88FF-DA281B039887}"/>
    <cellStyle name="40% - Accent6 2" xfId="78" xr:uid="{FEFD0647-7FAE-458C-84D9-C354DFC72945}"/>
    <cellStyle name="60% - Accent1 2" xfId="59" xr:uid="{681F2CA7-BD2E-43CE-B7D4-9780707191E9}"/>
    <cellStyle name="60% - Accent2 2" xfId="63" xr:uid="{D559B890-2EFC-4636-BE68-A735C799F487}"/>
    <cellStyle name="60% - Accent3 2" xfId="67" xr:uid="{68F34156-3589-4F68-A19A-8E9F18D2581F}"/>
    <cellStyle name="60% - Accent4 2" xfId="71" xr:uid="{B7D1BF33-5EE3-477F-A6C3-584C5AF57AC8}"/>
    <cellStyle name="60% - Accent5 2" xfId="75" xr:uid="{205D8299-9FA1-452D-8B54-32C34555B7CE}"/>
    <cellStyle name="60% - Accent6 2" xfId="79" xr:uid="{8D279D46-17F6-4A16-B956-EAEB40AE6CDB}"/>
    <cellStyle name="Accent1 2" xfId="56" xr:uid="{90AD3D1A-FFD6-466E-908E-BAC3279872B0}"/>
    <cellStyle name="Accent2 2" xfId="60" xr:uid="{DF71868C-520B-44F1-9FB6-63FC8DEAED93}"/>
    <cellStyle name="Accent3 2" xfId="64" xr:uid="{7F1F0ADF-784A-47DC-918B-23F3BB33B0D8}"/>
    <cellStyle name="Accent4 2" xfId="68" xr:uid="{F92072A0-E40A-4FE0-828A-1EC98FA0F21D}"/>
    <cellStyle name="Accent5 2" xfId="72" xr:uid="{ABB376C2-5DFA-4087-9C1D-F18C0726DD7F}"/>
    <cellStyle name="Accent6 2" xfId="76" xr:uid="{D5709BB5-340A-4484-A700-AAE4643CAE43}"/>
    <cellStyle name="Assumption" xfId="23" xr:uid="{E21B85CB-AE39-493C-90CF-A6033D394DF7}"/>
    <cellStyle name="Bad 2" xfId="47" xr:uid="{141D9F6A-3FE5-425B-B537-057229195C9D}"/>
    <cellStyle name="Base_Input" xfId="12" xr:uid="{00000000-0005-0000-0000-000000000000}"/>
    <cellStyle name="Calculation 2" xfId="51" xr:uid="{0F071A88-C3E8-4289-8F71-28576B796F0C}"/>
    <cellStyle name="Check Cell 2" xfId="53" xr:uid="{8A8354C2-0E0D-45CE-A85B-E85A6B0ADF45}"/>
    <cellStyle name="Comma" xfId="31" builtinId="3"/>
    <cellStyle name="Comma [0] 2" xfId="3" xr:uid="{00000000-0005-0000-0000-000002000000}"/>
    <cellStyle name="Comma 2" xfId="30" xr:uid="{50BDA386-AB13-404C-8C84-0EDF43721243}"/>
    <cellStyle name="Comma 3" xfId="85" xr:uid="{0A730D1B-7FA7-4772-9E5B-F4380362416A}"/>
    <cellStyle name="Comma 4" xfId="86" xr:uid="{603F33C6-C576-4DE8-96AF-E1A4761595C8}"/>
    <cellStyle name="Comma 5" xfId="87" xr:uid="{1D7D1F38-F817-4CCE-A82D-BD10A0C31251}"/>
    <cellStyle name="Currency" xfId="32" builtinId="4"/>
    <cellStyle name="Currency 2" xfId="38" xr:uid="{5822BCED-12AE-4C05-AF70-8ECC35D1719E}"/>
    <cellStyle name="Currency 2 2" xfId="29" xr:uid="{F29057D5-5718-441F-8CAD-00B1D320E1EF}"/>
    <cellStyle name="Currency 3" xfId="35" xr:uid="{7CB822DB-A8C3-4E70-8095-312184FDC55F}"/>
    <cellStyle name="Currency 3 2" xfId="84" xr:uid="{F5E5A126-4382-4EFE-A30A-5917BBE46BAD}"/>
    <cellStyle name="Currency 4" xfId="83" xr:uid="{37F74A57-0078-4C20-B0F5-D655F606D81C}"/>
    <cellStyle name="Empty_Cell" xfId="9" xr:uid="{00000000-0005-0000-0000-000004000000}"/>
    <cellStyle name="Explanatory Text" xfId="1" builtinId="53" customBuiltin="1"/>
    <cellStyle name="Explanatory Text 2" xfId="82" xr:uid="{66AF5675-286D-426E-ADB0-A42E1A77BF36}"/>
    <cellStyle name="Fixed_input" xfId="24" xr:uid="{0B0B930C-107A-4F05-8A3E-C5F6EECE17A8}"/>
    <cellStyle name="Flag" xfId="4" xr:uid="{00000000-0005-0000-0000-000006000000}"/>
    <cellStyle name="Good 2" xfId="46" xr:uid="{673EF580-50ED-490B-BBD9-678E9B4A306D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Heading 1 2" xfId="42" xr:uid="{014A1D0D-91FC-44D3-B6F0-04D73080DBCC}"/>
    <cellStyle name="Heading 2 2" xfId="43" xr:uid="{976DA48D-5937-4C07-8D87-31CA8F5D7D7D}"/>
    <cellStyle name="Heading 3 2" xfId="44" xr:uid="{1B1F2BE0-11CB-46D0-AFEF-AF943355A100}"/>
    <cellStyle name="Heading 4 2" xfId="45" xr:uid="{F06B0E94-D685-4AC9-B10C-1B0AE78E1215}"/>
    <cellStyle name="Input 2" xfId="49" xr:uid="{39E09F59-568E-4F51-A2DA-6050A6A7FE95}"/>
    <cellStyle name="Insheet" xfId="6" xr:uid="{00000000-0005-0000-0000-00000D000000}"/>
    <cellStyle name="Line_SubTotal" xfId="7" xr:uid="{00000000-0005-0000-0000-00000E000000}"/>
    <cellStyle name="Linked Cell 2" xfId="52" xr:uid="{953CE3EC-EC5E-48AB-99EF-2C2392995E2E}"/>
    <cellStyle name="Neutral 2" xfId="48" xr:uid="{342A716A-AEC6-4624-85DF-5382C24B1DAC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4" xfId="34" xr:uid="{48B8949C-927B-4407-B885-796B6DA7C5A5}"/>
    <cellStyle name="Normal 5" xfId="39" xr:uid="{EA5EFA95-0F19-4997-BEFD-D99FAE87620A}"/>
    <cellStyle name="Normal 6" xfId="40" xr:uid="{967D9695-F271-4BBC-B3B5-DBD0D21643C0}"/>
    <cellStyle name="Normal 7" xfId="80" xr:uid="{BF671258-F7A3-400C-AAC8-C1B956E86D73}"/>
    <cellStyle name="Normal 8" xfId="28" xr:uid="{A72DEBFF-D704-40A2-B10B-0D568324BDB3}"/>
    <cellStyle name="Note 2" xfId="81" xr:uid="{39C21213-A21B-4B79-B2E7-4D4533A1F507}"/>
    <cellStyle name="Offsheet" xfId="10" xr:uid="{00000000-0005-0000-0000-000012000000}"/>
    <cellStyle name="Output 2" xfId="50" xr:uid="{66217FB2-5B84-4DA7-B893-104C64A0B92A}"/>
    <cellStyle name="Percent" xfId="33" builtinId="5"/>
    <cellStyle name="Percent 2" xfId="19" xr:uid="{39961233-90E2-46DE-A48A-52E8009F685E}"/>
    <cellStyle name="Percent 2 2" xfId="27" xr:uid="{E4F6E093-BFA5-41AA-B689-F440D86C5D1D}"/>
    <cellStyle name="Percent 3" xfId="37" xr:uid="{4CC94FC5-5202-462D-8871-B6B596F077B7}"/>
    <cellStyle name="Percent 4" xfId="41" xr:uid="{490611EE-CA2D-4158-88EA-A36AFBB8FEAE}"/>
    <cellStyle name="Result" xfId="22" xr:uid="{6557DBFB-C674-4413-A044-F9C12EE60C25}"/>
    <cellStyle name="Table_Heading" xfId="11" xr:uid="{00000000-0005-0000-0000-000013000000}"/>
    <cellStyle name="Title" xfId="36" builtinId="15" customBuiltin="1"/>
    <cellStyle name="Total 2" xfId="55" xr:uid="{001491F0-4008-4595-A975-662F19FE218E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  <cellStyle name="Warning Text 2" xfId="54" xr:uid="{F6971B1E-ED43-480C-B083-01BF8077C647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0.996740911818358</c:v>
                </c:pt>
                <c:pt idx="1">
                  <c:v>0.996740911818358</c:v>
                </c:pt>
                <c:pt idx="2">
                  <c:v>0.996740911818358</c:v>
                </c:pt>
                <c:pt idx="3">
                  <c:v>0.996740911818358</c:v>
                </c:pt>
                <c:pt idx="4">
                  <c:v>0.996740911818358</c:v>
                </c:pt>
                <c:pt idx="5">
                  <c:v>0.996740911818358</c:v>
                </c:pt>
                <c:pt idx="6">
                  <c:v>0.996740911818358</c:v>
                </c:pt>
                <c:pt idx="7">
                  <c:v>0.996740911818358</c:v>
                </c:pt>
                <c:pt idx="8">
                  <c:v>0.996740911818358</c:v>
                </c:pt>
                <c:pt idx="9">
                  <c:v>0.996740911818358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2.8296422232395506</c:v>
                </c:pt>
                <c:pt idx="1">
                  <c:v>2.8296422232395506</c:v>
                </c:pt>
                <c:pt idx="2">
                  <c:v>2.8296422232395506</c:v>
                </c:pt>
                <c:pt idx="3">
                  <c:v>2.8296422232395506</c:v>
                </c:pt>
                <c:pt idx="4">
                  <c:v>2.8296422232395506</c:v>
                </c:pt>
                <c:pt idx="5">
                  <c:v>2.8296422232395506</c:v>
                </c:pt>
                <c:pt idx="6">
                  <c:v>2.8296422232395506</c:v>
                </c:pt>
                <c:pt idx="7">
                  <c:v>2.8296422232395506</c:v>
                </c:pt>
                <c:pt idx="8">
                  <c:v>2.8296422232395506</c:v>
                </c:pt>
                <c:pt idx="9">
                  <c:v>2.8296422232395506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</xdr:row>
      <xdr:rowOff>19050</xdr:rowOff>
    </xdr:from>
    <xdr:to>
      <xdr:col>10</xdr:col>
      <xdr:colOff>247650</xdr:colOff>
      <xdr:row>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B0DFB7-A4DA-8835-9143-74793CE3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95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2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4" sqref="A34"/>
    </sheetView>
  </sheetViews>
  <sheetFormatPr defaultColWidth="0" defaultRowHeight="15" customHeight="1" zeroHeight="1" x14ac:dyDescent="0.25"/>
  <cols>
    <col min="1" max="1" width="8" style="130" customWidth="1"/>
    <col min="2" max="2" width="1.875" style="130" customWidth="1"/>
    <col min="3" max="3" width="14" style="130" customWidth="1"/>
    <col min="4" max="4" width="8" style="130" customWidth="1"/>
    <col min="5" max="5" width="9.375" style="130" customWidth="1"/>
    <col min="6" max="11" width="8" style="130" customWidth="1"/>
    <col min="12" max="19" width="8" style="130" hidden="1" customWidth="1"/>
    <col min="20" max="16384" width="0" style="130" hidden="1"/>
  </cols>
  <sheetData>
    <row r="1" spans="1:19" x14ac:dyDescent="0.25">
      <c r="A1" s="315"/>
    </row>
    <row r="2" spans="1:19" ht="23.25" x14ac:dyDescent="0.35">
      <c r="A2" s="315"/>
      <c r="C2" s="316" t="s">
        <v>3</v>
      </c>
      <c r="D2" s="317"/>
      <c r="E2" s="317"/>
    </row>
    <row r="3" spans="1:19" ht="15.75" x14ac:dyDescent="0.25">
      <c r="A3" s="315"/>
      <c r="C3" s="318" t="s">
        <v>242</v>
      </c>
      <c r="D3" s="317"/>
      <c r="E3" s="317"/>
    </row>
    <row r="4" spans="1:19" x14ac:dyDescent="0.25">
      <c r="A4" s="315"/>
      <c r="D4" s="317"/>
      <c r="E4" s="317"/>
    </row>
    <row r="5" spans="1:19" x14ac:dyDescent="0.25">
      <c r="A5" s="315"/>
      <c r="C5" s="319" t="s">
        <v>290</v>
      </c>
    </row>
    <row r="6" spans="1:19" x14ac:dyDescent="0.25">
      <c r="A6" s="315"/>
      <c r="C6" s="320" t="s">
        <v>243</v>
      </c>
      <c r="D6" s="392">
        <v>3.1</v>
      </c>
      <c r="E6" s="320"/>
    </row>
    <row r="7" spans="1:19" x14ac:dyDescent="0.25">
      <c r="A7" s="315"/>
      <c r="F7" s="321"/>
      <c r="G7" s="321"/>
      <c r="H7" s="321"/>
      <c r="J7" s="321"/>
      <c r="K7" s="321"/>
      <c r="L7" s="321"/>
      <c r="M7" s="321"/>
      <c r="N7" s="321"/>
      <c r="O7" s="321"/>
      <c r="P7" s="321"/>
      <c r="Q7" s="321"/>
      <c r="R7" s="321"/>
      <c r="S7" s="321"/>
    </row>
    <row r="8" spans="1:19" x14ac:dyDescent="0.25">
      <c r="A8" s="315"/>
      <c r="C8" s="322">
        <v>45688</v>
      </c>
      <c r="F8" s="321"/>
      <c r="G8" s="321"/>
      <c r="H8" s="321"/>
      <c r="J8" s="321"/>
      <c r="K8" s="321"/>
      <c r="L8" s="321"/>
      <c r="M8" s="321"/>
      <c r="N8" s="321"/>
      <c r="O8" s="321"/>
      <c r="P8" s="321"/>
      <c r="Q8" s="321"/>
      <c r="R8" s="321"/>
      <c r="S8" s="321"/>
    </row>
    <row r="9" spans="1:19" x14ac:dyDescent="0.25">
      <c r="A9" s="315"/>
      <c r="C9" s="323"/>
      <c r="D9" s="323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</row>
    <row r="10" spans="1:19" x14ac:dyDescent="0.25">
      <c r="A10" s="315"/>
      <c r="C10" s="323"/>
      <c r="D10" s="323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</row>
    <row r="11" spans="1:19" x14ac:dyDescent="0.25">
      <c r="A11" s="315"/>
      <c r="C11" s="323"/>
      <c r="D11" s="323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</row>
    <row r="12" spans="1:19" x14ac:dyDescent="0.25">
      <c r="A12" s="315"/>
      <c r="C12" s="323"/>
      <c r="D12" s="323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</row>
    <row r="13" spans="1:19" x14ac:dyDescent="0.25">
      <c r="A13" s="315"/>
      <c r="C13" s="323"/>
      <c r="D13" s="323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</row>
    <row r="14" spans="1:19" x14ac:dyDescent="0.25">
      <c r="A14" s="315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</row>
    <row r="15" spans="1:19" x14ac:dyDescent="0.25">
      <c r="A15" s="315"/>
      <c r="C15" s="319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</row>
    <row r="16" spans="1:19" x14ac:dyDescent="0.25">
      <c r="A16" s="315"/>
      <c r="C16" s="319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</row>
    <row r="17" spans="1:19" x14ac:dyDescent="0.25">
      <c r="A17" s="315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</row>
    <row r="18" spans="1:19" x14ac:dyDescent="0.25">
      <c r="A18" s="315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</row>
    <row r="19" spans="1:19" x14ac:dyDescent="0.25">
      <c r="A19" s="315"/>
      <c r="C19" s="321"/>
      <c r="D19" s="321"/>
      <c r="E19" s="321"/>
      <c r="F19" s="321"/>
      <c r="G19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</row>
    <row r="20" spans="1:19" x14ac:dyDescent="0.25">
      <c r="A20" s="315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</row>
    <row r="21" spans="1:19" x14ac:dyDescent="0.25">
      <c r="A21" s="315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</row>
    <row r="22" spans="1:19" x14ac:dyDescent="0.25">
      <c r="A22" s="315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</row>
    <row r="23" spans="1:19" x14ac:dyDescent="0.25">
      <c r="A23" s="315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</row>
    <row r="24" spans="1:19" x14ac:dyDescent="0.25">
      <c r="A24" s="315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</row>
    <row r="25" spans="1:19" x14ac:dyDescent="0.25">
      <c r="A25" s="315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</row>
    <row r="26" spans="1:19" x14ac:dyDescent="0.25">
      <c r="A26" s="315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</row>
    <row r="27" spans="1:19" x14ac:dyDescent="0.25">
      <c r="A27" s="315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</row>
    <row r="28" spans="1:19" x14ac:dyDescent="0.25">
      <c r="A28" s="315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</row>
    <row r="29" spans="1:19" x14ac:dyDescent="0.25">
      <c r="A29" s="315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</row>
    <row r="30" spans="1:19" x14ac:dyDescent="0.25">
      <c r="A30" s="315"/>
      <c r="C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</row>
    <row r="31" spans="1:19" x14ac:dyDescent="0.25">
      <c r="A31" s="315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</row>
    <row r="32" spans="1:19" x14ac:dyDescent="0.25">
      <c r="A32" s="315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</row>
    <row r="33" spans="1:19" x14ac:dyDescent="0.25">
      <c r="A33" s="315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</row>
    <row r="34" spans="1:19" x14ac:dyDescent="0.25">
      <c r="A34" s="315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</row>
    <row r="35" spans="1:19" x14ac:dyDescent="0.25">
      <c r="A35" s="315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</row>
    <row r="36" spans="1:19" x14ac:dyDescent="0.25">
      <c r="A36" s="315"/>
    </row>
    <row r="37" spans="1:19" x14ac:dyDescent="0.25">
      <c r="A37" s="315"/>
    </row>
    <row r="38" spans="1:19" x14ac:dyDescent="0.25">
      <c r="A38" s="315"/>
    </row>
    <row r="39" spans="1:19" x14ac:dyDescent="0.25">
      <c r="A39" s="315"/>
    </row>
    <row r="40" spans="1:19" x14ac:dyDescent="0.25">
      <c r="A40" s="315">
        <f ca="1">_xlfn.SHEETS()</f>
        <v>14</v>
      </c>
    </row>
    <row r="41" spans="1:19" x14ac:dyDescent="0.25">
      <c r="A41" s="3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Horsham REFCL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6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4" t="s">
        <v>190</v>
      </c>
      <c r="H7" s="154" t="s">
        <v>191</v>
      </c>
      <c r="I7" s="154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7">
        <f>output_dollars</f>
        <v>46203</v>
      </c>
      <c r="H8" s="187">
        <f>output_dollars</f>
        <v>46203</v>
      </c>
      <c r="I8" s="187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82" t="str">
        <f>INDEX(Assumptions!$E$14:$E$18, MATCH(C9, Assumptions!$C$14:$C$18,0))</f>
        <v>No change to existing practices</v>
      </c>
      <c r="E9" s="383"/>
      <c r="F9" s="383"/>
      <c r="G9" s="102">
        <f>IF(Data!$C9, "", INDEX(Consol!$F$15:$F$82, MATCH($C9&amp;G$7, Consol!$D$15:$D$82,0))/mill_conv)</f>
        <v>0</v>
      </c>
      <c r="H9" s="102">
        <f>IF(Data!$C9, "", INDEX(Consol!$F$15:$F$82, MATCH($C9&amp;H$7, Consol!$D$15:$D$82,0))/mill_conv)</f>
        <v>0</v>
      </c>
      <c r="I9" s="102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84" t="str">
        <f>INDEX(Assumptions!$E$14:$E$18, MATCH(C10, Assumptions!$C$14:$C$18,0))</f>
        <v>Install Single REFCL at HSM ZSS in 2029-30</v>
      </c>
      <c r="E10" s="385"/>
      <c r="F10" s="385"/>
      <c r="G10" s="102">
        <f>IF(Data!$C10, "", INDEX(Consol!$F$15:$F$82, MATCH($C10&amp;G$7, Consol!$D$15:$D$82,0))/mill_conv)</f>
        <v>-11.688103850808785</v>
      </c>
      <c r="H10" s="102">
        <f>IF(Data!$C10, "", INDEX(Consol!$F$15:$F$82, MATCH($C10&amp;H$7, Consol!$D$15:$D$82,0))/mill_conv)</f>
        <v>15.06841945926484</v>
      </c>
      <c r="I10" s="102">
        <f>IF(Data!$C10, "", INDEX(Consol!$F$15:$F$82, MATCH($C10&amp;I$7, Consol!$D$15:$D$82,0))/mill_conv)</f>
        <v>3.3803156084560544</v>
      </c>
    </row>
    <row r="11" spans="1:13" s="7" customFormat="1" ht="12.75" x14ac:dyDescent="0.2">
      <c r="C11" s="91" t="str">
        <v>Option 3</v>
      </c>
      <c r="D11" s="384" t="str">
        <f>INDEX(Assumptions!$E$14:$E$18, MATCH(C11, Assumptions!$C$14:$C$18,0))</f>
        <v>Install covered conductor for HSM feeders</v>
      </c>
      <c r="E11" s="385"/>
      <c r="F11" s="385"/>
      <c r="G11" s="102">
        <f>IF(Data!$C11, "", INDEX(Consol!$F$15:$F$82, MATCH($C11&amp;G$7, Consol!$D$15:$D$82,0))/mill_conv)</f>
        <v>-149.91711370906575</v>
      </c>
      <c r="H11" s="102">
        <f>IF(Data!$C11, "", INDEX(Consol!$F$15:$F$82, MATCH($C11&amp;H$7, Consol!$D$15:$D$82,0))/mill_conv)</f>
        <v>33.947964809203803</v>
      </c>
      <c r="I11" s="102">
        <f>IF(Data!$C11, "", INDEX(Consol!$F$15:$F$82, MATCH($C11&amp;I$7, Consol!$D$15:$D$82,0))/mill_conv)</f>
        <v>-115.96914889986192</v>
      </c>
    </row>
    <row r="12" spans="1:13" s="7" customFormat="1" ht="12.75" x14ac:dyDescent="0.2">
      <c r="C12" s="91" t="str">
        <v>Option 4</v>
      </c>
      <c r="D12" s="384" t="str">
        <f>INDEX(Assumptions!$E$14:$E$18, MATCH(C12, Assumptions!$C$14:$C$18,0))</f>
        <v>Install three REFCLs (one per Tx) at HSM ZSS in 2029-30</v>
      </c>
      <c r="E12" s="385"/>
      <c r="F12" s="385"/>
      <c r="G12" s="102">
        <f>IF(Data!$C12, "", INDEX(Consol!$F$15:$F$82, MATCH($C12&amp;G$7, Consol!$D$15:$D$82,0))/mill_conv)</f>
        <v>-14.253935819592279</v>
      </c>
      <c r="H12" s="102">
        <f>IF(Data!$C12, "", INDEX(Consol!$F$15:$F$82, MATCH($C12&amp;H$7, Consol!$D$15:$D$82,0))/mill_conv)</f>
        <v>16.150569805561428</v>
      </c>
      <c r="I12" s="102">
        <f>IF(Data!$C12, "", INDEX(Consol!$F$15:$F$82, MATCH($C12&amp;I$7, Consol!$D$15:$D$82,0))/mill_conv)</f>
        <v>1.8966339859691443</v>
      </c>
    </row>
    <row r="13" spans="1:13" s="7" customFormat="1" ht="12.75" x14ac:dyDescent="0.2">
      <c r="C13" s="91" t="str">
        <v>Option 5</v>
      </c>
      <c r="D13" s="384">
        <f>INDEX(Assumptions!$E$14:$E$18, MATCH(C13, Assumptions!$C$14:$C$18,0))</f>
        <v>0</v>
      </c>
      <c r="E13" s="385"/>
      <c r="F13" s="385"/>
      <c r="G13" s="102" t="str">
        <f>IF(Data!$C13, "", INDEX(Consol!$F$15:$F$82, MATCH($C13&amp;G$7, Consol!$D$15:$D$82,0))/mill_conv)</f>
        <v/>
      </c>
      <c r="H13" s="102" t="str">
        <f>IF(Data!$C13, "", INDEX(Consol!$F$15:$F$82, MATCH($C13&amp;H$7, Consol!$D$15:$D$82,0))/mill_conv)</f>
        <v/>
      </c>
      <c r="I13" s="102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51"/>
      <c r="E14" s="251"/>
      <c r="F14" s="245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4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7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81" t="str">
        <f>INDEX($D$9:$D$13,MATCH(G18, $I$9:$I$13,0))</f>
        <v>Install Single REFCL at HSM ZSS in 2029-30</v>
      </c>
      <c r="E18" s="381"/>
      <c r="F18" s="381"/>
      <c r="G18" s="103">
        <f>_xlfn.MAXIFS(I9:I13, IF(compliance, Data!$F$9:$F$13, Data!$C$9:$C$13),FALSE)</f>
        <v>3.3803156084560544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3">
        <f>output_dollars</f>
        <v>46203</v>
      </c>
      <c r="E29" s="188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142</v>
      </c>
    </row>
    <row r="30" spans="1:13" s="8" customFormat="1" ht="12.75" x14ac:dyDescent="0.2">
      <c r="C30" s="4" t="s">
        <v>30</v>
      </c>
      <c r="F30" s="104">
        <f>-INDEX(Consol!I$15:I$82,MATCH($C$26&amp;$C30,Consol!$D$15:$D$82,0))/mill_conv</f>
        <v>0</v>
      </c>
      <c r="G30" s="104">
        <f>-INDEX(Consol!J$15:J$82,MATCH($C$26&amp;$C30,Consol!$D$15:$D$82,0))/mill_conv</f>
        <v>0</v>
      </c>
      <c r="H30" s="104">
        <f>-INDEX(Consol!K$15:K$82,MATCH($C$26&amp;$C30,Consol!$D$15:$D$82,0))/mill_conv</f>
        <v>0</v>
      </c>
      <c r="I30" s="104">
        <f>-INDEX(Consol!L$15:L$82,MATCH($C$26&amp;$C30,Consol!$D$15:$D$82,0))/mill_conv</f>
        <v>9.166052056763208</v>
      </c>
      <c r="J30" s="104">
        <f>-INDEX(Consol!M$15:M$82,MATCH($C$26&amp;$C30,Consol!$D$15:$D$82,0))/mill_conv</f>
        <v>9.166052056763208</v>
      </c>
      <c r="K30" s="189"/>
      <c r="L30" s="189">
        <f>SUM(F30:J30)</f>
        <v>18.332104113526416</v>
      </c>
    </row>
    <row r="31" spans="1:13" s="8" customFormat="1" ht="12.75" x14ac:dyDescent="0.2">
      <c r="C31" s="4" t="s">
        <v>31</v>
      </c>
      <c r="D31" s="28"/>
      <c r="E31" s="28"/>
      <c r="F31" s="104">
        <f>-INDEX(Consol!I$15:I$82,MATCH($C$26&amp;$C31,Consol!$D$15:$D$82,0))/mill_conv</f>
        <v>0</v>
      </c>
      <c r="G31" s="104">
        <f>-INDEX(Consol!J$15:J$82,MATCH($C$26&amp;$C31,Consol!$D$15:$D$82,0))/mill_conv</f>
        <v>0</v>
      </c>
      <c r="H31" s="104">
        <f>-INDEX(Consol!K$15:K$82,MATCH($C$26&amp;$C31,Consol!$D$15:$D$82,0))/mill_conv</f>
        <v>0</v>
      </c>
      <c r="I31" s="104">
        <f>-INDEX(Consol!L$15:L$82,MATCH($C$26&amp;$C31,Consol!$D$15:$D$82,0))/mill_conv</f>
        <v>0</v>
      </c>
      <c r="J31" s="104">
        <f>-INDEX(Consol!M$15:M$82,MATCH($C$26&amp;$C31,Consol!$D$15:$D$82,0))/mill_conv</f>
        <v>0</v>
      </c>
      <c r="K31" s="189"/>
      <c r="L31" s="189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234</v>
      </c>
      <c r="D37" s="28"/>
      <c r="E37" s="28"/>
      <c r="F37" s="327"/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</row>
    <row r="66" spans="3:13" s="8" customFormat="1" ht="12.75" x14ac:dyDescent="0.2">
      <c r="C66" s="261" t="s">
        <v>221</v>
      </c>
      <c r="D66" s="188">
        <f>output_dollars</f>
        <v>46203</v>
      </c>
      <c r="E66" s="188"/>
      <c r="F66" s="262" t="str">
        <f>Sensitivity_calcs!C89</f>
        <v>Option 1 (base case)</v>
      </c>
      <c r="G66" s="262" t="str">
        <f>Sensitivity_calcs!D89</f>
        <v>Option 2</v>
      </c>
      <c r="H66" s="262" t="str">
        <f>Sensitivity_calcs!E89</f>
        <v>Option 3</v>
      </c>
      <c r="I66" s="262" t="str">
        <f>Sensitivity_calcs!F89</f>
        <v>Option 4</v>
      </c>
      <c r="J66" s="262" t="str">
        <f>Sensitivity_calcs!G89</f>
        <v>Option 5</v>
      </c>
      <c r="K66" s="266"/>
      <c r="L66" s="291" t="s">
        <v>219</v>
      </c>
      <c r="M66" s="266"/>
    </row>
    <row r="67" spans="3:13" s="8" customFormat="1" ht="12.75" x14ac:dyDescent="0.2">
      <c r="C67" s="289" t="str">
        <f>Sensitivity_calcs!B90</f>
        <v>None</v>
      </c>
      <c r="D67" s="269"/>
      <c r="E67" s="269"/>
      <c r="F67" s="290">
        <f>Sensitivity_calcs!C90</f>
        <v>0</v>
      </c>
      <c r="G67" s="290">
        <f>Sensitivity_calcs!D90</f>
        <v>3.3803156084560562</v>
      </c>
      <c r="H67" s="290">
        <f>Sensitivity_calcs!E90</f>
        <v>-115.96914889986192</v>
      </c>
      <c r="I67" s="290">
        <f>Sensitivity_calcs!F90</f>
        <v>1.8966339859691437</v>
      </c>
      <c r="J67" s="290" t="str">
        <f>Sensitivity_calcs!G90</f>
        <v/>
      </c>
      <c r="K67" s="260"/>
      <c r="L67" s="292" t="str">
        <f>Sensitivity_calcs!K90</f>
        <v>Option 2</v>
      </c>
      <c r="M67" s="260"/>
    </row>
    <row r="68" spans="3:13" s="8" customFormat="1" ht="12.75" x14ac:dyDescent="0.2">
      <c r="C68" s="268" t="str">
        <f>Sensitivity_calcs!B91</f>
        <v>Capex 10% higher</v>
      </c>
      <c r="D68" s="268"/>
      <c r="E68" s="268"/>
      <c r="F68" s="282">
        <f>Sensitivity_calcs!C91</f>
        <v>0</v>
      </c>
      <c r="G68" s="277">
        <f>Sensitivity_calcs!D91</f>
        <v>2.2115052233751769</v>
      </c>
      <c r="H68" s="277">
        <f>Sensitivity_calcs!E91</f>
        <v>-130.96086027076848</v>
      </c>
      <c r="I68" s="277">
        <f>Sensitivity_calcs!F91</f>
        <v>0.47124040400991574</v>
      </c>
      <c r="J68" s="277" t="str">
        <f>Sensitivity_calcs!G91</f>
        <v/>
      </c>
      <c r="K68" s="260"/>
      <c r="L68" s="285" t="str">
        <f>Sensitivity_calcs!K91</f>
        <v>Option 2</v>
      </c>
      <c r="M68" s="260"/>
    </row>
    <row r="69" spans="3:13" s="8" customFormat="1" ht="12.75" x14ac:dyDescent="0.2">
      <c r="C69" s="268" t="str">
        <f>Sensitivity_calcs!B92</f>
        <v>Capex 10% lower</v>
      </c>
      <c r="D69" s="268"/>
      <c r="E69" s="268"/>
      <c r="F69" s="283">
        <f>Sensitivity_calcs!C92</f>
        <v>0</v>
      </c>
      <c r="G69" s="278">
        <f>Sensitivity_calcs!D92</f>
        <v>4.5491259935369337</v>
      </c>
      <c r="H69" s="278">
        <f>Sensitivity_calcs!E92</f>
        <v>-100.97743752895531</v>
      </c>
      <c r="I69" s="278">
        <f>Sensitivity_calcs!F92</f>
        <v>3.3220275679283722</v>
      </c>
      <c r="J69" s="278" t="str">
        <f>Sensitivity_calcs!G92</f>
        <v/>
      </c>
      <c r="K69" s="260"/>
      <c r="L69" s="285" t="str">
        <f>Sensitivity_calcs!K92</f>
        <v>Option 2</v>
      </c>
      <c r="M69" s="260"/>
    </row>
    <row r="70" spans="3:13" s="8" customFormat="1" ht="12.75" x14ac:dyDescent="0.2">
      <c r="C70" s="268" t="str">
        <f>Sensitivity_calcs!B93</f>
        <v>Total benefits 10% higher</v>
      </c>
      <c r="D70" s="268"/>
      <c r="E70" s="268"/>
      <c r="F70" s="283">
        <f>Sensitivity_calcs!C93</f>
        <v>0</v>
      </c>
      <c r="G70" s="278">
        <f>Sensitivity_calcs!D93</f>
        <v>4.8871575543825392</v>
      </c>
      <c r="H70" s="278">
        <f>Sensitivity_calcs!E93</f>
        <v>-112.57435241894153</v>
      </c>
      <c r="I70" s="278">
        <f>Sensitivity_calcs!F93</f>
        <v>3.5116909665252871</v>
      </c>
      <c r="J70" s="278" t="str">
        <f>Sensitivity_calcs!G93</f>
        <v/>
      </c>
      <c r="K70" s="260"/>
      <c r="L70" s="285" t="str">
        <f>Sensitivity_calcs!K93</f>
        <v>Option 2</v>
      </c>
      <c r="M70" s="260"/>
    </row>
    <row r="71" spans="3:13" s="8" customFormat="1" ht="12.75" x14ac:dyDescent="0.2">
      <c r="C71" s="268" t="str">
        <f>Sensitivity_calcs!B94</f>
        <v>Total benefits 10% lower</v>
      </c>
      <c r="D71" s="268"/>
      <c r="E71" s="268"/>
      <c r="F71" s="283">
        <f>Sensitivity_calcs!C94</f>
        <v>0</v>
      </c>
      <c r="G71" s="278">
        <f>Sensitivity_calcs!D94</f>
        <v>1.8734736625295714</v>
      </c>
      <c r="H71" s="278">
        <f>Sensitivity_calcs!E94</f>
        <v>-119.36394538078231</v>
      </c>
      <c r="I71" s="278">
        <f>Sensitivity_calcs!F94</f>
        <v>0.28157700541300124</v>
      </c>
      <c r="J71" s="278" t="str">
        <f>Sensitivity_calcs!G94</f>
        <v/>
      </c>
      <c r="K71" s="260"/>
      <c r="L71" s="285" t="str">
        <f>Sensitivity_calcs!K94</f>
        <v>Option 2</v>
      </c>
      <c r="M71" s="260"/>
    </row>
    <row r="72" spans="3:13" s="8" customFormat="1" ht="12.75" x14ac:dyDescent="0.2">
      <c r="C72" s="268" t="str">
        <f>Sensitivity_calcs!B95</f>
        <v>Capex 10% higher &amp; Total benefits 10% lower</v>
      </c>
      <c r="D72" s="268"/>
      <c r="E72" s="268"/>
      <c r="F72" s="283">
        <f>Sensitivity_calcs!C95</f>
        <v>0</v>
      </c>
      <c r="G72" s="278">
        <f>Sensitivity_calcs!D95</f>
        <v>0.70466327744869284</v>
      </c>
      <c r="H72" s="278">
        <f>Sensitivity_calcs!E95</f>
        <v>-134.35565675168885</v>
      </c>
      <c r="I72" s="278">
        <f>Sensitivity_calcs!F95</f>
        <v>-1.1438165765462269</v>
      </c>
      <c r="J72" s="278" t="str">
        <f>Sensitivity_calcs!G95</f>
        <v/>
      </c>
      <c r="K72" s="260"/>
      <c r="L72" s="285" t="str">
        <f>Sensitivity_calcs!K95</f>
        <v>Option 2</v>
      </c>
      <c r="M72" s="260"/>
    </row>
    <row r="73" spans="3:13" s="8" customFormat="1" ht="12.75" x14ac:dyDescent="0.2">
      <c r="C73" s="268">
        <f>Sensitivity_calcs!B96</f>
        <v>0</v>
      </c>
      <c r="D73" s="268"/>
      <c r="E73" s="268"/>
      <c r="F73" s="283" t="str">
        <f>Sensitivity_calcs!C96</f>
        <v/>
      </c>
      <c r="G73" s="278" t="str">
        <f>Sensitivity_calcs!D96</f>
        <v/>
      </c>
      <c r="H73" s="278" t="str">
        <f>Sensitivity_calcs!E96</f>
        <v/>
      </c>
      <c r="I73" s="278" t="str">
        <f>Sensitivity_calcs!F96</f>
        <v/>
      </c>
      <c r="J73" s="278" t="str">
        <f>Sensitivity_calcs!G96</f>
        <v/>
      </c>
      <c r="K73" s="260"/>
      <c r="L73" s="285" t="str">
        <f>Sensitivity_calcs!K96</f>
        <v/>
      </c>
      <c r="M73" s="260"/>
    </row>
    <row r="74" spans="3:13" s="8" customFormat="1" ht="12.75" x14ac:dyDescent="0.2">
      <c r="C74" s="268">
        <f>Sensitivity_calcs!B97</f>
        <v>0</v>
      </c>
      <c r="D74" s="263"/>
      <c r="E74" s="263"/>
      <c r="F74" s="283" t="str">
        <f>Sensitivity_calcs!C97</f>
        <v/>
      </c>
      <c r="G74" s="278" t="str">
        <f>Sensitivity_calcs!D97</f>
        <v/>
      </c>
      <c r="H74" s="278" t="str">
        <f>Sensitivity_calcs!E97</f>
        <v/>
      </c>
      <c r="I74" s="278" t="str">
        <f>Sensitivity_calcs!F97</f>
        <v/>
      </c>
      <c r="J74" s="278" t="str">
        <f>Sensitivity_calcs!G97</f>
        <v/>
      </c>
      <c r="K74" s="270">
        <f>IF(C74=0,0, INDEX($F$66:$J$66, MATCH(MAX($F74:$I74),$F74:$I74,0)))</f>
        <v>0</v>
      </c>
      <c r="L74" s="285" t="str">
        <f>Sensitivity_calcs!K97</f>
        <v/>
      </c>
    </row>
    <row r="75" spans="3:13" s="8" customFormat="1" ht="12.75" x14ac:dyDescent="0.2">
      <c r="D75" s="268">
        <f>Sensitivity_calcs!B98</f>
        <v>0</v>
      </c>
      <c r="E75" s="268"/>
      <c r="F75" s="283" t="str">
        <f>Sensitivity_calcs!C98</f>
        <v/>
      </c>
      <c r="G75" s="278" t="str">
        <f>Sensitivity_calcs!D98</f>
        <v/>
      </c>
      <c r="H75" s="278" t="str">
        <f>Sensitivity_calcs!E98</f>
        <v/>
      </c>
      <c r="I75" s="278" t="str">
        <f>Sensitivity_calcs!F98</f>
        <v/>
      </c>
      <c r="J75" s="278" t="str">
        <f>Sensitivity_calcs!G98</f>
        <v/>
      </c>
      <c r="K75" s="260"/>
      <c r="L75" s="285" t="str">
        <f>Sensitivity_calcs!K98</f>
        <v/>
      </c>
      <c r="M75" s="260"/>
    </row>
    <row r="76" spans="3:13" s="8" customFormat="1" ht="12.75" x14ac:dyDescent="0.2">
      <c r="D76" s="268">
        <f>Sensitivity_calcs!B99</f>
        <v>0</v>
      </c>
      <c r="E76" s="268"/>
      <c r="F76" s="284"/>
      <c r="G76" s="104"/>
      <c r="H76" s="104"/>
      <c r="I76" s="104"/>
      <c r="J76" s="104"/>
      <c r="K76" s="260"/>
      <c r="L76" s="260"/>
    </row>
    <row r="77" spans="3:13" s="8" customFormat="1" ht="12.75" x14ac:dyDescent="0.2">
      <c r="F77" s="267"/>
      <c r="G77" s="104"/>
      <c r="H77" s="104"/>
      <c r="I77" s="104"/>
      <c r="J77" s="104"/>
    </row>
    <row r="78" spans="3:13" s="8" customFormat="1" ht="12.75" x14ac:dyDescent="0.2">
      <c r="F78" s="267"/>
      <c r="G78" s="267"/>
      <c r="H78" s="267"/>
      <c r="I78" s="267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8"/>
      <c r="E81" s="248"/>
      <c r="F81" s="248"/>
    </row>
    <row r="82" spans="4:6" s="8" customFormat="1" ht="12.75" x14ac:dyDescent="0.2">
      <c r="D82" s="248"/>
      <c r="E82" s="248"/>
      <c r="F82" s="248"/>
    </row>
    <row r="83" spans="4:6" s="8" customFormat="1" ht="12.75" hidden="1" x14ac:dyDescent="0.2">
      <c r="D83" s="248"/>
      <c r="E83" s="248"/>
      <c r="F83" s="248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Horsham REFCL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89" t="s">
        <v>290</v>
      </c>
      <c r="F8" s="389"/>
      <c r="G8" s="389"/>
      <c r="H8" s="389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90" t="s">
        <v>58</v>
      </c>
      <c r="F14" s="390"/>
      <c r="G14" s="390"/>
      <c r="H14" s="390"/>
      <c r="I14" s="390"/>
      <c r="J14" s="390"/>
      <c r="K14" s="390"/>
      <c r="L14"/>
    </row>
    <row r="15" spans="1:16" s="1" customFormat="1" ht="12.75" customHeight="1" x14ac:dyDescent="0.2">
      <c r="C15" s="61" t="str">
        <v>Option 2</v>
      </c>
      <c r="D15" s="61"/>
      <c r="E15" s="391" t="s">
        <v>291</v>
      </c>
      <c r="F15" s="391"/>
      <c r="G15" s="391"/>
      <c r="H15" s="391"/>
      <c r="I15" s="391"/>
      <c r="J15" s="391"/>
      <c r="K15" s="391"/>
      <c r="L15"/>
    </row>
    <row r="16" spans="1:16" s="1" customFormat="1" ht="12.75" customHeight="1" x14ac:dyDescent="0.2">
      <c r="C16" s="61" t="str">
        <v>Option 3</v>
      </c>
      <c r="D16" s="61"/>
      <c r="E16" s="391" t="s">
        <v>292</v>
      </c>
      <c r="F16" s="391"/>
      <c r="G16" s="391"/>
      <c r="H16" s="391"/>
      <c r="I16" s="391"/>
      <c r="J16" s="391"/>
      <c r="K16" s="391"/>
      <c r="L16"/>
    </row>
    <row r="17" spans="1:16" s="1" customFormat="1" ht="12.75" customHeight="1" x14ac:dyDescent="0.2">
      <c r="C17" s="61" t="str">
        <v>Option 4</v>
      </c>
      <c r="D17" s="61"/>
      <c r="E17" s="391" t="s">
        <v>293</v>
      </c>
      <c r="F17" s="391"/>
      <c r="G17" s="391"/>
      <c r="H17" s="391"/>
      <c r="I17" s="391"/>
      <c r="J17" s="391"/>
      <c r="K17" s="391"/>
      <c r="L17"/>
    </row>
    <row r="18" spans="1:16" s="1" customFormat="1" ht="12.75" customHeight="1" x14ac:dyDescent="0.2">
      <c r="C18" s="61" t="str">
        <v>Option 5</v>
      </c>
      <c r="D18" s="61"/>
      <c r="E18" s="391"/>
      <c r="F18" s="391"/>
      <c r="G18" s="391"/>
      <c r="H18" s="391"/>
      <c r="I18" s="391"/>
      <c r="J18" s="391"/>
      <c r="K18" s="391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4" t="s">
        <v>224</v>
      </c>
      <c r="D20"/>
      <c r="E20" s="295" t="s">
        <v>227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300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183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184</v>
      </c>
      <c r="G28" s="306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7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197</v>
      </c>
      <c r="G31" s="308">
        <v>20</v>
      </c>
      <c r="H31" s="68" t="s">
        <v>198</v>
      </c>
    </row>
    <row r="32" spans="1:16" s="1" customFormat="1" x14ac:dyDescent="0.2"/>
    <row r="33" spans="1:20" s="1" customFormat="1" x14ac:dyDescent="0.2">
      <c r="C33" s="1" t="s">
        <v>32</v>
      </c>
      <c r="G33" s="309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6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7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7" customFormat="1" x14ac:dyDescent="0.2">
      <c r="A41" s="126"/>
      <c r="B41" s="126"/>
      <c r="C41" s="1" t="s">
        <v>136</v>
      </c>
      <c r="D41" s="244"/>
      <c r="E41" s="166" t="s">
        <v>294</v>
      </c>
      <c r="F41" s="128"/>
      <c r="G41" s="314" t="s">
        <v>140</v>
      </c>
      <c r="H41" s="133">
        <v>41631.575238965597</v>
      </c>
      <c r="I41" s="243" t="s">
        <v>216</v>
      </c>
      <c r="J41" s="126"/>
      <c r="M41" s="126"/>
      <c r="N41" s="126"/>
      <c r="O41" s="126"/>
      <c r="P41" s="126"/>
      <c r="Q41" s="126"/>
      <c r="R41" s="126"/>
      <c r="S41" s="126"/>
      <c r="T41" s="126"/>
    </row>
    <row r="42" spans="1:20" s="127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6"/>
      <c r="N42" s="126"/>
      <c r="O42" s="126"/>
      <c r="P42" s="126"/>
      <c r="Q42" s="126"/>
      <c r="R42" s="126"/>
      <c r="S42" s="126"/>
      <c r="T42" s="126"/>
    </row>
    <row r="43" spans="1:20" s="127" customFormat="1" x14ac:dyDescent="0.2">
      <c r="A43" s="126"/>
      <c r="B43" s="126"/>
      <c r="C43" s="126"/>
      <c r="D43" s="129"/>
      <c r="E43" s="129"/>
      <c r="F43" s="129"/>
      <c r="G43" s="129"/>
      <c r="H43" s="132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10">
        <v>5400000</v>
      </c>
      <c r="H50" s="69">
        <v>45107</v>
      </c>
    </row>
    <row r="52" spans="3:8" x14ac:dyDescent="0.2">
      <c r="C52" s="8" t="s">
        <v>166</v>
      </c>
      <c r="G52" s="167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8">
        <f>Data!F85</f>
        <v>1</v>
      </c>
    </row>
    <row r="56" spans="3:8" x14ac:dyDescent="0.2">
      <c r="C56" s="8" t="str">
        <f>Data!B86</f>
        <v>Harm to property from bushfire</v>
      </c>
      <c r="G56" s="308">
        <f>Data!F86</f>
        <v>1</v>
      </c>
    </row>
    <row r="57" spans="3:8" x14ac:dyDescent="0.2">
      <c r="C57" s="8" t="str">
        <f>Data!B87</f>
        <v>Harm to environment</v>
      </c>
      <c r="G57" s="308">
        <f>Data!F87</f>
        <v>1</v>
      </c>
    </row>
    <row r="58" spans="3:8" x14ac:dyDescent="0.2">
      <c r="C58" s="8" t="str">
        <f>Data!B88</f>
        <v>Safety - Public trespass</v>
      </c>
      <c r="G58" s="308">
        <f>Data!F88</f>
        <v>1</v>
      </c>
    </row>
    <row r="59" spans="3:8" x14ac:dyDescent="0.2">
      <c r="C59" s="8" t="str">
        <f>Data!B89</f>
        <v>Safety - Single fatality or serious injury ^</v>
      </c>
      <c r="G59" s="308">
        <f>Data!F89</f>
        <v>3</v>
      </c>
    </row>
    <row r="60" spans="3:8" x14ac:dyDescent="0.2">
      <c r="C60" s="8" t="str">
        <f>Data!B90</f>
        <v>Safety from bushfire in HBRA</v>
      </c>
      <c r="G60" s="308">
        <f>Data!F90</f>
        <v>3</v>
      </c>
    </row>
    <row r="61" spans="3:8" x14ac:dyDescent="0.2">
      <c r="C61" s="8" t="str">
        <f>Data!B91</f>
        <v>Safety - Multiple fatality or serious injury ^</v>
      </c>
      <c r="G61" s="308">
        <f>Data!F91</f>
        <v>6</v>
      </c>
    </row>
    <row r="62" spans="3:8" x14ac:dyDescent="0.2">
      <c r="C62" s="8" t="str">
        <f>Data!B92</f>
        <v>Safety from bushfire (REFCL declared areas)</v>
      </c>
      <c r="G62" s="308">
        <f>Data!F92</f>
        <v>6</v>
      </c>
    </row>
    <row r="63" spans="3:8" x14ac:dyDescent="0.2">
      <c r="C63" s="8" t="str">
        <f>Data!B93</f>
        <v>Safety from bushfire (electric line construction areas)</v>
      </c>
      <c r="G63" s="308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182</v>
      </c>
      <c r="D69" s="59"/>
      <c r="E69" s="59"/>
      <c r="F69" s="59"/>
      <c r="G69" s="159" t="s">
        <v>68</v>
      </c>
      <c r="H69" s="159" t="s">
        <v>167</v>
      </c>
      <c r="I69" s="159" t="s">
        <v>181</v>
      </c>
      <c r="J69" s="158" t="s">
        <v>185</v>
      </c>
      <c r="K69" s="159"/>
      <c r="L69" s="159"/>
      <c r="M69" s="159"/>
    </row>
    <row r="70" spans="2:16" x14ac:dyDescent="0.2">
      <c r="C70" s="8" t="s">
        <v>168</v>
      </c>
      <c r="G70" s="160">
        <f>G50*INDEX(hy_escalation, MATCH(input_dollars,hy_dates,0))/INDEX(hy_escalation, MATCH(H50,hy_dates,0))</f>
        <v>5607473.5197347086</v>
      </c>
      <c r="H70" s="165">
        <v>0</v>
      </c>
      <c r="I70" s="168">
        <v>0</v>
      </c>
      <c r="J70" s="386">
        <v>0</v>
      </c>
      <c r="K70" s="387"/>
      <c r="L70" s="387"/>
      <c r="M70" s="388"/>
    </row>
    <row r="71" spans="2:16" x14ac:dyDescent="0.2">
      <c r="C71" s="8" t="s">
        <v>169</v>
      </c>
      <c r="G71" s="160">
        <f>G52*INDEX(hy_escalation, MATCH(input_dollars,hy_dates,0))/INDEX(hy_escalation, MATCH(H52,hy_dates,0))</f>
        <v>0</v>
      </c>
      <c r="H71" s="164">
        <v>0</v>
      </c>
      <c r="I71" s="168">
        <v>0</v>
      </c>
      <c r="J71" s="386">
        <v>0</v>
      </c>
      <c r="K71" s="387"/>
      <c r="L71" s="387"/>
      <c r="M71" s="388"/>
    </row>
    <row r="72" spans="2:16" x14ac:dyDescent="0.2">
      <c r="I72" s="163"/>
      <c r="M72"/>
    </row>
    <row r="73" spans="2:16" x14ac:dyDescent="0.2">
      <c r="G73" s="169"/>
    </row>
    <row r="74" spans="2:16" x14ac:dyDescent="0.2">
      <c r="C74" s="82"/>
    </row>
    <row r="77" spans="2:16" x14ac:dyDescent="0.2">
      <c r="B77" s="30" t="s">
        <v>176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170</v>
      </c>
      <c r="G78" s="156">
        <v>0</v>
      </c>
      <c r="H78" s="69">
        <f>input_dollars</f>
        <v>45291</v>
      </c>
    </row>
    <row r="79" spans="2:16" x14ac:dyDescent="0.2">
      <c r="C79" s="8" t="s">
        <v>171</v>
      </c>
      <c r="G79" s="156">
        <v>0</v>
      </c>
      <c r="H79" s="69">
        <f>input_dollars</f>
        <v>45291</v>
      </c>
    </row>
    <row r="81" spans="1:16" x14ac:dyDescent="0.2">
      <c r="C81" s="8" t="s">
        <v>172</v>
      </c>
      <c r="G81" s="161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177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1">
        <v>2.4730486797759084E-2</v>
      </c>
      <c r="L90" s="311">
        <v>2.2340740091772258E-2</v>
      </c>
      <c r="M90" s="311">
        <v>2.0196329122153123E-2</v>
      </c>
      <c r="N90" s="311">
        <v>1.806294207659629E-2</v>
      </c>
      <c r="O90" s="311">
        <v>1.5913397615084226E-2</v>
      </c>
      <c r="P90" s="311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178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0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0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0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1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1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1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1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1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218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4"/>
      <c r="C110" s="302"/>
      <c r="D110" s="59"/>
      <c r="E110" s="303"/>
      <c r="F110" s="302"/>
      <c r="G110" s="302" t="s">
        <v>17</v>
      </c>
      <c r="H110" s="302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1"/>
      <c r="G111" s="312">
        <v>0.1</v>
      </c>
      <c r="H111" s="312">
        <v>0</v>
      </c>
      <c r="I111" s="265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1"/>
      <c r="G112" s="312">
        <v>-0.1</v>
      </c>
      <c r="H112" s="312">
        <v>0</v>
      </c>
      <c r="I112" s="265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1"/>
      <c r="G113" s="313">
        <v>0</v>
      </c>
      <c r="H113" s="312">
        <v>0.1</v>
      </c>
      <c r="I113" s="265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1"/>
      <c r="G114" s="313">
        <v>0</v>
      </c>
      <c r="H114" s="312">
        <v>-0.1</v>
      </c>
      <c r="I114" s="265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71"/>
      <c r="G115" s="312">
        <v>0.1</v>
      </c>
      <c r="H115" s="312">
        <v>-0.1</v>
      </c>
      <c r="I115" s="265"/>
      <c r="J115"/>
      <c r="K115"/>
      <c r="L115"/>
      <c r="M115"/>
      <c r="N115"/>
      <c r="O115"/>
      <c r="P115"/>
    </row>
    <row r="116" spans="2:16" x14ac:dyDescent="0.2">
      <c r="E116" s="271"/>
      <c r="H116"/>
      <c r="I116"/>
      <c r="J116"/>
      <c r="K116"/>
      <c r="L116"/>
      <c r="M116"/>
      <c r="N116"/>
      <c r="O116"/>
      <c r="P116"/>
    </row>
    <row r="117" spans="2:16" x14ac:dyDescent="0.2">
      <c r="E117" s="264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8" type="noConversion"/>
  <conditionalFormatting sqref="G41">
    <cfRule type="expression" dxfId="15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I105" sqref="I105"/>
      <selection pane="topRight" activeCell="I105" sqref="I105"/>
      <selection pane="bottomLeft" activeCell="I105" sqref="I105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Horsham REFCL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143</v>
      </c>
      <c r="B3" s="5"/>
      <c r="C3" s="136"/>
      <c r="D3" s="94"/>
    </row>
    <row r="4" spans="1:43" x14ac:dyDescent="0.2">
      <c r="A4" s="170"/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">
        <v>92</v>
      </c>
      <c r="B6" s="97"/>
      <c r="C6" s="98"/>
      <c r="D6" s="97"/>
      <c r="E6" s="99"/>
      <c r="F6" s="99"/>
      <c r="G6" s="99"/>
      <c r="H6" s="153">
        <v>0</v>
      </c>
      <c r="I6" s="100">
        <f t="shared" ref="I6:AG6" si="0">H6+1</f>
        <v>1</v>
      </c>
      <c r="J6" s="100">
        <f t="shared" si="0"/>
        <v>2</v>
      </c>
      <c r="K6" s="100">
        <f t="shared" si="0"/>
        <v>3</v>
      </c>
      <c r="L6" s="100">
        <f t="shared" si="0"/>
        <v>4</v>
      </c>
      <c r="M6" s="100">
        <f t="shared" si="0"/>
        <v>5</v>
      </c>
      <c r="N6" s="100">
        <f t="shared" si="0"/>
        <v>6</v>
      </c>
      <c r="O6" s="100">
        <f t="shared" si="0"/>
        <v>7</v>
      </c>
      <c r="P6" s="100">
        <f t="shared" si="0"/>
        <v>8</v>
      </c>
      <c r="Q6" s="100">
        <f t="shared" si="0"/>
        <v>9</v>
      </c>
      <c r="R6" s="100">
        <f t="shared" si="0"/>
        <v>10</v>
      </c>
      <c r="S6" s="100">
        <f t="shared" si="0"/>
        <v>11</v>
      </c>
      <c r="T6" s="100">
        <f t="shared" si="0"/>
        <v>12</v>
      </c>
      <c r="U6" s="100">
        <f t="shared" si="0"/>
        <v>13</v>
      </c>
      <c r="V6" s="100">
        <f t="shared" si="0"/>
        <v>14</v>
      </c>
      <c r="W6" s="100">
        <f t="shared" si="0"/>
        <v>15</v>
      </c>
      <c r="X6" s="100">
        <f t="shared" si="0"/>
        <v>16</v>
      </c>
      <c r="Y6" s="100">
        <f t="shared" si="0"/>
        <v>17</v>
      </c>
      <c r="Z6" s="100">
        <f t="shared" si="0"/>
        <v>18</v>
      </c>
      <c r="AA6" s="100">
        <f t="shared" si="0"/>
        <v>19</v>
      </c>
      <c r="AB6" s="100">
        <f t="shared" si="0"/>
        <v>20</v>
      </c>
      <c r="AC6" s="100">
        <f t="shared" si="0"/>
        <v>21</v>
      </c>
      <c r="AD6" s="100">
        <f t="shared" si="0"/>
        <v>22</v>
      </c>
      <c r="AE6" s="100">
        <f t="shared" si="0"/>
        <v>23</v>
      </c>
      <c r="AF6" s="100">
        <f t="shared" si="0"/>
        <v>24</v>
      </c>
      <c r="AG6" s="100">
        <f t="shared" si="0"/>
        <v>25</v>
      </c>
    </row>
    <row r="7" spans="1:43" hidden="1" outlineLevel="1" x14ac:dyDescent="0.2">
      <c r="A7" s="97" t="s">
        <v>127</v>
      </c>
      <c r="B7" s="97"/>
      <c r="G7" s="162" t="s">
        <v>63</v>
      </c>
      <c r="I7" s="98">
        <f>IF(ISBLANK(Assumptions!K90), H7,Assumptions!K90*thous_conv)</f>
        <v>24.730486797759085</v>
      </c>
      <c r="J7" s="98">
        <f>IF(ISBLANK(Assumptions!L90), I7,Assumptions!L90*thous_conv)</f>
        <v>22.340740091772258</v>
      </c>
      <c r="K7" s="98">
        <f>IF(ISBLANK(Assumptions!M90), J7,Assumptions!M90*thous_conv)</f>
        <v>20.196329122153124</v>
      </c>
      <c r="L7" s="98">
        <f>IF(ISBLANK(Assumptions!N90), K7,Assumptions!N90*thous_conv)</f>
        <v>18.06294207659629</v>
      </c>
      <c r="M7" s="98">
        <f>IF(ISBLANK(Assumptions!O90), L7,Assumptions!O90*thous_conv)</f>
        <v>15.913397615084225</v>
      </c>
      <c r="N7" s="98">
        <f>IF(ISBLANK(Assumptions!P90), M7,Assumptions!P90*thous_conv)</f>
        <v>13.715069432539002</v>
      </c>
      <c r="O7" s="98">
        <f>IF(ISBLANK(Assumptions!Q90), N7,Assumptions!Q90*thous_conv)</f>
        <v>13.715069432539002</v>
      </c>
      <c r="P7" s="98">
        <f>IF(ISBLANK(Assumptions!R90), O7,Assumptions!R90*thous_conv)</f>
        <v>13.715069432539002</v>
      </c>
      <c r="Q7" s="98">
        <f>IF(ISBLANK(Assumptions!S90), P7,Assumptions!S90*thous_conv)</f>
        <v>13.715069432539002</v>
      </c>
      <c r="R7" s="98">
        <f>IF(ISBLANK(Assumptions!T90), Q7,Assumptions!T90*thous_conv)</f>
        <v>13.715069432539002</v>
      </c>
      <c r="S7" s="98">
        <f>IF(ISBLANK(Assumptions!U90), R7,Assumptions!U90*thous_conv)</f>
        <v>13.715069432539002</v>
      </c>
      <c r="T7" s="98">
        <f>IF(ISBLANK(Assumptions!V90), S7,Assumptions!V90*thous_conv)</f>
        <v>13.715069432539002</v>
      </c>
      <c r="U7" s="98">
        <f>IF(ISBLANK(Assumptions!W90), T7,Assumptions!W90*thous_conv)</f>
        <v>13.715069432539002</v>
      </c>
      <c r="V7" s="98">
        <f>IF(ISBLANK(Assumptions!X90), U7,Assumptions!X90*thous_conv)</f>
        <v>13.715069432539002</v>
      </c>
      <c r="W7" s="98">
        <f>IF(ISBLANK(Assumptions!Y90), V7,Assumptions!Y90*thous_conv)</f>
        <v>13.715069432539002</v>
      </c>
      <c r="X7" s="98">
        <f>IF(ISBLANK(Assumptions!Z90), W7,Assumptions!Z90*thous_conv)</f>
        <v>13.715069432539002</v>
      </c>
      <c r="Y7" s="98">
        <f>IF(ISBLANK(Assumptions!AA90), X7,Assumptions!AA90*thous_conv)</f>
        <v>13.715069432539002</v>
      </c>
      <c r="Z7" s="98">
        <f>IF(ISBLANK(Assumptions!AB90), Y7,Assumptions!AB90*thous_conv)</f>
        <v>13.715069432539002</v>
      </c>
      <c r="AA7" s="98">
        <f>IF(ISBLANK(Assumptions!AC90), Z7,Assumptions!AC90*thous_conv)</f>
        <v>13.715069432539002</v>
      </c>
      <c r="AB7" s="98">
        <f>IF(ISBLANK(Assumptions!AD90), AA7,Assumptions!AD90*thous_conv)</f>
        <v>13.715069432539002</v>
      </c>
      <c r="AC7" s="98">
        <f>IF(ISBLANK(Assumptions!AE90), AB7,Assumptions!AE90*thous_conv)</f>
        <v>13.715069432539002</v>
      </c>
      <c r="AD7" s="98">
        <f>IF(ISBLANK(Assumptions!AF90), AC7,Assumptions!AF90*thous_conv)</f>
        <v>13.715069432539002</v>
      </c>
      <c r="AE7" s="98">
        <f>IF(ISBLANK(Assumptions!AG90), AD7,Assumptions!AG90*thous_conv)</f>
        <v>13.715069432539002</v>
      </c>
      <c r="AF7" s="98">
        <f>IF(ISBLANK(Assumptions!AH90), AE7,Assumptions!AH90*thous_conv)</f>
        <v>13.715069432539002</v>
      </c>
      <c r="AG7" s="98">
        <f>IF(ISBLANK(Assumptions!AI90), AF7,Assumptions!AI90*thous_conv)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4"/>
      <c r="B9" s="184"/>
      <c r="C9" s="184"/>
      <c r="D9" s="184"/>
      <c r="E9" s="184"/>
      <c r="F9" s="185"/>
      <c r="G9" s="184" t="s">
        <v>25</v>
      </c>
      <c r="H9" s="325">
        <f>DATE(LEFT(I9,4), 6,30)</f>
        <v>46203</v>
      </c>
      <c r="I9" s="186" t="str">
        <f>start</f>
        <v>2026-27</v>
      </c>
      <c r="J9" s="186" t="str">
        <f t="shared" ref="J9:AG9" si="1">LEFT(I9,4)+1&amp;"-"&amp;RIGHT(I9,2)+1</f>
        <v>2027-28</v>
      </c>
      <c r="K9" s="186" t="str">
        <f t="shared" si="1"/>
        <v>2028-29</v>
      </c>
      <c r="L9" s="186" t="str">
        <f t="shared" si="1"/>
        <v>2029-30</v>
      </c>
      <c r="M9" s="186" t="str">
        <f t="shared" si="1"/>
        <v>2030-31</v>
      </c>
      <c r="N9" s="186" t="str">
        <f t="shared" si="1"/>
        <v>2031-32</v>
      </c>
      <c r="O9" s="186" t="str">
        <f t="shared" si="1"/>
        <v>2032-33</v>
      </c>
      <c r="P9" s="186" t="str">
        <f t="shared" si="1"/>
        <v>2033-34</v>
      </c>
      <c r="Q9" s="186" t="str">
        <f t="shared" si="1"/>
        <v>2034-35</v>
      </c>
      <c r="R9" s="186" t="str">
        <f t="shared" si="1"/>
        <v>2035-36</v>
      </c>
      <c r="S9" s="186" t="str">
        <f t="shared" si="1"/>
        <v>2036-37</v>
      </c>
      <c r="T9" s="186" t="str">
        <f t="shared" si="1"/>
        <v>2037-38</v>
      </c>
      <c r="U9" s="186" t="str">
        <f t="shared" si="1"/>
        <v>2038-39</v>
      </c>
      <c r="V9" s="186" t="str">
        <f t="shared" si="1"/>
        <v>2039-40</v>
      </c>
      <c r="W9" s="186" t="str">
        <f t="shared" si="1"/>
        <v>2040-41</v>
      </c>
      <c r="X9" s="186" t="str">
        <f t="shared" si="1"/>
        <v>2041-42</v>
      </c>
      <c r="Y9" s="186" t="str">
        <f t="shared" si="1"/>
        <v>2042-43</v>
      </c>
      <c r="Z9" s="186" t="str">
        <f t="shared" si="1"/>
        <v>2043-44</v>
      </c>
      <c r="AA9" s="186" t="str">
        <f t="shared" si="1"/>
        <v>2044-45</v>
      </c>
      <c r="AB9" s="186" t="str">
        <f t="shared" si="1"/>
        <v>2045-46</v>
      </c>
      <c r="AC9" s="186" t="str">
        <f t="shared" si="1"/>
        <v>2046-47</v>
      </c>
      <c r="AD9" s="186" t="str">
        <f t="shared" si="1"/>
        <v>2047-48</v>
      </c>
      <c r="AE9" s="186" t="str">
        <f t="shared" si="1"/>
        <v>2048-49</v>
      </c>
      <c r="AF9" s="186" t="str">
        <f t="shared" si="1"/>
        <v>2049-50</v>
      </c>
      <c r="AG9" s="186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</row>
    <row r="13" spans="1:43" x14ac:dyDescent="0.2">
      <c r="C13" s="3" t="s">
        <v>17</v>
      </c>
      <c r="D13"/>
      <c r="E13" s="125" t="s">
        <v>69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58</v>
      </c>
      <c r="D14"/>
      <c r="E14" s="150">
        <v>0</v>
      </c>
      <c r="G14" s="210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0">
        <v>0</v>
      </c>
      <c r="G15" s="210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0">
        <v>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6"/>
      <c r="I17" s="105">
        <f t="shared" ref="I17:AB17" si="2">SUM(I14:I16)</f>
        <v>0</v>
      </c>
      <c r="J17" s="105">
        <f t="shared" si="2"/>
        <v>0</v>
      </c>
      <c r="K17" s="105">
        <f t="shared" si="2"/>
        <v>0</v>
      </c>
      <c r="L17" s="105">
        <f t="shared" si="2"/>
        <v>0</v>
      </c>
      <c r="M17" s="105">
        <f t="shared" si="2"/>
        <v>0</v>
      </c>
      <c r="N17" s="105">
        <f t="shared" si="2"/>
        <v>0</v>
      </c>
      <c r="O17" s="105">
        <f t="shared" si="2"/>
        <v>0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105">
        <f t="shared" si="2"/>
        <v>0</v>
      </c>
      <c r="U17" s="105">
        <f t="shared" si="2"/>
        <v>0</v>
      </c>
      <c r="V17" s="105">
        <f t="shared" si="2"/>
        <v>0</v>
      </c>
      <c r="W17" s="105">
        <f t="shared" si="2"/>
        <v>0</v>
      </c>
      <c r="X17" s="105">
        <f t="shared" si="2"/>
        <v>0</v>
      </c>
      <c r="Y17" s="105">
        <f t="shared" si="2"/>
        <v>0</v>
      </c>
      <c r="Z17" s="105">
        <f t="shared" si="2"/>
        <v>0</v>
      </c>
      <c r="AA17" s="105">
        <f t="shared" si="2"/>
        <v>0</v>
      </c>
      <c r="AB17" s="105">
        <f t="shared" si="2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10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8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11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152</v>
      </c>
      <c r="D24" s="110"/>
      <c r="E24" s="110"/>
      <c r="F24" s="110"/>
      <c r="G24" s="211"/>
      <c r="H24" s="110"/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153</v>
      </c>
      <c r="D25" s="211"/>
      <c r="E25" s="110"/>
      <c r="F25" s="110"/>
      <c r="G25" s="211"/>
      <c r="H25" s="110"/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11"/>
      <c r="E26" s="110"/>
      <c r="F26" s="110"/>
      <c r="G26" s="211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8"/>
      <c r="E27"/>
      <c r="G27" s="210" t="s">
        <v>40</v>
      </c>
      <c r="H27"/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 t="s">
        <v>63</v>
      </c>
      <c r="E28" s="112">
        <f>Assumptions!H41*vcr_esc</f>
        <v>41631.575238965597</v>
      </c>
      <c r="F28" s="241" t="str">
        <f>IF(AND(SUM(I27:AG27)&lt;&gt;0, E28=0), "!", "")</f>
        <v/>
      </c>
      <c r="G28" s="210">
        <f>input_dollars</f>
        <v>45291</v>
      </c>
      <c r="H28"/>
      <c r="I28" s="301">
        <f>I27*$E$28</f>
        <v>0</v>
      </c>
      <c r="J28" s="301">
        <f t="shared" ref="J28:AG28" si="3">J27*$E$28</f>
        <v>0</v>
      </c>
      <c r="K28" s="301">
        <f t="shared" si="3"/>
        <v>0</v>
      </c>
      <c r="L28" s="301">
        <f t="shared" si="3"/>
        <v>0</v>
      </c>
      <c r="M28" s="301">
        <f t="shared" si="3"/>
        <v>0</v>
      </c>
      <c r="N28" s="301">
        <f t="shared" si="3"/>
        <v>0</v>
      </c>
      <c r="O28" s="301">
        <f t="shared" si="3"/>
        <v>0</v>
      </c>
      <c r="P28" s="301">
        <f t="shared" si="3"/>
        <v>0</v>
      </c>
      <c r="Q28" s="301">
        <f t="shared" si="3"/>
        <v>0</v>
      </c>
      <c r="R28" s="301">
        <f t="shared" si="3"/>
        <v>0</v>
      </c>
      <c r="S28" s="301">
        <f t="shared" si="3"/>
        <v>0</v>
      </c>
      <c r="T28" s="301">
        <f t="shared" si="3"/>
        <v>0</v>
      </c>
      <c r="U28" s="301">
        <f t="shared" si="3"/>
        <v>0</v>
      </c>
      <c r="V28" s="301">
        <f t="shared" si="3"/>
        <v>0</v>
      </c>
      <c r="W28" s="301">
        <f t="shared" si="3"/>
        <v>0</v>
      </c>
      <c r="X28" s="301">
        <f t="shared" si="3"/>
        <v>0</v>
      </c>
      <c r="Y28" s="301">
        <f t="shared" si="3"/>
        <v>0</v>
      </c>
      <c r="Z28" s="301">
        <f t="shared" si="3"/>
        <v>0</v>
      </c>
      <c r="AA28" s="301">
        <f t="shared" si="3"/>
        <v>0</v>
      </c>
      <c r="AB28" s="301">
        <f t="shared" si="3"/>
        <v>0</v>
      </c>
      <c r="AC28" s="301">
        <f t="shared" si="3"/>
        <v>0</v>
      </c>
      <c r="AD28" s="301">
        <f t="shared" si="3"/>
        <v>0</v>
      </c>
      <c r="AE28" s="301">
        <f t="shared" si="3"/>
        <v>0</v>
      </c>
      <c r="AF28" s="301">
        <f t="shared" si="3"/>
        <v>0</v>
      </c>
      <c r="AG28" s="301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9"/>
      <c r="E29"/>
      <c r="G29" s="2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8" t="s">
        <v>209</v>
      </c>
      <c r="G30" s="210">
        <f>input_dollars</f>
        <v>45291</v>
      </c>
      <c r="H30" s="151"/>
      <c r="I30" s="32">
        <f>Workings_risks!E27</f>
        <v>390944.3686433112</v>
      </c>
      <c r="J30" s="32">
        <f>Workings_risks!F27</f>
        <v>390944.3686433112</v>
      </c>
      <c r="K30" s="32">
        <f>Workings_risks!G27</f>
        <v>390944.3686433112</v>
      </c>
      <c r="L30" s="32">
        <f>Workings_risks!H27</f>
        <v>390944.3686433112</v>
      </c>
      <c r="M30" s="32">
        <f>Workings_risks!I27</f>
        <v>390944.3686433112</v>
      </c>
      <c r="N30" s="32">
        <f>Workings_risks!J27</f>
        <v>390944.3686433112</v>
      </c>
      <c r="O30" s="32">
        <f>Workings_risks!K27</f>
        <v>390944.3686433112</v>
      </c>
      <c r="P30" s="32">
        <f>Workings_risks!L27</f>
        <v>390944.3686433112</v>
      </c>
      <c r="Q30" s="32">
        <f>Workings_risks!M27</f>
        <v>390944.3686433112</v>
      </c>
      <c r="R30" s="32">
        <f>Workings_risks!N27</f>
        <v>390944.3686433112</v>
      </c>
      <c r="S30" s="32">
        <f>Workings_risks!O27</f>
        <v>390944.3686433112</v>
      </c>
      <c r="T30" s="32">
        <f>Workings_risks!P27</f>
        <v>390944.3686433112</v>
      </c>
      <c r="U30" s="32">
        <f>Workings_risks!Q27</f>
        <v>390944.3686433112</v>
      </c>
      <c r="V30" s="32">
        <f>Workings_risks!R27</f>
        <v>390944.3686433112</v>
      </c>
      <c r="W30" s="32">
        <f>Workings_risks!S27</f>
        <v>390944.3686433112</v>
      </c>
      <c r="X30" s="32">
        <f>Workings_risks!T27</f>
        <v>390944.3686433112</v>
      </c>
      <c r="Y30" s="32">
        <f>Workings_risks!U27</f>
        <v>390944.3686433112</v>
      </c>
      <c r="Z30" s="32">
        <f>Workings_risks!V27</f>
        <v>390944.3686433112</v>
      </c>
      <c r="AA30" s="32">
        <f>Workings_risks!W27</f>
        <v>390944.3686433112</v>
      </c>
      <c r="AB30" s="32">
        <f>Workings_risks!X27</f>
        <v>390944.3686433112</v>
      </c>
      <c r="AC30" s="32">
        <f>Workings_risks!Y27</f>
        <v>390944.3686433112</v>
      </c>
      <c r="AD30" s="32">
        <f>Workings_risks!Z27</f>
        <v>390944.3686433112</v>
      </c>
      <c r="AE30" s="32">
        <f>Workings_risks!AA27</f>
        <v>390944.3686433112</v>
      </c>
      <c r="AF30" s="32">
        <f>Workings_risks!AB27</f>
        <v>390944.3686433112</v>
      </c>
      <c r="AG30" s="32">
        <f>Workings_risks!AC27</f>
        <v>390944.3686433112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9"/>
      <c r="E31"/>
      <c r="G31" s="210">
        <f>input_dollars</f>
        <v>45291</v>
      </c>
      <c r="H31" s="151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8" t="s">
        <v>209</v>
      </c>
      <c r="E32"/>
      <c r="G32" s="210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8" t="s">
        <v>271</v>
      </c>
      <c r="D33" s="222"/>
      <c r="E33"/>
      <c r="G33" s="210">
        <f>input_dollars</f>
        <v>45291</v>
      </c>
      <c r="H33"/>
      <c r="I33" s="32">
        <f>Workings_risks!E26</f>
        <v>2151611.1790454965</v>
      </c>
      <c r="J33" s="32">
        <f>Workings_risks!F26</f>
        <v>2151611.1790454965</v>
      </c>
      <c r="K33" s="32">
        <f>Workings_risks!G26</f>
        <v>2151611.1790454965</v>
      </c>
      <c r="L33" s="32">
        <f>Workings_risks!H26</f>
        <v>2151611.1790454965</v>
      </c>
      <c r="M33" s="32">
        <f>Workings_risks!I26</f>
        <v>2151611.1790454965</v>
      </c>
      <c r="N33" s="32">
        <f>Workings_risks!J26</f>
        <v>2151611.1790454965</v>
      </c>
      <c r="O33" s="32">
        <f>Workings_risks!K26</f>
        <v>2151611.1790454965</v>
      </c>
      <c r="P33" s="32">
        <f>Workings_risks!L26</f>
        <v>2151611.1790454965</v>
      </c>
      <c r="Q33" s="32">
        <f>Workings_risks!M26</f>
        <v>2151611.1790454965</v>
      </c>
      <c r="R33" s="32">
        <f>Workings_risks!N26</f>
        <v>2151611.1790454965</v>
      </c>
      <c r="S33" s="32">
        <f>Workings_risks!O26</f>
        <v>2151611.1790454965</v>
      </c>
      <c r="T33" s="32">
        <f>Workings_risks!P26</f>
        <v>2151611.1790454965</v>
      </c>
      <c r="U33" s="32">
        <f>Workings_risks!Q26</f>
        <v>2151611.1790454965</v>
      </c>
      <c r="V33" s="32">
        <f>Workings_risks!R26</f>
        <v>2151611.1790454965</v>
      </c>
      <c r="W33" s="32">
        <f>Workings_risks!S26</f>
        <v>2151611.1790454965</v>
      </c>
      <c r="X33" s="32">
        <f>Workings_risks!T26</f>
        <v>2151611.1790454965</v>
      </c>
      <c r="Y33" s="32">
        <f>Workings_risks!U26</f>
        <v>2151611.1790454965</v>
      </c>
      <c r="Z33" s="32">
        <f>Workings_risks!V26</f>
        <v>2151611.1790454965</v>
      </c>
      <c r="AA33" s="32">
        <f>Workings_risks!W26</f>
        <v>2151611.1790454965</v>
      </c>
      <c r="AB33" s="32">
        <f>Workings_risks!X26</f>
        <v>2151611.1790454965</v>
      </c>
      <c r="AC33" s="32">
        <f>Workings_risks!Y26</f>
        <v>2151611.1790454965</v>
      </c>
      <c r="AD33" s="32">
        <f>Workings_risks!Z26</f>
        <v>2151611.1790454965</v>
      </c>
      <c r="AE33" s="32">
        <f>Workings_risks!AA26</f>
        <v>2151611.1790454965</v>
      </c>
      <c r="AF33" s="32">
        <f>Workings_risks!AB26</f>
        <v>2151611.1790454965</v>
      </c>
      <c r="AG33" s="32">
        <f>Workings_risks!AC26</f>
        <v>2151611.1790454965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8" t="s">
        <v>174</v>
      </c>
      <c r="D34" s="209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9"/>
      <c r="E35"/>
      <c r="G35" s="2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1"/>
      <c r="E36" s="106"/>
      <c r="F36" s="3"/>
      <c r="G36" s="212"/>
      <c r="H36" s="106"/>
      <c r="I36" s="105">
        <f>SUM(I28:I34)</f>
        <v>2542555.5476888078</v>
      </c>
      <c r="J36" s="105">
        <f t="shared" ref="J36:AB36" si="4">SUM(J28:J34)</f>
        <v>2542555.5476888078</v>
      </c>
      <c r="K36" s="105">
        <f t="shared" si="4"/>
        <v>2542555.5476888078</v>
      </c>
      <c r="L36" s="105">
        <f t="shared" si="4"/>
        <v>2542555.5476888078</v>
      </c>
      <c r="M36" s="105">
        <f t="shared" si="4"/>
        <v>2542555.5476888078</v>
      </c>
      <c r="N36" s="105">
        <f t="shared" si="4"/>
        <v>2542555.5476888078</v>
      </c>
      <c r="O36" s="105">
        <f t="shared" si="4"/>
        <v>2542555.5476888078</v>
      </c>
      <c r="P36" s="105">
        <f t="shared" si="4"/>
        <v>2542555.5476888078</v>
      </c>
      <c r="Q36" s="105">
        <f t="shared" si="4"/>
        <v>2542555.5476888078</v>
      </c>
      <c r="R36" s="105">
        <f t="shared" si="4"/>
        <v>2542555.5476888078</v>
      </c>
      <c r="S36" s="105">
        <f t="shared" si="4"/>
        <v>2542555.5476888078</v>
      </c>
      <c r="T36" s="105">
        <f t="shared" si="4"/>
        <v>2542555.5476888078</v>
      </c>
      <c r="U36" s="105">
        <f t="shared" si="4"/>
        <v>2542555.5476888078</v>
      </c>
      <c r="V36" s="105">
        <f t="shared" si="4"/>
        <v>2542555.5476888078</v>
      </c>
      <c r="W36" s="105">
        <f t="shared" si="4"/>
        <v>2542555.5476888078</v>
      </c>
      <c r="X36" s="105">
        <f t="shared" si="4"/>
        <v>2542555.5476888078</v>
      </c>
      <c r="Y36" s="105">
        <f t="shared" si="4"/>
        <v>2542555.5476888078</v>
      </c>
      <c r="Z36" s="105">
        <f t="shared" si="4"/>
        <v>2542555.5476888078</v>
      </c>
      <c r="AA36" s="105">
        <f t="shared" si="4"/>
        <v>2542555.5476888078</v>
      </c>
      <c r="AB36" s="105">
        <f t="shared" si="4"/>
        <v>2542555.5476888078</v>
      </c>
      <c r="AC36" s="105">
        <f>SUM(AC28:AC34)</f>
        <v>2542555.5476888078</v>
      </c>
      <c r="AD36" s="105">
        <f>SUM(AD28:AD34)</f>
        <v>2542555.5476888078</v>
      </c>
      <c r="AE36" s="105">
        <f>SUM(AE28:AE34)</f>
        <v>2542555.5476888078</v>
      </c>
      <c r="AF36" s="105">
        <f>SUM(AF28:AF34)</f>
        <v>2542555.5476888078</v>
      </c>
      <c r="AG36" s="105">
        <f>SUM(AG28:AG34)</f>
        <v>2542555.5476888078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7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8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8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9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8" t="s">
        <v>63</v>
      </c>
      <c r="E45" s="112">
        <f>Assumptions!G94</f>
        <v>151432.81740793545</v>
      </c>
      <c r="G45" s="210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8" t="s">
        <v>63</v>
      </c>
      <c r="E46" s="112">
        <f>Assumptions!G95</f>
        <v>24590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8" t="s">
        <v>63</v>
      </c>
      <c r="E47" s="111">
        <f>Assumptions!G96</f>
        <v>88.357719508603083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8" t="s">
        <v>126</v>
      </c>
      <c r="E48" s="111">
        <f>Assumptions!G97</f>
        <v>0</v>
      </c>
      <c r="G48" s="210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8" t="s">
        <v>207</v>
      </c>
      <c r="E49" s="111">
        <f>Assumptions!G98</f>
        <v>0.35181336539087127</v>
      </c>
      <c r="G49" s="210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8" t="s">
        <v>207</v>
      </c>
      <c r="E50" s="111">
        <f>Assumptions!G99</f>
        <v>0.35181336539087127</v>
      </c>
      <c r="G50" s="210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8" t="s">
        <v>126</v>
      </c>
      <c r="E51" s="111">
        <f>Assumptions!G100</f>
        <v>0</v>
      </c>
      <c r="G51" s="210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8" t="s">
        <v>126</v>
      </c>
      <c r="E52" s="111">
        <f>Assumptions!G101</f>
        <v>0</v>
      </c>
      <c r="G52" s="210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8"/>
      <c r="G53" s="21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8"/>
      <c r="G54" s="210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8"/>
      <c r="G56" s="208"/>
    </row>
    <row r="57" spans="1:43" x14ac:dyDescent="0.2">
      <c r="C57" s="3" t="s">
        <v>125</v>
      </c>
      <c r="D57" s="221"/>
      <c r="E57" s="106"/>
      <c r="F57" s="3"/>
      <c r="G57" s="213">
        <f>input_dollars</f>
        <v>45291</v>
      </c>
      <c r="H57" s="106"/>
      <c r="I57" s="105" cm="1">
        <f t="array" ref="I57">SUMPRODUCT((I$45:I$52)*($E$45:$E$52))+SUM(I54:I55)+I42</f>
        <v>0</v>
      </c>
      <c r="J57" s="105" cm="1">
        <f t="array" ref="J57">SUMPRODUCT((J$45:J$52)*($E$45:$E$52))+SUM(J54:J55)+J42</f>
        <v>0</v>
      </c>
      <c r="K57" s="105" cm="1">
        <f t="array" ref="K57">SUMPRODUCT((K$45:K$52)*($E$45:$E$52))+SUM(K54:K55)+K42</f>
        <v>0</v>
      </c>
      <c r="L57" s="105" cm="1">
        <f t="array" ref="L57">SUMPRODUCT((L$45:L$52)*($E$45:$E$52))+SUM(L54:L55)+L42</f>
        <v>0</v>
      </c>
      <c r="M57" s="105" cm="1">
        <f t="array" ref="M57">SUMPRODUCT((M$45:M$52)*($E$45:$E$52))+SUM(M54:M55)+M42</f>
        <v>0</v>
      </c>
      <c r="N57" s="105" cm="1">
        <f t="array" ref="N57">SUMPRODUCT((N$45:N$52)*($E$45:$E$52))+SUM(N54:N55)+N42</f>
        <v>0</v>
      </c>
      <c r="O57" s="105" cm="1">
        <f t="array" ref="O57">SUMPRODUCT((O$45:O$52)*($E$45:$E$52))+SUM(O54:O55)+O42</f>
        <v>0</v>
      </c>
      <c r="P57" s="105" cm="1">
        <f t="array" ref="P57">SUMPRODUCT((P$45:P$52)*($E$45:$E$52))+SUM(P54:P55)+P42</f>
        <v>0</v>
      </c>
      <c r="Q57" s="105" cm="1">
        <f t="array" ref="Q57">SUMPRODUCT((Q$45:Q$52)*($E$45:$E$52))+SUM(Q54:Q55)+Q42</f>
        <v>0</v>
      </c>
      <c r="R57" s="105" cm="1">
        <f t="array" ref="R57">SUMPRODUCT((R$45:R$52)*($E$45:$E$52))+SUM(R54:R55)+R42</f>
        <v>0</v>
      </c>
      <c r="S57" s="105" cm="1">
        <f t="array" ref="S57">SUMPRODUCT((S$45:S$52)*($E$45:$E$52))+SUM(S54:S55)+S42</f>
        <v>0</v>
      </c>
      <c r="T57" s="105" cm="1">
        <f t="array" ref="T57">SUMPRODUCT((T$45:T$52)*($E$45:$E$52))+SUM(T54:T55)+T42</f>
        <v>0</v>
      </c>
      <c r="U57" s="105" cm="1">
        <f t="array" ref="U57">SUMPRODUCT((U$45:U$52)*($E$45:$E$52))+SUM(U54:U55)+U42</f>
        <v>0</v>
      </c>
      <c r="V57" s="105" cm="1">
        <f t="array" ref="V57">SUMPRODUCT((V$45:V$52)*($E$45:$E$52))+SUM(V54:V55)+V42</f>
        <v>0</v>
      </c>
      <c r="W57" s="105" cm="1">
        <f t="array" ref="W57">SUMPRODUCT((W$45:W$52)*($E$45:$E$52))+SUM(W54:W55)+W42</f>
        <v>0</v>
      </c>
      <c r="X57" s="105" cm="1">
        <f t="array" ref="X57">SUMPRODUCT((X$45:X$52)*($E$45:$E$52))+SUM(X54:X55)+X42</f>
        <v>0</v>
      </c>
      <c r="Y57" s="105" cm="1">
        <f t="array" ref="Y57">SUMPRODUCT((Y$45:Y$52)*($E$45:$E$52))+SUM(Y54:Y55)+Y42</f>
        <v>0</v>
      </c>
      <c r="Z57" s="105" cm="1">
        <f t="array" ref="Z57">SUMPRODUCT((Z$45:Z$52)*($E$45:$E$52))+SUM(Z54:Z55)+Z42</f>
        <v>0</v>
      </c>
      <c r="AA57" s="105" cm="1">
        <f t="array" ref="AA57">SUMPRODUCT((AA$45:AA$52)*($E$45:$E$52))+SUM(AA54:AA55)+AA42</f>
        <v>0</v>
      </c>
      <c r="AB57" s="105" cm="1">
        <f t="array" ref="AB57">SUMPRODUCT((AB$45:AB$52)*($E$45:$E$52))+SUM(AB54:AB55)+AB42</f>
        <v>0</v>
      </c>
      <c r="AC57" s="105" cm="1">
        <f t="array" ref="AC57">SUMPRODUCT((AC$45:AC$52)*($E$45:$E$52))+SUM(AC54:AC55)+AC42</f>
        <v>0</v>
      </c>
      <c r="AD57" s="105" cm="1">
        <f t="array" ref="AD57">SUMPRODUCT((AD$45:AD$52)*($E$45:$E$52))+SUM(AD54:AD55)+AD42</f>
        <v>0</v>
      </c>
      <c r="AE57" s="105" cm="1">
        <f t="array" ref="AE57">SUMPRODUCT((AE$45:AE$52)*($E$45:$E$52))+SUM(AE54:AE55)+AE42</f>
        <v>0</v>
      </c>
      <c r="AF57" s="105" cm="1">
        <f t="array" ref="AF57">SUMPRODUCT((AF$45:AF$52)*($E$45:$E$52))+SUM(AF54:AF55)+AF42</f>
        <v>0</v>
      </c>
      <c r="AG57" s="105" cm="1">
        <f t="array" ref="AG57">SUMPRODUCT((AG$45:AG$52)*($E$45:$E$52))+SUM(AG54:AG55)+AG42</f>
        <v>0</v>
      </c>
    </row>
    <row r="58" spans="1:43" x14ac:dyDescent="0.2">
      <c r="D58" s="208"/>
      <c r="G58" s="20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4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5"/>
    </row>
    <row r="64" spans="1:43" x14ac:dyDescent="0.2">
      <c r="C64" s="4" t="s">
        <v>121</v>
      </c>
      <c r="G64" s="213">
        <f>input_dollars</f>
        <v>45291</v>
      </c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</row>
    <row r="65" spans="1:33" x14ac:dyDescent="0.2">
      <c r="G65" s="215"/>
    </row>
    <row r="66" spans="1:33" x14ac:dyDescent="0.2">
      <c r="A66" s="8"/>
      <c r="B66" s="8"/>
      <c r="C66" s="149" t="s">
        <v>30</v>
      </c>
      <c r="D66" s="38"/>
      <c r="F66" s="96"/>
      <c r="G66" s="216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No change to existing practices</v>
      </c>
      <c r="D67" s="38"/>
      <c r="F67" s="96"/>
      <c r="G67" s="213">
        <f>input_dollars</f>
        <v>45291</v>
      </c>
      <c r="H67" s="31"/>
      <c r="I67" s="118">
        <f t="shared" ref="I67:AG67" si="6">-I14</f>
        <v>0</v>
      </c>
      <c r="J67" s="118">
        <f t="shared" si="6"/>
        <v>0</v>
      </c>
      <c r="K67" s="118">
        <f t="shared" si="6"/>
        <v>0</v>
      </c>
      <c r="L67" s="118">
        <f t="shared" si="6"/>
        <v>0</v>
      </c>
      <c r="M67" s="118">
        <f t="shared" si="6"/>
        <v>0</v>
      </c>
      <c r="N67" s="118">
        <f t="shared" si="6"/>
        <v>0</v>
      </c>
      <c r="O67" s="118">
        <f t="shared" si="6"/>
        <v>0</v>
      </c>
      <c r="P67" s="118">
        <f t="shared" si="6"/>
        <v>0</v>
      </c>
      <c r="Q67" s="118">
        <f t="shared" si="6"/>
        <v>0</v>
      </c>
      <c r="R67" s="118">
        <f t="shared" si="6"/>
        <v>0</v>
      </c>
      <c r="S67" s="118">
        <f t="shared" si="6"/>
        <v>0</v>
      </c>
      <c r="T67" s="118">
        <f t="shared" si="6"/>
        <v>0</v>
      </c>
      <c r="U67" s="118">
        <f t="shared" si="6"/>
        <v>0</v>
      </c>
      <c r="V67" s="118">
        <f t="shared" si="6"/>
        <v>0</v>
      </c>
      <c r="W67" s="118">
        <f t="shared" si="6"/>
        <v>0</v>
      </c>
      <c r="X67" s="118">
        <f t="shared" si="6"/>
        <v>0</v>
      </c>
      <c r="Y67" s="118">
        <f t="shared" si="6"/>
        <v>0</v>
      </c>
      <c r="Z67" s="118">
        <f t="shared" si="6"/>
        <v>0</v>
      </c>
      <c r="AA67" s="118">
        <f t="shared" si="6"/>
        <v>0</v>
      </c>
      <c r="AB67" s="118">
        <f t="shared" si="6"/>
        <v>0</v>
      </c>
      <c r="AC67" s="118">
        <f t="shared" si="6"/>
        <v>0</v>
      </c>
      <c r="AD67" s="118">
        <f t="shared" si="6"/>
        <v>0</v>
      </c>
      <c r="AE67" s="118">
        <f t="shared" si="6"/>
        <v>0</v>
      </c>
      <c r="AF67" s="118">
        <f t="shared" si="6"/>
        <v>0</v>
      </c>
      <c r="AG67" s="118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13">
        <f>input_dollars</f>
        <v>45291</v>
      </c>
      <c r="H68" s="31"/>
      <c r="I68" s="118">
        <f t="shared" ref="I68:AG68" si="7">-I15</f>
        <v>0</v>
      </c>
      <c r="J68" s="118">
        <f t="shared" si="7"/>
        <v>0</v>
      </c>
      <c r="K68" s="118">
        <f t="shared" si="7"/>
        <v>0</v>
      </c>
      <c r="L68" s="118">
        <f t="shared" si="7"/>
        <v>0</v>
      </c>
      <c r="M68" s="118">
        <f t="shared" si="7"/>
        <v>0</v>
      </c>
      <c r="N68" s="118">
        <f t="shared" si="7"/>
        <v>0</v>
      </c>
      <c r="O68" s="118">
        <f t="shared" si="7"/>
        <v>0</v>
      </c>
      <c r="P68" s="118">
        <f t="shared" si="7"/>
        <v>0</v>
      </c>
      <c r="Q68" s="118">
        <f t="shared" si="7"/>
        <v>0</v>
      </c>
      <c r="R68" s="118">
        <f t="shared" si="7"/>
        <v>0</v>
      </c>
      <c r="S68" s="118">
        <f t="shared" si="7"/>
        <v>0</v>
      </c>
      <c r="T68" s="118">
        <f t="shared" si="7"/>
        <v>0</v>
      </c>
      <c r="U68" s="118">
        <f t="shared" si="7"/>
        <v>0</v>
      </c>
      <c r="V68" s="118">
        <f t="shared" si="7"/>
        <v>0</v>
      </c>
      <c r="W68" s="118">
        <f t="shared" si="7"/>
        <v>0</v>
      </c>
      <c r="X68" s="118">
        <f t="shared" si="7"/>
        <v>0</v>
      </c>
      <c r="Y68" s="118">
        <f t="shared" si="7"/>
        <v>0</v>
      </c>
      <c r="Z68" s="118">
        <f t="shared" si="7"/>
        <v>0</v>
      </c>
      <c r="AA68" s="118">
        <f t="shared" si="7"/>
        <v>0</v>
      </c>
      <c r="AB68" s="118">
        <f t="shared" si="7"/>
        <v>0</v>
      </c>
      <c r="AC68" s="118">
        <f t="shared" si="7"/>
        <v>0</v>
      </c>
      <c r="AD68" s="118">
        <f t="shared" si="7"/>
        <v>0</v>
      </c>
      <c r="AE68" s="118">
        <f t="shared" si="7"/>
        <v>0</v>
      </c>
      <c r="AF68" s="118">
        <f t="shared" si="7"/>
        <v>0</v>
      </c>
      <c r="AG68" s="118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13">
        <f>input_dollars</f>
        <v>45291</v>
      </c>
      <c r="H69" s="31"/>
      <c r="I69" s="118">
        <f t="shared" ref="I69:AG69" si="8">-I16</f>
        <v>0</v>
      </c>
      <c r="J69" s="118">
        <f t="shared" si="8"/>
        <v>0</v>
      </c>
      <c r="K69" s="118">
        <f t="shared" si="8"/>
        <v>0</v>
      </c>
      <c r="L69" s="118">
        <f t="shared" si="8"/>
        <v>0</v>
      </c>
      <c r="M69" s="118">
        <f t="shared" si="8"/>
        <v>0</v>
      </c>
      <c r="N69" s="118">
        <f t="shared" si="8"/>
        <v>0</v>
      </c>
      <c r="O69" s="118">
        <f t="shared" si="8"/>
        <v>0</v>
      </c>
      <c r="P69" s="118">
        <f t="shared" si="8"/>
        <v>0</v>
      </c>
      <c r="Q69" s="118">
        <f t="shared" si="8"/>
        <v>0</v>
      </c>
      <c r="R69" s="118">
        <f t="shared" si="8"/>
        <v>0</v>
      </c>
      <c r="S69" s="118">
        <f t="shared" si="8"/>
        <v>0</v>
      </c>
      <c r="T69" s="118">
        <f t="shared" si="8"/>
        <v>0</v>
      </c>
      <c r="U69" s="118">
        <f t="shared" si="8"/>
        <v>0</v>
      </c>
      <c r="V69" s="118">
        <f t="shared" si="8"/>
        <v>0</v>
      </c>
      <c r="W69" s="118">
        <f t="shared" si="8"/>
        <v>0</v>
      </c>
      <c r="X69" s="118">
        <f t="shared" si="8"/>
        <v>0</v>
      </c>
      <c r="Y69" s="118">
        <f t="shared" si="8"/>
        <v>0</v>
      </c>
      <c r="Z69" s="118">
        <f t="shared" si="8"/>
        <v>0</v>
      </c>
      <c r="AA69" s="118">
        <f t="shared" si="8"/>
        <v>0</v>
      </c>
      <c r="AB69" s="118">
        <f t="shared" si="8"/>
        <v>0</v>
      </c>
      <c r="AC69" s="118">
        <f t="shared" si="8"/>
        <v>0</v>
      </c>
      <c r="AD69" s="118">
        <f t="shared" si="8"/>
        <v>0</v>
      </c>
      <c r="AE69" s="118">
        <f t="shared" si="8"/>
        <v>0</v>
      </c>
      <c r="AF69" s="118">
        <f t="shared" si="8"/>
        <v>0</v>
      </c>
      <c r="AG69" s="118">
        <f t="shared" si="8"/>
        <v>0</v>
      </c>
    </row>
    <row r="70" spans="1:33" x14ac:dyDescent="0.2">
      <c r="A70" s="8"/>
      <c r="B70" s="8"/>
      <c r="C70" s="4"/>
      <c r="D70" s="38"/>
      <c r="F70" s="96"/>
      <c r="G70" s="217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9" t="s">
        <v>157</v>
      </c>
      <c r="D71" s="38"/>
      <c r="F71" s="96"/>
      <c r="G71" s="216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No change to existing practices</v>
      </c>
      <c r="D72" s="38"/>
      <c r="F72" s="96"/>
      <c r="G72" s="213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13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13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7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9" t="s">
        <v>91</v>
      </c>
      <c r="D76" s="38"/>
      <c r="F76" s="96"/>
      <c r="G76" s="216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No change to existing practices</v>
      </c>
      <c r="D77" s="38"/>
      <c r="F77" s="96"/>
      <c r="G77" s="213">
        <f>input_dollars</f>
        <v>45291</v>
      </c>
      <c r="H77" s="31"/>
      <c r="I77" s="118">
        <f t="shared" ref="I77:AG77" si="9">IF($E14=0,0,-PMT(real_disc, $E14,H72,))</f>
        <v>0</v>
      </c>
      <c r="J77" s="118">
        <f t="shared" si="9"/>
        <v>0</v>
      </c>
      <c r="K77" s="118">
        <f t="shared" si="9"/>
        <v>0</v>
      </c>
      <c r="L77" s="118">
        <f t="shared" si="9"/>
        <v>0</v>
      </c>
      <c r="M77" s="118">
        <f t="shared" si="9"/>
        <v>0</v>
      </c>
      <c r="N77" s="118">
        <f t="shared" si="9"/>
        <v>0</v>
      </c>
      <c r="O77" s="118">
        <f t="shared" si="9"/>
        <v>0</v>
      </c>
      <c r="P77" s="118">
        <f t="shared" si="9"/>
        <v>0</v>
      </c>
      <c r="Q77" s="118">
        <f t="shared" si="9"/>
        <v>0</v>
      </c>
      <c r="R77" s="118">
        <f t="shared" si="9"/>
        <v>0</v>
      </c>
      <c r="S77" s="118">
        <f t="shared" si="9"/>
        <v>0</v>
      </c>
      <c r="T77" s="118">
        <f t="shared" si="9"/>
        <v>0</v>
      </c>
      <c r="U77" s="118">
        <f t="shared" si="9"/>
        <v>0</v>
      </c>
      <c r="V77" s="118">
        <f t="shared" si="9"/>
        <v>0</v>
      </c>
      <c r="W77" s="118">
        <f t="shared" si="9"/>
        <v>0</v>
      </c>
      <c r="X77" s="118">
        <f t="shared" si="9"/>
        <v>0</v>
      </c>
      <c r="Y77" s="118">
        <f t="shared" si="9"/>
        <v>0</v>
      </c>
      <c r="Z77" s="118">
        <f t="shared" si="9"/>
        <v>0</v>
      </c>
      <c r="AA77" s="118">
        <f t="shared" si="9"/>
        <v>0</v>
      </c>
      <c r="AB77" s="118">
        <f t="shared" si="9"/>
        <v>0</v>
      </c>
      <c r="AC77" s="118">
        <f t="shared" si="9"/>
        <v>0</v>
      </c>
      <c r="AD77" s="118">
        <f t="shared" si="9"/>
        <v>0</v>
      </c>
      <c r="AE77" s="118">
        <f t="shared" si="9"/>
        <v>0</v>
      </c>
      <c r="AF77" s="118">
        <f t="shared" si="9"/>
        <v>0</v>
      </c>
      <c r="AG77" s="118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13">
        <f>input_dollars</f>
        <v>45291</v>
      </c>
      <c r="H78" s="31"/>
      <c r="I78" s="118">
        <f t="shared" ref="I78:AG78" si="10">IF($E15=0,0,-PMT(real_disc, $E15,H73,))</f>
        <v>0</v>
      </c>
      <c r="J78" s="118">
        <f t="shared" si="10"/>
        <v>0</v>
      </c>
      <c r="K78" s="118">
        <f t="shared" si="10"/>
        <v>0</v>
      </c>
      <c r="L78" s="118">
        <f t="shared" si="10"/>
        <v>0</v>
      </c>
      <c r="M78" s="118">
        <f t="shared" si="10"/>
        <v>0</v>
      </c>
      <c r="N78" s="118">
        <f t="shared" si="10"/>
        <v>0</v>
      </c>
      <c r="O78" s="118">
        <f t="shared" si="10"/>
        <v>0</v>
      </c>
      <c r="P78" s="118">
        <f t="shared" si="10"/>
        <v>0</v>
      </c>
      <c r="Q78" s="118">
        <f t="shared" si="10"/>
        <v>0</v>
      </c>
      <c r="R78" s="118">
        <f t="shared" si="10"/>
        <v>0</v>
      </c>
      <c r="S78" s="118">
        <f t="shared" si="10"/>
        <v>0</v>
      </c>
      <c r="T78" s="118">
        <f t="shared" si="10"/>
        <v>0</v>
      </c>
      <c r="U78" s="118">
        <f t="shared" si="10"/>
        <v>0</v>
      </c>
      <c r="V78" s="118">
        <f t="shared" si="10"/>
        <v>0</v>
      </c>
      <c r="W78" s="118">
        <f t="shared" si="10"/>
        <v>0</v>
      </c>
      <c r="X78" s="118">
        <f t="shared" si="10"/>
        <v>0</v>
      </c>
      <c r="Y78" s="118">
        <f t="shared" si="10"/>
        <v>0</v>
      </c>
      <c r="Z78" s="118">
        <f t="shared" si="10"/>
        <v>0</v>
      </c>
      <c r="AA78" s="118">
        <f t="shared" si="10"/>
        <v>0</v>
      </c>
      <c r="AB78" s="118">
        <f t="shared" si="10"/>
        <v>0</v>
      </c>
      <c r="AC78" s="118">
        <f t="shared" si="10"/>
        <v>0</v>
      </c>
      <c r="AD78" s="118">
        <f t="shared" si="10"/>
        <v>0</v>
      </c>
      <c r="AE78" s="118">
        <f t="shared" si="10"/>
        <v>0</v>
      </c>
      <c r="AF78" s="118">
        <f t="shared" si="10"/>
        <v>0</v>
      </c>
      <c r="AG78" s="118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13">
        <f>input_dollars</f>
        <v>45291</v>
      </c>
      <c r="H79" s="31"/>
      <c r="I79" s="118">
        <f t="shared" ref="I79:AG79" si="11">IF($E16=0,0,-PMT(real_disc, $E16,H74,))</f>
        <v>0</v>
      </c>
      <c r="J79" s="118">
        <f t="shared" si="11"/>
        <v>0</v>
      </c>
      <c r="K79" s="118">
        <f t="shared" si="11"/>
        <v>0</v>
      </c>
      <c r="L79" s="118">
        <f t="shared" si="11"/>
        <v>0</v>
      </c>
      <c r="M79" s="118">
        <f t="shared" si="11"/>
        <v>0</v>
      </c>
      <c r="N79" s="118">
        <f t="shared" si="11"/>
        <v>0</v>
      </c>
      <c r="O79" s="118">
        <f t="shared" si="11"/>
        <v>0</v>
      </c>
      <c r="P79" s="118">
        <f t="shared" si="11"/>
        <v>0</v>
      </c>
      <c r="Q79" s="118">
        <f t="shared" si="11"/>
        <v>0</v>
      </c>
      <c r="R79" s="118">
        <f t="shared" si="11"/>
        <v>0</v>
      </c>
      <c r="S79" s="118">
        <f t="shared" si="11"/>
        <v>0</v>
      </c>
      <c r="T79" s="118">
        <f t="shared" si="11"/>
        <v>0</v>
      </c>
      <c r="U79" s="118">
        <f t="shared" si="11"/>
        <v>0</v>
      </c>
      <c r="V79" s="118">
        <f t="shared" si="11"/>
        <v>0</v>
      </c>
      <c r="W79" s="118">
        <f t="shared" si="11"/>
        <v>0</v>
      </c>
      <c r="X79" s="118">
        <f t="shared" si="11"/>
        <v>0</v>
      </c>
      <c r="Y79" s="118">
        <f t="shared" si="11"/>
        <v>0</v>
      </c>
      <c r="Z79" s="118">
        <f t="shared" si="11"/>
        <v>0</v>
      </c>
      <c r="AA79" s="118">
        <f t="shared" si="11"/>
        <v>0</v>
      </c>
      <c r="AB79" s="118">
        <f t="shared" si="11"/>
        <v>0</v>
      </c>
      <c r="AC79" s="118">
        <f t="shared" si="11"/>
        <v>0</v>
      </c>
      <c r="AD79" s="118">
        <f t="shared" si="11"/>
        <v>0</v>
      </c>
      <c r="AE79" s="118">
        <f t="shared" si="11"/>
        <v>0</v>
      </c>
      <c r="AF79" s="118">
        <f t="shared" si="11"/>
        <v>0</v>
      </c>
      <c r="AG79" s="118">
        <f t="shared" si="11"/>
        <v>0</v>
      </c>
    </row>
    <row r="80" spans="1:33" x14ac:dyDescent="0.2">
      <c r="A80" s="8"/>
      <c r="B80" s="8"/>
      <c r="C80" s="175" t="s">
        <v>158</v>
      </c>
      <c r="D80" s="175"/>
      <c r="E80" s="176"/>
      <c r="F80" s="177"/>
      <c r="G80" s="218">
        <f>input_dollars</f>
        <v>45291</v>
      </c>
      <c r="H80" s="178"/>
      <c r="I80" s="179">
        <f>SUM(I77:I79)</f>
        <v>0</v>
      </c>
      <c r="J80" s="179">
        <f t="shared" ref="J80:AB80" si="12">SUM(J77:J79)</f>
        <v>0</v>
      </c>
      <c r="K80" s="179">
        <f t="shared" si="12"/>
        <v>0</v>
      </c>
      <c r="L80" s="179">
        <f t="shared" si="12"/>
        <v>0</v>
      </c>
      <c r="M80" s="179">
        <f t="shared" si="12"/>
        <v>0</v>
      </c>
      <c r="N80" s="179">
        <f t="shared" si="12"/>
        <v>0</v>
      </c>
      <c r="O80" s="179">
        <f t="shared" si="12"/>
        <v>0</v>
      </c>
      <c r="P80" s="179">
        <f t="shared" si="12"/>
        <v>0</v>
      </c>
      <c r="Q80" s="179">
        <f t="shared" si="12"/>
        <v>0</v>
      </c>
      <c r="R80" s="179">
        <f t="shared" si="12"/>
        <v>0</v>
      </c>
      <c r="S80" s="179">
        <f t="shared" si="12"/>
        <v>0</v>
      </c>
      <c r="T80" s="179">
        <f t="shared" si="12"/>
        <v>0</v>
      </c>
      <c r="U80" s="179">
        <f t="shared" si="12"/>
        <v>0</v>
      </c>
      <c r="V80" s="179">
        <f t="shared" si="12"/>
        <v>0</v>
      </c>
      <c r="W80" s="179">
        <f t="shared" si="12"/>
        <v>0</v>
      </c>
      <c r="X80" s="179">
        <f t="shared" si="12"/>
        <v>0</v>
      </c>
      <c r="Y80" s="179">
        <f t="shared" si="12"/>
        <v>0</v>
      </c>
      <c r="Z80" s="179">
        <f t="shared" si="12"/>
        <v>0</v>
      </c>
      <c r="AA80" s="179">
        <f t="shared" si="12"/>
        <v>0</v>
      </c>
      <c r="AB80" s="179">
        <f t="shared" si="12"/>
        <v>0</v>
      </c>
      <c r="AC80" s="179">
        <f>SUM(AC77:AC79)</f>
        <v>0</v>
      </c>
      <c r="AD80" s="179">
        <f>SUM(AD77:AD79)</f>
        <v>0</v>
      </c>
      <c r="AE80" s="179">
        <f>SUM(AE77:AE79)</f>
        <v>0</v>
      </c>
      <c r="AF80" s="179">
        <f>SUM(AF77:AF79)</f>
        <v>0</v>
      </c>
      <c r="AG80" s="179">
        <f>SUM(AG77:AG79)</f>
        <v>0</v>
      </c>
    </row>
    <row r="81" spans="1:33" x14ac:dyDescent="0.2">
      <c r="A81" s="8"/>
      <c r="B81" s="8"/>
      <c r="C81" s="75"/>
      <c r="D81" s="38"/>
      <c r="F81"/>
      <c r="G81" s="219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13">
        <f t="shared" ref="G82:G87" si="13">input_dollars</f>
        <v>45291</v>
      </c>
      <c r="H82" s="31"/>
      <c r="I82" s="118">
        <f>I80</f>
        <v>0</v>
      </c>
      <c r="J82" s="118">
        <f t="shared" ref="J82:AB82" si="14">J80</f>
        <v>0</v>
      </c>
      <c r="K82" s="118">
        <f t="shared" si="14"/>
        <v>0</v>
      </c>
      <c r="L82" s="118">
        <f t="shared" si="14"/>
        <v>0</v>
      </c>
      <c r="M82" s="118">
        <f t="shared" si="14"/>
        <v>0</v>
      </c>
      <c r="N82" s="118">
        <f t="shared" si="14"/>
        <v>0</v>
      </c>
      <c r="O82" s="118">
        <f t="shared" si="14"/>
        <v>0</v>
      </c>
      <c r="P82" s="118">
        <f t="shared" si="14"/>
        <v>0</v>
      </c>
      <c r="Q82" s="118">
        <f t="shared" si="14"/>
        <v>0</v>
      </c>
      <c r="R82" s="118">
        <f t="shared" si="14"/>
        <v>0</v>
      </c>
      <c r="S82" s="118">
        <f t="shared" si="14"/>
        <v>0</v>
      </c>
      <c r="T82" s="118">
        <f t="shared" si="14"/>
        <v>0</v>
      </c>
      <c r="U82" s="118">
        <f t="shared" si="14"/>
        <v>0</v>
      </c>
      <c r="V82" s="118">
        <f t="shared" si="14"/>
        <v>0</v>
      </c>
      <c r="W82" s="118">
        <f t="shared" si="14"/>
        <v>0</v>
      </c>
      <c r="X82" s="118">
        <f t="shared" si="14"/>
        <v>0</v>
      </c>
      <c r="Y82" s="118">
        <f t="shared" si="14"/>
        <v>0</v>
      </c>
      <c r="Z82" s="118">
        <f t="shared" si="14"/>
        <v>0</v>
      </c>
      <c r="AA82" s="118">
        <f t="shared" si="14"/>
        <v>0</v>
      </c>
      <c r="AB82" s="118">
        <f t="shared" si="14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13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141</v>
      </c>
      <c r="D84" s="38"/>
      <c r="F84" s="96"/>
      <c r="G84" s="213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13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3" t="s">
        <v>189</v>
      </c>
      <c r="D87" s="181"/>
      <c r="E87" s="176"/>
      <c r="F87" s="182"/>
      <c r="G87" s="218">
        <f t="shared" si="13"/>
        <v>45291</v>
      </c>
      <c r="H87" s="182"/>
      <c r="I87" s="182">
        <f t="shared" ref="I87:AB87" si="18">SUM(I82:I86)</f>
        <v>0</v>
      </c>
      <c r="J87" s="182">
        <f t="shared" si="18"/>
        <v>0</v>
      </c>
      <c r="K87" s="182">
        <f t="shared" si="18"/>
        <v>0</v>
      </c>
      <c r="L87" s="182">
        <f t="shared" si="18"/>
        <v>0</v>
      </c>
      <c r="M87" s="182">
        <f t="shared" si="18"/>
        <v>0</v>
      </c>
      <c r="N87" s="182">
        <f t="shared" si="18"/>
        <v>0</v>
      </c>
      <c r="O87" s="182">
        <f t="shared" si="18"/>
        <v>0</v>
      </c>
      <c r="P87" s="182">
        <f t="shared" si="18"/>
        <v>0</v>
      </c>
      <c r="Q87" s="182">
        <f t="shared" si="18"/>
        <v>0</v>
      </c>
      <c r="R87" s="182">
        <f t="shared" si="18"/>
        <v>0</v>
      </c>
      <c r="S87" s="182">
        <f t="shared" si="18"/>
        <v>0</v>
      </c>
      <c r="T87" s="182">
        <f t="shared" si="18"/>
        <v>0</v>
      </c>
      <c r="U87" s="182">
        <f t="shared" si="18"/>
        <v>0</v>
      </c>
      <c r="V87" s="182">
        <f t="shared" si="18"/>
        <v>0</v>
      </c>
      <c r="W87" s="182">
        <f t="shared" si="18"/>
        <v>0</v>
      </c>
      <c r="X87" s="182">
        <f t="shared" si="18"/>
        <v>0</v>
      </c>
      <c r="Y87" s="182">
        <f t="shared" si="18"/>
        <v>0</v>
      </c>
      <c r="Z87" s="182">
        <f t="shared" si="18"/>
        <v>0</v>
      </c>
      <c r="AA87" s="182">
        <f t="shared" si="18"/>
        <v>0</v>
      </c>
      <c r="AB87" s="182">
        <f t="shared" si="18"/>
        <v>0</v>
      </c>
      <c r="AC87" s="182">
        <f>SUM(AC82:AC86)</f>
        <v>0</v>
      </c>
      <c r="AD87" s="182">
        <f>SUM(AD82:AD86)</f>
        <v>0</v>
      </c>
      <c r="AE87" s="182">
        <f>SUM(AE82:AE86)</f>
        <v>0</v>
      </c>
      <c r="AF87" s="182">
        <f>SUM(AF82:AF86)</f>
        <v>0</v>
      </c>
      <c r="AG87" s="182">
        <f>SUM(AG82:AG86)</f>
        <v>0</v>
      </c>
    </row>
    <row r="88" spans="1:33" x14ac:dyDescent="0.2">
      <c r="A88" s="8"/>
      <c r="B88" s="8"/>
      <c r="C88" s="75"/>
      <c r="D88" s="140"/>
      <c r="E88" s="64"/>
      <c r="F88" s="142"/>
      <c r="G88" s="220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40"/>
      <c r="E89" s="64"/>
      <c r="F89" s="142"/>
      <c r="G89" s="220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33"/>
      <c r="D90" s="82"/>
      <c r="E90" s="234"/>
      <c r="F90" s="235"/>
      <c r="G90" s="234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4"/>
      <c r="D91" s="234"/>
      <c r="E91" s="234"/>
      <c r="F91" s="234"/>
      <c r="G91" s="234"/>
    </row>
    <row r="92" spans="1:33" x14ac:dyDescent="0.2">
      <c r="C92" s="234"/>
      <c r="D92" s="234"/>
      <c r="E92" s="234"/>
      <c r="F92" s="234"/>
      <c r="G92" s="234"/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7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43" x14ac:dyDescent="0.2">
      <c r="E105"/>
      <c r="F105"/>
      <c r="G105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6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5" t="str">
        <f>Assumptions!G110</f>
        <v>Capex</v>
      </c>
      <c r="E109" s="305" t="str">
        <f>Assumptions!H110</f>
        <v>Total benefits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43" x14ac:dyDescent="0.2">
      <c r="A110" s="1" t="str">
        <f>"sens"&amp;Assumptions!B111</f>
        <v>sens1</v>
      </c>
      <c r="C110" s="304" t="str">
        <f>Assumptions!C111</f>
        <v>Capex 10% higher</v>
      </c>
      <c r="D110" s="305">
        <f>Assumptions!G111</f>
        <v>0.1</v>
      </c>
      <c r="E110" s="305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4" t="str">
        <f>Assumptions!C112</f>
        <v>Capex 10% lower</v>
      </c>
      <c r="D111" s="305">
        <f>Assumptions!G112</f>
        <v>-0.1</v>
      </c>
      <c r="E111" s="305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4" t="str">
        <f>Assumptions!C113</f>
        <v>Total benefits 10% higher</v>
      </c>
      <c r="D112" s="305">
        <f>Assumptions!G113</f>
        <v>0</v>
      </c>
      <c r="E112" s="305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4" t="str">
        <f>Assumptions!C114</f>
        <v>Total benefits 10% lower</v>
      </c>
      <c r="D113" s="305">
        <f>Assumptions!G114</f>
        <v>0</v>
      </c>
      <c r="E113" s="305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4" t="str">
        <f>Assumptions!C115</f>
        <v>Capex 10% higher &amp; Total benefits 10% lower</v>
      </c>
      <c r="D114" s="305">
        <f>Assumptions!G115</f>
        <v>0.1</v>
      </c>
      <c r="E114" s="305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4">
        <f>Assumptions!C116</f>
        <v>0</v>
      </c>
      <c r="D115" s="305">
        <f>Assumptions!G116</f>
        <v>0</v>
      </c>
      <c r="E115" s="305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4">
        <f>Assumptions!C117</f>
        <v>0</v>
      </c>
      <c r="D116" s="305">
        <f>Assumptions!G117</f>
        <v>0</v>
      </c>
      <c r="E116" s="305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4">
        <f>Assumptions!C118</f>
        <v>0</v>
      </c>
      <c r="D117" s="305">
        <f>Assumptions!G118</f>
        <v>0</v>
      </c>
      <c r="E117" s="305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Horsham REFCL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130</v>
      </c>
      <c r="B3" s="5"/>
      <c r="C3" s="203" t="str">
        <f>INDEX(Assumptions!$E$14:$E$18, MATCH(A3,_xlfn.ANCHORARRAY( Assumptions!$C$14),0))</f>
        <v>Install Single REFCL at HSM ZSS in 2029-30</v>
      </c>
    </row>
    <row r="4" spans="1:43" x14ac:dyDescent="0.2">
      <c r="A4" s="204" t="str">
        <f>(INDEX(Data!$D$9:$D$13, MATCH(A3, options,0)))</f>
        <v/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62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</row>
    <row r="13" spans="1:43" x14ac:dyDescent="0.2">
      <c r="C13" s="3" t="s">
        <v>17</v>
      </c>
      <c r="D13"/>
      <c r="E13" s="125" t="s">
        <v>69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74" t="s">
        <v>312</v>
      </c>
      <c r="D14"/>
      <c r="E14" s="150">
        <v>30</v>
      </c>
      <c r="G14" s="210">
        <f>input_dollars</f>
        <v>45291</v>
      </c>
      <c r="H14" s="151"/>
      <c r="I14" s="375">
        <f>Workings_costs!E22</f>
        <v>0</v>
      </c>
      <c r="J14" s="377">
        <f>Workings_costs!F22</f>
        <v>0</v>
      </c>
      <c r="K14" s="377">
        <f>Workings_costs!G22</f>
        <v>0</v>
      </c>
      <c r="L14" s="377">
        <f>Workings_costs!H22</f>
        <v>8236093</v>
      </c>
      <c r="M14" s="377">
        <f>Workings_costs!I22</f>
        <v>8236093</v>
      </c>
      <c r="N14" s="377">
        <f>Workings_costs!J22</f>
        <v>0</v>
      </c>
      <c r="O14" s="377">
        <f>Workings_costs!K22</f>
        <v>0</v>
      </c>
      <c r="P14" s="377">
        <f>Workings_costs!L22</f>
        <v>0</v>
      </c>
      <c r="Q14" s="377">
        <f>Workings_costs!M22</f>
        <v>0</v>
      </c>
      <c r="R14" s="377">
        <f>Workings_costs!N22</f>
        <v>0</v>
      </c>
      <c r="S14" s="377">
        <f>Workings_costs!O22</f>
        <v>0</v>
      </c>
      <c r="T14" s="377">
        <f>Workings_costs!P22</f>
        <v>0</v>
      </c>
      <c r="U14" s="377">
        <f>Workings_costs!Q22</f>
        <v>0</v>
      </c>
      <c r="V14" s="377">
        <f>Workings_costs!R22</f>
        <v>0</v>
      </c>
      <c r="W14" s="377">
        <f>Workings_costs!S22</f>
        <v>0</v>
      </c>
      <c r="X14" s="377">
        <f>Workings_costs!T22</f>
        <v>0</v>
      </c>
      <c r="Y14" s="377">
        <f>Workings_costs!U22</f>
        <v>0</v>
      </c>
      <c r="Z14" s="377">
        <f>Workings_costs!V22</f>
        <v>0</v>
      </c>
      <c r="AA14" s="377">
        <f>Workings_costs!W22</f>
        <v>0</v>
      </c>
      <c r="AB14" s="377">
        <f>Workings_costs!X22</f>
        <v>0</v>
      </c>
      <c r="AC14" s="377">
        <f>Workings_costs!Y22</f>
        <v>0</v>
      </c>
      <c r="AD14" s="377">
        <f>Workings_costs!Z22</f>
        <v>0</v>
      </c>
      <c r="AE14" s="377">
        <f>Workings_costs!AA22</f>
        <v>0</v>
      </c>
      <c r="AF14" s="377">
        <f>Workings_costs!AB22</f>
        <v>0</v>
      </c>
      <c r="AG14" s="377">
        <f>Workings_costs!AC22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0">
        <v>0</v>
      </c>
      <c r="G15" s="210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0">
        <v>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10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8236093</v>
      </c>
      <c r="M17" s="105">
        <f t="shared" si="0"/>
        <v>8236093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10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8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11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152</v>
      </c>
      <c r="D24" s="110"/>
      <c r="E24" s="110"/>
      <c r="F24" s="110"/>
      <c r="G24" s="211"/>
      <c r="H24" s="110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153</v>
      </c>
      <c r="D25" s="211"/>
      <c r="E25" s="110"/>
      <c r="F25" s="110"/>
      <c r="G25" s="211"/>
      <c r="H25" s="110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11"/>
      <c r="E26" s="110"/>
      <c r="F26" s="110"/>
      <c r="G26" s="211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8"/>
      <c r="E27"/>
      <c r="G27" s="210" t="s">
        <v>40</v>
      </c>
      <c r="H27"/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 t="s">
        <v>63</v>
      </c>
      <c r="E28" s="112">
        <f>Assumptions!H41*vcr_esc</f>
        <v>41631.575238965597</v>
      </c>
      <c r="F28" s="241" t="str">
        <f>IF(AND(SUM(I27:AG27)&lt;&gt;0, E28=0), "!", "")</f>
        <v/>
      </c>
      <c r="G28" s="210">
        <f>input_dollars</f>
        <v>45291</v>
      </c>
      <c r="H28"/>
      <c r="I28" s="301">
        <f>I27*$E$28</f>
        <v>0</v>
      </c>
      <c r="J28" s="301">
        <f t="shared" ref="J28:AG28" si="2">J27*$E$28</f>
        <v>0</v>
      </c>
      <c r="K28" s="301">
        <f t="shared" si="2"/>
        <v>0</v>
      </c>
      <c r="L28" s="301">
        <f t="shared" si="2"/>
        <v>0</v>
      </c>
      <c r="M28" s="301">
        <f t="shared" si="2"/>
        <v>0</v>
      </c>
      <c r="N28" s="301">
        <f t="shared" si="2"/>
        <v>0</v>
      </c>
      <c r="O28" s="301">
        <f t="shared" si="2"/>
        <v>0</v>
      </c>
      <c r="P28" s="301">
        <f t="shared" si="2"/>
        <v>0</v>
      </c>
      <c r="Q28" s="301">
        <f t="shared" si="2"/>
        <v>0</v>
      </c>
      <c r="R28" s="301">
        <f t="shared" si="2"/>
        <v>0</v>
      </c>
      <c r="S28" s="301">
        <f t="shared" si="2"/>
        <v>0</v>
      </c>
      <c r="T28" s="301">
        <f t="shared" si="2"/>
        <v>0</v>
      </c>
      <c r="U28" s="301">
        <f t="shared" si="2"/>
        <v>0</v>
      </c>
      <c r="V28" s="301">
        <f t="shared" si="2"/>
        <v>0</v>
      </c>
      <c r="W28" s="301">
        <f t="shared" si="2"/>
        <v>0</v>
      </c>
      <c r="X28" s="301">
        <f t="shared" si="2"/>
        <v>0</v>
      </c>
      <c r="Y28" s="301">
        <f t="shared" si="2"/>
        <v>0</v>
      </c>
      <c r="Z28" s="301">
        <f t="shared" si="2"/>
        <v>0</v>
      </c>
      <c r="AA28" s="301">
        <f t="shared" si="2"/>
        <v>0</v>
      </c>
      <c r="AB28" s="301">
        <f t="shared" si="2"/>
        <v>0</v>
      </c>
      <c r="AC28" s="301">
        <f t="shared" si="2"/>
        <v>0</v>
      </c>
      <c r="AD28" s="301">
        <f t="shared" si="2"/>
        <v>0</v>
      </c>
      <c r="AE28" s="301">
        <f t="shared" si="2"/>
        <v>0</v>
      </c>
      <c r="AF28" s="301">
        <f t="shared" si="2"/>
        <v>0</v>
      </c>
      <c r="AG28" s="301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9"/>
      <c r="E29"/>
      <c r="G29" s="2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8" t="s">
        <v>209</v>
      </c>
      <c r="G30" s="210">
        <f>input_dollars</f>
        <v>45291</v>
      </c>
      <c r="H30" s="151"/>
      <c r="I30" s="32">
        <f>Workings_risks!E45</f>
        <v>390944.3686433112</v>
      </c>
      <c r="J30" s="377">
        <f>Workings_risks!F45</f>
        <v>390944.3686433112</v>
      </c>
      <c r="K30" s="377">
        <f>Workings_risks!G45</f>
        <v>390944.3686433112</v>
      </c>
      <c r="L30" s="377">
        <f>Workings_risks!H45</f>
        <v>390944.3686433112</v>
      </c>
      <c r="M30" s="377">
        <f>Workings_risks!I45</f>
        <v>390944.3686433112</v>
      </c>
      <c r="N30" s="377">
        <f>Workings_risks!J45</f>
        <v>268344.2146367688</v>
      </c>
      <c r="O30" s="377">
        <f>Workings_risks!K45</f>
        <v>268344.2146367688</v>
      </c>
      <c r="P30" s="377">
        <f>Workings_risks!L45</f>
        <v>268344.2146367688</v>
      </c>
      <c r="Q30" s="377">
        <f>Workings_risks!M45</f>
        <v>268344.2146367688</v>
      </c>
      <c r="R30" s="377">
        <f>Workings_risks!N45</f>
        <v>268344.2146367688</v>
      </c>
      <c r="S30" s="377">
        <f>Workings_risks!O45</f>
        <v>268344.2146367688</v>
      </c>
      <c r="T30" s="377">
        <f>Workings_risks!P45</f>
        <v>268344.2146367688</v>
      </c>
      <c r="U30" s="377">
        <f>Workings_risks!Q45</f>
        <v>268344.2146367688</v>
      </c>
      <c r="V30" s="377">
        <f>Workings_risks!R45</f>
        <v>268344.2146367688</v>
      </c>
      <c r="W30" s="377">
        <f>Workings_risks!S45</f>
        <v>268344.2146367688</v>
      </c>
      <c r="X30" s="377">
        <f>Workings_risks!T45</f>
        <v>268344.2146367688</v>
      </c>
      <c r="Y30" s="377">
        <f>Workings_risks!U45</f>
        <v>268344.2146367688</v>
      </c>
      <c r="Z30" s="377">
        <f>Workings_risks!V45</f>
        <v>268344.2146367688</v>
      </c>
      <c r="AA30" s="377">
        <f>Workings_risks!W45</f>
        <v>268344.2146367688</v>
      </c>
      <c r="AB30" s="377">
        <f>Workings_risks!X45</f>
        <v>268344.2146367688</v>
      </c>
      <c r="AC30" s="377">
        <f>Workings_risks!Y45</f>
        <v>268344.2146367688</v>
      </c>
      <c r="AD30" s="377">
        <f>Workings_risks!Z45</f>
        <v>268344.2146367688</v>
      </c>
      <c r="AE30" s="377">
        <f>Workings_risks!AA45</f>
        <v>268344.2146367688</v>
      </c>
      <c r="AF30" s="377">
        <f>Workings_risks!AB45</f>
        <v>268344.2146367688</v>
      </c>
      <c r="AG30" s="377">
        <f>Workings_risks!AC45</f>
        <v>268344.2146367688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9"/>
      <c r="E31"/>
      <c r="G31" s="210">
        <f>input_dollars</f>
        <v>45291</v>
      </c>
      <c r="H31" s="151"/>
      <c r="I31" s="32">
        <v>0</v>
      </c>
      <c r="J31" s="377">
        <v>0</v>
      </c>
      <c r="K31" s="377">
        <v>0</v>
      </c>
      <c r="L31" s="377">
        <v>0</v>
      </c>
      <c r="M31" s="377">
        <v>0</v>
      </c>
      <c r="N31" s="377">
        <v>0</v>
      </c>
      <c r="O31" s="377">
        <v>0</v>
      </c>
      <c r="P31" s="377">
        <v>0</v>
      </c>
      <c r="Q31" s="377">
        <v>0</v>
      </c>
      <c r="R31" s="377">
        <v>0</v>
      </c>
      <c r="S31" s="377">
        <v>0</v>
      </c>
      <c r="T31" s="377">
        <v>0</v>
      </c>
      <c r="U31" s="377">
        <v>0</v>
      </c>
      <c r="V31" s="377">
        <v>0</v>
      </c>
      <c r="W31" s="377">
        <v>0</v>
      </c>
      <c r="X31" s="377">
        <v>0</v>
      </c>
      <c r="Y31" s="377">
        <v>0</v>
      </c>
      <c r="Z31" s="377">
        <v>0</v>
      </c>
      <c r="AA31" s="377">
        <v>0</v>
      </c>
      <c r="AB31" s="377">
        <v>0</v>
      </c>
      <c r="AC31" s="377">
        <v>0</v>
      </c>
      <c r="AD31" s="377">
        <v>0</v>
      </c>
      <c r="AE31" s="377">
        <v>0</v>
      </c>
      <c r="AF31" s="377">
        <v>0</v>
      </c>
      <c r="AG31" s="377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8" t="s">
        <v>209</v>
      </c>
      <c r="E32"/>
      <c r="G32" s="210">
        <f>input_dollars</f>
        <v>45291</v>
      </c>
      <c r="H32"/>
      <c r="I32" s="32">
        <v>0</v>
      </c>
      <c r="J32" s="377">
        <v>0</v>
      </c>
      <c r="K32" s="377">
        <v>0</v>
      </c>
      <c r="L32" s="377">
        <v>0</v>
      </c>
      <c r="M32" s="377">
        <v>0</v>
      </c>
      <c r="N32" s="377">
        <v>0</v>
      </c>
      <c r="O32" s="377">
        <v>0</v>
      </c>
      <c r="P32" s="377">
        <v>0</v>
      </c>
      <c r="Q32" s="377">
        <v>0</v>
      </c>
      <c r="R32" s="377">
        <v>0</v>
      </c>
      <c r="S32" s="377">
        <v>0</v>
      </c>
      <c r="T32" s="377">
        <v>0</v>
      </c>
      <c r="U32" s="377">
        <v>0</v>
      </c>
      <c r="V32" s="377">
        <v>0</v>
      </c>
      <c r="W32" s="377">
        <v>0</v>
      </c>
      <c r="X32" s="377">
        <v>0</v>
      </c>
      <c r="Y32" s="377">
        <v>0</v>
      </c>
      <c r="Z32" s="377">
        <v>0</v>
      </c>
      <c r="AA32" s="377">
        <v>0</v>
      </c>
      <c r="AB32" s="377">
        <v>0</v>
      </c>
      <c r="AC32" s="377">
        <v>0</v>
      </c>
      <c r="AD32" s="377">
        <v>0</v>
      </c>
      <c r="AE32" s="377">
        <v>0</v>
      </c>
      <c r="AF32" s="377">
        <v>0</v>
      </c>
      <c r="AG32" s="37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271</v>
      </c>
      <c r="D33" s="222"/>
      <c r="E33"/>
      <c r="G33" s="210">
        <f>input_dollars</f>
        <v>45291</v>
      </c>
      <c r="H33"/>
      <c r="I33" s="377">
        <f>Workings_risks!E44</f>
        <v>2151611.1790454965</v>
      </c>
      <c r="J33" s="377">
        <f>Workings_risks!F44</f>
        <v>2151611.1790454965</v>
      </c>
      <c r="K33" s="377">
        <f>Workings_risks!G44</f>
        <v>2151611.1790454965</v>
      </c>
      <c r="L33" s="377">
        <f>Workings_risks!H44</f>
        <v>2151611.1790454965</v>
      </c>
      <c r="M33" s="377">
        <f>Workings_risks!I44</f>
        <v>2151611.1790454965</v>
      </c>
      <c r="N33" s="377">
        <f>Workings_risks!J44</f>
        <v>1075805.5895227483</v>
      </c>
      <c r="O33" s="377">
        <f>Workings_risks!K44</f>
        <v>1075805.5895227483</v>
      </c>
      <c r="P33" s="377">
        <f>Workings_risks!L44</f>
        <v>1075805.5895227483</v>
      </c>
      <c r="Q33" s="377">
        <f>Workings_risks!M44</f>
        <v>1075805.5895227483</v>
      </c>
      <c r="R33" s="377">
        <f>Workings_risks!N44</f>
        <v>1075805.5895227483</v>
      </c>
      <c r="S33" s="377">
        <f>Workings_risks!O44</f>
        <v>1075805.5895227483</v>
      </c>
      <c r="T33" s="377">
        <f>Workings_risks!P44</f>
        <v>1075805.5895227483</v>
      </c>
      <c r="U33" s="377">
        <f>Workings_risks!Q44</f>
        <v>1075805.5895227483</v>
      </c>
      <c r="V33" s="377">
        <f>Workings_risks!R44</f>
        <v>1075805.5895227483</v>
      </c>
      <c r="W33" s="377">
        <f>Workings_risks!S44</f>
        <v>1075805.5895227483</v>
      </c>
      <c r="X33" s="377">
        <f>Workings_risks!T44</f>
        <v>1075805.5895227483</v>
      </c>
      <c r="Y33" s="377">
        <f>Workings_risks!U44</f>
        <v>1075805.5895227483</v>
      </c>
      <c r="Z33" s="377">
        <f>Workings_risks!V44</f>
        <v>1075805.5895227483</v>
      </c>
      <c r="AA33" s="377">
        <f>Workings_risks!W44</f>
        <v>1075805.5895227483</v>
      </c>
      <c r="AB33" s="377">
        <f>Workings_risks!X44</f>
        <v>1075805.5895227483</v>
      </c>
      <c r="AC33" s="377">
        <f>Workings_risks!Y44</f>
        <v>1075805.5895227483</v>
      </c>
      <c r="AD33" s="377">
        <f>Workings_risks!Z44</f>
        <v>1075805.5895227483</v>
      </c>
      <c r="AE33" s="377">
        <f>Workings_risks!AA44</f>
        <v>1075805.5895227483</v>
      </c>
      <c r="AF33" s="377">
        <f>Workings_risks!AB44</f>
        <v>1075805.5895227483</v>
      </c>
      <c r="AG33" s="377">
        <f>Workings_risks!AC44</f>
        <v>1075805.5895227483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174</v>
      </c>
      <c r="D34" s="209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9"/>
      <c r="E35"/>
      <c r="G35" s="2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1"/>
      <c r="E36" s="106"/>
      <c r="F36" s="3"/>
      <c r="G36" s="212"/>
      <c r="H36" s="106"/>
      <c r="I36" s="173">
        <f>SUM(I28:I34)</f>
        <v>2542555.5476888078</v>
      </c>
      <c r="J36" s="173">
        <f t="shared" ref="J36:AG36" si="3">SUM(J28:J34)</f>
        <v>2542555.5476888078</v>
      </c>
      <c r="K36" s="173">
        <f t="shared" si="3"/>
        <v>2542555.5476888078</v>
      </c>
      <c r="L36" s="173">
        <f t="shared" si="3"/>
        <v>2542555.5476888078</v>
      </c>
      <c r="M36" s="173">
        <f t="shared" si="3"/>
        <v>2542555.5476888078</v>
      </c>
      <c r="N36" s="173">
        <f t="shared" si="3"/>
        <v>1344149.8041595169</v>
      </c>
      <c r="O36" s="173">
        <f t="shared" si="3"/>
        <v>1344149.8041595169</v>
      </c>
      <c r="P36" s="173">
        <f t="shared" si="3"/>
        <v>1344149.8041595169</v>
      </c>
      <c r="Q36" s="173">
        <f t="shared" si="3"/>
        <v>1344149.8041595169</v>
      </c>
      <c r="R36" s="173">
        <f t="shared" si="3"/>
        <v>1344149.8041595169</v>
      </c>
      <c r="S36" s="173">
        <f t="shared" si="3"/>
        <v>1344149.8041595169</v>
      </c>
      <c r="T36" s="173">
        <f t="shared" si="3"/>
        <v>1344149.8041595169</v>
      </c>
      <c r="U36" s="173">
        <f t="shared" si="3"/>
        <v>1344149.8041595169</v>
      </c>
      <c r="V36" s="173">
        <f t="shared" si="3"/>
        <v>1344149.8041595169</v>
      </c>
      <c r="W36" s="173">
        <f t="shared" si="3"/>
        <v>1344149.8041595169</v>
      </c>
      <c r="X36" s="173">
        <f t="shared" si="3"/>
        <v>1344149.8041595169</v>
      </c>
      <c r="Y36" s="173">
        <f t="shared" si="3"/>
        <v>1344149.8041595169</v>
      </c>
      <c r="Z36" s="173">
        <f t="shared" si="3"/>
        <v>1344149.8041595169</v>
      </c>
      <c r="AA36" s="173">
        <f t="shared" si="3"/>
        <v>1344149.8041595169</v>
      </c>
      <c r="AB36" s="173">
        <f t="shared" si="3"/>
        <v>1344149.8041595169</v>
      </c>
      <c r="AC36" s="173">
        <f t="shared" si="3"/>
        <v>1344149.8041595169</v>
      </c>
      <c r="AD36" s="173">
        <f t="shared" si="3"/>
        <v>1344149.8041595169</v>
      </c>
      <c r="AE36" s="173">
        <f t="shared" si="3"/>
        <v>1344149.8041595169</v>
      </c>
      <c r="AF36" s="173">
        <f t="shared" si="3"/>
        <v>1344149.8041595169</v>
      </c>
      <c r="AG36" s="173">
        <f t="shared" si="3"/>
        <v>1344149.8041595169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7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8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8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9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8" t="s">
        <v>63</v>
      </c>
      <c r="E45" s="112">
        <f>Assumptions!G94</f>
        <v>151432.81740793545</v>
      </c>
      <c r="G45" s="210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8" t="s">
        <v>63</v>
      </c>
      <c r="E46" s="112">
        <f>Assumptions!G95</f>
        <v>24590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8" t="s">
        <v>63</v>
      </c>
      <c r="E47" s="111">
        <f>Assumptions!G96</f>
        <v>88.357719508603083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8" t="s">
        <v>126</v>
      </c>
      <c r="E48" s="111">
        <f>Assumptions!G97</f>
        <v>0</v>
      </c>
      <c r="G48" s="210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8" t="s">
        <v>207</v>
      </c>
      <c r="E49" s="111">
        <f>Assumptions!G98</f>
        <v>0.35181336539087127</v>
      </c>
      <c r="G49" s="210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8" t="s">
        <v>207</v>
      </c>
      <c r="E50" s="111">
        <f>Assumptions!G99</f>
        <v>0.35181336539087127</v>
      </c>
      <c r="G50" s="210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8" t="s">
        <v>126</v>
      </c>
      <c r="E51" s="111">
        <f>Assumptions!G100</f>
        <v>0</v>
      </c>
      <c r="G51" s="210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8" t="s">
        <v>126</v>
      </c>
      <c r="E52" s="111">
        <f>Assumptions!G101</f>
        <v>0</v>
      </c>
      <c r="G52" s="210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8"/>
      <c r="G53" s="21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8"/>
      <c r="G54" s="210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8"/>
      <c r="G56" s="208"/>
    </row>
    <row r="57" spans="1:43" x14ac:dyDescent="0.2">
      <c r="C57" s="3" t="s">
        <v>125</v>
      </c>
      <c r="D57" s="221"/>
      <c r="E57" s="106"/>
      <c r="F57" s="3"/>
      <c r="G57" s="213">
        <f>input_dollars</f>
        <v>45291</v>
      </c>
      <c r="H57" s="106"/>
      <c r="I57" s="173" cm="1">
        <f t="array" ref="I57">SUMPRODUCT((I$45:I$52)*($E$45:$E$52))+SUM(I54:I55)+I42</f>
        <v>0</v>
      </c>
      <c r="J57" s="173" cm="1">
        <f t="array" ref="J57">SUMPRODUCT((J$45:J$52)*($E$45:$E$52))+SUM(J54:J55)+J42</f>
        <v>0</v>
      </c>
      <c r="K57" s="173" cm="1">
        <f t="array" ref="K57">SUMPRODUCT((K$45:K$52)*($E$45:$E$52))+SUM(K54:K55)+K42</f>
        <v>0</v>
      </c>
      <c r="L57" s="173" cm="1">
        <f t="array" ref="L57">SUMPRODUCT((L$45:L$52)*($E$45:$E$52))+SUM(L54:L55)+L42</f>
        <v>0</v>
      </c>
      <c r="M57" s="173" cm="1">
        <f t="array" ref="M57">SUMPRODUCT((M$45:M$52)*($E$45:$E$52))+SUM(M54:M55)+M42</f>
        <v>0</v>
      </c>
      <c r="N57" s="173" cm="1">
        <f t="array" ref="N57">SUMPRODUCT((N$45:N$52)*($E$45:$E$52))+SUM(N54:N55)+N42</f>
        <v>0</v>
      </c>
      <c r="O57" s="173" cm="1">
        <f t="array" ref="O57">SUMPRODUCT((O$45:O$52)*($E$45:$E$52))+SUM(O54:O55)+O42</f>
        <v>0</v>
      </c>
      <c r="P57" s="173" cm="1">
        <f t="array" ref="P57">SUMPRODUCT((P$45:P$52)*($E$45:$E$52))+SUM(P54:P55)+P42</f>
        <v>0</v>
      </c>
      <c r="Q57" s="173" cm="1">
        <f t="array" ref="Q57">SUMPRODUCT((Q$45:Q$52)*($E$45:$E$52))+SUM(Q54:Q55)+Q42</f>
        <v>0</v>
      </c>
      <c r="R57" s="173" cm="1">
        <f t="array" ref="R57">SUMPRODUCT((R$45:R$52)*($E$45:$E$52))+SUM(R54:R55)+R42</f>
        <v>0</v>
      </c>
      <c r="S57" s="173" cm="1">
        <f t="array" ref="S57">SUMPRODUCT((S$45:S$52)*($E$45:$E$52))+SUM(S54:S55)+S42</f>
        <v>0</v>
      </c>
      <c r="T57" s="173" cm="1">
        <f t="array" ref="T57">SUMPRODUCT((T$45:T$52)*($E$45:$E$52))+SUM(T54:T55)+T42</f>
        <v>0</v>
      </c>
      <c r="U57" s="173" cm="1">
        <f t="array" ref="U57">SUMPRODUCT((U$45:U$52)*($E$45:$E$52))+SUM(U54:U55)+U42</f>
        <v>0</v>
      </c>
      <c r="V57" s="173" cm="1">
        <f t="array" ref="V57">SUMPRODUCT((V$45:V$52)*($E$45:$E$52))+SUM(V54:V55)+V42</f>
        <v>0</v>
      </c>
      <c r="W57" s="173" cm="1">
        <f t="array" ref="W57">SUMPRODUCT((W$45:W$52)*($E$45:$E$52))+SUM(W54:W55)+W42</f>
        <v>0</v>
      </c>
      <c r="X57" s="173" cm="1">
        <f t="array" ref="X57">SUMPRODUCT((X$45:X$52)*($E$45:$E$52))+SUM(X54:X55)+X42</f>
        <v>0</v>
      </c>
      <c r="Y57" s="173" cm="1">
        <f t="array" ref="Y57">SUMPRODUCT((Y$45:Y$52)*($E$45:$E$52))+SUM(Y54:Y55)+Y42</f>
        <v>0</v>
      </c>
      <c r="Z57" s="173" cm="1">
        <f t="array" ref="Z57">SUMPRODUCT((Z$45:Z$52)*($E$45:$E$52))+SUM(Z54:Z55)+Z42</f>
        <v>0</v>
      </c>
      <c r="AA57" s="173" cm="1">
        <f t="array" ref="AA57">SUMPRODUCT((AA$45:AA$52)*($E$45:$E$52))+SUM(AA54:AA55)+AA42</f>
        <v>0</v>
      </c>
      <c r="AB57" s="173" cm="1">
        <f t="array" ref="AB57">SUMPRODUCT((AB$45:AB$52)*($E$45:$E$52))+SUM(AB54:AB55)+AB42</f>
        <v>0</v>
      </c>
      <c r="AC57" s="173" cm="1">
        <f t="array" ref="AC57">SUMPRODUCT((AC$45:AC$52)*($E$45:$E$52))+SUM(AC54:AC55)+AC42</f>
        <v>0</v>
      </c>
      <c r="AD57" s="173" cm="1">
        <f t="array" ref="AD57">SUMPRODUCT((AD$45:AD$52)*($E$45:$E$52))+SUM(AD54:AD55)+AD42</f>
        <v>0</v>
      </c>
      <c r="AE57" s="173" cm="1">
        <f t="array" ref="AE57">SUMPRODUCT((AE$45:AE$52)*($E$45:$E$52))+SUM(AE54:AE55)+AE42</f>
        <v>0</v>
      </c>
      <c r="AF57" s="173" cm="1">
        <f t="array" ref="AF57">SUMPRODUCT((AF$45:AF$52)*($E$45:$E$52))+SUM(AF54:AF55)+AF42</f>
        <v>0</v>
      </c>
      <c r="AG57" s="173" cm="1">
        <f t="array" ref="AG57">SUMPRODUCT((AG$45:AG$52)*($E$45:$E$52))+SUM(AG54:AG55)+AG42</f>
        <v>0</v>
      </c>
    </row>
    <row r="58" spans="1:43" x14ac:dyDescent="0.2">
      <c r="D58" s="208"/>
      <c r="G58" s="20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4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5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</row>
    <row r="64" spans="1:43" x14ac:dyDescent="0.2">
      <c r="C64" s="4" t="str">
        <f>'Option1 (base case)'!C64</f>
        <v>Risks mitigated vs base case</v>
      </c>
      <c r="G64" s="213">
        <f>input_dollars</f>
        <v>45291</v>
      </c>
      <c r="I64" s="134">
        <f>(1-INDEX(Data!$C$9:$C$13, MATCH($A$3, options,0)))*('Option1 (base case)'!I36-I36)</f>
        <v>0</v>
      </c>
      <c r="J64" s="134">
        <f>(1-INDEX(Data!$C$9:$C$13, MATCH($A$3, options,0)))*('Option1 (base case)'!J36-J36)</f>
        <v>0</v>
      </c>
      <c r="K64" s="134">
        <f>(1-INDEX(Data!$C$9:$C$13, MATCH($A$3, options,0)))*('Option1 (base case)'!K36-K36)</f>
        <v>0</v>
      </c>
      <c r="L64" s="134">
        <f>(1-INDEX(Data!$C$9:$C$13, MATCH($A$3, options,0)))*('Option1 (base case)'!L36-L36)</f>
        <v>0</v>
      </c>
      <c r="M64" s="134">
        <f>(1-INDEX(Data!$C$9:$C$13, MATCH($A$3, options,0)))*('Option1 (base case)'!M36-M36)</f>
        <v>0</v>
      </c>
      <c r="N64" s="134">
        <f>(1-INDEX(Data!$C$9:$C$13, MATCH($A$3, options,0)))*('Option1 (base case)'!N36-N36)</f>
        <v>1198405.7435292909</v>
      </c>
      <c r="O64" s="134">
        <f>(1-INDEX(Data!$C$9:$C$13, MATCH($A$3, options,0)))*('Option1 (base case)'!O36-O36)</f>
        <v>1198405.7435292909</v>
      </c>
      <c r="P64" s="134">
        <f>(1-INDEX(Data!$C$9:$C$13, MATCH($A$3, options,0)))*('Option1 (base case)'!P36-P36)</f>
        <v>1198405.7435292909</v>
      </c>
      <c r="Q64" s="134">
        <f>(1-INDEX(Data!$C$9:$C$13, MATCH($A$3, options,0)))*('Option1 (base case)'!Q36-Q36)</f>
        <v>1198405.7435292909</v>
      </c>
      <c r="R64" s="134">
        <f>(1-INDEX(Data!$C$9:$C$13, MATCH($A$3, options,0)))*('Option1 (base case)'!R36-R36)</f>
        <v>1198405.7435292909</v>
      </c>
      <c r="S64" s="134">
        <f>(1-INDEX(Data!$C$9:$C$13, MATCH($A$3, options,0)))*('Option1 (base case)'!S36-S36)</f>
        <v>1198405.7435292909</v>
      </c>
      <c r="T64" s="134">
        <f>(1-INDEX(Data!$C$9:$C$13, MATCH($A$3, options,0)))*('Option1 (base case)'!T36-T36)</f>
        <v>1198405.7435292909</v>
      </c>
      <c r="U64" s="134">
        <f>(1-INDEX(Data!$C$9:$C$13, MATCH($A$3, options,0)))*('Option1 (base case)'!U36-U36)</f>
        <v>1198405.7435292909</v>
      </c>
      <c r="V64" s="134">
        <f>(1-INDEX(Data!$C$9:$C$13, MATCH($A$3, options,0)))*('Option1 (base case)'!V36-V36)</f>
        <v>1198405.7435292909</v>
      </c>
      <c r="W64" s="134">
        <f>(1-INDEX(Data!$C$9:$C$13, MATCH($A$3, options,0)))*('Option1 (base case)'!W36-W36)</f>
        <v>1198405.7435292909</v>
      </c>
      <c r="X64" s="134">
        <f>(1-INDEX(Data!$C$9:$C$13, MATCH($A$3, options,0)))*('Option1 (base case)'!X36-X36)</f>
        <v>1198405.7435292909</v>
      </c>
      <c r="Y64" s="134">
        <f>(1-INDEX(Data!$C$9:$C$13, MATCH($A$3, options,0)))*('Option1 (base case)'!Y36-Y36)</f>
        <v>1198405.7435292909</v>
      </c>
      <c r="Z64" s="134">
        <f>(1-INDEX(Data!$C$9:$C$13, MATCH($A$3, options,0)))*('Option1 (base case)'!Z36-Z36)</f>
        <v>1198405.7435292909</v>
      </c>
      <c r="AA64" s="134">
        <f>(1-INDEX(Data!$C$9:$C$13, MATCH($A$3, options,0)))*('Option1 (base case)'!AA36-AA36)</f>
        <v>1198405.7435292909</v>
      </c>
      <c r="AB64" s="134">
        <f>(1-INDEX(Data!$C$9:$C$13, MATCH($A$3, options,0)))*('Option1 (base case)'!AB36-AB36)</f>
        <v>1198405.7435292909</v>
      </c>
      <c r="AC64" s="134">
        <f>(1-INDEX(Data!$C$9:$C$13, MATCH($A$3, options,0)))*('Option1 (base case)'!AC36-AC36)</f>
        <v>1198405.7435292909</v>
      </c>
      <c r="AD64" s="134">
        <f>(1-INDEX(Data!$C$9:$C$13, MATCH($A$3, options,0)))*('Option1 (base case)'!AD36-AD36)</f>
        <v>1198405.7435292909</v>
      </c>
      <c r="AE64" s="134">
        <f>(1-INDEX(Data!$C$9:$C$13, MATCH($A$3, options,0)))*('Option1 (base case)'!AE36-AE36)</f>
        <v>1198405.7435292909</v>
      </c>
      <c r="AF64" s="134">
        <f>(1-INDEX(Data!$C$9:$C$13, MATCH($A$3, options,0)))*('Option1 (base case)'!AF36-AF36)</f>
        <v>1198405.7435292909</v>
      </c>
      <c r="AG64" s="134">
        <f>(1-INDEX(Data!$C$9:$C$13, MATCH($A$3, options,0)))*('Option1 (base case)'!AG36-AG36)</f>
        <v>1198405.7435292909</v>
      </c>
    </row>
    <row r="65" spans="1:33" x14ac:dyDescent="0.2">
      <c r="G65" s="215"/>
    </row>
    <row r="66" spans="1:33" x14ac:dyDescent="0.2">
      <c r="A66" s="8"/>
      <c r="B66" s="8"/>
      <c r="C66" s="149" t="s">
        <v>30</v>
      </c>
      <c r="D66" s="38"/>
      <c r="F66" s="96"/>
      <c r="G66" s="216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Single REFCL</v>
      </c>
      <c r="D67" s="38"/>
      <c r="F67" s="96"/>
      <c r="G67" s="213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-8236093</v>
      </c>
      <c r="M67" s="118">
        <f t="shared" si="5"/>
        <v>-8236093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6"/>
      <c r="G68" s="213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6"/>
      <c r="G69" s="213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7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9" t="s">
        <v>157</v>
      </c>
      <c r="D71" s="38"/>
      <c r="F71" s="96"/>
      <c r="G71" s="216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Single REFCL</v>
      </c>
      <c r="D72" s="38"/>
      <c r="F72" s="96"/>
      <c r="G72" s="213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-8236093</v>
      </c>
      <c r="M72" s="118" cm="1">
        <f t="array" ref="M72">SUMPRODUCT(($I67:M67))-SUMPRODUCT(($I67:M67)*($I$6:M$6&lt;=(M$6-$E14)))</f>
        <v>-16472186</v>
      </c>
      <c r="N72" s="118" cm="1">
        <f t="array" ref="N72">SUMPRODUCT(($I67:N67))-SUMPRODUCT(($I67:N67)*($I$6:N$6&lt;=(N$6-$E14)))</f>
        <v>-16472186</v>
      </c>
      <c r="O72" s="118" cm="1">
        <f t="array" ref="O72">SUMPRODUCT(($I67:O67))-SUMPRODUCT(($I67:O67)*($I$6:O$6&lt;=(O$6-$E14)))</f>
        <v>-16472186</v>
      </c>
      <c r="P72" s="118" cm="1">
        <f t="array" ref="P72">SUMPRODUCT(($I67:P67))-SUMPRODUCT(($I67:P67)*($I$6:P$6&lt;=(P$6-$E14)))</f>
        <v>-16472186</v>
      </c>
      <c r="Q72" s="118" cm="1">
        <f t="array" ref="Q72">SUMPRODUCT(($I67:Q67))-SUMPRODUCT(($I67:Q67)*($I$6:Q$6&lt;=(Q$6-$E14)))</f>
        <v>-16472186</v>
      </c>
      <c r="R72" s="118" cm="1">
        <f t="array" ref="R72">SUMPRODUCT(($I67:R67))-SUMPRODUCT(($I67:R67)*($I$6:R$6&lt;=(R$6-$E14)))</f>
        <v>-16472186</v>
      </c>
      <c r="S72" s="118" cm="1">
        <f t="array" ref="S72">SUMPRODUCT(($I67:S67))-SUMPRODUCT(($I67:S67)*($I$6:S$6&lt;=(S$6-$E14)))</f>
        <v>-16472186</v>
      </c>
      <c r="T72" s="118" cm="1">
        <f t="array" ref="T72">SUMPRODUCT(($I67:T67))-SUMPRODUCT(($I67:T67)*($I$6:T$6&lt;=(T$6-$E14)))</f>
        <v>-16472186</v>
      </c>
      <c r="U72" s="118" cm="1">
        <f t="array" ref="U72">SUMPRODUCT(($I67:U67))-SUMPRODUCT(($I67:U67)*($I$6:U$6&lt;=(U$6-$E14)))</f>
        <v>-16472186</v>
      </c>
      <c r="V72" s="118" cm="1">
        <f t="array" ref="V72">SUMPRODUCT(($I67:V67))-SUMPRODUCT(($I67:V67)*($I$6:V$6&lt;=(V$6-$E14)))</f>
        <v>-16472186</v>
      </c>
      <c r="W72" s="118" cm="1">
        <f t="array" ref="W72">SUMPRODUCT(($I67:W67))-SUMPRODUCT(($I67:W67)*($I$6:W$6&lt;=(W$6-$E14)))</f>
        <v>-16472186</v>
      </c>
      <c r="X72" s="118" cm="1">
        <f t="array" ref="X72">SUMPRODUCT(($I67:X67))-SUMPRODUCT(($I67:X67)*($I$6:X$6&lt;=(X$6-$E14)))</f>
        <v>-16472186</v>
      </c>
      <c r="Y72" s="118" cm="1">
        <f t="array" ref="Y72">SUMPRODUCT(($I67:Y67))-SUMPRODUCT(($I67:Y67)*($I$6:Y$6&lt;=(Y$6-$E14)))</f>
        <v>-16472186</v>
      </c>
      <c r="Z72" s="118" cm="1">
        <f t="array" ref="Z72">SUMPRODUCT(($I67:Z67))-SUMPRODUCT(($I67:Z67)*($I$6:Z$6&lt;=(Z$6-$E14)))</f>
        <v>-16472186</v>
      </c>
      <c r="AA72" s="118" cm="1">
        <f t="array" ref="AA72">SUMPRODUCT(($I67:AA67))-SUMPRODUCT(($I67:AA67)*($I$6:AA$6&lt;=(AA$6-$E14)))</f>
        <v>-16472186</v>
      </c>
      <c r="AB72" s="118" cm="1">
        <f t="array" ref="AB72">SUMPRODUCT(($I67:AB67))-SUMPRODUCT(($I67:AB67)*($I$6:AB$6&lt;=(AB$6-$E14)))</f>
        <v>-16472186</v>
      </c>
      <c r="AC72" s="118" cm="1">
        <f t="array" ref="AC72">SUMPRODUCT(($I67:AC67))-SUMPRODUCT(($I67:AC67)*($I$6:AC$6&lt;=(AC$6-$E14)))</f>
        <v>-16472186</v>
      </c>
      <c r="AD72" s="118" cm="1">
        <f t="array" ref="AD72">SUMPRODUCT(($I67:AD67))-SUMPRODUCT(($I67:AD67)*($I$6:AD$6&lt;=(AD$6-$E14)))</f>
        <v>-16472186</v>
      </c>
      <c r="AE72" s="118" cm="1">
        <f t="array" ref="AE72">SUMPRODUCT(($I67:AE67))-SUMPRODUCT(($I67:AE67)*($I$6:AE$6&lt;=(AE$6-$E14)))</f>
        <v>-16472186</v>
      </c>
      <c r="AF72" s="118" cm="1">
        <f t="array" ref="AF72">SUMPRODUCT(($I67:AF67))-SUMPRODUCT(($I67:AF67)*($I$6:AF$6&lt;=(AF$6-$E14)))</f>
        <v>-16472186</v>
      </c>
      <c r="AG72" s="118" cm="1">
        <f t="array" ref="AG72">SUMPRODUCT(($I67:AG67))-SUMPRODUCT(($I67:AG67)*($I$6:AG$6&lt;=(AG$6-$E14)))</f>
        <v>-16472186</v>
      </c>
    </row>
    <row r="73" spans="1:33" x14ac:dyDescent="0.2">
      <c r="A73" s="8"/>
      <c r="B73" s="8"/>
      <c r="C73" s="4">
        <f>C15</f>
        <v>0</v>
      </c>
      <c r="D73" s="38"/>
      <c r="F73" s="96"/>
      <c r="G73" s="213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6"/>
      <c r="G74" s="213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7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9" t="s">
        <v>91</v>
      </c>
      <c r="D76" s="38"/>
      <c r="F76" s="96"/>
      <c r="G76" s="216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Single REFCL</v>
      </c>
      <c r="D77" s="38"/>
      <c r="F77" s="96"/>
      <c r="G77" s="213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-447807.34365257982</v>
      </c>
      <c r="N77" s="118">
        <f t="shared" si="8"/>
        <v>-895614.68730515963</v>
      </c>
      <c r="O77" s="118">
        <f t="shared" si="8"/>
        <v>-895614.68730515963</v>
      </c>
      <c r="P77" s="118">
        <f t="shared" si="8"/>
        <v>-895614.68730515963</v>
      </c>
      <c r="Q77" s="118">
        <f t="shared" si="8"/>
        <v>-895614.68730515963</v>
      </c>
      <c r="R77" s="118">
        <f t="shared" si="8"/>
        <v>-895614.68730515963</v>
      </c>
      <c r="S77" s="118">
        <f t="shared" si="8"/>
        <v>-895614.68730515963</v>
      </c>
      <c r="T77" s="118">
        <f t="shared" si="8"/>
        <v>-895614.68730515963</v>
      </c>
      <c r="U77" s="118">
        <f t="shared" si="8"/>
        <v>-895614.68730515963</v>
      </c>
      <c r="V77" s="118">
        <f t="shared" si="8"/>
        <v>-895614.68730515963</v>
      </c>
      <c r="W77" s="118">
        <f t="shared" si="8"/>
        <v>-895614.68730515963</v>
      </c>
      <c r="X77" s="118">
        <f t="shared" si="8"/>
        <v>-895614.68730515963</v>
      </c>
      <c r="Y77" s="118">
        <f t="shared" si="8"/>
        <v>-895614.68730515963</v>
      </c>
      <c r="Z77" s="118">
        <f t="shared" si="8"/>
        <v>-895614.68730515963</v>
      </c>
      <c r="AA77" s="118">
        <f t="shared" si="8"/>
        <v>-895614.68730515963</v>
      </c>
      <c r="AB77" s="118">
        <f t="shared" si="8"/>
        <v>-895614.68730515963</v>
      </c>
      <c r="AC77" s="118">
        <f t="shared" si="8"/>
        <v>-895614.68730515963</v>
      </c>
      <c r="AD77" s="118">
        <f t="shared" si="8"/>
        <v>-895614.68730515963</v>
      </c>
      <c r="AE77" s="118">
        <f t="shared" si="8"/>
        <v>-895614.68730515963</v>
      </c>
      <c r="AF77" s="118">
        <f t="shared" si="8"/>
        <v>-895614.68730515963</v>
      </c>
      <c r="AG77" s="118">
        <f t="shared" si="8"/>
        <v>-895614.68730515963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6"/>
      <c r="G78" s="213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6"/>
      <c r="G79" s="213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5" t="s">
        <v>158</v>
      </c>
      <c r="D80" s="175"/>
      <c r="E80" s="176"/>
      <c r="F80" s="177"/>
      <c r="G80" s="218">
        <f>input_dollars</f>
        <v>45291</v>
      </c>
      <c r="H80" s="178"/>
      <c r="I80" s="179">
        <f>SUM(I77:I79)</f>
        <v>0</v>
      </c>
      <c r="J80" s="179">
        <f t="shared" ref="J80:AB80" si="11">SUM(J77:J79)</f>
        <v>0</v>
      </c>
      <c r="K80" s="179">
        <f t="shared" si="11"/>
        <v>0</v>
      </c>
      <c r="L80" s="179">
        <f t="shared" si="11"/>
        <v>0</v>
      </c>
      <c r="M80" s="179">
        <f t="shared" si="11"/>
        <v>-447807.34365257982</v>
      </c>
      <c r="N80" s="179">
        <f t="shared" si="11"/>
        <v>-895614.68730515963</v>
      </c>
      <c r="O80" s="179">
        <f t="shared" si="11"/>
        <v>-895614.68730515963</v>
      </c>
      <c r="P80" s="179">
        <f t="shared" si="11"/>
        <v>-895614.68730515963</v>
      </c>
      <c r="Q80" s="179">
        <f t="shared" si="11"/>
        <v>-895614.68730515963</v>
      </c>
      <c r="R80" s="179">
        <f t="shared" si="11"/>
        <v>-895614.68730515963</v>
      </c>
      <c r="S80" s="179">
        <f t="shared" si="11"/>
        <v>-895614.68730515963</v>
      </c>
      <c r="T80" s="179">
        <f t="shared" si="11"/>
        <v>-895614.68730515963</v>
      </c>
      <c r="U80" s="179">
        <f t="shared" si="11"/>
        <v>-895614.68730515963</v>
      </c>
      <c r="V80" s="179">
        <f t="shared" si="11"/>
        <v>-895614.68730515963</v>
      </c>
      <c r="W80" s="179">
        <f t="shared" si="11"/>
        <v>-895614.68730515963</v>
      </c>
      <c r="X80" s="179">
        <f t="shared" si="11"/>
        <v>-895614.68730515963</v>
      </c>
      <c r="Y80" s="179">
        <f t="shared" si="11"/>
        <v>-895614.68730515963</v>
      </c>
      <c r="Z80" s="179">
        <f t="shared" si="11"/>
        <v>-895614.68730515963</v>
      </c>
      <c r="AA80" s="179">
        <f t="shared" si="11"/>
        <v>-895614.68730515963</v>
      </c>
      <c r="AB80" s="179">
        <f t="shared" si="11"/>
        <v>-895614.68730515963</v>
      </c>
      <c r="AC80" s="179">
        <f>SUM(AC77:AC79)</f>
        <v>-895614.68730515963</v>
      </c>
      <c r="AD80" s="179">
        <f>SUM(AD77:AD79)</f>
        <v>-895614.68730515963</v>
      </c>
      <c r="AE80" s="179">
        <f>SUM(AE77:AE79)</f>
        <v>-895614.68730515963</v>
      </c>
      <c r="AF80" s="179">
        <f>SUM(AF77:AF79)</f>
        <v>-895614.68730515963</v>
      </c>
      <c r="AG80" s="179">
        <f>SUM(AG77:AG79)</f>
        <v>-895614.68730515963</v>
      </c>
    </row>
    <row r="81" spans="1:33" x14ac:dyDescent="0.2">
      <c r="A81" s="8"/>
      <c r="B81" s="8"/>
      <c r="C81" s="75"/>
      <c r="D81" s="38"/>
      <c r="F81"/>
      <c r="G81" s="219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13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-447807.34365257982</v>
      </c>
      <c r="N82" s="118">
        <f t="shared" si="13"/>
        <v>-895614.68730515963</v>
      </c>
      <c r="O82" s="118">
        <f t="shared" si="13"/>
        <v>-895614.68730515963</v>
      </c>
      <c r="P82" s="118">
        <f t="shared" si="13"/>
        <v>-895614.68730515963</v>
      </c>
      <c r="Q82" s="118">
        <f t="shared" si="13"/>
        <v>-895614.68730515963</v>
      </c>
      <c r="R82" s="118">
        <f t="shared" si="13"/>
        <v>-895614.68730515963</v>
      </c>
      <c r="S82" s="118">
        <f t="shared" si="13"/>
        <v>-895614.68730515963</v>
      </c>
      <c r="T82" s="118">
        <f t="shared" si="13"/>
        <v>-895614.68730515963</v>
      </c>
      <c r="U82" s="118">
        <f t="shared" si="13"/>
        <v>-895614.68730515963</v>
      </c>
      <c r="V82" s="118">
        <f t="shared" si="13"/>
        <v>-895614.68730515963</v>
      </c>
      <c r="W82" s="118">
        <f t="shared" si="13"/>
        <v>-895614.68730515963</v>
      </c>
      <c r="X82" s="118">
        <f t="shared" si="13"/>
        <v>-895614.68730515963</v>
      </c>
      <c r="Y82" s="118">
        <f t="shared" si="13"/>
        <v>-895614.68730515963</v>
      </c>
      <c r="Z82" s="118">
        <f t="shared" si="13"/>
        <v>-895614.68730515963</v>
      </c>
      <c r="AA82" s="118">
        <f t="shared" si="13"/>
        <v>-895614.68730515963</v>
      </c>
      <c r="AB82" s="118">
        <f t="shared" si="13"/>
        <v>-895614.68730515963</v>
      </c>
      <c r="AC82" s="118">
        <f>AC80</f>
        <v>-895614.68730515963</v>
      </c>
      <c r="AD82" s="118">
        <f>AD80</f>
        <v>-895614.68730515963</v>
      </c>
      <c r="AE82" s="118">
        <f>AE80</f>
        <v>-895614.68730515963</v>
      </c>
      <c r="AF82" s="118">
        <f>AF80</f>
        <v>-895614.68730515963</v>
      </c>
      <c r="AG82" s="118">
        <f>AG80</f>
        <v>-895614.68730515963</v>
      </c>
    </row>
    <row r="83" spans="1:33" x14ac:dyDescent="0.2">
      <c r="A83" s="8"/>
      <c r="B83" s="8"/>
      <c r="C83" s="4" t="s">
        <v>31</v>
      </c>
      <c r="D83" s="38"/>
      <c r="F83" s="96"/>
      <c r="G83" s="213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6"/>
      <c r="G84" s="213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1198405.7435292909</v>
      </c>
      <c r="O84" s="31">
        <f t="shared" si="15"/>
        <v>1198405.7435292909</v>
      </c>
      <c r="P84" s="31">
        <f t="shared" si="15"/>
        <v>1198405.7435292909</v>
      </c>
      <c r="Q84" s="31">
        <f t="shared" si="15"/>
        <v>1198405.7435292909</v>
      </c>
      <c r="R84" s="31">
        <f t="shared" si="15"/>
        <v>1198405.7435292909</v>
      </c>
      <c r="S84" s="31">
        <f t="shared" si="15"/>
        <v>1198405.7435292909</v>
      </c>
      <c r="T84" s="31">
        <f t="shared" si="15"/>
        <v>1198405.7435292909</v>
      </c>
      <c r="U84" s="31">
        <f t="shared" si="15"/>
        <v>1198405.7435292909</v>
      </c>
      <c r="V84" s="31">
        <f t="shared" si="15"/>
        <v>1198405.7435292909</v>
      </c>
      <c r="W84" s="31">
        <f t="shared" si="15"/>
        <v>1198405.7435292909</v>
      </c>
      <c r="X84" s="31">
        <f t="shared" si="15"/>
        <v>1198405.7435292909</v>
      </c>
      <c r="Y84" s="31">
        <f t="shared" si="15"/>
        <v>1198405.7435292909</v>
      </c>
      <c r="Z84" s="31">
        <f t="shared" si="15"/>
        <v>1198405.7435292909</v>
      </c>
      <c r="AA84" s="31">
        <f t="shared" si="15"/>
        <v>1198405.7435292909</v>
      </c>
      <c r="AB84" s="31">
        <f t="shared" si="15"/>
        <v>1198405.7435292909</v>
      </c>
      <c r="AC84" s="31">
        <f>AC64</f>
        <v>1198405.7435292909</v>
      </c>
      <c r="AD84" s="31">
        <f>AD64</f>
        <v>1198405.7435292909</v>
      </c>
      <c r="AE84" s="31">
        <f>AE64</f>
        <v>1198405.7435292909</v>
      </c>
      <c r="AF84" s="31">
        <f>AF64</f>
        <v>1198405.7435292909</v>
      </c>
      <c r="AG84" s="31">
        <f>AG64</f>
        <v>1198405.7435292909</v>
      </c>
    </row>
    <row r="85" spans="1:33" x14ac:dyDescent="0.2">
      <c r="A85" s="8"/>
      <c r="B85" s="8"/>
      <c r="C85" s="4" t="s">
        <v>122</v>
      </c>
      <c r="D85" s="38"/>
      <c r="F85" s="96"/>
      <c r="G85" s="213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189</v>
      </c>
      <c r="D87" s="181"/>
      <c r="E87" s="176"/>
      <c r="F87" s="182"/>
      <c r="G87" s="218">
        <f t="shared" si="12"/>
        <v>45291</v>
      </c>
      <c r="H87" s="182"/>
      <c r="I87" s="182">
        <f t="shared" ref="I87:AB87" si="17">SUM(I82:I86)</f>
        <v>0</v>
      </c>
      <c r="J87" s="182">
        <f t="shared" si="17"/>
        <v>0</v>
      </c>
      <c r="K87" s="182">
        <f t="shared" si="17"/>
        <v>0</v>
      </c>
      <c r="L87" s="182">
        <f t="shared" si="17"/>
        <v>0</v>
      </c>
      <c r="M87" s="182">
        <f t="shared" si="17"/>
        <v>-447807.34365257982</v>
      </c>
      <c r="N87" s="182">
        <f t="shared" si="17"/>
        <v>302791.05622413126</v>
      </c>
      <c r="O87" s="182">
        <f t="shared" si="17"/>
        <v>302791.05622413126</v>
      </c>
      <c r="P87" s="182">
        <f t="shared" si="17"/>
        <v>302791.05622413126</v>
      </c>
      <c r="Q87" s="182">
        <f t="shared" si="17"/>
        <v>302791.05622413126</v>
      </c>
      <c r="R87" s="182">
        <f t="shared" si="17"/>
        <v>302791.05622413126</v>
      </c>
      <c r="S87" s="182">
        <f t="shared" si="17"/>
        <v>302791.05622413126</v>
      </c>
      <c r="T87" s="182">
        <f t="shared" si="17"/>
        <v>302791.05622413126</v>
      </c>
      <c r="U87" s="182">
        <f t="shared" si="17"/>
        <v>302791.05622413126</v>
      </c>
      <c r="V87" s="182">
        <f t="shared" si="17"/>
        <v>302791.05622413126</v>
      </c>
      <c r="W87" s="182">
        <f t="shared" si="17"/>
        <v>302791.05622413126</v>
      </c>
      <c r="X87" s="182">
        <f t="shared" si="17"/>
        <v>302791.05622413126</v>
      </c>
      <c r="Y87" s="182">
        <f t="shared" si="17"/>
        <v>302791.05622413126</v>
      </c>
      <c r="Z87" s="182">
        <f t="shared" si="17"/>
        <v>302791.05622413126</v>
      </c>
      <c r="AA87" s="182">
        <f t="shared" si="17"/>
        <v>302791.05622413126</v>
      </c>
      <c r="AB87" s="182">
        <f t="shared" si="17"/>
        <v>302791.05622413126</v>
      </c>
      <c r="AC87" s="182">
        <f>SUM(AC82:AC86)</f>
        <v>302791.05622413126</v>
      </c>
      <c r="AD87" s="182">
        <f>SUM(AD82:AD86)</f>
        <v>302791.05622413126</v>
      </c>
      <c r="AE87" s="182">
        <f>SUM(AE82:AE86)</f>
        <v>302791.05622413126</v>
      </c>
      <c r="AF87" s="182">
        <f>SUM(AF82:AF86)</f>
        <v>302791.05622413126</v>
      </c>
      <c r="AG87" s="182">
        <f>SUM(AG82:AG86)</f>
        <v>302791.05622413126</v>
      </c>
    </row>
    <row r="88" spans="1:33" x14ac:dyDescent="0.2">
      <c r="A88" s="8"/>
      <c r="B88" s="8"/>
      <c r="C88" s="75"/>
      <c r="D88" s="140"/>
      <c r="F88" s="143"/>
      <c r="G88" s="220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40"/>
      <c r="F89" s="143"/>
      <c r="G89" s="220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33" t="s">
        <v>199</v>
      </c>
      <c r="D90" s="82"/>
      <c r="E90" s="234"/>
      <c r="F90" s="235"/>
      <c r="G90" s="236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7"/>
      <c r="E91" s="234"/>
      <c r="F91" s="235"/>
      <c r="G91" s="236"/>
      <c r="H91" s="35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</row>
    <row r="92" spans="1:33" x14ac:dyDescent="0.2">
      <c r="C92" s="238" t="s">
        <v>194</v>
      </c>
      <c r="D92" s="239"/>
      <c r="E92" s="239"/>
      <c r="F92" s="239"/>
      <c r="G92" s="240">
        <f>IF(_xlfn.MINIFS($G$90:$G$91, $G$90:$G$91, "&gt;"&amp;0)=0, $A$4, _xlfn.MINIFS($G$90:$G$91, $G$90:$G$91, "&gt;"&amp;0))</f>
        <v>4</v>
      </c>
    </row>
    <row r="94" spans="1:33" x14ac:dyDescent="0.2">
      <c r="G94" s="1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</row>
    <row r="96" spans="1:33" x14ac:dyDescent="0.2"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</row>
    <row r="97" spans="1:43" x14ac:dyDescent="0.2"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</row>
    <row r="98" spans="1:43" x14ac:dyDescent="0.2"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</row>
    <row r="99" spans="1:43" x14ac:dyDescent="0.2"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</row>
    <row r="100" spans="1:43" x14ac:dyDescent="0.2"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</row>
    <row r="101" spans="1:43" x14ac:dyDescent="0.2"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7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43" x14ac:dyDescent="0.2">
      <c r="D105"/>
      <c r="E105"/>
      <c r="F105"/>
      <c r="G105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-447807.34365257982</v>
      </c>
      <c r="N106" s="31">
        <f t="shared" si="18"/>
        <v>302791.05622413126</v>
      </c>
      <c r="O106" s="31">
        <f t="shared" si="18"/>
        <v>302791.05622413126</v>
      </c>
      <c r="P106" s="31">
        <f t="shared" si="18"/>
        <v>302791.05622413126</v>
      </c>
      <c r="Q106" s="31">
        <f t="shared" si="18"/>
        <v>302791.05622413126</v>
      </c>
      <c r="R106" s="31">
        <f t="shared" si="18"/>
        <v>302791.05622413126</v>
      </c>
      <c r="S106" s="31">
        <f t="shared" si="18"/>
        <v>302791.05622413126</v>
      </c>
      <c r="T106" s="31">
        <f t="shared" si="18"/>
        <v>302791.05622413126</v>
      </c>
      <c r="U106" s="31">
        <f t="shared" si="18"/>
        <v>302791.05622413126</v>
      </c>
      <c r="V106" s="31">
        <f t="shared" si="18"/>
        <v>302791.05622413126</v>
      </c>
      <c r="W106" s="31">
        <f t="shared" si="18"/>
        <v>302791.05622413126</v>
      </c>
      <c r="X106" s="31">
        <f t="shared" si="18"/>
        <v>302791.05622413126</v>
      </c>
      <c r="Y106" s="31">
        <f t="shared" si="18"/>
        <v>302791.05622413126</v>
      </c>
      <c r="Z106" s="31">
        <f t="shared" si="18"/>
        <v>302791.05622413126</v>
      </c>
      <c r="AA106" s="31">
        <f t="shared" si="18"/>
        <v>302791.05622413126</v>
      </c>
      <c r="AB106" s="31">
        <f t="shared" si="18"/>
        <v>302791.05622413126</v>
      </c>
      <c r="AC106" s="31">
        <f t="shared" si="18"/>
        <v>302791.05622413126</v>
      </c>
      <c r="AD106" s="31">
        <f t="shared" si="18"/>
        <v>302791.05622413126</v>
      </c>
      <c r="AE106" s="31">
        <f t="shared" si="18"/>
        <v>302791.05622413126</v>
      </c>
      <c r="AF106" s="31">
        <f t="shared" si="18"/>
        <v>302791.05622413126</v>
      </c>
      <c r="AG106" s="31">
        <f t="shared" si="18"/>
        <v>302791.05622413126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-447807.34365257982</v>
      </c>
      <c r="N107" s="31">
        <f t="shared" si="19"/>
        <v>-895614.68730515963</v>
      </c>
      <c r="O107" s="31">
        <f t="shared" si="19"/>
        <v>-895614.68730515963</v>
      </c>
      <c r="P107" s="31">
        <f t="shared" si="19"/>
        <v>-895614.68730515963</v>
      </c>
      <c r="Q107" s="31">
        <f t="shared" si="19"/>
        <v>-895614.68730515963</v>
      </c>
      <c r="R107" s="31">
        <f t="shared" si="19"/>
        <v>-895614.68730515963</v>
      </c>
      <c r="S107" s="31">
        <f t="shared" si="19"/>
        <v>-895614.68730515963</v>
      </c>
      <c r="T107" s="31">
        <f t="shared" si="19"/>
        <v>-895614.68730515963</v>
      </c>
      <c r="U107" s="31">
        <f t="shared" si="19"/>
        <v>-895614.68730515963</v>
      </c>
      <c r="V107" s="31">
        <f t="shared" si="19"/>
        <v>-895614.68730515963</v>
      </c>
      <c r="W107" s="31">
        <f t="shared" si="19"/>
        <v>-895614.68730515963</v>
      </c>
      <c r="X107" s="31">
        <f t="shared" si="19"/>
        <v>-895614.68730515963</v>
      </c>
      <c r="Y107" s="31">
        <f t="shared" si="19"/>
        <v>-895614.68730515963</v>
      </c>
      <c r="Z107" s="31">
        <f t="shared" si="19"/>
        <v>-895614.68730515963</v>
      </c>
      <c r="AA107" s="31">
        <f t="shared" si="19"/>
        <v>-895614.68730515963</v>
      </c>
      <c r="AB107" s="31">
        <f t="shared" si="19"/>
        <v>-895614.68730515963</v>
      </c>
      <c r="AC107" s="31">
        <f t="shared" si="19"/>
        <v>-895614.68730515963</v>
      </c>
      <c r="AD107" s="31">
        <f t="shared" si="19"/>
        <v>-895614.68730515963</v>
      </c>
      <c r="AE107" s="31">
        <f t="shared" si="19"/>
        <v>-895614.68730515963</v>
      </c>
      <c r="AF107" s="31">
        <f t="shared" si="19"/>
        <v>-895614.68730515963</v>
      </c>
      <c r="AG107" s="31">
        <f t="shared" si="19"/>
        <v>-895614.68730515963</v>
      </c>
    </row>
    <row r="108" spans="1:43" x14ac:dyDescent="0.2">
      <c r="C108" s="1" t="s">
        <v>241</v>
      </c>
      <c r="D108" s="256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1198405.7435292909</v>
      </c>
      <c r="O108" s="31">
        <f t="shared" si="20"/>
        <v>1198405.7435292909</v>
      </c>
      <c r="P108" s="31">
        <f t="shared" si="20"/>
        <v>1198405.7435292909</v>
      </c>
      <c r="Q108" s="31">
        <f t="shared" si="20"/>
        <v>1198405.7435292909</v>
      </c>
      <c r="R108" s="31">
        <f t="shared" si="20"/>
        <v>1198405.7435292909</v>
      </c>
      <c r="S108" s="31">
        <f t="shared" si="20"/>
        <v>1198405.7435292909</v>
      </c>
      <c r="T108" s="31">
        <f t="shared" si="20"/>
        <v>1198405.7435292909</v>
      </c>
      <c r="U108" s="31">
        <f t="shared" si="20"/>
        <v>1198405.7435292909</v>
      </c>
      <c r="V108" s="31">
        <f t="shared" si="20"/>
        <v>1198405.7435292909</v>
      </c>
      <c r="W108" s="31">
        <f t="shared" si="20"/>
        <v>1198405.7435292909</v>
      </c>
      <c r="X108" s="31">
        <f t="shared" si="20"/>
        <v>1198405.7435292909</v>
      </c>
      <c r="Y108" s="31">
        <f t="shared" si="20"/>
        <v>1198405.7435292909</v>
      </c>
      <c r="Z108" s="31">
        <f t="shared" si="20"/>
        <v>1198405.7435292909</v>
      </c>
      <c r="AA108" s="31">
        <f t="shared" si="20"/>
        <v>1198405.7435292909</v>
      </c>
      <c r="AB108" s="31">
        <f t="shared" si="20"/>
        <v>1198405.7435292909</v>
      </c>
      <c r="AC108" s="31">
        <f t="shared" si="20"/>
        <v>1198405.7435292909</v>
      </c>
      <c r="AD108" s="31">
        <f t="shared" si="20"/>
        <v>1198405.7435292909</v>
      </c>
      <c r="AE108" s="31">
        <f t="shared" si="20"/>
        <v>1198405.7435292909</v>
      </c>
      <c r="AF108" s="31">
        <f t="shared" si="20"/>
        <v>1198405.7435292909</v>
      </c>
      <c r="AG108" s="31">
        <f t="shared" si="20"/>
        <v>1198405.7435292909</v>
      </c>
    </row>
    <row r="109" spans="1:43" x14ac:dyDescent="0.2">
      <c r="D109" s="305" t="str">
        <f>Assumptions!G110</f>
        <v>Capex</v>
      </c>
      <c r="E109" s="305" t="str">
        <f>Assumptions!H110</f>
        <v>Total benefits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43" x14ac:dyDescent="0.2">
      <c r="A110" s="1" t="str">
        <f>"sens"&amp;Assumptions!B111</f>
        <v>sens1</v>
      </c>
      <c r="C110" s="304" t="str">
        <f>Assumptions!C111</f>
        <v>Capex 10% higher</v>
      </c>
      <c r="D110" s="305">
        <f>Assumptions!G111</f>
        <v>0.1</v>
      </c>
      <c r="E110" s="305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-492588.07801783783</v>
      </c>
      <c r="N110" s="31" cm="1">
        <f t="array" ref="N110">N$106+IF($C110&lt;&gt;0,SUMPRODUCT((N$107:N$108)*TRANSPOSE(($D110:$E110))),0)</f>
        <v>213229.58749361528</v>
      </c>
      <c r="O110" s="31" cm="1">
        <f t="array" ref="O110">O$106+IF($C110&lt;&gt;0,SUMPRODUCT((O$107:O$108)*TRANSPOSE(($D110:$E110))),0)</f>
        <v>213229.58749361528</v>
      </c>
      <c r="P110" s="31" cm="1">
        <f t="array" ref="P110">P$106+IF($C110&lt;&gt;0,SUMPRODUCT((P$107:P$108)*TRANSPOSE(($D110:$E110))),0)</f>
        <v>213229.58749361528</v>
      </c>
      <c r="Q110" s="31" cm="1">
        <f t="array" ref="Q110">Q$106+IF($C110&lt;&gt;0,SUMPRODUCT((Q$107:Q$108)*TRANSPOSE(($D110:$E110))),0)</f>
        <v>213229.58749361528</v>
      </c>
      <c r="R110" s="31" cm="1">
        <f t="array" ref="R110">R$106+IF($C110&lt;&gt;0,SUMPRODUCT((R$107:R$108)*TRANSPOSE(($D110:$E110))),0)</f>
        <v>213229.58749361528</v>
      </c>
      <c r="S110" s="31" cm="1">
        <f t="array" ref="S110">S$106+IF($C110&lt;&gt;0,SUMPRODUCT((S$107:S$108)*TRANSPOSE(($D110:$E110))),0)</f>
        <v>213229.58749361528</v>
      </c>
      <c r="T110" s="31" cm="1">
        <f t="array" ref="T110">T$106+IF($C110&lt;&gt;0,SUMPRODUCT((T$107:T$108)*TRANSPOSE(($D110:$E110))),0)</f>
        <v>213229.58749361528</v>
      </c>
      <c r="U110" s="31" cm="1">
        <f t="array" ref="U110">U$106+IF($C110&lt;&gt;0,SUMPRODUCT((U$107:U$108)*TRANSPOSE(($D110:$E110))),0)</f>
        <v>213229.58749361528</v>
      </c>
      <c r="V110" s="31" cm="1">
        <f t="array" ref="V110">V$106+IF($C110&lt;&gt;0,SUMPRODUCT((V$107:V$108)*TRANSPOSE(($D110:$E110))),0)</f>
        <v>213229.58749361528</v>
      </c>
      <c r="W110" s="31" cm="1">
        <f t="array" ref="W110">W$106+IF($C110&lt;&gt;0,SUMPRODUCT((W$107:W$108)*TRANSPOSE(($D110:$E110))),0)</f>
        <v>213229.58749361528</v>
      </c>
      <c r="X110" s="31" cm="1">
        <f t="array" ref="X110">X$106+IF($C110&lt;&gt;0,SUMPRODUCT((X$107:X$108)*TRANSPOSE(($D110:$E110))),0)</f>
        <v>213229.58749361528</v>
      </c>
      <c r="Y110" s="31" cm="1">
        <f t="array" ref="Y110">Y$106+IF($C110&lt;&gt;0,SUMPRODUCT((Y$107:Y$108)*TRANSPOSE(($D110:$E110))),0)</f>
        <v>213229.58749361528</v>
      </c>
      <c r="Z110" s="31" cm="1">
        <f t="array" ref="Z110">Z$106+IF($C110&lt;&gt;0,SUMPRODUCT((Z$107:Z$108)*TRANSPOSE(($D110:$E110))),0)</f>
        <v>213229.58749361528</v>
      </c>
      <c r="AA110" s="31" cm="1">
        <f t="array" ref="AA110">AA$106+IF($C110&lt;&gt;0,SUMPRODUCT((AA$107:AA$108)*TRANSPOSE(($D110:$E110))),0)</f>
        <v>213229.58749361528</v>
      </c>
      <c r="AB110" s="31" cm="1">
        <f t="array" ref="AB110">AB$106+IF($C110&lt;&gt;0,SUMPRODUCT((AB$107:AB$108)*TRANSPOSE(($D110:$E110))),0)</f>
        <v>213229.58749361528</v>
      </c>
      <c r="AC110" s="31" cm="1">
        <f t="array" ref="AC110">AC$106+IF($C110&lt;&gt;0,SUMPRODUCT((AC$107:AC$108)*TRANSPOSE(($D110:$E110))),0)</f>
        <v>213229.58749361528</v>
      </c>
      <c r="AD110" s="31" cm="1">
        <f t="array" ref="AD110">AD$106+IF($C110&lt;&gt;0,SUMPRODUCT((AD$107:AD$108)*TRANSPOSE(($D110:$E110))),0)</f>
        <v>213229.58749361528</v>
      </c>
      <c r="AE110" s="31" cm="1">
        <f t="array" ref="AE110">AE$106+IF($C110&lt;&gt;0,SUMPRODUCT((AE$107:AE$108)*TRANSPOSE(($D110:$E110))),0)</f>
        <v>213229.58749361528</v>
      </c>
      <c r="AF110" s="31" cm="1">
        <f t="array" ref="AF110">AF$106+IF($C110&lt;&gt;0,SUMPRODUCT((AF$107:AF$108)*TRANSPOSE(($D110:$E110))),0)</f>
        <v>213229.58749361528</v>
      </c>
      <c r="AG110" s="31" cm="1">
        <f t="array" ref="AG110">AG$106+IF($C110&lt;&gt;0,SUMPRODUCT((AG$107:AG$108)*TRANSPOSE(($D110:$E110))),0)</f>
        <v>213229.58749361528</v>
      </c>
    </row>
    <row r="111" spans="1:43" x14ac:dyDescent="0.2">
      <c r="A111" s="1" t="str">
        <f>"sens"&amp;Assumptions!B112</f>
        <v>sens2</v>
      </c>
      <c r="C111" s="304" t="str">
        <f>Assumptions!C112</f>
        <v>Capex 10% lower</v>
      </c>
      <c r="D111" s="305">
        <f>Assumptions!G112</f>
        <v>-0.1</v>
      </c>
      <c r="E111" s="305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-403026.6092873218</v>
      </c>
      <c r="N111" s="31" cm="1">
        <f t="array" ref="N111">N$106+IF($C111&lt;&gt;0,SUMPRODUCT((N$107:N$108)*TRANSPOSE(($D111:$E111))),0)</f>
        <v>392352.52495464723</v>
      </c>
      <c r="O111" s="31" cm="1">
        <f t="array" ref="O111">O$106+IF($C111&lt;&gt;0,SUMPRODUCT((O$107:O$108)*TRANSPOSE(($D111:$E111))),0)</f>
        <v>392352.52495464723</v>
      </c>
      <c r="P111" s="31" cm="1">
        <f t="array" ref="P111">P$106+IF($C111&lt;&gt;0,SUMPRODUCT((P$107:P$108)*TRANSPOSE(($D111:$E111))),0)</f>
        <v>392352.52495464723</v>
      </c>
      <c r="Q111" s="31" cm="1">
        <f t="array" ref="Q111">Q$106+IF($C111&lt;&gt;0,SUMPRODUCT((Q$107:Q$108)*TRANSPOSE(($D111:$E111))),0)</f>
        <v>392352.52495464723</v>
      </c>
      <c r="R111" s="31" cm="1">
        <f t="array" ref="R111">R$106+IF($C111&lt;&gt;0,SUMPRODUCT((R$107:R$108)*TRANSPOSE(($D111:$E111))),0)</f>
        <v>392352.52495464723</v>
      </c>
      <c r="S111" s="31" cm="1">
        <f t="array" ref="S111">S$106+IF($C111&lt;&gt;0,SUMPRODUCT((S$107:S$108)*TRANSPOSE(($D111:$E111))),0)</f>
        <v>392352.52495464723</v>
      </c>
      <c r="T111" s="31" cm="1">
        <f t="array" ref="T111">T$106+IF($C111&lt;&gt;0,SUMPRODUCT((T$107:T$108)*TRANSPOSE(($D111:$E111))),0)</f>
        <v>392352.52495464723</v>
      </c>
      <c r="U111" s="31" cm="1">
        <f t="array" ref="U111">U$106+IF($C111&lt;&gt;0,SUMPRODUCT((U$107:U$108)*TRANSPOSE(($D111:$E111))),0)</f>
        <v>392352.52495464723</v>
      </c>
      <c r="V111" s="31" cm="1">
        <f t="array" ref="V111">V$106+IF($C111&lt;&gt;0,SUMPRODUCT((V$107:V$108)*TRANSPOSE(($D111:$E111))),0)</f>
        <v>392352.52495464723</v>
      </c>
      <c r="W111" s="31" cm="1">
        <f t="array" ref="W111">W$106+IF($C111&lt;&gt;0,SUMPRODUCT((W$107:W$108)*TRANSPOSE(($D111:$E111))),0)</f>
        <v>392352.52495464723</v>
      </c>
      <c r="X111" s="31" cm="1">
        <f t="array" ref="X111">X$106+IF($C111&lt;&gt;0,SUMPRODUCT((X$107:X$108)*TRANSPOSE(($D111:$E111))),0)</f>
        <v>392352.52495464723</v>
      </c>
      <c r="Y111" s="31" cm="1">
        <f t="array" ref="Y111">Y$106+IF($C111&lt;&gt;0,SUMPRODUCT((Y$107:Y$108)*TRANSPOSE(($D111:$E111))),0)</f>
        <v>392352.52495464723</v>
      </c>
      <c r="Z111" s="31" cm="1">
        <f t="array" ref="Z111">Z$106+IF($C111&lt;&gt;0,SUMPRODUCT((Z$107:Z$108)*TRANSPOSE(($D111:$E111))),0)</f>
        <v>392352.52495464723</v>
      </c>
      <c r="AA111" s="31" cm="1">
        <f t="array" ref="AA111">AA$106+IF($C111&lt;&gt;0,SUMPRODUCT((AA$107:AA$108)*TRANSPOSE(($D111:$E111))),0)</f>
        <v>392352.52495464723</v>
      </c>
      <c r="AB111" s="31" cm="1">
        <f t="array" ref="AB111">AB$106+IF($C111&lt;&gt;0,SUMPRODUCT((AB$107:AB$108)*TRANSPOSE(($D111:$E111))),0)</f>
        <v>392352.52495464723</v>
      </c>
      <c r="AC111" s="31" cm="1">
        <f t="array" ref="AC111">AC$106+IF($C111&lt;&gt;0,SUMPRODUCT((AC$107:AC$108)*TRANSPOSE(($D111:$E111))),0)</f>
        <v>392352.52495464723</v>
      </c>
      <c r="AD111" s="31" cm="1">
        <f t="array" ref="AD111">AD$106+IF($C111&lt;&gt;0,SUMPRODUCT((AD$107:AD$108)*TRANSPOSE(($D111:$E111))),0)</f>
        <v>392352.52495464723</v>
      </c>
      <c r="AE111" s="31" cm="1">
        <f t="array" ref="AE111">AE$106+IF($C111&lt;&gt;0,SUMPRODUCT((AE$107:AE$108)*TRANSPOSE(($D111:$E111))),0)</f>
        <v>392352.52495464723</v>
      </c>
      <c r="AF111" s="31" cm="1">
        <f t="array" ref="AF111">AF$106+IF($C111&lt;&gt;0,SUMPRODUCT((AF$107:AF$108)*TRANSPOSE(($D111:$E111))),0)</f>
        <v>392352.52495464723</v>
      </c>
      <c r="AG111" s="31" cm="1">
        <f t="array" ref="AG111">AG$106+IF($C111&lt;&gt;0,SUMPRODUCT((AG$107:AG$108)*TRANSPOSE(($D111:$E111))),0)</f>
        <v>392352.52495464723</v>
      </c>
    </row>
    <row r="112" spans="1:43" x14ac:dyDescent="0.2">
      <c r="A112" s="1" t="str">
        <f>"sens"&amp;Assumptions!B113</f>
        <v>sens3</v>
      </c>
      <c r="C112" s="304" t="str">
        <f>Assumptions!C113</f>
        <v>Total benefits 10% higher</v>
      </c>
      <c r="D112" s="305">
        <f>Assumptions!G113</f>
        <v>0</v>
      </c>
      <c r="E112" s="305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-447807.34365257982</v>
      </c>
      <c r="N112" s="31" cm="1">
        <f t="array" ref="N112">N$106+IF($C112&lt;&gt;0,SUMPRODUCT((N$107:N$108)*TRANSPOSE(($D112:$E112))),0)</f>
        <v>422631.63057706034</v>
      </c>
      <c r="O112" s="31" cm="1">
        <f t="array" ref="O112">O$106+IF($C112&lt;&gt;0,SUMPRODUCT((O$107:O$108)*TRANSPOSE(($D112:$E112))),0)</f>
        <v>422631.63057706034</v>
      </c>
      <c r="P112" s="31" cm="1">
        <f t="array" ref="P112">P$106+IF($C112&lt;&gt;0,SUMPRODUCT((P$107:P$108)*TRANSPOSE(($D112:$E112))),0)</f>
        <v>422631.63057706034</v>
      </c>
      <c r="Q112" s="31" cm="1">
        <f t="array" ref="Q112">Q$106+IF($C112&lt;&gt;0,SUMPRODUCT((Q$107:Q$108)*TRANSPOSE(($D112:$E112))),0)</f>
        <v>422631.63057706034</v>
      </c>
      <c r="R112" s="31" cm="1">
        <f t="array" ref="R112">R$106+IF($C112&lt;&gt;0,SUMPRODUCT((R$107:R$108)*TRANSPOSE(($D112:$E112))),0)</f>
        <v>422631.63057706034</v>
      </c>
      <c r="S112" s="31" cm="1">
        <f t="array" ref="S112">S$106+IF($C112&lt;&gt;0,SUMPRODUCT((S$107:S$108)*TRANSPOSE(($D112:$E112))),0)</f>
        <v>422631.63057706034</v>
      </c>
      <c r="T112" s="31" cm="1">
        <f t="array" ref="T112">T$106+IF($C112&lt;&gt;0,SUMPRODUCT((T$107:T$108)*TRANSPOSE(($D112:$E112))),0)</f>
        <v>422631.63057706034</v>
      </c>
      <c r="U112" s="31" cm="1">
        <f t="array" ref="U112">U$106+IF($C112&lt;&gt;0,SUMPRODUCT((U$107:U$108)*TRANSPOSE(($D112:$E112))),0)</f>
        <v>422631.63057706034</v>
      </c>
      <c r="V112" s="31" cm="1">
        <f t="array" ref="V112">V$106+IF($C112&lt;&gt;0,SUMPRODUCT((V$107:V$108)*TRANSPOSE(($D112:$E112))),0)</f>
        <v>422631.63057706034</v>
      </c>
      <c r="W112" s="31" cm="1">
        <f t="array" ref="W112">W$106+IF($C112&lt;&gt;0,SUMPRODUCT((W$107:W$108)*TRANSPOSE(($D112:$E112))),0)</f>
        <v>422631.63057706034</v>
      </c>
      <c r="X112" s="31" cm="1">
        <f t="array" ref="X112">X$106+IF($C112&lt;&gt;0,SUMPRODUCT((X$107:X$108)*TRANSPOSE(($D112:$E112))),0)</f>
        <v>422631.63057706034</v>
      </c>
      <c r="Y112" s="31" cm="1">
        <f t="array" ref="Y112">Y$106+IF($C112&lt;&gt;0,SUMPRODUCT((Y$107:Y$108)*TRANSPOSE(($D112:$E112))),0)</f>
        <v>422631.63057706034</v>
      </c>
      <c r="Z112" s="31" cm="1">
        <f t="array" ref="Z112">Z$106+IF($C112&lt;&gt;0,SUMPRODUCT((Z$107:Z$108)*TRANSPOSE(($D112:$E112))),0)</f>
        <v>422631.63057706034</v>
      </c>
      <c r="AA112" s="31" cm="1">
        <f t="array" ref="AA112">AA$106+IF($C112&lt;&gt;0,SUMPRODUCT((AA$107:AA$108)*TRANSPOSE(($D112:$E112))),0)</f>
        <v>422631.63057706034</v>
      </c>
      <c r="AB112" s="31" cm="1">
        <f t="array" ref="AB112">AB$106+IF($C112&lt;&gt;0,SUMPRODUCT((AB$107:AB$108)*TRANSPOSE(($D112:$E112))),0)</f>
        <v>422631.63057706034</v>
      </c>
      <c r="AC112" s="31" cm="1">
        <f t="array" ref="AC112">AC$106+IF($C112&lt;&gt;0,SUMPRODUCT((AC$107:AC$108)*TRANSPOSE(($D112:$E112))),0)</f>
        <v>422631.63057706034</v>
      </c>
      <c r="AD112" s="31" cm="1">
        <f t="array" ref="AD112">AD$106+IF($C112&lt;&gt;0,SUMPRODUCT((AD$107:AD$108)*TRANSPOSE(($D112:$E112))),0)</f>
        <v>422631.63057706034</v>
      </c>
      <c r="AE112" s="31" cm="1">
        <f t="array" ref="AE112">AE$106+IF($C112&lt;&gt;0,SUMPRODUCT((AE$107:AE$108)*TRANSPOSE(($D112:$E112))),0)</f>
        <v>422631.63057706034</v>
      </c>
      <c r="AF112" s="31" cm="1">
        <f t="array" ref="AF112">AF$106+IF($C112&lt;&gt;0,SUMPRODUCT((AF$107:AF$108)*TRANSPOSE(($D112:$E112))),0)</f>
        <v>422631.63057706034</v>
      </c>
      <c r="AG112" s="31" cm="1">
        <f t="array" ref="AG112">AG$106+IF($C112&lt;&gt;0,SUMPRODUCT((AG$107:AG$108)*TRANSPOSE(($D112:$E112))),0)</f>
        <v>422631.63057706034</v>
      </c>
    </row>
    <row r="113" spans="1:33" x14ac:dyDescent="0.2">
      <c r="A113" s="1" t="str">
        <f>"sens"&amp;Assumptions!B114</f>
        <v>sens4</v>
      </c>
      <c r="C113" s="304" t="str">
        <f>Assumptions!C114</f>
        <v>Total benefits 10% lower</v>
      </c>
      <c r="D113" s="305">
        <f>Assumptions!G114</f>
        <v>0</v>
      </c>
      <c r="E113" s="305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-447807.34365257982</v>
      </c>
      <c r="N113" s="31" cm="1">
        <f t="array" ref="N113">N$106+IF($C113&lt;&gt;0,SUMPRODUCT((N$107:N$108)*TRANSPOSE(($D113:$E113))),0)</f>
        <v>182950.48187120218</v>
      </c>
      <c r="O113" s="31" cm="1">
        <f t="array" ref="O113">O$106+IF($C113&lt;&gt;0,SUMPRODUCT((O$107:O$108)*TRANSPOSE(($D113:$E113))),0)</f>
        <v>182950.48187120218</v>
      </c>
      <c r="P113" s="31" cm="1">
        <f t="array" ref="P113">P$106+IF($C113&lt;&gt;0,SUMPRODUCT((P$107:P$108)*TRANSPOSE(($D113:$E113))),0)</f>
        <v>182950.48187120218</v>
      </c>
      <c r="Q113" s="31" cm="1">
        <f t="array" ref="Q113">Q$106+IF($C113&lt;&gt;0,SUMPRODUCT((Q$107:Q$108)*TRANSPOSE(($D113:$E113))),0)</f>
        <v>182950.48187120218</v>
      </c>
      <c r="R113" s="31" cm="1">
        <f t="array" ref="R113">R$106+IF($C113&lt;&gt;0,SUMPRODUCT((R$107:R$108)*TRANSPOSE(($D113:$E113))),0)</f>
        <v>182950.48187120218</v>
      </c>
      <c r="S113" s="31" cm="1">
        <f t="array" ref="S113">S$106+IF($C113&lt;&gt;0,SUMPRODUCT((S$107:S$108)*TRANSPOSE(($D113:$E113))),0)</f>
        <v>182950.48187120218</v>
      </c>
      <c r="T113" s="31" cm="1">
        <f t="array" ref="T113">T$106+IF($C113&lt;&gt;0,SUMPRODUCT((T$107:T$108)*TRANSPOSE(($D113:$E113))),0)</f>
        <v>182950.48187120218</v>
      </c>
      <c r="U113" s="31" cm="1">
        <f t="array" ref="U113">U$106+IF($C113&lt;&gt;0,SUMPRODUCT((U$107:U$108)*TRANSPOSE(($D113:$E113))),0)</f>
        <v>182950.48187120218</v>
      </c>
      <c r="V113" s="31" cm="1">
        <f t="array" ref="V113">V$106+IF($C113&lt;&gt;0,SUMPRODUCT((V$107:V$108)*TRANSPOSE(($D113:$E113))),0)</f>
        <v>182950.48187120218</v>
      </c>
      <c r="W113" s="31" cm="1">
        <f t="array" ref="W113">W$106+IF($C113&lt;&gt;0,SUMPRODUCT((W$107:W$108)*TRANSPOSE(($D113:$E113))),0)</f>
        <v>182950.48187120218</v>
      </c>
      <c r="X113" s="31" cm="1">
        <f t="array" ref="X113">X$106+IF($C113&lt;&gt;0,SUMPRODUCT((X$107:X$108)*TRANSPOSE(($D113:$E113))),0)</f>
        <v>182950.48187120218</v>
      </c>
      <c r="Y113" s="31" cm="1">
        <f t="array" ref="Y113">Y$106+IF($C113&lt;&gt;0,SUMPRODUCT((Y$107:Y$108)*TRANSPOSE(($D113:$E113))),0)</f>
        <v>182950.48187120218</v>
      </c>
      <c r="Z113" s="31" cm="1">
        <f t="array" ref="Z113">Z$106+IF($C113&lt;&gt;0,SUMPRODUCT((Z$107:Z$108)*TRANSPOSE(($D113:$E113))),0)</f>
        <v>182950.48187120218</v>
      </c>
      <c r="AA113" s="31" cm="1">
        <f t="array" ref="AA113">AA$106+IF($C113&lt;&gt;0,SUMPRODUCT((AA$107:AA$108)*TRANSPOSE(($D113:$E113))),0)</f>
        <v>182950.48187120218</v>
      </c>
      <c r="AB113" s="31" cm="1">
        <f t="array" ref="AB113">AB$106+IF($C113&lt;&gt;0,SUMPRODUCT((AB$107:AB$108)*TRANSPOSE(($D113:$E113))),0)</f>
        <v>182950.48187120218</v>
      </c>
      <c r="AC113" s="31" cm="1">
        <f t="array" ref="AC113">AC$106+IF($C113&lt;&gt;0,SUMPRODUCT((AC$107:AC$108)*TRANSPOSE(($D113:$E113))),0)</f>
        <v>182950.48187120218</v>
      </c>
      <c r="AD113" s="31" cm="1">
        <f t="array" ref="AD113">AD$106+IF($C113&lt;&gt;0,SUMPRODUCT((AD$107:AD$108)*TRANSPOSE(($D113:$E113))),0)</f>
        <v>182950.48187120218</v>
      </c>
      <c r="AE113" s="31" cm="1">
        <f t="array" ref="AE113">AE$106+IF($C113&lt;&gt;0,SUMPRODUCT((AE$107:AE$108)*TRANSPOSE(($D113:$E113))),0)</f>
        <v>182950.48187120218</v>
      </c>
      <c r="AF113" s="31" cm="1">
        <f t="array" ref="AF113">AF$106+IF($C113&lt;&gt;0,SUMPRODUCT((AF$107:AF$108)*TRANSPOSE(($D113:$E113))),0)</f>
        <v>182950.48187120218</v>
      </c>
      <c r="AG113" s="31" cm="1">
        <f t="array" ref="AG113">AG$106+IF($C113&lt;&gt;0,SUMPRODUCT((AG$107:AG$108)*TRANSPOSE(($D113:$E113))),0)</f>
        <v>182950.48187120218</v>
      </c>
    </row>
    <row r="114" spans="1:33" x14ac:dyDescent="0.2">
      <c r="A114" s="1" t="str">
        <f>"sens"&amp;Assumptions!B115</f>
        <v>sens5</v>
      </c>
      <c r="C114" s="304" t="str">
        <f>Assumptions!C115</f>
        <v>Capex 10% higher &amp; Total benefits 10% lower</v>
      </c>
      <c r="D114" s="305">
        <f>Assumptions!G115</f>
        <v>0.1</v>
      </c>
      <c r="E114" s="305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-492588.07801783783</v>
      </c>
      <c r="N114" s="31" cm="1">
        <f t="array" ref="N114">N$106+IF($C114&lt;&gt;0,SUMPRODUCT((N$107:N$108)*TRANSPOSE(($D114:$E114))),0)</f>
        <v>93389.013140686206</v>
      </c>
      <c r="O114" s="31" cm="1">
        <f t="array" ref="O114">O$106+IF($C114&lt;&gt;0,SUMPRODUCT((O$107:O$108)*TRANSPOSE(($D114:$E114))),0)</f>
        <v>93389.013140686206</v>
      </c>
      <c r="P114" s="31" cm="1">
        <f t="array" ref="P114">P$106+IF($C114&lt;&gt;0,SUMPRODUCT((P$107:P$108)*TRANSPOSE(($D114:$E114))),0)</f>
        <v>93389.013140686206</v>
      </c>
      <c r="Q114" s="31" cm="1">
        <f t="array" ref="Q114">Q$106+IF($C114&lt;&gt;0,SUMPRODUCT((Q$107:Q$108)*TRANSPOSE(($D114:$E114))),0)</f>
        <v>93389.013140686206</v>
      </c>
      <c r="R114" s="31" cm="1">
        <f t="array" ref="R114">R$106+IF($C114&lt;&gt;0,SUMPRODUCT((R$107:R$108)*TRANSPOSE(($D114:$E114))),0)</f>
        <v>93389.013140686206</v>
      </c>
      <c r="S114" s="31" cm="1">
        <f t="array" ref="S114">S$106+IF($C114&lt;&gt;0,SUMPRODUCT((S$107:S$108)*TRANSPOSE(($D114:$E114))),0)</f>
        <v>93389.013140686206</v>
      </c>
      <c r="T114" s="31" cm="1">
        <f t="array" ref="T114">T$106+IF($C114&lt;&gt;0,SUMPRODUCT((T$107:T$108)*TRANSPOSE(($D114:$E114))),0)</f>
        <v>93389.013140686206</v>
      </c>
      <c r="U114" s="31" cm="1">
        <f t="array" ref="U114">U$106+IF($C114&lt;&gt;0,SUMPRODUCT((U$107:U$108)*TRANSPOSE(($D114:$E114))),0)</f>
        <v>93389.013140686206</v>
      </c>
      <c r="V114" s="31" cm="1">
        <f t="array" ref="V114">V$106+IF($C114&lt;&gt;0,SUMPRODUCT((V$107:V$108)*TRANSPOSE(($D114:$E114))),0)</f>
        <v>93389.013140686206</v>
      </c>
      <c r="W114" s="31" cm="1">
        <f t="array" ref="W114">W$106+IF($C114&lt;&gt;0,SUMPRODUCT((W$107:W$108)*TRANSPOSE(($D114:$E114))),0)</f>
        <v>93389.013140686206</v>
      </c>
      <c r="X114" s="31" cm="1">
        <f t="array" ref="X114">X$106+IF($C114&lt;&gt;0,SUMPRODUCT((X$107:X$108)*TRANSPOSE(($D114:$E114))),0)</f>
        <v>93389.013140686206</v>
      </c>
      <c r="Y114" s="31" cm="1">
        <f t="array" ref="Y114">Y$106+IF($C114&lt;&gt;0,SUMPRODUCT((Y$107:Y$108)*TRANSPOSE(($D114:$E114))),0)</f>
        <v>93389.013140686206</v>
      </c>
      <c r="Z114" s="31" cm="1">
        <f t="array" ref="Z114">Z$106+IF($C114&lt;&gt;0,SUMPRODUCT((Z$107:Z$108)*TRANSPOSE(($D114:$E114))),0)</f>
        <v>93389.013140686206</v>
      </c>
      <c r="AA114" s="31" cm="1">
        <f t="array" ref="AA114">AA$106+IF($C114&lt;&gt;0,SUMPRODUCT((AA$107:AA$108)*TRANSPOSE(($D114:$E114))),0)</f>
        <v>93389.013140686206</v>
      </c>
      <c r="AB114" s="31" cm="1">
        <f t="array" ref="AB114">AB$106+IF($C114&lt;&gt;0,SUMPRODUCT((AB$107:AB$108)*TRANSPOSE(($D114:$E114))),0)</f>
        <v>93389.013140686206</v>
      </c>
      <c r="AC114" s="31" cm="1">
        <f t="array" ref="AC114">AC$106+IF($C114&lt;&gt;0,SUMPRODUCT((AC$107:AC$108)*TRANSPOSE(($D114:$E114))),0)</f>
        <v>93389.013140686206</v>
      </c>
      <c r="AD114" s="31" cm="1">
        <f t="array" ref="AD114">AD$106+IF($C114&lt;&gt;0,SUMPRODUCT((AD$107:AD$108)*TRANSPOSE(($D114:$E114))),0)</f>
        <v>93389.013140686206</v>
      </c>
      <c r="AE114" s="31" cm="1">
        <f t="array" ref="AE114">AE$106+IF($C114&lt;&gt;0,SUMPRODUCT((AE$107:AE$108)*TRANSPOSE(($D114:$E114))),0)</f>
        <v>93389.013140686206</v>
      </c>
      <c r="AF114" s="31" cm="1">
        <f t="array" ref="AF114">AF$106+IF($C114&lt;&gt;0,SUMPRODUCT((AF$107:AF$108)*TRANSPOSE(($D114:$E114))),0)</f>
        <v>93389.013140686206</v>
      </c>
      <c r="AG114" s="31" cm="1">
        <f t="array" ref="AG114">AG$106+IF($C114&lt;&gt;0,SUMPRODUCT((AG$107:AG$108)*TRANSPOSE(($D114:$E114))),0)</f>
        <v>93389.013140686206</v>
      </c>
    </row>
    <row r="115" spans="1:33" x14ac:dyDescent="0.2">
      <c r="A115" s="1" t="str">
        <f>"sens"&amp;Assumptions!B116</f>
        <v>sens</v>
      </c>
      <c r="C115" s="304">
        <f>Assumptions!C116</f>
        <v>0</v>
      </c>
      <c r="D115" s="305">
        <f>Assumptions!G116</f>
        <v>0</v>
      </c>
      <c r="E115" s="305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-447807.34365257982</v>
      </c>
      <c r="N115" s="31" cm="1">
        <f t="array" ref="N115">N$106+IF($C115&lt;&gt;0,SUMPRODUCT((N$107:N$108)*TRANSPOSE(($D115:$E115))),0)</f>
        <v>302791.05622413126</v>
      </c>
      <c r="O115" s="31" cm="1">
        <f t="array" ref="O115">O$106+IF($C115&lt;&gt;0,SUMPRODUCT((O$107:O$108)*TRANSPOSE(($D115:$E115))),0)</f>
        <v>302791.05622413126</v>
      </c>
      <c r="P115" s="31" cm="1">
        <f t="array" ref="P115">P$106+IF($C115&lt;&gt;0,SUMPRODUCT((P$107:P$108)*TRANSPOSE(($D115:$E115))),0)</f>
        <v>302791.05622413126</v>
      </c>
      <c r="Q115" s="31" cm="1">
        <f t="array" ref="Q115">Q$106+IF($C115&lt;&gt;0,SUMPRODUCT((Q$107:Q$108)*TRANSPOSE(($D115:$E115))),0)</f>
        <v>302791.05622413126</v>
      </c>
      <c r="R115" s="31" cm="1">
        <f t="array" ref="R115">R$106+IF($C115&lt;&gt;0,SUMPRODUCT((R$107:R$108)*TRANSPOSE(($D115:$E115))),0)</f>
        <v>302791.05622413126</v>
      </c>
      <c r="S115" s="31" cm="1">
        <f t="array" ref="S115">S$106+IF($C115&lt;&gt;0,SUMPRODUCT((S$107:S$108)*TRANSPOSE(($D115:$E115))),0)</f>
        <v>302791.05622413126</v>
      </c>
      <c r="T115" s="31" cm="1">
        <f t="array" ref="T115">T$106+IF($C115&lt;&gt;0,SUMPRODUCT((T$107:T$108)*TRANSPOSE(($D115:$E115))),0)</f>
        <v>302791.05622413126</v>
      </c>
      <c r="U115" s="31" cm="1">
        <f t="array" ref="U115">U$106+IF($C115&lt;&gt;0,SUMPRODUCT((U$107:U$108)*TRANSPOSE(($D115:$E115))),0)</f>
        <v>302791.05622413126</v>
      </c>
      <c r="V115" s="31" cm="1">
        <f t="array" ref="V115">V$106+IF($C115&lt;&gt;0,SUMPRODUCT((V$107:V$108)*TRANSPOSE(($D115:$E115))),0)</f>
        <v>302791.05622413126</v>
      </c>
      <c r="W115" s="31" cm="1">
        <f t="array" ref="W115">W$106+IF($C115&lt;&gt;0,SUMPRODUCT((W$107:W$108)*TRANSPOSE(($D115:$E115))),0)</f>
        <v>302791.05622413126</v>
      </c>
      <c r="X115" s="31" cm="1">
        <f t="array" ref="X115">X$106+IF($C115&lt;&gt;0,SUMPRODUCT((X$107:X$108)*TRANSPOSE(($D115:$E115))),0)</f>
        <v>302791.05622413126</v>
      </c>
      <c r="Y115" s="31" cm="1">
        <f t="array" ref="Y115">Y$106+IF($C115&lt;&gt;0,SUMPRODUCT((Y$107:Y$108)*TRANSPOSE(($D115:$E115))),0)</f>
        <v>302791.05622413126</v>
      </c>
      <c r="Z115" s="31" cm="1">
        <f t="array" ref="Z115">Z$106+IF($C115&lt;&gt;0,SUMPRODUCT((Z$107:Z$108)*TRANSPOSE(($D115:$E115))),0)</f>
        <v>302791.05622413126</v>
      </c>
      <c r="AA115" s="31" cm="1">
        <f t="array" ref="AA115">AA$106+IF($C115&lt;&gt;0,SUMPRODUCT((AA$107:AA$108)*TRANSPOSE(($D115:$E115))),0)</f>
        <v>302791.05622413126</v>
      </c>
      <c r="AB115" s="31" cm="1">
        <f t="array" ref="AB115">AB$106+IF($C115&lt;&gt;0,SUMPRODUCT((AB$107:AB$108)*TRANSPOSE(($D115:$E115))),0)</f>
        <v>302791.05622413126</v>
      </c>
      <c r="AC115" s="31" cm="1">
        <f t="array" ref="AC115">AC$106+IF($C115&lt;&gt;0,SUMPRODUCT((AC$107:AC$108)*TRANSPOSE(($D115:$E115))),0)</f>
        <v>302791.05622413126</v>
      </c>
      <c r="AD115" s="31" cm="1">
        <f t="array" ref="AD115">AD$106+IF($C115&lt;&gt;0,SUMPRODUCT((AD$107:AD$108)*TRANSPOSE(($D115:$E115))),0)</f>
        <v>302791.05622413126</v>
      </c>
      <c r="AE115" s="31" cm="1">
        <f t="array" ref="AE115">AE$106+IF($C115&lt;&gt;0,SUMPRODUCT((AE$107:AE$108)*TRANSPOSE(($D115:$E115))),0)</f>
        <v>302791.05622413126</v>
      </c>
      <c r="AF115" s="31" cm="1">
        <f t="array" ref="AF115">AF$106+IF($C115&lt;&gt;0,SUMPRODUCT((AF$107:AF$108)*TRANSPOSE(($D115:$E115))),0)</f>
        <v>302791.05622413126</v>
      </c>
      <c r="AG115" s="31" cm="1">
        <f t="array" ref="AG115">AG$106+IF($C115&lt;&gt;0,SUMPRODUCT((AG$107:AG$108)*TRANSPOSE(($D115:$E115))),0)</f>
        <v>302791.05622413126</v>
      </c>
    </row>
    <row r="116" spans="1:33" x14ac:dyDescent="0.2">
      <c r="A116" s="1" t="str">
        <f>"sens"&amp;Assumptions!B117</f>
        <v>sens</v>
      </c>
      <c r="C116" s="304">
        <f>Assumptions!C117</f>
        <v>0</v>
      </c>
      <c r="D116" s="305">
        <f>Assumptions!G117</f>
        <v>0</v>
      </c>
      <c r="E116" s="305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-447807.34365257982</v>
      </c>
      <c r="N116" s="31" cm="1">
        <f t="array" ref="N116">N$106+IF($C116&lt;&gt;0,SUMPRODUCT((N$107:N$108)*TRANSPOSE(($D116:$E116))),0)</f>
        <v>302791.05622413126</v>
      </c>
      <c r="O116" s="31" cm="1">
        <f t="array" ref="O116">O$106+IF($C116&lt;&gt;0,SUMPRODUCT((O$107:O$108)*TRANSPOSE(($D116:$E116))),0)</f>
        <v>302791.05622413126</v>
      </c>
      <c r="P116" s="31" cm="1">
        <f t="array" ref="P116">P$106+IF($C116&lt;&gt;0,SUMPRODUCT((P$107:P$108)*TRANSPOSE(($D116:$E116))),0)</f>
        <v>302791.05622413126</v>
      </c>
      <c r="Q116" s="31" cm="1">
        <f t="array" ref="Q116">Q$106+IF($C116&lt;&gt;0,SUMPRODUCT((Q$107:Q$108)*TRANSPOSE(($D116:$E116))),0)</f>
        <v>302791.05622413126</v>
      </c>
      <c r="R116" s="31" cm="1">
        <f t="array" ref="R116">R$106+IF($C116&lt;&gt;0,SUMPRODUCT((R$107:R$108)*TRANSPOSE(($D116:$E116))),0)</f>
        <v>302791.05622413126</v>
      </c>
      <c r="S116" s="31" cm="1">
        <f t="array" ref="S116">S$106+IF($C116&lt;&gt;0,SUMPRODUCT((S$107:S$108)*TRANSPOSE(($D116:$E116))),0)</f>
        <v>302791.05622413126</v>
      </c>
      <c r="T116" s="31" cm="1">
        <f t="array" ref="T116">T$106+IF($C116&lt;&gt;0,SUMPRODUCT((T$107:T$108)*TRANSPOSE(($D116:$E116))),0)</f>
        <v>302791.05622413126</v>
      </c>
      <c r="U116" s="31" cm="1">
        <f t="array" ref="U116">U$106+IF($C116&lt;&gt;0,SUMPRODUCT((U$107:U$108)*TRANSPOSE(($D116:$E116))),0)</f>
        <v>302791.05622413126</v>
      </c>
      <c r="V116" s="31" cm="1">
        <f t="array" ref="V116">V$106+IF($C116&lt;&gt;0,SUMPRODUCT((V$107:V$108)*TRANSPOSE(($D116:$E116))),0)</f>
        <v>302791.05622413126</v>
      </c>
      <c r="W116" s="31" cm="1">
        <f t="array" ref="W116">W$106+IF($C116&lt;&gt;0,SUMPRODUCT((W$107:W$108)*TRANSPOSE(($D116:$E116))),0)</f>
        <v>302791.05622413126</v>
      </c>
      <c r="X116" s="31" cm="1">
        <f t="array" ref="X116">X$106+IF($C116&lt;&gt;0,SUMPRODUCT((X$107:X$108)*TRANSPOSE(($D116:$E116))),0)</f>
        <v>302791.05622413126</v>
      </c>
      <c r="Y116" s="31" cm="1">
        <f t="array" ref="Y116">Y$106+IF($C116&lt;&gt;0,SUMPRODUCT((Y$107:Y$108)*TRANSPOSE(($D116:$E116))),0)</f>
        <v>302791.05622413126</v>
      </c>
      <c r="Z116" s="31" cm="1">
        <f t="array" ref="Z116">Z$106+IF($C116&lt;&gt;0,SUMPRODUCT((Z$107:Z$108)*TRANSPOSE(($D116:$E116))),0)</f>
        <v>302791.05622413126</v>
      </c>
      <c r="AA116" s="31" cm="1">
        <f t="array" ref="AA116">AA$106+IF($C116&lt;&gt;0,SUMPRODUCT((AA$107:AA$108)*TRANSPOSE(($D116:$E116))),0)</f>
        <v>302791.05622413126</v>
      </c>
      <c r="AB116" s="31" cm="1">
        <f t="array" ref="AB116">AB$106+IF($C116&lt;&gt;0,SUMPRODUCT((AB$107:AB$108)*TRANSPOSE(($D116:$E116))),0)</f>
        <v>302791.05622413126</v>
      </c>
      <c r="AC116" s="31" cm="1">
        <f t="array" ref="AC116">AC$106+IF($C116&lt;&gt;0,SUMPRODUCT((AC$107:AC$108)*TRANSPOSE(($D116:$E116))),0)</f>
        <v>302791.05622413126</v>
      </c>
      <c r="AD116" s="31" cm="1">
        <f t="array" ref="AD116">AD$106+IF($C116&lt;&gt;0,SUMPRODUCT((AD$107:AD$108)*TRANSPOSE(($D116:$E116))),0)</f>
        <v>302791.05622413126</v>
      </c>
      <c r="AE116" s="31" cm="1">
        <f t="array" ref="AE116">AE$106+IF($C116&lt;&gt;0,SUMPRODUCT((AE$107:AE$108)*TRANSPOSE(($D116:$E116))),0)</f>
        <v>302791.05622413126</v>
      </c>
      <c r="AF116" s="31" cm="1">
        <f t="array" ref="AF116">AF$106+IF($C116&lt;&gt;0,SUMPRODUCT((AF$107:AF$108)*TRANSPOSE(($D116:$E116))),0)</f>
        <v>302791.05622413126</v>
      </c>
      <c r="AG116" s="31" cm="1">
        <f t="array" ref="AG116">AG$106+IF($C116&lt;&gt;0,SUMPRODUCT((AG$107:AG$108)*TRANSPOSE(($D116:$E116))),0)</f>
        <v>302791.05622413126</v>
      </c>
    </row>
    <row r="117" spans="1:33" x14ac:dyDescent="0.2">
      <c r="A117" s="1" t="str">
        <f>"sens"&amp;Assumptions!B118</f>
        <v>sens</v>
      </c>
      <c r="C117" s="304">
        <f>Assumptions!C118</f>
        <v>0</v>
      </c>
      <c r="D117" s="305">
        <f>Assumptions!G118</f>
        <v>0</v>
      </c>
      <c r="E117" s="305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-447807.34365257982</v>
      </c>
      <c r="N117" s="31" cm="1">
        <f t="array" ref="N117">N$106+IF($C117&lt;&gt;0,SUMPRODUCT((N$107:N$108)*TRANSPOSE(($D117:$E117))),0)</f>
        <v>302791.05622413126</v>
      </c>
      <c r="O117" s="31" cm="1">
        <f t="array" ref="O117">O$106+IF($C117&lt;&gt;0,SUMPRODUCT((O$107:O$108)*TRANSPOSE(($D117:$E117))),0)</f>
        <v>302791.05622413126</v>
      </c>
      <c r="P117" s="31" cm="1">
        <f t="array" ref="P117">P$106+IF($C117&lt;&gt;0,SUMPRODUCT((P$107:P$108)*TRANSPOSE(($D117:$E117))),0)</f>
        <v>302791.05622413126</v>
      </c>
      <c r="Q117" s="31" cm="1">
        <f t="array" ref="Q117">Q$106+IF($C117&lt;&gt;0,SUMPRODUCT((Q$107:Q$108)*TRANSPOSE(($D117:$E117))),0)</f>
        <v>302791.05622413126</v>
      </c>
      <c r="R117" s="31" cm="1">
        <f t="array" ref="R117">R$106+IF($C117&lt;&gt;0,SUMPRODUCT((R$107:R$108)*TRANSPOSE(($D117:$E117))),0)</f>
        <v>302791.05622413126</v>
      </c>
      <c r="S117" s="31" cm="1">
        <f t="array" ref="S117">S$106+IF($C117&lt;&gt;0,SUMPRODUCT((S$107:S$108)*TRANSPOSE(($D117:$E117))),0)</f>
        <v>302791.05622413126</v>
      </c>
      <c r="T117" s="31" cm="1">
        <f t="array" ref="T117">T$106+IF($C117&lt;&gt;0,SUMPRODUCT((T$107:T$108)*TRANSPOSE(($D117:$E117))),0)</f>
        <v>302791.05622413126</v>
      </c>
      <c r="U117" s="31" cm="1">
        <f t="array" ref="U117">U$106+IF($C117&lt;&gt;0,SUMPRODUCT((U$107:U$108)*TRANSPOSE(($D117:$E117))),0)</f>
        <v>302791.05622413126</v>
      </c>
      <c r="V117" s="31" cm="1">
        <f t="array" ref="V117">V$106+IF($C117&lt;&gt;0,SUMPRODUCT((V$107:V$108)*TRANSPOSE(($D117:$E117))),0)</f>
        <v>302791.05622413126</v>
      </c>
      <c r="W117" s="31" cm="1">
        <f t="array" ref="W117">W$106+IF($C117&lt;&gt;0,SUMPRODUCT((W$107:W$108)*TRANSPOSE(($D117:$E117))),0)</f>
        <v>302791.05622413126</v>
      </c>
      <c r="X117" s="31" cm="1">
        <f t="array" ref="X117">X$106+IF($C117&lt;&gt;0,SUMPRODUCT((X$107:X$108)*TRANSPOSE(($D117:$E117))),0)</f>
        <v>302791.05622413126</v>
      </c>
      <c r="Y117" s="31" cm="1">
        <f t="array" ref="Y117">Y$106+IF($C117&lt;&gt;0,SUMPRODUCT((Y$107:Y$108)*TRANSPOSE(($D117:$E117))),0)</f>
        <v>302791.05622413126</v>
      </c>
      <c r="Z117" s="31" cm="1">
        <f t="array" ref="Z117">Z$106+IF($C117&lt;&gt;0,SUMPRODUCT((Z$107:Z$108)*TRANSPOSE(($D117:$E117))),0)</f>
        <v>302791.05622413126</v>
      </c>
      <c r="AA117" s="31" cm="1">
        <f t="array" ref="AA117">AA$106+IF($C117&lt;&gt;0,SUMPRODUCT((AA$107:AA$108)*TRANSPOSE(($D117:$E117))),0)</f>
        <v>302791.05622413126</v>
      </c>
      <c r="AB117" s="31" cm="1">
        <f t="array" ref="AB117">AB$106+IF($C117&lt;&gt;0,SUMPRODUCT((AB$107:AB$108)*TRANSPOSE(($D117:$E117))),0)</f>
        <v>302791.05622413126</v>
      </c>
      <c r="AC117" s="31" cm="1">
        <f t="array" ref="AC117">AC$106+IF($C117&lt;&gt;0,SUMPRODUCT((AC$107:AC$108)*TRANSPOSE(($D117:$E117))),0)</f>
        <v>302791.05622413126</v>
      </c>
      <c r="AD117" s="31" cm="1">
        <f t="array" ref="AD117">AD$106+IF($C117&lt;&gt;0,SUMPRODUCT((AD$107:AD$108)*TRANSPOSE(($D117:$E117))),0)</f>
        <v>302791.05622413126</v>
      </c>
      <c r="AE117" s="31" cm="1">
        <f t="array" ref="AE117">AE$106+IF($C117&lt;&gt;0,SUMPRODUCT((AE$107:AE$108)*TRANSPOSE(($D117:$E117))),0)</f>
        <v>302791.05622413126</v>
      </c>
      <c r="AF117" s="31" cm="1">
        <f t="array" ref="AF117">AF$106+IF($C117&lt;&gt;0,SUMPRODUCT((AF$107:AF$108)*TRANSPOSE(($D117:$E117))),0)</f>
        <v>302791.05622413126</v>
      </c>
      <c r="AG117" s="31" cm="1">
        <f t="array" ref="AG117">AG$106+IF($C117&lt;&gt;0,SUMPRODUCT((AG$107:AG$108)*TRANSPOSE(($D117:$E117))),0)</f>
        <v>302791.05622413126</v>
      </c>
    </row>
    <row r="118" spans="1:33" x14ac:dyDescent="0.2">
      <c r="E118" s="247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52"/>
      <c r="J129" s="252"/>
      <c r="K129" s="252"/>
      <c r="L129" s="252"/>
    </row>
    <row r="130" spans="9:12" x14ac:dyDescent="0.2">
      <c r="I130" s="252"/>
      <c r="J130" s="252"/>
      <c r="K130" s="252"/>
      <c r="L130" s="252"/>
    </row>
    <row r="131" spans="9:12" x14ac:dyDescent="0.2">
      <c r="I131" s="252"/>
      <c r="J131" s="252"/>
      <c r="K131" s="252"/>
      <c r="L131" s="252"/>
    </row>
    <row r="132" spans="9:12" x14ac:dyDescent="0.2">
      <c r="I132" s="252"/>
      <c r="J132" s="252"/>
      <c r="K132" s="252"/>
      <c r="L132" s="252"/>
    </row>
    <row r="133" spans="9:12" x14ac:dyDescent="0.2">
      <c r="I133" s="252"/>
      <c r="J133" s="252"/>
      <c r="K133" s="252"/>
      <c r="L133" s="252"/>
    </row>
    <row r="134" spans="9:12" x14ac:dyDescent="0.2">
      <c r="I134" s="252"/>
      <c r="J134" s="252"/>
      <c r="K134" s="252"/>
      <c r="L134" s="252"/>
    </row>
    <row r="135" spans="9:12" x14ac:dyDescent="0.2">
      <c r="I135" s="252"/>
      <c r="J135" s="252"/>
      <c r="K135" s="252"/>
      <c r="L135" s="252"/>
    </row>
    <row r="136" spans="9:12" x14ac:dyDescent="0.2">
      <c r="I136" s="252"/>
      <c r="J136" s="252"/>
      <c r="K136" s="252"/>
      <c r="L136" s="252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Horsham REFCL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135</v>
      </c>
      <c r="B3" s="5"/>
      <c r="C3" s="203" t="str">
        <f>INDEX(Assumptions!$E$14:$E$18, MATCH(A3,_xlfn.ANCHORARRAY( Assumptions!$C$14),0))</f>
        <v>Install covered conductor for HSM feeders</v>
      </c>
    </row>
    <row r="4" spans="1:43" x14ac:dyDescent="0.2">
      <c r="A4" s="204" t="str">
        <f>(INDEX(Data!$D$9:$D$13, MATCH(A3, options,0)))</f>
        <v/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62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  <c r="AH12"/>
    </row>
    <row r="13" spans="1:43" x14ac:dyDescent="0.2">
      <c r="C13" s="3" t="s">
        <v>17</v>
      </c>
      <c r="D13"/>
      <c r="E13" s="125" t="s">
        <v>69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79" t="s">
        <v>311</v>
      </c>
      <c r="D14"/>
      <c r="E14" s="150">
        <v>30</v>
      </c>
      <c r="G14" s="210">
        <f>input_dollars</f>
        <v>45291</v>
      </c>
      <c r="H14" s="151"/>
      <c r="I14" s="32">
        <f>Workings_costs!E33</f>
        <v>0</v>
      </c>
      <c r="J14" s="377">
        <f>Workings_costs!F33</f>
        <v>0</v>
      </c>
      <c r="K14" s="377">
        <f>Workings_costs!G33</f>
        <v>0</v>
      </c>
      <c r="L14" s="377">
        <f>Workings_costs!H33</f>
        <v>105640000</v>
      </c>
      <c r="M14" s="377">
        <f>Workings_costs!I33</f>
        <v>105640000</v>
      </c>
      <c r="N14" s="377">
        <f>Workings_costs!J33</f>
        <v>0</v>
      </c>
      <c r="O14" s="377">
        <f>Workings_costs!K33</f>
        <v>0</v>
      </c>
      <c r="P14" s="377">
        <f>Workings_costs!L33</f>
        <v>0</v>
      </c>
      <c r="Q14" s="377">
        <f>Workings_costs!M33</f>
        <v>0</v>
      </c>
      <c r="R14" s="377">
        <f>Workings_costs!N33</f>
        <v>0</v>
      </c>
      <c r="S14" s="377">
        <f>Workings_costs!O33</f>
        <v>0</v>
      </c>
      <c r="T14" s="377">
        <f>Workings_costs!P33</f>
        <v>0</v>
      </c>
      <c r="U14" s="377">
        <f>Workings_costs!Q33</f>
        <v>0</v>
      </c>
      <c r="V14" s="377">
        <f>Workings_costs!R33</f>
        <v>0</v>
      </c>
      <c r="W14" s="377">
        <f>Workings_costs!S33</f>
        <v>0</v>
      </c>
      <c r="X14" s="377">
        <f>Workings_costs!T33</f>
        <v>0</v>
      </c>
      <c r="Y14" s="377">
        <f>Workings_costs!U33</f>
        <v>0</v>
      </c>
      <c r="Z14" s="377">
        <f>Workings_costs!V33</f>
        <v>0</v>
      </c>
      <c r="AA14" s="377">
        <f>Workings_costs!W33</f>
        <v>0</v>
      </c>
      <c r="AB14" s="377">
        <f>Workings_costs!X33</f>
        <v>0</v>
      </c>
      <c r="AC14" s="377">
        <f>Workings_costs!Y33</f>
        <v>0</v>
      </c>
      <c r="AD14" s="377">
        <f>Workings_costs!Z33</f>
        <v>0</v>
      </c>
      <c r="AE14" s="377">
        <f>Workings_costs!AA33</f>
        <v>0</v>
      </c>
      <c r="AF14" s="377">
        <f>Workings_costs!AB33</f>
        <v>0</v>
      </c>
      <c r="AG14" s="377">
        <f>Workings_costs!AC33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0">
        <v>0</v>
      </c>
      <c r="G15" s="210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0">
        <v>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105640000</v>
      </c>
      <c r="M17" s="105">
        <f t="shared" si="0"/>
        <v>105640000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B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  <c r="AH17"/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10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8"/>
      <c r="AH20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11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152</v>
      </c>
      <c r="D24" s="110"/>
      <c r="E24" s="110"/>
      <c r="F24" s="110"/>
      <c r="G24" s="211"/>
      <c r="H24" s="110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153</v>
      </c>
      <c r="D25" s="211"/>
      <c r="E25" s="110"/>
      <c r="F25" s="110"/>
      <c r="G25" s="211"/>
      <c r="H25" s="110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11"/>
      <c r="E26" s="110"/>
      <c r="F26" s="110"/>
      <c r="G26" s="211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8"/>
      <c r="E27"/>
      <c r="G27" s="210" t="s">
        <v>40</v>
      </c>
      <c r="H27"/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 t="s">
        <v>63</v>
      </c>
      <c r="E28" s="112">
        <f>Assumptions!H41*vcr_esc</f>
        <v>41631.575238965597</v>
      </c>
      <c r="F28" s="241" t="str">
        <f>IF(AND(SUM(I27:AG27)&lt;&gt;0, E28=0), "!", "")</f>
        <v/>
      </c>
      <c r="G28" s="210">
        <f>input_dollars</f>
        <v>45291</v>
      </c>
      <c r="H28"/>
      <c r="I28" s="301">
        <f>I27*$E$28</f>
        <v>0</v>
      </c>
      <c r="J28" s="301">
        <f t="shared" ref="J28:AG28" si="2">J27*$E$28</f>
        <v>0</v>
      </c>
      <c r="K28" s="301">
        <f t="shared" si="2"/>
        <v>0</v>
      </c>
      <c r="L28" s="301">
        <f t="shared" si="2"/>
        <v>0</v>
      </c>
      <c r="M28" s="301">
        <f t="shared" si="2"/>
        <v>0</v>
      </c>
      <c r="N28" s="301">
        <f t="shared" si="2"/>
        <v>0</v>
      </c>
      <c r="O28" s="301">
        <f t="shared" si="2"/>
        <v>0</v>
      </c>
      <c r="P28" s="301">
        <f t="shared" si="2"/>
        <v>0</v>
      </c>
      <c r="Q28" s="301">
        <f t="shared" si="2"/>
        <v>0</v>
      </c>
      <c r="R28" s="301">
        <f t="shared" si="2"/>
        <v>0</v>
      </c>
      <c r="S28" s="301">
        <f t="shared" si="2"/>
        <v>0</v>
      </c>
      <c r="T28" s="301">
        <f t="shared" si="2"/>
        <v>0</v>
      </c>
      <c r="U28" s="301">
        <f t="shared" si="2"/>
        <v>0</v>
      </c>
      <c r="V28" s="301">
        <f t="shared" si="2"/>
        <v>0</v>
      </c>
      <c r="W28" s="301">
        <f t="shared" si="2"/>
        <v>0</v>
      </c>
      <c r="X28" s="301">
        <f t="shared" si="2"/>
        <v>0</v>
      </c>
      <c r="Y28" s="301">
        <f t="shared" si="2"/>
        <v>0</v>
      </c>
      <c r="Z28" s="301">
        <f t="shared" si="2"/>
        <v>0</v>
      </c>
      <c r="AA28" s="301">
        <f t="shared" si="2"/>
        <v>0</v>
      </c>
      <c r="AB28" s="301">
        <f t="shared" si="2"/>
        <v>0</v>
      </c>
      <c r="AC28" s="301">
        <f t="shared" si="2"/>
        <v>0</v>
      </c>
      <c r="AD28" s="301">
        <f t="shared" si="2"/>
        <v>0</v>
      </c>
      <c r="AE28" s="301">
        <f t="shared" si="2"/>
        <v>0</v>
      </c>
      <c r="AF28" s="301">
        <f t="shared" si="2"/>
        <v>0</v>
      </c>
      <c r="AG28" s="301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9"/>
      <c r="E29"/>
      <c r="G29" s="2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8" t="s">
        <v>209</v>
      </c>
      <c r="G30" s="210">
        <f>input_dollars</f>
        <v>45291</v>
      </c>
      <c r="H30" s="151"/>
      <c r="I30" s="32">
        <f>Workings_risks!E67</f>
        <v>390944.3686433112</v>
      </c>
      <c r="J30" s="377">
        <f>Workings_risks!F67</f>
        <v>390944.3686433112</v>
      </c>
      <c r="K30" s="377">
        <f>Workings_risks!G67</f>
        <v>390944.3686433112</v>
      </c>
      <c r="L30" s="377">
        <f>Workings_risks!H67</f>
        <v>234566.6211859867</v>
      </c>
      <c r="M30" s="377">
        <f>Workings_risks!I67</f>
        <v>78188.873728662205</v>
      </c>
      <c r="N30" s="377">
        <f>Workings_risks!J67</f>
        <v>78188.873728662205</v>
      </c>
      <c r="O30" s="377">
        <f>Workings_risks!K67</f>
        <v>78188.873728662205</v>
      </c>
      <c r="P30" s="377">
        <f>Workings_risks!L67</f>
        <v>78188.873728662205</v>
      </c>
      <c r="Q30" s="377">
        <f>Workings_risks!M67</f>
        <v>78188.873728662205</v>
      </c>
      <c r="R30" s="377">
        <f>Workings_risks!N67</f>
        <v>78188.873728662205</v>
      </c>
      <c r="S30" s="377">
        <f>Workings_risks!O67</f>
        <v>78188.873728662205</v>
      </c>
      <c r="T30" s="377">
        <f>Workings_risks!P67</f>
        <v>78188.873728662205</v>
      </c>
      <c r="U30" s="377">
        <f>Workings_risks!Q67</f>
        <v>78188.873728662205</v>
      </c>
      <c r="V30" s="377">
        <f>Workings_risks!R67</f>
        <v>78188.873728662205</v>
      </c>
      <c r="W30" s="377">
        <f>Workings_risks!S67</f>
        <v>78188.873728662205</v>
      </c>
      <c r="X30" s="377">
        <f>Workings_risks!T67</f>
        <v>78188.873728662205</v>
      </c>
      <c r="Y30" s="377">
        <f>Workings_risks!U67</f>
        <v>78188.873728662205</v>
      </c>
      <c r="Z30" s="377">
        <f>Workings_risks!V67</f>
        <v>78188.873728662205</v>
      </c>
      <c r="AA30" s="377">
        <f>Workings_risks!W67</f>
        <v>78188.873728662205</v>
      </c>
      <c r="AB30" s="377">
        <f>Workings_risks!X67</f>
        <v>78188.873728662205</v>
      </c>
      <c r="AC30" s="377">
        <f>Workings_risks!Y67</f>
        <v>78188.873728662205</v>
      </c>
      <c r="AD30" s="377">
        <f>Workings_risks!Z67</f>
        <v>78188.873728662205</v>
      </c>
      <c r="AE30" s="377">
        <f>Workings_risks!AA67</f>
        <v>78188.873728662205</v>
      </c>
      <c r="AF30" s="377">
        <f>Workings_risks!AB67</f>
        <v>78188.873728662205</v>
      </c>
      <c r="AG30" s="377">
        <f>Workings_risks!AC67</f>
        <v>78188.873728662205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9"/>
      <c r="E31"/>
      <c r="G31" s="210">
        <f>input_dollars</f>
        <v>45291</v>
      </c>
      <c r="H31" s="151"/>
      <c r="I31" s="32">
        <v>0</v>
      </c>
      <c r="J31" s="377">
        <v>0</v>
      </c>
      <c r="K31" s="377">
        <v>0</v>
      </c>
      <c r="L31" s="377">
        <v>0</v>
      </c>
      <c r="M31" s="377">
        <v>0</v>
      </c>
      <c r="N31" s="377">
        <v>0</v>
      </c>
      <c r="O31" s="377">
        <v>0</v>
      </c>
      <c r="P31" s="377">
        <v>0</v>
      </c>
      <c r="Q31" s="377">
        <v>0</v>
      </c>
      <c r="R31" s="377">
        <v>0</v>
      </c>
      <c r="S31" s="377">
        <v>0</v>
      </c>
      <c r="T31" s="377">
        <v>0</v>
      </c>
      <c r="U31" s="377">
        <v>0</v>
      </c>
      <c r="V31" s="377">
        <v>0</v>
      </c>
      <c r="W31" s="377">
        <v>0</v>
      </c>
      <c r="X31" s="377">
        <v>0</v>
      </c>
      <c r="Y31" s="377">
        <v>0</v>
      </c>
      <c r="Z31" s="377">
        <v>0</v>
      </c>
      <c r="AA31" s="377">
        <v>0</v>
      </c>
      <c r="AB31" s="377">
        <v>0</v>
      </c>
      <c r="AC31" s="377">
        <v>0</v>
      </c>
      <c r="AD31" s="377">
        <v>0</v>
      </c>
      <c r="AE31" s="377">
        <v>0</v>
      </c>
      <c r="AF31" s="377">
        <v>0</v>
      </c>
      <c r="AG31" s="377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8" t="s">
        <v>209</v>
      </c>
      <c r="E32"/>
      <c r="G32" s="210">
        <f>input_dollars</f>
        <v>45291</v>
      </c>
      <c r="H32"/>
      <c r="I32" s="32">
        <v>0</v>
      </c>
      <c r="J32" s="377">
        <v>0</v>
      </c>
      <c r="K32" s="377">
        <v>0</v>
      </c>
      <c r="L32" s="377">
        <v>0</v>
      </c>
      <c r="M32" s="377">
        <v>0</v>
      </c>
      <c r="N32" s="377">
        <v>0</v>
      </c>
      <c r="O32" s="377">
        <v>0</v>
      </c>
      <c r="P32" s="377">
        <v>0</v>
      </c>
      <c r="Q32" s="377">
        <v>0</v>
      </c>
      <c r="R32" s="377">
        <v>0</v>
      </c>
      <c r="S32" s="377">
        <v>0</v>
      </c>
      <c r="T32" s="377">
        <v>0</v>
      </c>
      <c r="U32" s="377">
        <v>0</v>
      </c>
      <c r="V32" s="377">
        <v>0</v>
      </c>
      <c r="W32" s="377">
        <v>0</v>
      </c>
      <c r="X32" s="377">
        <v>0</v>
      </c>
      <c r="Y32" s="377">
        <v>0</v>
      </c>
      <c r="Z32" s="377">
        <v>0</v>
      </c>
      <c r="AA32" s="377">
        <v>0</v>
      </c>
      <c r="AB32" s="377">
        <v>0</v>
      </c>
      <c r="AC32" s="377">
        <v>0</v>
      </c>
      <c r="AD32" s="377">
        <v>0</v>
      </c>
      <c r="AE32" s="377">
        <v>0</v>
      </c>
      <c r="AF32" s="377">
        <v>0</v>
      </c>
      <c r="AG32" s="37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376" t="s">
        <v>271</v>
      </c>
      <c r="D33" s="222"/>
      <c r="E33"/>
      <c r="G33" s="210">
        <f>input_dollars</f>
        <v>45291</v>
      </c>
      <c r="H33"/>
      <c r="I33" s="377">
        <f>Workings_risks!E66</f>
        <v>2151611.1790454965</v>
      </c>
      <c r="J33" s="377">
        <f>Workings_risks!F66</f>
        <v>2151611.1790454965</v>
      </c>
      <c r="K33" s="377">
        <f>Workings_risks!G66</f>
        <v>2151611.1790454965</v>
      </c>
      <c r="L33" s="377">
        <f>Workings_risks!H66</f>
        <v>1097321.7013132032</v>
      </c>
      <c r="M33" s="377">
        <f>Workings_risks!I66</f>
        <v>43032.223580909893</v>
      </c>
      <c r="N33" s="377">
        <f>Workings_risks!J66</f>
        <v>43032.223580909893</v>
      </c>
      <c r="O33" s="377">
        <f>Workings_risks!K66</f>
        <v>43032.223580909893</v>
      </c>
      <c r="P33" s="377">
        <f>Workings_risks!L66</f>
        <v>43032.223580909893</v>
      </c>
      <c r="Q33" s="377">
        <f>Workings_risks!M66</f>
        <v>43032.223580909893</v>
      </c>
      <c r="R33" s="377">
        <f>Workings_risks!N66</f>
        <v>43032.223580909893</v>
      </c>
      <c r="S33" s="377">
        <f>Workings_risks!O66</f>
        <v>43032.223580909893</v>
      </c>
      <c r="T33" s="377">
        <f>Workings_risks!P66</f>
        <v>43032.223580909893</v>
      </c>
      <c r="U33" s="377">
        <f>Workings_risks!Q66</f>
        <v>43032.223580909893</v>
      </c>
      <c r="V33" s="377">
        <f>Workings_risks!R66</f>
        <v>43032.223580909893</v>
      </c>
      <c r="W33" s="377">
        <f>Workings_risks!S66</f>
        <v>43032.223580909893</v>
      </c>
      <c r="X33" s="377">
        <f>Workings_risks!T66</f>
        <v>43032.223580909893</v>
      </c>
      <c r="Y33" s="377">
        <f>Workings_risks!U66</f>
        <v>43032.223580909893</v>
      </c>
      <c r="Z33" s="377">
        <f>Workings_risks!V66</f>
        <v>43032.223580909893</v>
      </c>
      <c r="AA33" s="377">
        <f>Workings_risks!W66</f>
        <v>43032.223580909893</v>
      </c>
      <c r="AB33" s="377">
        <f>Workings_risks!X66</f>
        <v>43032.223580909893</v>
      </c>
      <c r="AC33" s="377">
        <f>Workings_risks!Y66</f>
        <v>43032.223580909893</v>
      </c>
      <c r="AD33" s="377">
        <f>Workings_risks!Z66</f>
        <v>43032.223580909893</v>
      </c>
      <c r="AE33" s="377">
        <f>Workings_risks!AA66</f>
        <v>43032.223580909893</v>
      </c>
      <c r="AF33" s="377">
        <f>Workings_risks!AB66</f>
        <v>43032.223580909893</v>
      </c>
      <c r="AG33" s="377">
        <f>Workings_risks!AC66</f>
        <v>43032.223580909893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8" t="s">
        <v>174</v>
      </c>
      <c r="D34" s="209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9"/>
      <c r="E35"/>
      <c r="G35" s="2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1"/>
      <c r="E36" s="106"/>
      <c r="F36" s="3"/>
      <c r="G36" s="212"/>
      <c r="H36" s="106"/>
      <c r="I36" s="173">
        <f>SUM(I28:I34)</f>
        <v>2542555.5476888078</v>
      </c>
      <c r="J36" s="173">
        <f t="shared" ref="J36:AB36" si="3">SUM(J28:J34)</f>
        <v>2542555.5476888078</v>
      </c>
      <c r="K36" s="173">
        <f t="shared" si="3"/>
        <v>2542555.5476888078</v>
      </c>
      <c r="L36" s="173">
        <f t="shared" si="3"/>
        <v>1331888.32249919</v>
      </c>
      <c r="M36" s="173">
        <f t="shared" si="3"/>
        <v>121221.0973095721</v>
      </c>
      <c r="N36" s="173">
        <f t="shared" si="3"/>
        <v>121221.0973095721</v>
      </c>
      <c r="O36" s="173">
        <f t="shared" si="3"/>
        <v>121221.0973095721</v>
      </c>
      <c r="P36" s="173">
        <f t="shared" si="3"/>
        <v>121221.0973095721</v>
      </c>
      <c r="Q36" s="173">
        <f t="shared" si="3"/>
        <v>121221.0973095721</v>
      </c>
      <c r="R36" s="173">
        <f t="shared" si="3"/>
        <v>121221.0973095721</v>
      </c>
      <c r="S36" s="173">
        <f t="shared" si="3"/>
        <v>121221.0973095721</v>
      </c>
      <c r="T36" s="173">
        <f t="shared" si="3"/>
        <v>121221.0973095721</v>
      </c>
      <c r="U36" s="173">
        <f t="shared" si="3"/>
        <v>121221.0973095721</v>
      </c>
      <c r="V36" s="173">
        <f t="shared" si="3"/>
        <v>121221.0973095721</v>
      </c>
      <c r="W36" s="173">
        <f t="shared" si="3"/>
        <v>121221.0973095721</v>
      </c>
      <c r="X36" s="173">
        <f t="shared" si="3"/>
        <v>121221.0973095721</v>
      </c>
      <c r="Y36" s="173">
        <f t="shared" si="3"/>
        <v>121221.0973095721</v>
      </c>
      <c r="Z36" s="173">
        <f t="shared" si="3"/>
        <v>121221.0973095721</v>
      </c>
      <c r="AA36" s="173">
        <f t="shared" si="3"/>
        <v>121221.0973095721</v>
      </c>
      <c r="AB36" s="173">
        <f t="shared" si="3"/>
        <v>121221.0973095721</v>
      </c>
      <c r="AC36" s="173">
        <f>SUM(AC28:AC34)</f>
        <v>121221.0973095721</v>
      </c>
      <c r="AD36" s="173">
        <f>SUM(AD28:AD34)</f>
        <v>121221.0973095721</v>
      </c>
      <c r="AE36" s="173">
        <f>SUM(AE28:AE34)</f>
        <v>121221.0973095721</v>
      </c>
      <c r="AF36" s="173">
        <f>SUM(AF28:AF34)</f>
        <v>121221.0973095721</v>
      </c>
      <c r="AG36" s="173">
        <f>SUM(AG28:AG34)</f>
        <v>121221.0973095721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7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8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8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9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8" t="s">
        <v>63</v>
      </c>
      <c r="E45" s="112">
        <f>Assumptions!G94</f>
        <v>151432.81740793545</v>
      </c>
      <c r="G45" s="210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8" t="s">
        <v>63</v>
      </c>
      <c r="E46" s="112">
        <f>Assumptions!G95</f>
        <v>24590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8" t="s">
        <v>63</v>
      </c>
      <c r="E47" s="111">
        <f>Assumptions!G96</f>
        <v>88.357719508603083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8" t="s">
        <v>126</v>
      </c>
      <c r="E48" s="111">
        <f>Assumptions!G97</f>
        <v>0</v>
      </c>
      <c r="G48" s="210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204</v>
      </c>
      <c r="D49" s="208" t="s">
        <v>207</v>
      </c>
      <c r="E49" s="111">
        <f>Assumptions!G98</f>
        <v>0.35181336539087127</v>
      </c>
      <c r="G49" s="210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205</v>
      </c>
      <c r="D50" s="208" t="s">
        <v>207</v>
      </c>
      <c r="E50" s="111">
        <f>Assumptions!G99</f>
        <v>0.35181336539087127</v>
      </c>
      <c r="G50" s="210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8" t="s">
        <v>126</v>
      </c>
      <c r="E51" s="111">
        <f>Assumptions!G100</f>
        <v>0</v>
      </c>
      <c r="G51" s="210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8" t="s">
        <v>126</v>
      </c>
      <c r="E52" s="111">
        <f>Assumptions!G101</f>
        <v>0</v>
      </c>
      <c r="G52" s="210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8"/>
      <c r="G53" s="21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8"/>
      <c r="G54" s="210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8"/>
      <c r="G56" s="208"/>
      <c r="AH56"/>
    </row>
    <row r="57" spans="1:43" x14ac:dyDescent="0.2">
      <c r="C57" s="3" t="s">
        <v>125</v>
      </c>
      <c r="D57" s="221"/>
      <c r="E57" s="106"/>
      <c r="F57" s="3"/>
      <c r="G57" s="213">
        <f>input_dollars</f>
        <v>45291</v>
      </c>
      <c r="H57" s="106"/>
      <c r="I57" s="173" cm="1">
        <f t="array" ref="I57">SUMPRODUCT((I$45:I$52)*($E$45:$E$52))+SUM(I54:I55)+I42</f>
        <v>0</v>
      </c>
      <c r="J57" s="173" cm="1">
        <f t="array" ref="J57">SUMPRODUCT((J$45:J$52)*($E$45:$E$52))+SUM(J54:J55)+J42</f>
        <v>0</v>
      </c>
      <c r="K57" s="173" cm="1">
        <f t="array" ref="K57">SUMPRODUCT((K$45:K$52)*($E$45:$E$52))+SUM(K54:K55)+K42</f>
        <v>0</v>
      </c>
      <c r="L57" s="173" cm="1">
        <f t="array" ref="L57">SUMPRODUCT((L$45:L$52)*($E$45:$E$52))+SUM(L54:L55)+L42</f>
        <v>0</v>
      </c>
      <c r="M57" s="173" cm="1">
        <f t="array" ref="M57">SUMPRODUCT((M$45:M$52)*($E$45:$E$52))+SUM(M54:M55)+M42</f>
        <v>0</v>
      </c>
      <c r="N57" s="173" cm="1">
        <f t="array" ref="N57">SUMPRODUCT((N$45:N$52)*($E$45:$E$52))+SUM(N54:N55)+N42</f>
        <v>0</v>
      </c>
      <c r="O57" s="173" cm="1">
        <f t="array" ref="O57">SUMPRODUCT((O$45:O$52)*($E$45:$E$52))+SUM(O54:O55)+O42</f>
        <v>0</v>
      </c>
      <c r="P57" s="173" cm="1">
        <f t="array" ref="P57">SUMPRODUCT((P$45:P$52)*($E$45:$E$52))+SUM(P54:P55)+P42</f>
        <v>0</v>
      </c>
      <c r="Q57" s="173" cm="1">
        <f t="array" ref="Q57">SUMPRODUCT((Q$45:Q$52)*($E$45:$E$52))+SUM(Q54:Q55)+Q42</f>
        <v>0</v>
      </c>
      <c r="R57" s="173" cm="1">
        <f t="array" ref="R57">SUMPRODUCT((R$45:R$52)*($E$45:$E$52))+SUM(R54:R55)+R42</f>
        <v>0</v>
      </c>
      <c r="S57" s="173" cm="1">
        <f t="array" ref="S57">SUMPRODUCT((S$45:S$52)*($E$45:$E$52))+SUM(S54:S55)+S42</f>
        <v>0</v>
      </c>
      <c r="T57" s="173" cm="1">
        <f t="array" ref="T57">SUMPRODUCT((T$45:T$52)*($E$45:$E$52))+SUM(T54:T55)+T42</f>
        <v>0</v>
      </c>
      <c r="U57" s="173" cm="1">
        <f t="array" ref="U57">SUMPRODUCT((U$45:U$52)*($E$45:$E$52))+SUM(U54:U55)+U42</f>
        <v>0</v>
      </c>
      <c r="V57" s="173" cm="1">
        <f t="array" ref="V57">SUMPRODUCT((V$45:V$52)*($E$45:$E$52))+SUM(V54:V55)+V42</f>
        <v>0</v>
      </c>
      <c r="W57" s="173" cm="1">
        <f t="array" ref="W57">SUMPRODUCT((W$45:W$52)*($E$45:$E$52))+SUM(W54:W55)+W42</f>
        <v>0</v>
      </c>
      <c r="X57" s="173" cm="1">
        <f t="array" ref="X57">SUMPRODUCT((X$45:X$52)*($E$45:$E$52))+SUM(X54:X55)+X42</f>
        <v>0</v>
      </c>
      <c r="Y57" s="173" cm="1">
        <f t="array" ref="Y57">SUMPRODUCT((Y$45:Y$52)*($E$45:$E$52))+SUM(Y54:Y55)+Y42</f>
        <v>0</v>
      </c>
      <c r="Z57" s="173" cm="1">
        <f t="array" ref="Z57">SUMPRODUCT((Z$45:Z$52)*($E$45:$E$52))+SUM(Z54:Z55)+Z42</f>
        <v>0</v>
      </c>
      <c r="AA57" s="173" cm="1">
        <f t="array" ref="AA57">SUMPRODUCT((AA$45:AA$52)*($E$45:$E$52))+SUM(AA54:AA55)+AA42</f>
        <v>0</v>
      </c>
      <c r="AB57" s="173" cm="1">
        <f t="array" ref="AB57">SUMPRODUCT((AB$45:AB$52)*($E$45:$E$52))+SUM(AB54:AB55)+AB42</f>
        <v>0</v>
      </c>
      <c r="AC57" s="173" cm="1">
        <f t="array" ref="AC57">SUMPRODUCT((AC$45:AC$52)*($E$45:$E$52))+SUM(AC54:AC55)+AC42</f>
        <v>0</v>
      </c>
      <c r="AD57" s="173" cm="1">
        <f t="array" ref="AD57">SUMPRODUCT((AD$45:AD$52)*($E$45:$E$52))+SUM(AD54:AD55)+AD42</f>
        <v>0</v>
      </c>
      <c r="AE57" s="173" cm="1">
        <f t="array" ref="AE57">SUMPRODUCT((AE$45:AE$52)*($E$45:$E$52))+SUM(AE54:AE55)+AE42</f>
        <v>0</v>
      </c>
      <c r="AF57" s="173" cm="1">
        <f t="array" ref="AF57">SUMPRODUCT((AF$45:AF$52)*($E$45:$E$52))+SUM(AF54:AF55)+AF42</f>
        <v>0</v>
      </c>
      <c r="AG57" s="173" cm="1">
        <f t="array" ref="AG57">SUMPRODUCT((AG$45:AG$52)*($E$45:$E$52))+SUM(AG54:AG55)+AG42</f>
        <v>0</v>
      </c>
      <c r="AH57"/>
    </row>
    <row r="58" spans="1:43" x14ac:dyDescent="0.2">
      <c r="D58" s="208"/>
      <c r="G58" s="20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4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5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/>
    </row>
    <row r="64" spans="1:43" x14ac:dyDescent="0.2">
      <c r="C64" s="4" t="str">
        <f>'Option1 (base case)'!C64</f>
        <v>Risks mitigated vs base case</v>
      </c>
      <c r="G64" s="213">
        <f>input_dollars</f>
        <v>45291</v>
      </c>
      <c r="I64" s="134">
        <f>(1-INDEX(Data!$C$9:$C$13, MATCH($A$3, options,0)))*('Option1 (base case)'!I36-I36)</f>
        <v>0</v>
      </c>
      <c r="J64" s="134">
        <f>(1-INDEX(Data!$C$9:$C$13, MATCH($A$3, options,0)))*('Option1 (base case)'!J36-J36)</f>
        <v>0</v>
      </c>
      <c r="K64" s="134">
        <f>(1-INDEX(Data!$C$9:$C$13, MATCH($A$3, options,0)))*('Option1 (base case)'!K36-K36)</f>
        <v>0</v>
      </c>
      <c r="L64" s="134">
        <f>(1-INDEX(Data!$C$9:$C$13, MATCH($A$3, options,0)))*('Option1 (base case)'!L36-L36)</f>
        <v>1210667.2251896178</v>
      </c>
      <c r="M64" s="134">
        <f>(1-INDEX(Data!$C$9:$C$13, MATCH($A$3, options,0)))*('Option1 (base case)'!M36-M36)</f>
        <v>2421334.4503792357</v>
      </c>
      <c r="N64" s="134">
        <f>(1-INDEX(Data!$C$9:$C$13, MATCH($A$3, options,0)))*('Option1 (base case)'!N36-N36)</f>
        <v>2421334.4503792357</v>
      </c>
      <c r="O64" s="134">
        <f>(1-INDEX(Data!$C$9:$C$13, MATCH($A$3, options,0)))*('Option1 (base case)'!O36-O36)</f>
        <v>2421334.4503792357</v>
      </c>
      <c r="P64" s="134">
        <f>(1-INDEX(Data!$C$9:$C$13, MATCH($A$3, options,0)))*('Option1 (base case)'!P36-P36)</f>
        <v>2421334.4503792357</v>
      </c>
      <c r="Q64" s="134">
        <f>(1-INDEX(Data!$C$9:$C$13, MATCH($A$3, options,0)))*('Option1 (base case)'!Q36-Q36)</f>
        <v>2421334.4503792357</v>
      </c>
      <c r="R64" s="134">
        <f>(1-INDEX(Data!$C$9:$C$13, MATCH($A$3, options,0)))*('Option1 (base case)'!R36-R36)</f>
        <v>2421334.4503792357</v>
      </c>
      <c r="S64" s="134">
        <f>(1-INDEX(Data!$C$9:$C$13, MATCH($A$3, options,0)))*('Option1 (base case)'!S36-S36)</f>
        <v>2421334.4503792357</v>
      </c>
      <c r="T64" s="134">
        <f>(1-INDEX(Data!$C$9:$C$13, MATCH($A$3, options,0)))*('Option1 (base case)'!T36-T36)</f>
        <v>2421334.4503792357</v>
      </c>
      <c r="U64" s="134">
        <f>(1-INDEX(Data!$C$9:$C$13, MATCH($A$3, options,0)))*('Option1 (base case)'!U36-U36)</f>
        <v>2421334.4503792357</v>
      </c>
      <c r="V64" s="134">
        <f>(1-INDEX(Data!$C$9:$C$13, MATCH($A$3, options,0)))*('Option1 (base case)'!V36-V36)</f>
        <v>2421334.4503792357</v>
      </c>
      <c r="W64" s="134">
        <f>(1-INDEX(Data!$C$9:$C$13, MATCH($A$3, options,0)))*('Option1 (base case)'!W36-W36)</f>
        <v>2421334.4503792357</v>
      </c>
      <c r="X64" s="134">
        <f>(1-INDEX(Data!$C$9:$C$13, MATCH($A$3, options,0)))*('Option1 (base case)'!X36-X36)</f>
        <v>2421334.4503792357</v>
      </c>
      <c r="Y64" s="134">
        <f>(1-INDEX(Data!$C$9:$C$13, MATCH($A$3, options,0)))*('Option1 (base case)'!Y36-Y36)</f>
        <v>2421334.4503792357</v>
      </c>
      <c r="Z64" s="134">
        <f>(1-INDEX(Data!$C$9:$C$13, MATCH($A$3, options,0)))*('Option1 (base case)'!Z36-Z36)</f>
        <v>2421334.4503792357</v>
      </c>
      <c r="AA64" s="134">
        <f>(1-INDEX(Data!$C$9:$C$13, MATCH($A$3, options,0)))*('Option1 (base case)'!AA36-AA36)</f>
        <v>2421334.4503792357</v>
      </c>
      <c r="AB64" s="134">
        <f>(1-INDEX(Data!$C$9:$C$13, MATCH($A$3, options,0)))*('Option1 (base case)'!AB36-AB36)</f>
        <v>2421334.4503792357</v>
      </c>
      <c r="AC64" s="134">
        <f>(1-INDEX(Data!$C$9:$C$13, MATCH($A$3, options,0)))*('Option1 (base case)'!AC36-AC36)</f>
        <v>2421334.4503792357</v>
      </c>
      <c r="AD64" s="134">
        <f>(1-INDEX(Data!$C$9:$C$13, MATCH($A$3, options,0)))*('Option1 (base case)'!AD36-AD36)</f>
        <v>2421334.4503792357</v>
      </c>
      <c r="AE64" s="134">
        <f>(1-INDEX(Data!$C$9:$C$13, MATCH($A$3, options,0)))*('Option1 (base case)'!AE36-AE36)</f>
        <v>2421334.4503792357</v>
      </c>
      <c r="AF64" s="134">
        <f>(1-INDEX(Data!$C$9:$C$13, MATCH($A$3, options,0)))*('Option1 (base case)'!AF36-AF36)</f>
        <v>2421334.4503792357</v>
      </c>
      <c r="AG64" s="134">
        <f>(1-INDEX(Data!$C$9:$C$13, MATCH($A$3, options,0)))*('Option1 (base case)'!AG36-AG36)</f>
        <v>2421334.4503792357</v>
      </c>
      <c r="AH64"/>
    </row>
    <row r="65" spans="1:34" x14ac:dyDescent="0.2">
      <c r="G65" s="215"/>
      <c r="AH65"/>
    </row>
    <row r="66" spans="1:34" x14ac:dyDescent="0.2">
      <c r="A66" s="8"/>
      <c r="B66" s="8"/>
      <c r="C66" s="149" t="s">
        <v>30</v>
      </c>
      <c r="D66" s="38"/>
      <c r="F66" s="96"/>
      <c r="G66" s="216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Covered conductor</v>
      </c>
      <c r="D67" s="38"/>
      <c r="F67" s="96"/>
      <c r="G67" s="213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-105640000</v>
      </c>
      <c r="M67" s="118">
        <f t="shared" si="5"/>
        <v>-105640000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6"/>
      <c r="G68" s="213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6"/>
      <c r="G69" s="213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  <c r="AH69"/>
    </row>
    <row r="70" spans="1:34" x14ac:dyDescent="0.2">
      <c r="A70" s="8"/>
      <c r="B70" s="8"/>
      <c r="C70" s="4"/>
      <c r="D70" s="38"/>
      <c r="F70" s="96"/>
      <c r="G70" s="217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/>
    </row>
    <row r="71" spans="1:34" x14ac:dyDescent="0.2">
      <c r="A71" s="8"/>
      <c r="B71" s="8"/>
      <c r="C71" s="149" t="s">
        <v>157</v>
      </c>
      <c r="D71" s="38"/>
      <c r="F71" s="96"/>
      <c r="G71" s="216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/>
    </row>
    <row r="72" spans="1:34" x14ac:dyDescent="0.2">
      <c r="A72" s="8"/>
      <c r="B72" s="8"/>
      <c r="C72" s="4" t="str">
        <f>C14</f>
        <v>Covered conductor</v>
      </c>
      <c r="D72" s="38"/>
      <c r="F72" s="96"/>
      <c r="G72" s="213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-105640000</v>
      </c>
      <c r="M72" s="118" cm="1">
        <f t="array" ref="M72">SUMPRODUCT(($I67:M67))-SUMPRODUCT(($I67:M67)*($I$6:M$6&lt;=(M$6-$E14)))</f>
        <v>-211280000</v>
      </c>
      <c r="N72" s="118" cm="1">
        <f t="array" ref="N72">SUMPRODUCT(($I67:N67))-SUMPRODUCT(($I67:N67)*($I$6:N$6&lt;=(N$6-$E14)))</f>
        <v>-211280000</v>
      </c>
      <c r="O72" s="118" cm="1">
        <f t="array" ref="O72">SUMPRODUCT(($I67:O67))-SUMPRODUCT(($I67:O67)*($I$6:O$6&lt;=(O$6-$E14)))</f>
        <v>-211280000</v>
      </c>
      <c r="P72" s="118" cm="1">
        <f t="array" ref="P72">SUMPRODUCT(($I67:P67))-SUMPRODUCT(($I67:P67)*($I$6:P$6&lt;=(P$6-$E14)))</f>
        <v>-211280000</v>
      </c>
      <c r="Q72" s="118" cm="1">
        <f t="array" ref="Q72">SUMPRODUCT(($I67:Q67))-SUMPRODUCT(($I67:Q67)*($I$6:Q$6&lt;=(Q$6-$E14)))</f>
        <v>-211280000</v>
      </c>
      <c r="R72" s="118" cm="1">
        <f t="array" ref="R72">SUMPRODUCT(($I67:R67))-SUMPRODUCT(($I67:R67)*($I$6:R$6&lt;=(R$6-$E14)))</f>
        <v>-211280000</v>
      </c>
      <c r="S72" s="118" cm="1">
        <f t="array" ref="S72">SUMPRODUCT(($I67:S67))-SUMPRODUCT(($I67:S67)*($I$6:S$6&lt;=(S$6-$E14)))</f>
        <v>-211280000</v>
      </c>
      <c r="T72" s="118" cm="1">
        <f t="array" ref="T72">SUMPRODUCT(($I67:T67))-SUMPRODUCT(($I67:T67)*($I$6:T$6&lt;=(T$6-$E14)))</f>
        <v>-211280000</v>
      </c>
      <c r="U72" s="118" cm="1">
        <f t="array" ref="U72">SUMPRODUCT(($I67:U67))-SUMPRODUCT(($I67:U67)*($I$6:U$6&lt;=(U$6-$E14)))</f>
        <v>-211280000</v>
      </c>
      <c r="V72" s="118" cm="1">
        <f t="array" ref="V72">SUMPRODUCT(($I67:V67))-SUMPRODUCT(($I67:V67)*($I$6:V$6&lt;=(V$6-$E14)))</f>
        <v>-211280000</v>
      </c>
      <c r="W72" s="118" cm="1">
        <f t="array" ref="W72">SUMPRODUCT(($I67:W67))-SUMPRODUCT(($I67:W67)*($I$6:W$6&lt;=(W$6-$E14)))</f>
        <v>-211280000</v>
      </c>
      <c r="X72" s="118" cm="1">
        <f t="array" ref="X72">SUMPRODUCT(($I67:X67))-SUMPRODUCT(($I67:X67)*($I$6:X$6&lt;=(X$6-$E14)))</f>
        <v>-211280000</v>
      </c>
      <c r="Y72" s="118" cm="1">
        <f t="array" ref="Y72">SUMPRODUCT(($I67:Y67))-SUMPRODUCT(($I67:Y67)*($I$6:Y$6&lt;=(Y$6-$E14)))</f>
        <v>-211280000</v>
      </c>
      <c r="Z72" s="118" cm="1">
        <f t="array" ref="Z72">SUMPRODUCT(($I67:Z67))-SUMPRODUCT(($I67:Z67)*($I$6:Z$6&lt;=(Z$6-$E14)))</f>
        <v>-211280000</v>
      </c>
      <c r="AA72" s="118" cm="1">
        <f t="array" ref="AA72">SUMPRODUCT(($I67:AA67))-SUMPRODUCT(($I67:AA67)*($I$6:AA$6&lt;=(AA$6-$E14)))</f>
        <v>-211280000</v>
      </c>
      <c r="AB72" s="118" cm="1">
        <f t="array" ref="AB72">SUMPRODUCT(($I67:AB67))-SUMPRODUCT(($I67:AB67)*($I$6:AB$6&lt;=(AB$6-$E14)))</f>
        <v>-211280000</v>
      </c>
      <c r="AC72" s="118" cm="1">
        <f t="array" ref="AC72">SUMPRODUCT(($I67:AC67))-SUMPRODUCT(($I67:AC67)*($I$6:AC$6&lt;=(AC$6-$E14)))</f>
        <v>-211280000</v>
      </c>
      <c r="AD72" s="118" cm="1">
        <f t="array" ref="AD72">SUMPRODUCT(($I67:AD67))-SUMPRODUCT(($I67:AD67)*($I$6:AD$6&lt;=(AD$6-$E14)))</f>
        <v>-211280000</v>
      </c>
      <c r="AE72" s="118" cm="1">
        <f t="array" ref="AE72">SUMPRODUCT(($I67:AE67))-SUMPRODUCT(($I67:AE67)*($I$6:AE$6&lt;=(AE$6-$E14)))</f>
        <v>-211280000</v>
      </c>
      <c r="AF72" s="118" cm="1">
        <f t="array" ref="AF72">SUMPRODUCT(($I67:AF67))-SUMPRODUCT(($I67:AF67)*($I$6:AF$6&lt;=(AF$6-$E14)))</f>
        <v>-211280000</v>
      </c>
      <c r="AG72" s="118" cm="1">
        <f t="array" ref="AG72">SUMPRODUCT(($I67:AG67))-SUMPRODUCT(($I67:AG67)*($I$6:AG$6&lt;=(AG$6-$E14)))</f>
        <v>-211280000</v>
      </c>
      <c r="AH72"/>
    </row>
    <row r="73" spans="1:34" x14ac:dyDescent="0.2">
      <c r="A73" s="8"/>
      <c r="B73" s="8"/>
      <c r="C73" s="4">
        <f>C15</f>
        <v>0</v>
      </c>
      <c r="D73" s="38"/>
      <c r="F73" s="96"/>
      <c r="G73" s="213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6"/>
      <c r="G74" s="213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6"/>
      <c r="G75" s="217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/>
    </row>
    <row r="76" spans="1:34" x14ac:dyDescent="0.2">
      <c r="A76" s="8"/>
      <c r="B76" s="8"/>
      <c r="C76" s="149" t="s">
        <v>91</v>
      </c>
      <c r="D76" s="38"/>
      <c r="G76" s="216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/>
    </row>
    <row r="77" spans="1:34" x14ac:dyDescent="0.2">
      <c r="A77" s="8"/>
      <c r="B77" s="8"/>
      <c r="C77" s="4" t="str">
        <f>$C$76&amp;" - "&amp;C14</f>
        <v>Annualised capex - Covered conductor</v>
      </c>
      <c r="D77" s="38"/>
      <c r="G77" s="213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-5743787.4710082235</v>
      </c>
      <c r="N77" s="118">
        <f t="shared" si="8"/>
        <v>-11487574.942016447</v>
      </c>
      <c r="O77" s="118">
        <f t="shared" si="8"/>
        <v>-11487574.942016447</v>
      </c>
      <c r="P77" s="118">
        <f t="shared" si="8"/>
        <v>-11487574.942016447</v>
      </c>
      <c r="Q77" s="118">
        <f t="shared" si="8"/>
        <v>-11487574.942016447</v>
      </c>
      <c r="R77" s="118">
        <f t="shared" si="8"/>
        <v>-11487574.942016447</v>
      </c>
      <c r="S77" s="118">
        <f t="shared" si="8"/>
        <v>-11487574.942016447</v>
      </c>
      <c r="T77" s="118">
        <f t="shared" si="8"/>
        <v>-11487574.942016447</v>
      </c>
      <c r="U77" s="118">
        <f t="shared" si="8"/>
        <v>-11487574.942016447</v>
      </c>
      <c r="V77" s="118">
        <f t="shared" si="8"/>
        <v>-11487574.942016447</v>
      </c>
      <c r="W77" s="118">
        <f t="shared" si="8"/>
        <v>-11487574.942016447</v>
      </c>
      <c r="X77" s="118">
        <f t="shared" si="8"/>
        <v>-11487574.942016447</v>
      </c>
      <c r="Y77" s="118">
        <f t="shared" si="8"/>
        <v>-11487574.942016447</v>
      </c>
      <c r="Z77" s="118">
        <f t="shared" si="8"/>
        <v>-11487574.942016447</v>
      </c>
      <c r="AA77" s="118">
        <f t="shared" si="8"/>
        <v>-11487574.942016447</v>
      </c>
      <c r="AB77" s="118">
        <f t="shared" si="8"/>
        <v>-11487574.942016447</v>
      </c>
      <c r="AC77" s="118">
        <f t="shared" si="8"/>
        <v>-11487574.942016447</v>
      </c>
      <c r="AD77" s="118">
        <f t="shared" si="8"/>
        <v>-11487574.942016447</v>
      </c>
      <c r="AE77" s="118">
        <f t="shared" si="8"/>
        <v>-11487574.942016447</v>
      </c>
      <c r="AF77" s="118">
        <f t="shared" si="8"/>
        <v>-11487574.942016447</v>
      </c>
      <c r="AG77" s="118">
        <f t="shared" si="8"/>
        <v>-11487574.942016447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3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3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  <c r="AH79"/>
    </row>
    <row r="80" spans="1:34" x14ac:dyDescent="0.2">
      <c r="A80" s="8"/>
      <c r="B80" s="8"/>
      <c r="C80" s="175" t="s">
        <v>158</v>
      </c>
      <c r="D80" s="175"/>
      <c r="E80" s="176"/>
      <c r="F80" s="177"/>
      <c r="G80" s="218">
        <f>input_dollars</f>
        <v>45291</v>
      </c>
      <c r="H80" s="178"/>
      <c r="I80" s="179">
        <f>SUM(I77:I79)</f>
        <v>0</v>
      </c>
      <c r="J80" s="179">
        <f t="shared" ref="J80:AB80" si="11">SUM(J77:J79)</f>
        <v>0</v>
      </c>
      <c r="K80" s="179">
        <f t="shared" si="11"/>
        <v>0</v>
      </c>
      <c r="L80" s="179">
        <f t="shared" si="11"/>
        <v>0</v>
      </c>
      <c r="M80" s="179">
        <f t="shared" si="11"/>
        <v>-5743787.4710082235</v>
      </c>
      <c r="N80" s="179">
        <f t="shared" si="11"/>
        <v>-11487574.942016447</v>
      </c>
      <c r="O80" s="179">
        <f t="shared" si="11"/>
        <v>-11487574.942016447</v>
      </c>
      <c r="P80" s="179">
        <f t="shared" si="11"/>
        <v>-11487574.942016447</v>
      </c>
      <c r="Q80" s="179">
        <f t="shared" si="11"/>
        <v>-11487574.942016447</v>
      </c>
      <c r="R80" s="179">
        <f t="shared" si="11"/>
        <v>-11487574.942016447</v>
      </c>
      <c r="S80" s="179">
        <f t="shared" si="11"/>
        <v>-11487574.942016447</v>
      </c>
      <c r="T80" s="179">
        <f t="shared" si="11"/>
        <v>-11487574.942016447</v>
      </c>
      <c r="U80" s="179">
        <f t="shared" si="11"/>
        <v>-11487574.942016447</v>
      </c>
      <c r="V80" s="179">
        <f t="shared" si="11"/>
        <v>-11487574.942016447</v>
      </c>
      <c r="W80" s="179">
        <f t="shared" si="11"/>
        <v>-11487574.942016447</v>
      </c>
      <c r="X80" s="179">
        <f t="shared" si="11"/>
        <v>-11487574.942016447</v>
      </c>
      <c r="Y80" s="179">
        <f t="shared" si="11"/>
        <v>-11487574.942016447</v>
      </c>
      <c r="Z80" s="179">
        <f t="shared" si="11"/>
        <v>-11487574.942016447</v>
      </c>
      <c r="AA80" s="179">
        <f t="shared" si="11"/>
        <v>-11487574.942016447</v>
      </c>
      <c r="AB80" s="179">
        <f t="shared" si="11"/>
        <v>-11487574.942016447</v>
      </c>
      <c r="AC80" s="179">
        <f>SUM(AC77:AC79)</f>
        <v>-11487574.942016447</v>
      </c>
      <c r="AD80" s="179">
        <f>SUM(AD77:AD79)</f>
        <v>-11487574.942016447</v>
      </c>
      <c r="AE80" s="179">
        <f>SUM(AE77:AE79)</f>
        <v>-11487574.942016447</v>
      </c>
      <c r="AF80" s="179">
        <f>SUM(AF77:AF79)</f>
        <v>-11487574.942016447</v>
      </c>
      <c r="AG80" s="179">
        <f>SUM(AG77:AG79)</f>
        <v>-11487574.942016447</v>
      </c>
      <c r="AH80"/>
    </row>
    <row r="81" spans="1:34" x14ac:dyDescent="0.2">
      <c r="A81" s="8"/>
      <c r="B81" s="8"/>
      <c r="C81" s="75"/>
      <c r="D81" s="38"/>
      <c r="F81"/>
      <c r="G81" s="219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6"/>
      <c r="G82" s="213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-5743787.4710082235</v>
      </c>
      <c r="N82" s="118">
        <f t="shared" si="13"/>
        <v>-11487574.942016447</v>
      </c>
      <c r="O82" s="118">
        <f t="shared" si="13"/>
        <v>-11487574.942016447</v>
      </c>
      <c r="P82" s="118">
        <f t="shared" si="13"/>
        <v>-11487574.942016447</v>
      </c>
      <c r="Q82" s="118">
        <f t="shared" si="13"/>
        <v>-11487574.942016447</v>
      </c>
      <c r="R82" s="118">
        <f t="shared" si="13"/>
        <v>-11487574.942016447</v>
      </c>
      <c r="S82" s="118">
        <f t="shared" si="13"/>
        <v>-11487574.942016447</v>
      </c>
      <c r="T82" s="118">
        <f t="shared" si="13"/>
        <v>-11487574.942016447</v>
      </c>
      <c r="U82" s="118">
        <f t="shared" si="13"/>
        <v>-11487574.942016447</v>
      </c>
      <c r="V82" s="118">
        <f t="shared" si="13"/>
        <v>-11487574.942016447</v>
      </c>
      <c r="W82" s="118">
        <f t="shared" si="13"/>
        <v>-11487574.942016447</v>
      </c>
      <c r="X82" s="118">
        <f t="shared" si="13"/>
        <v>-11487574.942016447</v>
      </c>
      <c r="Y82" s="118">
        <f t="shared" si="13"/>
        <v>-11487574.942016447</v>
      </c>
      <c r="Z82" s="118">
        <f t="shared" si="13"/>
        <v>-11487574.942016447</v>
      </c>
      <c r="AA82" s="118">
        <f t="shared" si="13"/>
        <v>-11487574.942016447</v>
      </c>
      <c r="AB82" s="118">
        <f t="shared" si="13"/>
        <v>-11487574.942016447</v>
      </c>
      <c r="AC82" s="118">
        <f>AC80</f>
        <v>-11487574.942016447</v>
      </c>
      <c r="AD82" s="118">
        <f>AD80</f>
        <v>-11487574.942016447</v>
      </c>
      <c r="AE82" s="118">
        <f>AE80</f>
        <v>-11487574.942016447</v>
      </c>
      <c r="AF82" s="118">
        <f>AF80</f>
        <v>-11487574.942016447</v>
      </c>
      <c r="AG82" s="118">
        <f>AG80</f>
        <v>-11487574.942016447</v>
      </c>
      <c r="AH82"/>
    </row>
    <row r="83" spans="1:34" x14ac:dyDescent="0.2">
      <c r="A83" s="8"/>
      <c r="B83" s="8"/>
      <c r="C83" s="4" t="s">
        <v>31</v>
      </c>
      <c r="D83" s="38"/>
      <c r="F83" s="96"/>
      <c r="G83" s="213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141</v>
      </c>
      <c r="D84" s="38"/>
      <c r="F84" s="96"/>
      <c r="G84" s="213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1210667.2251896178</v>
      </c>
      <c r="M84" s="31">
        <f t="shared" si="15"/>
        <v>2421334.4503792357</v>
      </c>
      <c r="N84" s="31">
        <f t="shared" si="15"/>
        <v>2421334.4503792357</v>
      </c>
      <c r="O84" s="31">
        <f t="shared" si="15"/>
        <v>2421334.4503792357</v>
      </c>
      <c r="P84" s="31">
        <f t="shared" si="15"/>
        <v>2421334.4503792357</v>
      </c>
      <c r="Q84" s="31">
        <f t="shared" si="15"/>
        <v>2421334.4503792357</v>
      </c>
      <c r="R84" s="31">
        <f t="shared" si="15"/>
        <v>2421334.4503792357</v>
      </c>
      <c r="S84" s="31">
        <f t="shared" si="15"/>
        <v>2421334.4503792357</v>
      </c>
      <c r="T84" s="31">
        <f t="shared" si="15"/>
        <v>2421334.4503792357</v>
      </c>
      <c r="U84" s="31">
        <f t="shared" si="15"/>
        <v>2421334.4503792357</v>
      </c>
      <c r="V84" s="31">
        <f t="shared" si="15"/>
        <v>2421334.4503792357</v>
      </c>
      <c r="W84" s="31">
        <f t="shared" si="15"/>
        <v>2421334.4503792357</v>
      </c>
      <c r="X84" s="31">
        <f t="shared" si="15"/>
        <v>2421334.4503792357</v>
      </c>
      <c r="Y84" s="31">
        <f t="shared" si="15"/>
        <v>2421334.4503792357</v>
      </c>
      <c r="Z84" s="31">
        <f t="shared" si="15"/>
        <v>2421334.4503792357</v>
      </c>
      <c r="AA84" s="31">
        <f t="shared" si="15"/>
        <v>2421334.4503792357</v>
      </c>
      <c r="AB84" s="31">
        <f t="shared" si="15"/>
        <v>2421334.4503792357</v>
      </c>
      <c r="AC84" s="31">
        <f t="shared" si="15"/>
        <v>2421334.4503792357</v>
      </c>
      <c r="AD84" s="31">
        <f t="shared" si="15"/>
        <v>2421334.4503792357</v>
      </c>
      <c r="AE84" s="31">
        <f t="shared" si="15"/>
        <v>2421334.4503792357</v>
      </c>
      <c r="AF84" s="31">
        <f t="shared" si="15"/>
        <v>2421334.4503792357</v>
      </c>
      <c r="AG84" s="31">
        <f t="shared" si="15"/>
        <v>2421334.4503792357</v>
      </c>
      <c r="AH84"/>
    </row>
    <row r="85" spans="1:34" x14ac:dyDescent="0.2">
      <c r="A85" s="8"/>
      <c r="B85" s="8"/>
      <c r="C85" s="4" t="s">
        <v>122</v>
      </c>
      <c r="D85" s="38"/>
      <c r="F85" s="96"/>
      <c r="G85" s="213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80" t="s">
        <v>189</v>
      </c>
      <c r="D87" s="181"/>
      <c r="E87" s="176"/>
      <c r="F87" s="182"/>
      <c r="G87" s="218">
        <f t="shared" si="12"/>
        <v>45291</v>
      </c>
      <c r="H87" s="182"/>
      <c r="I87" s="182">
        <f t="shared" ref="I87:AB87" si="17">SUM(I82:I86)</f>
        <v>0</v>
      </c>
      <c r="J87" s="182">
        <f t="shared" si="17"/>
        <v>0</v>
      </c>
      <c r="K87" s="182">
        <f t="shared" si="17"/>
        <v>0</v>
      </c>
      <c r="L87" s="182">
        <f t="shared" si="17"/>
        <v>1210667.2251896178</v>
      </c>
      <c r="M87" s="182">
        <f t="shared" si="17"/>
        <v>-3322453.0206289878</v>
      </c>
      <c r="N87" s="182">
        <f t="shared" si="17"/>
        <v>-9066240.4916372113</v>
      </c>
      <c r="O87" s="182">
        <f t="shared" si="17"/>
        <v>-9066240.4916372113</v>
      </c>
      <c r="P87" s="182">
        <f t="shared" si="17"/>
        <v>-9066240.4916372113</v>
      </c>
      <c r="Q87" s="182">
        <f t="shared" si="17"/>
        <v>-9066240.4916372113</v>
      </c>
      <c r="R87" s="182">
        <f t="shared" si="17"/>
        <v>-9066240.4916372113</v>
      </c>
      <c r="S87" s="182">
        <f t="shared" si="17"/>
        <v>-9066240.4916372113</v>
      </c>
      <c r="T87" s="182">
        <f t="shared" si="17"/>
        <v>-9066240.4916372113</v>
      </c>
      <c r="U87" s="182">
        <f t="shared" si="17"/>
        <v>-9066240.4916372113</v>
      </c>
      <c r="V87" s="182">
        <f t="shared" si="17"/>
        <v>-9066240.4916372113</v>
      </c>
      <c r="W87" s="182">
        <f t="shared" si="17"/>
        <v>-9066240.4916372113</v>
      </c>
      <c r="X87" s="182">
        <f t="shared" si="17"/>
        <v>-9066240.4916372113</v>
      </c>
      <c r="Y87" s="182">
        <f t="shared" si="17"/>
        <v>-9066240.4916372113</v>
      </c>
      <c r="Z87" s="182">
        <f t="shared" si="17"/>
        <v>-9066240.4916372113</v>
      </c>
      <c r="AA87" s="182">
        <f t="shared" si="17"/>
        <v>-9066240.4916372113</v>
      </c>
      <c r="AB87" s="182">
        <f t="shared" si="17"/>
        <v>-9066240.4916372113</v>
      </c>
      <c r="AC87" s="182">
        <f>SUM(AC82:AC86)</f>
        <v>-9066240.4916372113</v>
      </c>
      <c r="AD87" s="182">
        <f>SUM(AD82:AD86)</f>
        <v>-9066240.4916372113</v>
      </c>
      <c r="AE87" s="182">
        <f>SUM(AE82:AE86)</f>
        <v>-9066240.4916372113</v>
      </c>
      <c r="AF87" s="182">
        <f>SUM(AF82:AF86)</f>
        <v>-9066240.4916372113</v>
      </c>
      <c r="AG87" s="182">
        <f>SUM(AG82:AG86)</f>
        <v>-9066240.4916372113</v>
      </c>
      <c r="AH87"/>
    </row>
    <row r="88" spans="1:34" x14ac:dyDescent="0.2">
      <c r="A88" s="8"/>
      <c r="B88" s="8"/>
      <c r="C88" s="75"/>
      <c r="D88" s="140"/>
      <c r="E88" s="64"/>
      <c r="F88" s="143"/>
      <c r="G88" s="220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/>
    </row>
    <row r="89" spans="1:34" x14ac:dyDescent="0.2">
      <c r="A89" s="8"/>
      <c r="B89" s="8"/>
      <c r="C89" s="75"/>
      <c r="D89" s="140"/>
      <c r="E89" s="64"/>
      <c r="F89" s="143"/>
      <c r="G89" s="220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/>
    </row>
    <row r="90" spans="1:34" x14ac:dyDescent="0.2">
      <c r="A90" s="8"/>
      <c r="B90" s="8"/>
      <c r="C90" s="233" t="s">
        <v>199</v>
      </c>
      <c r="D90" s="82"/>
      <c r="E90" s="234"/>
      <c r="F90" s="235"/>
      <c r="G90" s="236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7"/>
      <c r="E91" s="234"/>
      <c r="F91" s="234"/>
      <c r="G91" s="236"/>
    </row>
    <row r="92" spans="1:34" x14ac:dyDescent="0.2">
      <c r="C92" s="238" t="s">
        <v>194</v>
      </c>
      <c r="D92" s="239"/>
      <c r="E92" s="239"/>
      <c r="F92" s="239"/>
      <c r="G92" s="240">
        <f>IF(_xlfn.MINIFS($G$90:$G$91, $G$90:$G$91, "&gt;"&amp;0)=0, $A$4, _xlfn.MINIFS($G$90:$G$91, $G$90:$G$91, "&gt;"&amp;0))</f>
        <v>4</v>
      </c>
    </row>
    <row r="94" spans="1:34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7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1210667.2251896178</v>
      </c>
      <c r="M106" s="31">
        <f t="shared" si="18"/>
        <v>-3322453.0206289878</v>
      </c>
      <c r="N106" s="31">
        <f t="shared" si="18"/>
        <v>-9066240.4916372113</v>
      </c>
      <c r="O106" s="31">
        <f t="shared" si="18"/>
        <v>-9066240.4916372113</v>
      </c>
      <c r="P106" s="31">
        <f t="shared" si="18"/>
        <v>-9066240.4916372113</v>
      </c>
      <c r="Q106" s="31">
        <f t="shared" si="18"/>
        <v>-9066240.4916372113</v>
      </c>
      <c r="R106" s="31">
        <f t="shared" si="18"/>
        <v>-9066240.4916372113</v>
      </c>
      <c r="S106" s="31">
        <f t="shared" si="18"/>
        <v>-9066240.4916372113</v>
      </c>
      <c r="T106" s="31">
        <f t="shared" si="18"/>
        <v>-9066240.4916372113</v>
      </c>
      <c r="U106" s="31">
        <f t="shared" si="18"/>
        <v>-9066240.4916372113</v>
      </c>
      <c r="V106" s="31">
        <f t="shared" si="18"/>
        <v>-9066240.4916372113</v>
      </c>
      <c r="W106" s="31">
        <f t="shared" si="18"/>
        <v>-9066240.4916372113</v>
      </c>
      <c r="X106" s="31">
        <f t="shared" si="18"/>
        <v>-9066240.4916372113</v>
      </c>
      <c r="Y106" s="31">
        <f t="shared" si="18"/>
        <v>-9066240.4916372113</v>
      </c>
      <c r="Z106" s="31">
        <f t="shared" si="18"/>
        <v>-9066240.4916372113</v>
      </c>
      <c r="AA106" s="31">
        <f t="shared" si="18"/>
        <v>-9066240.4916372113</v>
      </c>
      <c r="AB106" s="31">
        <f t="shared" si="18"/>
        <v>-9066240.4916372113</v>
      </c>
      <c r="AC106" s="31">
        <f t="shared" si="18"/>
        <v>-9066240.4916372113</v>
      </c>
      <c r="AD106" s="31">
        <f t="shared" si="18"/>
        <v>-9066240.4916372113</v>
      </c>
      <c r="AE106" s="31">
        <f t="shared" si="18"/>
        <v>-9066240.4916372113</v>
      </c>
      <c r="AF106" s="31">
        <f t="shared" si="18"/>
        <v>-9066240.4916372113</v>
      </c>
      <c r="AG106" s="31">
        <f t="shared" si="18"/>
        <v>-9066240.4916372113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-5743787.4710082235</v>
      </c>
      <c r="N107" s="31">
        <f t="shared" si="19"/>
        <v>-11487574.942016447</v>
      </c>
      <c r="O107" s="31">
        <f t="shared" si="19"/>
        <v>-11487574.942016447</v>
      </c>
      <c r="P107" s="31">
        <f t="shared" si="19"/>
        <v>-11487574.942016447</v>
      </c>
      <c r="Q107" s="31">
        <f t="shared" si="19"/>
        <v>-11487574.942016447</v>
      </c>
      <c r="R107" s="31">
        <f t="shared" si="19"/>
        <v>-11487574.942016447</v>
      </c>
      <c r="S107" s="31">
        <f t="shared" si="19"/>
        <v>-11487574.942016447</v>
      </c>
      <c r="T107" s="31">
        <f t="shared" si="19"/>
        <v>-11487574.942016447</v>
      </c>
      <c r="U107" s="31">
        <f t="shared" si="19"/>
        <v>-11487574.942016447</v>
      </c>
      <c r="V107" s="31">
        <f t="shared" si="19"/>
        <v>-11487574.942016447</v>
      </c>
      <c r="W107" s="31">
        <f t="shared" si="19"/>
        <v>-11487574.942016447</v>
      </c>
      <c r="X107" s="31">
        <f t="shared" si="19"/>
        <v>-11487574.942016447</v>
      </c>
      <c r="Y107" s="31">
        <f t="shared" si="19"/>
        <v>-11487574.942016447</v>
      </c>
      <c r="Z107" s="31">
        <f t="shared" si="19"/>
        <v>-11487574.942016447</v>
      </c>
      <c r="AA107" s="31">
        <f t="shared" si="19"/>
        <v>-11487574.942016447</v>
      </c>
      <c r="AB107" s="31">
        <f t="shared" si="19"/>
        <v>-11487574.942016447</v>
      </c>
      <c r="AC107" s="31">
        <f t="shared" si="19"/>
        <v>-11487574.942016447</v>
      </c>
      <c r="AD107" s="31">
        <f t="shared" si="19"/>
        <v>-11487574.942016447</v>
      </c>
      <c r="AE107" s="31">
        <f t="shared" si="19"/>
        <v>-11487574.942016447</v>
      </c>
      <c r="AF107" s="31">
        <f t="shared" si="19"/>
        <v>-11487574.942016447</v>
      </c>
      <c r="AG107" s="31">
        <f t="shared" si="19"/>
        <v>-11487574.942016447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1210667.2251896178</v>
      </c>
      <c r="M108" s="31">
        <f t="shared" si="20"/>
        <v>2421334.4503792357</v>
      </c>
      <c r="N108" s="31">
        <f t="shared" si="20"/>
        <v>2421334.4503792357</v>
      </c>
      <c r="O108" s="31">
        <f t="shared" si="20"/>
        <v>2421334.4503792357</v>
      </c>
      <c r="P108" s="31">
        <f t="shared" si="20"/>
        <v>2421334.4503792357</v>
      </c>
      <c r="Q108" s="31">
        <f t="shared" si="20"/>
        <v>2421334.4503792357</v>
      </c>
      <c r="R108" s="31">
        <f t="shared" si="20"/>
        <v>2421334.4503792357</v>
      </c>
      <c r="S108" s="31">
        <f t="shared" si="20"/>
        <v>2421334.4503792357</v>
      </c>
      <c r="T108" s="31">
        <f t="shared" si="20"/>
        <v>2421334.4503792357</v>
      </c>
      <c r="U108" s="31">
        <f t="shared" si="20"/>
        <v>2421334.4503792357</v>
      </c>
      <c r="V108" s="31">
        <f t="shared" si="20"/>
        <v>2421334.4503792357</v>
      </c>
      <c r="W108" s="31">
        <f t="shared" si="20"/>
        <v>2421334.4503792357</v>
      </c>
      <c r="X108" s="31">
        <f t="shared" si="20"/>
        <v>2421334.4503792357</v>
      </c>
      <c r="Y108" s="31">
        <f t="shared" si="20"/>
        <v>2421334.4503792357</v>
      </c>
      <c r="Z108" s="31">
        <f t="shared" si="20"/>
        <v>2421334.4503792357</v>
      </c>
      <c r="AA108" s="31">
        <f t="shared" si="20"/>
        <v>2421334.4503792357</v>
      </c>
      <c r="AB108" s="31">
        <f t="shared" si="20"/>
        <v>2421334.4503792357</v>
      </c>
      <c r="AC108" s="31">
        <f t="shared" si="20"/>
        <v>2421334.4503792357</v>
      </c>
      <c r="AD108" s="31">
        <f t="shared" si="20"/>
        <v>2421334.4503792357</v>
      </c>
      <c r="AE108" s="31">
        <f t="shared" si="20"/>
        <v>2421334.4503792357</v>
      </c>
      <c r="AF108" s="31">
        <f t="shared" si="20"/>
        <v>2421334.4503792357</v>
      </c>
      <c r="AG108" s="31">
        <f t="shared" si="20"/>
        <v>2421334.4503792357</v>
      </c>
    </row>
    <row r="109" spans="1:43" x14ac:dyDescent="0.2">
      <c r="D109" s="305" t="str">
        <f>Assumptions!G110</f>
        <v>Capex</v>
      </c>
      <c r="E109" s="305" t="str">
        <f>Assumptions!H110</f>
        <v>Total benefits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43" x14ac:dyDescent="0.2">
      <c r="A110" s="1" t="str">
        <f>"sens"&amp;Assumptions!B111</f>
        <v>sens1</v>
      </c>
      <c r="C110" s="304" t="str">
        <f>Assumptions!C111</f>
        <v>Capex 10% higher</v>
      </c>
      <c r="D110" s="305">
        <f>Assumptions!G111</f>
        <v>0.1</v>
      </c>
      <c r="E110" s="305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1210667.2251896178</v>
      </c>
      <c r="M110" s="31" cm="1">
        <f t="array" ref="M110">M$106+IF($C110&lt;&gt;0,SUMPRODUCT((M$107:M$108)*TRANSPOSE(($D110:$E110))),0)</f>
        <v>-3896831.7677298104</v>
      </c>
      <c r="N110" s="31" cm="1">
        <f t="array" ref="N110">N$106+IF($C110&lt;&gt;0,SUMPRODUCT((N$107:N$108)*TRANSPOSE(($D110:$E110))),0)</f>
        <v>-10214997.985838857</v>
      </c>
      <c r="O110" s="31" cm="1">
        <f t="array" ref="O110">O$106+IF($C110&lt;&gt;0,SUMPRODUCT((O$107:O$108)*TRANSPOSE(($D110:$E110))),0)</f>
        <v>-10214997.985838857</v>
      </c>
      <c r="P110" s="31" cm="1">
        <f t="array" ref="P110">P$106+IF($C110&lt;&gt;0,SUMPRODUCT((P$107:P$108)*TRANSPOSE(($D110:$E110))),0)</f>
        <v>-10214997.985838857</v>
      </c>
      <c r="Q110" s="31" cm="1">
        <f t="array" ref="Q110">Q$106+IF($C110&lt;&gt;0,SUMPRODUCT((Q$107:Q$108)*TRANSPOSE(($D110:$E110))),0)</f>
        <v>-10214997.985838857</v>
      </c>
      <c r="R110" s="31" cm="1">
        <f t="array" ref="R110">R$106+IF($C110&lt;&gt;0,SUMPRODUCT((R$107:R$108)*TRANSPOSE(($D110:$E110))),0)</f>
        <v>-10214997.985838857</v>
      </c>
      <c r="S110" s="31" cm="1">
        <f t="array" ref="S110">S$106+IF($C110&lt;&gt;0,SUMPRODUCT((S$107:S$108)*TRANSPOSE(($D110:$E110))),0)</f>
        <v>-10214997.985838857</v>
      </c>
      <c r="T110" s="31" cm="1">
        <f t="array" ref="T110">T$106+IF($C110&lt;&gt;0,SUMPRODUCT((T$107:T$108)*TRANSPOSE(($D110:$E110))),0)</f>
        <v>-10214997.985838857</v>
      </c>
      <c r="U110" s="31" cm="1">
        <f t="array" ref="U110">U$106+IF($C110&lt;&gt;0,SUMPRODUCT((U$107:U$108)*TRANSPOSE(($D110:$E110))),0)</f>
        <v>-10214997.985838857</v>
      </c>
      <c r="V110" s="31" cm="1">
        <f t="array" ref="V110">V$106+IF($C110&lt;&gt;0,SUMPRODUCT((V$107:V$108)*TRANSPOSE(($D110:$E110))),0)</f>
        <v>-10214997.985838857</v>
      </c>
      <c r="W110" s="31" cm="1">
        <f t="array" ref="W110">W$106+IF($C110&lt;&gt;0,SUMPRODUCT((W$107:W$108)*TRANSPOSE(($D110:$E110))),0)</f>
        <v>-10214997.985838857</v>
      </c>
      <c r="X110" s="31" cm="1">
        <f t="array" ref="X110">X$106+IF($C110&lt;&gt;0,SUMPRODUCT((X$107:X$108)*TRANSPOSE(($D110:$E110))),0)</f>
        <v>-10214997.985838857</v>
      </c>
      <c r="Y110" s="31" cm="1">
        <f t="array" ref="Y110">Y$106+IF($C110&lt;&gt;0,SUMPRODUCT((Y$107:Y$108)*TRANSPOSE(($D110:$E110))),0)</f>
        <v>-10214997.985838857</v>
      </c>
      <c r="Z110" s="31" cm="1">
        <f t="array" ref="Z110">Z$106+IF($C110&lt;&gt;0,SUMPRODUCT((Z$107:Z$108)*TRANSPOSE(($D110:$E110))),0)</f>
        <v>-10214997.985838857</v>
      </c>
      <c r="AA110" s="31" cm="1">
        <f t="array" ref="AA110">AA$106+IF($C110&lt;&gt;0,SUMPRODUCT((AA$107:AA$108)*TRANSPOSE(($D110:$E110))),0)</f>
        <v>-10214997.985838857</v>
      </c>
      <c r="AB110" s="31" cm="1">
        <f t="array" ref="AB110">AB$106+IF($C110&lt;&gt;0,SUMPRODUCT((AB$107:AB$108)*TRANSPOSE(($D110:$E110))),0)</f>
        <v>-10214997.985838857</v>
      </c>
      <c r="AC110" s="31" cm="1">
        <f t="array" ref="AC110">AC$106+IF($C110&lt;&gt;0,SUMPRODUCT((AC$107:AC$108)*TRANSPOSE(($D110:$E110))),0)</f>
        <v>-10214997.985838857</v>
      </c>
      <c r="AD110" s="31" cm="1">
        <f t="array" ref="AD110">AD$106+IF($C110&lt;&gt;0,SUMPRODUCT((AD$107:AD$108)*TRANSPOSE(($D110:$E110))),0)</f>
        <v>-10214997.985838857</v>
      </c>
      <c r="AE110" s="31" cm="1">
        <f t="array" ref="AE110">AE$106+IF($C110&lt;&gt;0,SUMPRODUCT((AE$107:AE$108)*TRANSPOSE(($D110:$E110))),0)</f>
        <v>-10214997.985838857</v>
      </c>
      <c r="AF110" s="31" cm="1">
        <f t="array" ref="AF110">AF$106+IF($C110&lt;&gt;0,SUMPRODUCT((AF$107:AF$108)*TRANSPOSE(($D110:$E110))),0)</f>
        <v>-10214997.985838857</v>
      </c>
      <c r="AG110" s="31" cm="1">
        <f t="array" ref="AG110">AG$106+IF($C110&lt;&gt;0,SUMPRODUCT((AG$107:AG$108)*TRANSPOSE(($D110:$E110))),0)</f>
        <v>-10214997.985838857</v>
      </c>
    </row>
    <row r="111" spans="1:43" x14ac:dyDescent="0.2">
      <c r="A111" s="1" t="str">
        <f>"sens"&amp;Assumptions!B112</f>
        <v>sens2</v>
      </c>
      <c r="C111" s="304" t="str">
        <f>Assumptions!C112</f>
        <v>Capex 10% lower</v>
      </c>
      <c r="D111" s="305">
        <f>Assumptions!G112</f>
        <v>-0.1</v>
      </c>
      <c r="E111" s="305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1210667.2251896178</v>
      </c>
      <c r="M111" s="31" cm="1">
        <f t="array" ref="M111">M$106+IF($C111&lt;&gt;0,SUMPRODUCT((M$107:M$108)*TRANSPOSE(($D111:$E111))),0)</f>
        <v>-2748074.2735281652</v>
      </c>
      <c r="N111" s="31" cm="1">
        <f t="array" ref="N111">N$106+IF($C111&lt;&gt;0,SUMPRODUCT((N$107:N$108)*TRANSPOSE(($D111:$E111))),0)</f>
        <v>-7917482.997435566</v>
      </c>
      <c r="O111" s="31" cm="1">
        <f t="array" ref="O111">O$106+IF($C111&lt;&gt;0,SUMPRODUCT((O$107:O$108)*TRANSPOSE(($D111:$E111))),0)</f>
        <v>-7917482.997435566</v>
      </c>
      <c r="P111" s="31" cm="1">
        <f t="array" ref="P111">P$106+IF($C111&lt;&gt;0,SUMPRODUCT((P$107:P$108)*TRANSPOSE(($D111:$E111))),0)</f>
        <v>-7917482.997435566</v>
      </c>
      <c r="Q111" s="31" cm="1">
        <f t="array" ref="Q111">Q$106+IF($C111&lt;&gt;0,SUMPRODUCT((Q$107:Q$108)*TRANSPOSE(($D111:$E111))),0)</f>
        <v>-7917482.997435566</v>
      </c>
      <c r="R111" s="31" cm="1">
        <f t="array" ref="R111">R$106+IF($C111&lt;&gt;0,SUMPRODUCT((R$107:R$108)*TRANSPOSE(($D111:$E111))),0)</f>
        <v>-7917482.997435566</v>
      </c>
      <c r="S111" s="31" cm="1">
        <f t="array" ref="S111">S$106+IF($C111&lt;&gt;0,SUMPRODUCT((S$107:S$108)*TRANSPOSE(($D111:$E111))),0)</f>
        <v>-7917482.997435566</v>
      </c>
      <c r="T111" s="31" cm="1">
        <f t="array" ref="T111">T$106+IF($C111&lt;&gt;0,SUMPRODUCT((T$107:T$108)*TRANSPOSE(($D111:$E111))),0)</f>
        <v>-7917482.997435566</v>
      </c>
      <c r="U111" s="31" cm="1">
        <f t="array" ref="U111">U$106+IF($C111&lt;&gt;0,SUMPRODUCT((U$107:U$108)*TRANSPOSE(($D111:$E111))),0)</f>
        <v>-7917482.997435566</v>
      </c>
      <c r="V111" s="31" cm="1">
        <f t="array" ref="V111">V$106+IF($C111&lt;&gt;0,SUMPRODUCT((V$107:V$108)*TRANSPOSE(($D111:$E111))),0)</f>
        <v>-7917482.997435566</v>
      </c>
      <c r="W111" s="31" cm="1">
        <f t="array" ref="W111">W$106+IF($C111&lt;&gt;0,SUMPRODUCT((W$107:W$108)*TRANSPOSE(($D111:$E111))),0)</f>
        <v>-7917482.997435566</v>
      </c>
      <c r="X111" s="31" cm="1">
        <f t="array" ref="X111">X$106+IF($C111&lt;&gt;0,SUMPRODUCT((X$107:X$108)*TRANSPOSE(($D111:$E111))),0)</f>
        <v>-7917482.997435566</v>
      </c>
      <c r="Y111" s="31" cm="1">
        <f t="array" ref="Y111">Y$106+IF($C111&lt;&gt;0,SUMPRODUCT((Y$107:Y$108)*TRANSPOSE(($D111:$E111))),0)</f>
        <v>-7917482.997435566</v>
      </c>
      <c r="Z111" s="31" cm="1">
        <f t="array" ref="Z111">Z$106+IF($C111&lt;&gt;0,SUMPRODUCT((Z$107:Z$108)*TRANSPOSE(($D111:$E111))),0)</f>
        <v>-7917482.997435566</v>
      </c>
      <c r="AA111" s="31" cm="1">
        <f t="array" ref="AA111">AA$106+IF($C111&lt;&gt;0,SUMPRODUCT((AA$107:AA$108)*TRANSPOSE(($D111:$E111))),0)</f>
        <v>-7917482.997435566</v>
      </c>
      <c r="AB111" s="31" cm="1">
        <f t="array" ref="AB111">AB$106+IF($C111&lt;&gt;0,SUMPRODUCT((AB$107:AB$108)*TRANSPOSE(($D111:$E111))),0)</f>
        <v>-7917482.997435566</v>
      </c>
      <c r="AC111" s="31" cm="1">
        <f t="array" ref="AC111">AC$106+IF($C111&lt;&gt;0,SUMPRODUCT((AC$107:AC$108)*TRANSPOSE(($D111:$E111))),0)</f>
        <v>-7917482.997435566</v>
      </c>
      <c r="AD111" s="31" cm="1">
        <f t="array" ref="AD111">AD$106+IF($C111&lt;&gt;0,SUMPRODUCT((AD$107:AD$108)*TRANSPOSE(($D111:$E111))),0)</f>
        <v>-7917482.997435566</v>
      </c>
      <c r="AE111" s="31" cm="1">
        <f t="array" ref="AE111">AE$106+IF($C111&lt;&gt;0,SUMPRODUCT((AE$107:AE$108)*TRANSPOSE(($D111:$E111))),0)</f>
        <v>-7917482.997435566</v>
      </c>
      <c r="AF111" s="31" cm="1">
        <f t="array" ref="AF111">AF$106+IF($C111&lt;&gt;0,SUMPRODUCT((AF$107:AF$108)*TRANSPOSE(($D111:$E111))),0)</f>
        <v>-7917482.997435566</v>
      </c>
      <c r="AG111" s="31" cm="1">
        <f t="array" ref="AG111">AG$106+IF($C111&lt;&gt;0,SUMPRODUCT((AG$107:AG$108)*TRANSPOSE(($D111:$E111))),0)</f>
        <v>-7917482.997435566</v>
      </c>
    </row>
    <row r="112" spans="1:43" x14ac:dyDescent="0.2">
      <c r="A112" s="1" t="str">
        <f>"sens"&amp;Assumptions!B113</f>
        <v>sens3</v>
      </c>
      <c r="C112" s="304" t="str">
        <f>Assumptions!C113</f>
        <v>Total benefits 10% higher</v>
      </c>
      <c r="D112" s="305">
        <f>Assumptions!G113</f>
        <v>0</v>
      </c>
      <c r="E112" s="305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1331733.9477085797</v>
      </c>
      <c r="M112" s="31" cm="1">
        <f t="array" ref="M112">M$106+IF($C112&lt;&gt;0,SUMPRODUCT((M$107:M$108)*TRANSPOSE(($D112:$E112))),0)</f>
        <v>-3080319.5755910641</v>
      </c>
      <c r="N112" s="31" cm="1">
        <f t="array" ref="N112">N$106+IF($C112&lt;&gt;0,SUMPRODUCT((N$107:N$108)*TRANSPOSE(($D112:$E112))),0)</f>
        <v>-8824107.0465992875</v>
      </c>
      <c r="O112" s="31" cm="1">
        <f t="array" ref="O112">O$106+IF($C112&lt;&gt;0,SUMPRODUCT((O$107:O$108)*TRANSPOSE(($D112:$E112))),0)</f>
        <v>-8824107.0465992875</v>
      </c>
      <c r="P112" s="31" cm="1">
        <f t="array" ref="P112">P$106+IF($C112&lt;&gt;0,SUMPRODUCT((P$107:P$108)*TRANSPOSE(($D112:$E112))),0)</f>
        <v>-8824107.0465992875</v>
      </c>
      <c r="Q112" s="31" cm="1">
        <f t="array" ref="Q112">Q$106+IF($C112&lt;&gt;0,SUMPRODUCT((Q$107:Q$108)*TRANSPOSE(($D112:$E112))),0)</f>
        <v>-8824107.0465992875</v>
      </c>
      <c r="R112" s="31" cm="1">
        <f t="array" ref="R112">R$106+IF($C112&lt;&gt;0,SUMPRODUCT((R$107:R$108)*TRANSPOSE(($D112:$E112))),0)</f>
        <v>-8824107.0465992875</v>
      </c>
      <c r="S112" s="31" cm="1">
        <f t="array" ref="S112">S$106+IF($C112&lt;&gt;0,SUMPRODUCT((S$107:S$108)*TRANSPOSE(($D112:$E112))),0)</f>
        <v>-8824107.0465992875</v>
      </c>
      <c r="T112" s="31" cm="1">
        <f t="array" ref="T112">T$106+IF($C112&lt;&gt;0,SUMPRODUCT((T$107:T$108)*TRANSPOSE(($D112:$E112))),0)</f>
        <v>-8824107.0465992875</v>
      </c>
      <c r="U112" s="31" cm="1">
        <f t="array" ref="U112">U$106+IF($C112&lt;&gt;0,SUMPRODUCT((U$107:U$108)*TRANSPOSE(($D112:$E112))),0)</f>
        <v>-8824107.0465992875</v>
      </c>
      <c r="V112" s="31" cm="1">
        <f t="array" ref="V112">V$106+IF($C112&lt;&gt;0,SUMPRODUCT((V$107:V$108)*TRANSPOSE(($D112:$E112))),0)</f>
        <v>-8824107.0465992875</v>
      </c>
      <c r="W112" s="31" cm="1">
        <f t="array" ref="W112">W$106+IF($C112&lt;&gt;0,SUMPRODUCT((W$107:W$108)*TRANSPOSE(($D112:$E112))),0)</f>
        <v>-8824107.0465992875</v>
      </c>
      <c r="X112" s="31" cm="1">
        <f t="array" ref="X112">X$106+IF($C112&lt;&gt;0,SUMPRODUCT((X$107:X$108)*TRANSPOSE(($D112:$E112))),0)</f>
        <v>-8824107.0465992875</v>
      </c>
      <c r="Y112" s="31" cm="1">
        <f t="array" ref="Y112">Y$106+IF($C112&lt;&gt;0,SUMPRODUCT((Y$107:Y$108)*TRANSPOSE(($D112:$E112))),0)</f>
        <v>-8824107.0465992875</v>
      </c>
      <c r="Z112" s="31" cm="1">
        <f t="array" ref="Z112">Z$106+IF($C112&lt;&gt;0,SUMPRODUCT((Z$107:Z$108)*TRANSPOSE(($D112:$E112))),0)</f>
        <v>-8824107.0465992875</v>
      </c>
      <c r="AA112" s="31" cm="1">
        <f t="array" ref="AA112">AA$106+IF($C112&lt;&gt;0,SUMPRODUCT((AA$107:AA$108)*TRANSPOSE(($D112:$E112))),0)</f>
        <v>-8824107.0465992875</v>
      </c>
      <c r="AB112" s="31" cm="1">
        <f t="array" ref="AB112">AB$106+IF($C112&lt;&gt;0,SUMPRODUCT((AB$107:AB$108)*TRANSPOSE(($D112:$E112))),0)</f>
        <v>-8824107.0465992875</v>
      </c>
      <c r="AC112" s="31" cm="1">
        <f t="array" ref="AC112">AC$106+IF($C112&lt;&gt;0,SUMPRODUCT((AC$107:AC$108)*TRANSPOSE(($D112:$E112))),0)</f>
        <v>-8824107.0465992875</v>
      </c>
      <c r="AD112" s="31" cm="1">
        <f t="array" ref="AD112">AD$106+IF($C112&lt;&gt;0,SUMPRODUCT((AD$107:AD$108)*TRANSPOSE(($D112:$E112))),0)</f>
        <v>-8824107.0465992875</v>
      </c>
      <c r="AE112" s="31" cm="1">
        <f t="array" ref="AE112">AE$106+IF($C112&lt;&gt;0,SUMPRODUCT((AE$107:AE$108)*TRANSPOSE(($D112:$E112))),0)</f>
        <v>-8824107.0465992875</v>
      </c>
      <c r="AF112" s="31" cm="1">
        <f t="array" ref="AF112">AF$106+IF($C112&lt;&gt;0,SUMPRODUCT((AF$107:AF$108)*TRANSPOSE(($D112:$E112))),0)</f>
        <v>-8824107.0465992875</v>
      </c>
      <c r="AG112" s="31" cm="1">
        <f t="array" ref="AG112">AG$106+IF($C112&lt;&gt;0,SUMPRODUCT((AG$107:AG$108)*TRANSPOSE(($D112:$E112))),0)</f>
        <v>-8824107.0465992875</v>
      </c>
    </row>
    <row r="113" spans="1:33" x14ac:dyDescent="0.2">
      <c r="A113" s="1" t="str">
        <f>"sens"&amp;Assumptions!B114</f>
        <v>sens4</v>
      </c>
      <c r="C113" s="304" t="str">
        <f>Assumptions!C114</f>
        <v>Total benefits 10% lower</v>
      </c>
      <c r="D113" s="305">
        <f>Assumptions!G114</f>
        <v>0</v>
      </c>
      <c r="E113" s="305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1089600.502670656</v>
      </c>
      <c r="M113" s="31" cm="1">
        <f t="array" ref="M113">M$106+IF($C113&lt;&gt;0,SUMPRODUCT((M$107:M$108)*TRANSPOSE(($D113:$E113))),0)</f>
        <v>-3564586.4656669116</v>
      </c>
      <c r="N113" s="31" cm="1">
        <f t="array" ref="N113">N$106+IF($C113&lt;&gt;0,SUMPRODUCT((N$107:N$108)*TRANSPOSE(($D113:$E113))),0)</f>
        <v>-9308373.936675135</v>
      </c>
      <c r="O113" s="31" cm="1">
        <f t="array" ref="O113">O$106+IF($C113&lt;&gt;0,SUMPRODUCT((O$107:O$108)*TRANSPOSE(($D113:$E113))),0)</f>
        <v>-9308373.936675135</v>
      </c>
      <c r="P113" s="31" cm="1">
        <f t="array" ref="P113">P$106+IF($C113&lt;&gt;0,SUMPRODUCT((P$107:P$108)*TRANSPOSE(($D113:$E113))),0)</f>
        <v>-9308373.936675135</v>
      </c>
      <c r="Q113" s="31" cm="1">
        <f t="array" ref="Q113">Q$106+IF($C113&lt;&gt;0,SUMPRODUCT((Q$107:Q$108)*TRANSPOSE(($D113:$E113))),0)</f>
        <v>-9308373.936675135</v>
      </c>
      <c r="R113" s="31" cm="1">
        <f t="array" ref="R113">R$106+IF($C113&lt;&gt;0,SUMPRODUCT((R$107:R$108)*TRANSPOSE(($D113:$E113))),0)</f>
        <v>-9308373.936675135</v>
      </c>
      <c r="S113" s="31" cm="1">
        <f t="array" ref="S113">S$106+IF($C113&lt;&gt;0,SUMPRODUCT((S$107:S$108)*TRANSPOSE(($D113:$E113))),0)</f>
        <v>-9308373.936675135</v>
      </c>
      <c r="T113" s="31" cm="1">
        <f t="array" ref="T113">T$106+IF($C113&lt;&gt;0,SUMPRODUCT((T$107:T$108)*TRANSPOSE(($D113:$E113))),0)</f>
        <v>-9308373.936675135</v>
      </c>
      <c r="U113" s="31" cm="1">
        <f t="array" ref="U113">U$106+IF($C113&lt;&gt;0,SUMPRODUCT((U$107:U$108)*TRANSPOSE(($D113:$E113))),0)</f>
        <v>-9308373.936675135</v>
      </c>
      <c r="V113" s="31" cm="1">
        <f t="array" ref="V113">V$106+IF($C113&lt;&gt;0,SUMPRODUCT((V$107:V$108)*TRANSPOSE(($D113:$E113))),0)</f>
        <v>-9308373.936675135</v>
      </c>
      <c r="W113" s="31" cm="1">
        <f t="array" ref="W113">W$106+IF($C113&lt;&gt;0,SUMPRODUCT((W$107:W$108)*TRANSPOSE(($D113:$E113))),0)</f>
        <v>-9308373.936675135</v>
      </c>
      <c r="X113" s="31" cm="1">
        <f t="array" ref="X113">X$106+IF($C113&lt;&gt;0,SUMPRODUCT((X$107:X$108)*TRANSPOSE(($D113:$E113))),0)</f>
        <v>-9308373.936675135</v>
      </c>
      <c r="Y113" s="31" cm="1">
        <f t="array" ref="Y113">Y$106+IF($C113&lt;&gt;0,SUMPRODUCT((Y$107:Y$108)*TRANSPOSE(($D113:$E113))),0)</f>
        <v>-9308373.936675135</v>
      </c>
      <c r="Z113" s="31" cm="1">
        <f t="array" ref="Z113">Z$106+IF($C113&lt;&gt;0,SUMPRODUCT((Z$107:Z$108)*TRANSPOSE(($D113:$E113))),0)</f>
        <v>-9308373.936675135</v>
      </c>
      <c r="AA113" s="31" cm="1">
        <f t="array" ref="AA113">AA$106+IF($C113&lt;&gt;0,SUMPRODUCT((AA$107:AA$108)*TRANSPOSE(($D113:$E113))),0)</f>
        <v>-9308373.936675135</v>
      </c>
      <c r="AB113" s="31" cm="1">
        <f t="array" ref="AB113">AB$106+IF($C113&lt;&gt;0,SUMPRODUCT((AB$107:AB$108)*TRANSPOSE(($D113:$E113))),0)</f>
        <v>-9308373.936675135</v>
      </c>
      <c r="AC113" s="31" cm="1">
        <f t="array" ref="AC113">AC$106+IF($C113&lt;&gt;0,SUMPRODUCT((AC$107:AC$108)*TRANSPOSE(($D113:$E113))),0)</f>
        <v>-9308373.936675135</v>
      </c>
      <c r="AD113" s="31" cm="1">
        <f t="array" ref="AD113">AD$106+IF($C113&lt;&gt;0,SUMPRODUCT((AD$107:AD$108)*TRANSPOSE(($D113:$E113))),0)</f>
        <v>-9308373.936675135</v>
      </c>
      <c r="AE113" s="31" cm="1">
        <f t="array" ref="AE113">AE$106+IF($C113&lt;&gt;0,SUMPRODUCT((AE$107:AE$108)*TRANSPOSE(($D113:$E113))),0)</f>
        <v>-9308373.936675135</v>
      </c>
      <c r="AF113" s="31" cm="1">
        <f t="array" ref="AF113">AF$106+IF($C113&lt;&gt;0,SUMPRODUCT((AF$107:AF$108)*TRANSPOSE(($D113:$E113))),0)</f>
        <v>-9308373.936675135</v>
      </c>
      <c r="AG113" s="31" cm="1">
        <f t="array" ref="AG113">AG$106+IF($C113&lt;&gt;0,SUMPRODUCT((AG$107:AG$108)*TRANSPOSE(($D113:$E113))),0)</f>
        <v>-9308373.936675135</v>
      </c>
    </row>
    <row r="114" spans="1:33" x14ac:dyDescent="0.2">
      <c r="A114" s="1" t="str">
        <f>"sens"&amp;Assumptions!B115</f>
        <v>sens5</v>
      </c>
      <c r="C114" s="304" t="str">
        <f>Assumptions!C115</f>
        <v>Capex 10% higher &amp; Total benefits 10% lower</v>
      </c>
      <c r="D114" s="305">
        <f>Assumptions!G115</f>
        <v>0.1</v>
      </c>
      <c r="E114" s="305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1089600.502670656</v>
      </c>
      <c r="M114" s="31" cm="1">
        <f t="array" ref="M114">M$106+IF($C114&lt;&gt;0,SUMPRODUCT((M$107:M$108)*TRANSPOSE(($D114:$E114))),0)</f>
        <v>-4138965.2127677337</v>
      </c>
      <c r="N114" s="31" cm="1">
        <f t="array" ref="N114">N$106+IF($C114&lt;&gt;0,SUMPRODUCT((N$107:N$108)*TRANSPOSE(($D114:$E114))),0)</f>
        <v>-10457131.43087678</v>
      </c>
      <c r="O114" s="31" cm="1">
        <f t="array" ref="O114">O$106+IF($C114&lt;&gt;0,SUMPRODUCT((O$107:O$108)*TRANSPOSE(($D114:$E114))),0)</f>
        <v>-10457131.43087678</v>
      </c>
      <c r="P114" s="31" cm="1">
        <f t="array" ref="P114">P$106+IF($C114&lt;&gt;0,SUMPRODUCT((P$107:P$108)*TRANSPOSE(($D114:$E114))),0)</f>
        <v>-10457131.43087678</v>
      </c>
      <c r="Q114" s="31" cm="1">
        <f t="array" ref="Q114">Q$106+IF($C114&lt;&gt;0,SUMPRODUCT((Q$107:Q$108)*TRANSPOSE(($D114:$E114))),0)</f>
        <v>-10457131.43087678</v>
      </c>
      <c r="R114" s="31" cm="1">
        <f t="array" ref="R114">R$106+IF($C114&lt;&gt;0,SUMPRODUCT((R$107:R$108)*TRANSPOSE(($D114:$E114))),0)</f>
        <v>-10457131.43087678</v>
      </c>
      <c r="S114" s="31" cm="1">
        <f t="array" ref="S114">S$106+IF($C114&lt;&gt;0,SUMPRODUCT((S$107:S$108)*TRANSPOSE(($D114:$E114))),0)</f>
        <v>-10457131.43087678</v>
      </c>
      <c r="T114" s="31" cm="1">
        <f t="array" ref="T114">T$106+IF($C114&lt;&gt;0,SUMPRODUCT((T$107:T$108)*TRANSPOSE(($D114:$E114))),0)</f>
        <v>-10457131.43087678</v>
      </c>
      <c r="U114" s="31" cm="1">
        <f t="array" ref="U114">U$106+IF($C114&lt;&gt;0,SUMPRODUCT((U$107:U$108)*TRANSPOSE(($D114:$E114))),0)</f>
        <v>-10457131.43087678</v>
      </c>
      <c r="V114" s="31" cm="1">
        <f t="array" ref="V114">V$106+IF($C114&lt;&gt;0,SUMPRODUCT((V$107:V$108)*TRANSPOSE(($D114:$E114))),0)</f>
        <v>-10457131.43087678</v>
      </c>
      <c r="W114" s="31" cm="1">
        <f t="array" ref="W114">W$106+IF($C114&lt;&gt;0,SUMPRODUCT((W$107:W$108)*TRANSPOSE(($D114:$E114))),0)</f>
        <v>-10457131.43087678</v>
      </c>
      <c r="X114" s="31" cm="1">
        <f t="array" ref="X114">X$106+IF($C114&lt;&gt;0,SUMPRODUCT((X$107:X$108)*TRANSPOSE(($D114:$E114))),0)</f>
        <v>-10457131.43087678</v>
      </c>
      <c r="Y114" s="31" cm="1">
        <f t="array" ref="Y114">Y$106+IF($C114&lt;&gt;0,SUMPRODUCT((Y$107:Y$108)*TRANSPOSE(($D114:$E114))),0)</f>
        <v>-10457131.43087678</v>
      </c>
      <c r="Z114" s="31" cm="1">
        <f t="array" ref="Z114">Z$106+IF($C114&lt;&gt;0,SUMPRODUCT((Z$107:Z$108)*TRANSPOSE(($D114:$E114))),0)</f>
        <v>-10457131.43087678</v>
      </c>
      <c r="AA114" s="31" cm="1">
        <f t="array" ref="AA114">AA$106+IF($C114&lt;&gt;0,SUMPRODUCT((AA$107:AA$108)*TRANSPOSE(($D114:$E114))),0)</f>
        <v>-10457131.43087678</v>
      </c>
      <c r="AB114" s="31" cm="1">
        <f t="array" ref="AB114">AB$106+IF($C114&lt;&gt;0,SUMPRODUCT((AB$107:AB$108)*TRANSPOSE(($D114:$E114))),0)</f>
        <v>-10457131.43087678</v>
      </c>
      <c r="AC114" s="31" cm="1">
        <f t="array" ref="AC114">AC$106+IF($C114&lt;&gt;0,SUMPRODUCT((AC$107:AC$108)*TRANSPOSE(($D114:$E114))),0)</f>
        <v>-10457131.43087678</v>
      </c>
      <c r="AD114" s="31" cm="1">
        <f t="array" ref="AD114">AD$106+IF($C114&lt;&gt;0,SUMPRODUCT((AD$107:AD$108)*TRANSPOSE(($D114:$E114))),0)</f>
        <v>-10457131.43087678</v>
      </c>
      <c r="AE114" s="31" cm="1">
        <f t="array" ref="AE114">AE$106+IF($C114&lt;&gt;0,SUMPRODUCT((AE$107:AE$108)*TRANSPOSE(($D114:$E114))),0)</f>
        <v>-10457131.43087678</v>
      </c>
      <c r="AF114" s="31" cm="1">
        <f t="array" ref="AF114">AF$106+IF($C114&lt;&gt;0,SUMPRODUCT((AF$107:AF$108)*TRANSPOSE(($D114:$E114))),0)</f>
        <v>-10457131.43087678</v>
      </c>
      <c r="AG114" s="31" cm="1">
        <f t="array" ref="AG114">AG$106+IF($C114&lt;&gt;0,SUMPRODUCT((AG$107:AG$108)*TRANSPOSE(($D114:$E114))),0)</f>
        <v>-10457131.43087678</v>
      </c>
    </row>
    <row r="115" spans="1:33" x14ac:dyDescent="0.2">
      <c r="A115" s="1" t="str">
        <f>"sens"&amp;Assumptions!B116</f>
        <v>sens</v>
      </c>
      <c r="C115" s="304">
        <f>Assumptions!C116</f>
        <v>0</v>
      </c>
      <c r="D115" s="305">
        <f>Assumptions!G116</f>
        <v>0</v>
      </c>
      <c r="E115" s="305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1210667.2251896178</v>
      </c>
      <c r="M115" s="31" cm="1">
        <f t="array" ref="M115">M$106+IF($C115&lt;&gt;0,SUMPRODUCT((M$107:M$108)*TRANSPOSE(($D115:$E115))),0)</f>
        <v>-3322453.0206289878</v>
      </c>
      <c r="N115" s="31" cm="1">
        <f t="array" ref="N115">N$106+IF($C115&lt;&gt;0,SUMPRODUCT((N$107:N$108)*TRANSPOSE(($D115:$E115))),0)</f>
        <v>-9066240.4916372113</v>
      </c>
      <c r="O115" s="31" cm="1">
        <f t="array" ref="O115">O$106+IF($C115&lt;&gt;0,SUMPRODUCT((O$107:O$108)*TRANSPOSE(($D115:$E115))),0)</f>
        <v>-9066240.4916372113</v>
      </c>
      <c r="P115" s="31" cm="1">
        <f t="array" ref="P115">P$106+IF($C115&lt;&gt;0,SUMPRODUCT((P$107:P$108)*TRANSPOSE(($D115:$E115))),0)</f>
        <v>-9066240.4916372113</v>
      </c>
      <c r="Q115" s="31" cm="1">
        <f t="array" ref="Q115">Q$106+IF($C115&lt;&gt;0,SUMPRODUCT((Q$107:Q$108)*TRANSPOSE(($D115:$E115))),0)</f>
        <v>-9066240.4916372113</v>
      </c>
      <c r="R115" s="31" cm="1">
        <f t="array" ref="R115">R$106+IF($C115&lt;&gt;0,SUMPRODUCT((R$107:R$108)*TRANSPOSE(($D115:$E115))),0)</f>
        <v>-9066240.4916372113</v>
      </c>
      <c r="S115" s="31" cm="1">
        <f t="array" ref="S115">S$106+IF($C115&lt;&gt;0,SUMPRODUCT((S$107:S$108)*TRANSPOSE(($D115:$E115))),0)</f>
        <v>-9066240.4916372113</v>
      </c>
      <c r="T115" s="31" cm="1">
        <f t="array" ref="T115">T$106+IF($C115&lt;&gt;0,SUMPRODUCT((T$107:T$108)*TRANSPOSE(($D115:$E115))),0)</f>
        <v>-9066240.4916372113</v>
      </c>
      <c r="U115" s="31" cm="1">
        <f t="array" ref="U115">U$106+IF($C115&lt;&gt;0,SUMPRODUCT((U$107:U$108)*TRANSPOSE(($D115:$E115))),0)</f>
        <v>-9066240.4916372113</v>
      </c>
      <c r="V115" s="31" cm="1">
        <f t="array" ref="V115">V$106+IF($C115&lt;&gt;0,SUMPRODUCT((V$107:V$108)*TRANSPOSE(($D115:$E115))),0)</f>
        <v>-9066240.4916372113</v>
      </c>
      <c r="W115" s="31" cm="1">
        <f t="array" ref="W115">W$106+IF($C115&lt;&gt;0,SUMPRODUCT((W$107:W$108)*TRANSPOSE(($D115:$E115))),0)</f>
        <v>-9066240.4916372113</v>
      </c>
      <c r="X115" s="31" cm="1">
        <f t="array" ref="X115">X$106+IF($C115&lt;&gt;0,SUMPRODUCT((X$107:X$108)*TRANSPOSE(($D115:$E115))),0)</f>
        <v>-9066240.4916372113</v>
      </c>
      <c r="Y115" s="31" cm="1">
        <f t="array" ref="Y115">Y$106+IF($C115&lt;&gt;0,SUMPRODUCT((Y$107:Y$108)*TRANSPOSE(($D115:$E115))),0)</f>
        <v>-9066240.4916372113</v>
      </c>
      <c r="Z115" s="31" cm="1">
        <f t="array" ref="Z115">Z$106+IF($C115&lt;&gt;0,SUMPRODUCT((Z$107:Z$108)*TRANSPOSE(($D115:$E115))),0)</f>
        <v>-9066240.4916372113</v>
      </c>
      <c r="AA115" s="31" cm="1">
        <f t="array" ref="AA115">AA$106+IF($C115&lt;&gt;0,SUMPRODUCT((AA$107:AA$108)*TRANSPOSE(($D115:$E115))),0)</f>
        <v>-9066240.4916372113</v>
      </c>
      <c r="AB115" s="31" cm="1">
        <f t="array" ref="AB115">AB$106+IF($C115&lt;&gt;0,SUMPRODUCT((AB$107:AB$108)*TRANSPOSE(($D115:$E115))),0)</f>
        <v>-9066240.4916372113</v>
      </c>
      <c r="AC115" s="31" cm="1">
        <f t="array" ref="AC115">AC$106+IF($C115&lt;&gt;0,SUMPRODUCT((AC$107:AC$108)*TRANSPOSE(($D115:$E115))),0)</f>
        <v>-9066240.4916372113</v>
      </c>
      <c r="AD115" s="31" cm="1">
        <f t="array" ref="AD115">AD$106+IF($C115&lt;&gt;0,SUMPRODUCT((AD$107:AD$108)*TRANSPOSE(($D115:$E115))),0)</f>
        <v>-9066240.4916372113</v>
      </c>
      <c r="AE115" s="31" cm="1">
        <f t="array" ref="AE115">AE$106+IF($C115&lt;&gt;0,SUMPRODUCT((AE$107:AE$108)*TRANSPOSE(($D115:$E115))),0)</f>
        <v>-9066240.4916372113</v>
      </c>
      <c r="AF115" s="31" cm="1">
        <f t="array" ref="AF115">AF$106+IF($C115&lt;&gt;0,SUMPRODUCT((AF$107:AF$108)*TRANSPOSE(($D115:$E115))),0)</f>
        <v>-9066240.4916372113</v>
      </c>
      <c r="AG115" s="31" cm="1">
        <f t="array" ref="AG115">AG$106+IF($C115&lt;&gt;0,SUMPRODUCT((AG$107:AG$108)*TRANSPOSE(($D115:$E115))),0)</f>
        <v>-9066240.4916372113</v>
      </c>
    </row>
    <row r="116" spans="1:33" x14ac:dyDescent="0.2">
      <c r="A116" s="1" t="str">
        <f>"sens"&amp;Assumptions!B117</f>
        <v>sens</v>
      </c>
      <c r="C116" s="304">
        <f>Assumptions!C117</f>
        <v>0</v>
      </c>
      <c r="D116" s="305">
        <f>Assumptions!G117</f>
        <v>0</v>
      </c>
      <c r="E116" s="305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1210667.2251896178</v>
      </c>
      <c r="M116" s="31" cm="1">
        <f t="array" ref="M116">M$106+IF($C116&lt;&gt;0,SUMPRODUCT((M$107:M$108)*TRANSPOSE(($D116:$E116))),0)</f>
        <v>-3322453.0206289878</v>
      </c>
      <c r="N116" s="31" cm="1">
        <f t="array" ref="N116">N$106+IF($C116&lt;&gt;0,SUMPRODUCT((N$107:N$108)*TRANSPOSE(($D116:$E116))),0)</f>
        <v>-9066240.4916372113</v>
      </c>
      <c r="O116" s="31" cm="1">
        <f t="array" ref="O116">O$106+IF($C116&lt;&gt;0,SUMPRODUCT((O$107:O$108)*TRANSPOSE(($D116:$E116))),0)</f>
        <v>-9066240.4916372113</v>
      </c>
      <c r="P116" s="31" cm="1">
        <f t="array" ref="P116">P$106+IF($C116&lt;&gt;0,SUMPRODUCT((P$107:P$108)*TRANSPOSE(($D116:$E116))),0)</f>
        <v>-9066240.4916372113</v>
      </c>
      <c r="Q116" s="31" cm="1">
        <f t="array" ref="Q116">Q$106+IF($C116&lt;&gt;0,SUMPRODUCT((Q$107:Q$108)*TRANSPOSE(($D116:$E116))),0)</f>
        <v>-9066240.4916372113</v>
      </c>
      <c r="R116" s="31" cm="1">
        <f t="array" ref="R116">R$106+IF($C116&lt;&gt;0,SUMPRODUCT((R$107:R$108)*TRANSPOSE(($D116:$E116))),0)</f>
        <v>-9066240.4916372113</v>
      </c>
      <c r="S116" s="31" cm="1">
        <f t="array" ref="S116">S$106+IF($C116&lt;&gt;0,SUMPRODUCT((S$107:S$108)*TRANSPOSE(($D116:$E116))),0)</f>
        <v>-9066240.4916372113</v>
      </c>
      <c r="T116" s="31" cm="1">
        <f t="array" ref="T116">T$106+IF($C116&lt;&gt;0,SUMPRODUCT((T$107:T$108)*TRANSPOSE(($D116:$E116))),0)</f>
        <v>-9066240.4916372113</v>
      </c>
      <c r="U116" s="31" cm="1">
        <f t="array" ref="U116">U$106+IF($C116&lt;&gt;0,SUMPRODUCT((U$107:U$108)*TRANSPOSE(($D116:$E116))),0)</f>
        <v>-9066240.4916372113</v>
      </c>
      <c r="V116" s="31" cm="1">
        <f t="array" ref="V116">V$106+IF($C116&lt;&gt;0,SUMPRODUCT((V$107:V$108)*TRANSPOSE(($D116:$E116))),0)</f>
        <v>-9066240.4916372113</v>
      </c>
      <c r="W116" s="31" cm="1">
        <f t="array" ref="W116">W$106+IF($C116&lt;&gt;0,SUMPRODUCT((W$107:W$108)*TRANSPOSE(($D116:$E116))),0)</f>
        <v>-9066240.4916372113</v>
      </c>
      <c r="X116" s="31" cm="1">
        <f t="array" ref="X116">X$106+IF($C116&lt;&gt;0,SUMPRODUCT((X$107:X$108)*TRANSPOSE(($D116:$E116))),0)</f>
        <v>-9066240.4916372113</v>
      </c>
      <c r="Y116" s="31" cm="1">
        <f t="array" ref="Y116">Y$106+IF($C116&lt;&gt;0,SUMPRODUCT((Y$107:Y$108)*TRANSPOSE(($D116:$E116))),0)</f>
        <v>-9066240.4916372113</v>
      </c>
      <c r="Z116" s="31" cm="1">
        <f t="array" ref="Z116">Z$106+IF($C116&lt;&gt;0,SUMPRODUCT((Z$107:Z$108)*TRANSPOSE(($D116:$E116))),0)</f>
        <v>-9066240.4916372113</v>
      </c>
      <c r="AA116" s="31" cm="1">
        <f t="array" ref="AA116">AA$106+IF($C116&lt;&gt;0,SUMPRODUCT((AA$107:AA$108)*TRANSPOSE(($D116:$E116))),0)</f>
        <v>-9066240.4916372113</v>
      </c>
      <c r="AB116" s="31" cm="1">
        <f t="array" ref="AB116">AB$106+IF($C116&lt;&gt;0,SUMPRODUCT((AB$107:AB$108)*TRANSPOSE(($D116:$E116))),0)</f>
        <v>-9066240.4916372113</v>
      </c>
      <c r="AC116" s="31" cm="1">
        <f t="array" ref="AC116">AC$106+IF($C116&lt;&gt;0,SUMPRODUCT((AC$107:AC$108)*TRANSPOSE(($D116:$E116))),0)</f>
        <v>-9066240.4916372113</v>
      </c>
      <c r="AD116" s="31" cm="1">
        <f t="array" ref="AD116">AD$106+IF($C116&lt;&gt;0,SUMPRODUCT((AD$107:AD$108)*TRANSPOSE(($D116:$E116))),0)</f>
        <v>-9066240.4916372113</v>
      </c>
      <c r="AE116" s="31" cm="1">
        <f t="array" ref="AE116">AE$106+IF($C116&lt;&gt;0,SUMPRODUCT((AE$107:AE$108)*TRANSPOSE(($D116:$E116))),0)</f>
        <v>-9066240.4916372113</v>
      </c>
      <c r="AF116" s="31" cm="1">
        <f t="array" ref="AF116">AF$106+IF($C116&lt;&gt;0,SUMPRODUCT((AF$107:AF$108)*TRANSPOSE(($D116:$E116))),0)</f>
        <v>-9066240.4916372113</v>
      </c>
      <c r="AG116" s="31" cm="1">
        <f t="array" ref="AG116">AG$106+IF($C116&lt;&gt;0,SUMPRODUCT((AG$107:AG$108)*TRANSPOSE(($D116:$E116))),0)</f>
        <v>-9066240.4916372113</v>
      </c>
    </row>
    <row r="117" spans="1:33" x14ac:dyDescent="0.2">
      <c r="A117" s="1" t="str">
        <f>"sens"&amp;Assumptions!B118</f>
        <v>sens</v>
      </c>
      <c r="C117" s="304">
        <f>Assumptions!C118</f>
        <v>0</v>
      </c>
      <c r="D117" s="305">
        <f>Assumptions!G118</f>
        <v>0</v>
      </c>
      <c r="E117" s="305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1210667.2251896178</v>
      </c>
      <c r="M117" s="31" cm="1">
        <f t="array" ref="M117">M$106+IF($C117&lt;&gt;0,SUMPRODUCT((M$107:M$108)*TRANSPOSE(($D117:$E117))),0)</f>
        <v>-3322453.0206289878</v>
      </c>
      <c r="N117" s="31" cm="1">
        <f t="array" ref="N117">N$106+IF($C117&lt;&gt;0,SUMPRODUCT((N$107:N$108)*TRANSPOSE(($D117:$E117))),0)</f>
        <v>-9066240.4916372113</v>
      </c>
      <c r="O117" s="31" cm="1">
        <f t="array" ref="O117">O$106+IF($C117&lt;&gt;0,SUMPRODUCT((O$107:O$108)*TRANSPOSE(($D117:$E117))),0)</f>
        <v>-9066240.4916372113</v>
      </c>
      <c r="P117" s="31" cm="1">
        <f t="array" ref="P117">P$106+IF($C117&lt;&gt;0,SUMPRODUCT((P$107:P$108)*TRANSPOSE(($D117:$E117))),0)</f>
        <v>-9066240.4916372113</v>
      </c>
      <c r="Q117" s="31" cm="1">
        <f t="array" ref="Q117">Q$106+IF($C117&lt;&gt;0,SUMPRODUCT((Q$107:Q$108)*TRANSPOSE(($D117:$E117))),0)</f>
        <v>-9066240.4916372113</v>
      </c>
      <c r="R117" s="31" cm="1">
        <f t="array" ref="R117">R$106+IF($C117&lt;&gt;0,SUMPRODUCT((R$107:R$108)*TRANSPOSE(($D117:$E117))),0)</f>
        <v>-9066240.4916372113</v>
      </c>
      <c r="S117" s="31" cm="1">
        <f t="array" ref="S117">S$106+IF($C117&lt;&gt;0,SUMPRODUCT((S$107:S$108)*TRANSPOSE(($D117:$E117))),0)</f>
        <v>-9066240.4916372113</v>
      </c>
      <c r="T117" s="31" cm="1">
        <f t="array" ref="T117">T$106+IF($C117&lt;&gt;0,SUMPRODUCT((T$107:T$108)*TRANSPOSE(($D117:$E117))),0)</f>
        <v>-9066240.4916372113</v>
      </c>
      <c r="U117" s="31" cm="1">
        <f t="array" ref="U117">U$106+IF($C117&lt;&gt;0,SUMPRODUCT((U$107:U$108)*TRANSPOSE(($D117:$E117))),0)</f>
        <v>-9066240.4916372113</v>
      </c>
      <c r="V117" s="31" cm="1">
        <f t="array" ref="V117">V$106+IF($C117&lt;&gt;0,SUMPRODUCT((V$107:V$108)*TRANSPOSE(($D117:$E117))),0)</f>
        <v>-9066240.4916372113</v>
      </c>
      <c r="W117" s="31" cm="1">
        <f t="array" ref="W117">W$106+IF($C117&lt;&gt;0,SUMPRODUCT((W$107:W$108)*TRANSPOSE(($D117:$E117))),0)</f>
        <v>-9066240.4916372113</v>
      </c>
      <c r="X117" s="31" cm="1">
        <f t="array" ref="X117">X$106+IF($C117&lt;&gt;0,SUMPRODUCT((X$107:X$108)*TRANSPOSE(($D117:$E117))),0)</f>
        <v>-9066240.4916372113</v>
      </c>
      <c r="Y117" s="31" cm="1">
        <f t="array" ref="Y117">Y$106+IF($C117&lt;&gt;0,SUMPRODUCT((Y$107:Y$108)*TRANSPOSE(($D117:$E117))),0)</f>
        <v>-9066240.4916372113</v>
      </c>
      <c r="Z117" s="31" cm="1">
        <f t="array" ref="Z117">Z$106+IF($C117&lt;&gt;0,SUMPRODUCT((Z$107:Z$108)*TRANSPOSE(($D117:$E117))),0)</f>
        <v>-9066240.4916372113</v>
      </c>
      <c r="AA117" s="31" cm="1">
        <f t="array" ref="AA117">AA$106+IF($C117&lt;&gt;0,SUMPRODUCT((AA$107:AA$108)*TRANSPOSE(($D117:$E117))),0)</f>
        <v>-9066240.4916372113</v>
      </c>
      <c r="AB117" s="31" cm="1">
        <f t="array" ref="AB117">AB$106+IF($C117&lt;&gt;0,SUMPRODUCT((AB$107:AB$108)*TRANSPOSE(($D117:$E117))),0)</f>
        <v>-9066240.4916372113</v>
      </c>
      <c r="AC117" s="31" cm="1">
        <f t="array" ref="AC117">AC$106+IF($C117&lt;&gt;0,SUMPRODUCT((AC$107:AC$108)*TRANSPOSE(($D117:$E117))),0)</f>
        <v>-9066240.4916372113</v>
      </c>
      <c r="AD117" s="31" cm="1">
        <f t="array" ref="AD117">AD$106+IF($C117&lt;&gt;0,SUMPRODUCT((AD$107:AD$108)*TRANSPOSE(($D117:$E117))),0)</f>
        <v>-9066240.4916372113</v>
      </c>
      <c r="AE117" s="31" cm="1">
        <f t="array" ref="AE117">AE$106+IF($C117&lt;&gt;0,SUMPRODUCT((AE$107:AE$108)*TRANSPOSE(($D117:$E117))),0)</f>
        <v>-9066240.4916372113</v>
      </c>
      <c r="AF117" s="31" cm="1">
        <f t="array" ref="AF117">AF$106+IF($C117&lt;&gt;0,SUMPRODUCT((AF$107:AF$108)*TRANSPOSE(($D117:$E117))),0)</f>
        <v>-9066240.4916372113</v>
      </c>
      <c r="AG117" s="31" cm="1">
        <f t="array" ref="AG117">AG$106+IF($C117&lt;&gt;0,SUMPRODUCT((AG$107:AG$108)*TRANSPOSE(($D117:$E117))),0)</f>
        <v>-9066240.4916372113</v>
      </c>
    </row>
  </sheetData>
  <conditionalFormatting sqref="E28">
    <cfRule type="expression" dxfId="8" priority="4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C33" sqref="C33"/>
      <selection pane="topRight" activeCell="C33" sqref="C33"/>
      <selection pane="bottomLeft" activeCell="C33" sqref="C33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Horsham REFCL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134</v>
      </c>
      <c r="B3" s="5"/>
      <c r="C3" s="203" t="str">
        <f>INDEX(Assumptions!$E$14:$E$18, MATCH(A3,_xlfn.ANCHORARRAY( Assumptions!$C$14),0))</f>
        <v>Install three REFCLs (one per Tx) at HSM ZSS in 2029-30</v>
      </c>
    </row>
    <row r="4" spans="1:43" x14ac:dyDescent="0.2">
      <c r="A4" s="204" t="str">
        <f>(INDEX(Data!$D$9:$D$13, MATCH(A3, options,0)))</f>
        <v/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62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8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5" t="s">
        <v>69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313</v>
      </c>
      <c r="D14"/>
      <c r="E14" s="150">
        <v>30</v>
      </c>
      <c r="G14" s="210">
        <f>input_dollars</f>
        <v>45291</v>
      </c>
      <c r="H14" s="151"/>
      <c r="I14" s="32">
        <f>Workings_costs!E44</f>
        <v>0</v>
      </c>
      <c r="J14" s="377">
        <f>Workings_costs!F44</f>
        <v>0</v>
      </c>
      <c r="K14" s="377">
        <f>Workings_costs!G44</f>
        <v>0</v>
      </c>
      <c r="L14" s="377">
        <f>Workings_costs!H44</f>
        <v>10044122</v>
      </c>
      <c r="M14" s="377">
        <f>Workings_costs!I44</f>
        <v>10044122</v>
      </c>
      <c r="N14" s="377">
        <f>Workings_costs!J44</f>
        <v>0</v>
      </c>
      <c r="O14" s="377">
        <f>Workings_costs!K44</f>
        <v>0</v>
      </c>
      <c r="P14" s="377">
        <f>Workings_costs!L44</f>
        <v>0</v>
      </c>
      <c r="Q14" s="377">
        <f>Workings_costs!M44</f>
        <v>0</v>
      </c>
      <c r="R14" s="377">
        <f>Workings_costs!N44</f>
        <v>0</v>
      </c>
      <c r="S14" s="377">
        <f>Workings_costs!O44</f>
        <v>0</v>
      </c>
      <c r="T14" s="377">
        <f>Workings_costs!P44</f>
        <v>0</v>
      </c>
      <c r="U14" s="377">
        <f>Workings_costs!Q44</f>
        <v>0</v>
      </c>
      <c r="V14" s="377">
        <f>Workings_costs!R44</f>
        <v>0</v>
      </c>
      <c r="W14" s="377">
        <f>Workings_costs!S44</f>
        <v>0</v>
      </c>
      <c r="X14" s="377">
        <f>Workings_costs!T44</f>
        <v>0</v>
      </c>
      <c r="Y14" s="377">
        <f>Workings_costs!U44</f>
        <v>0</v>
      </c>
      <c r="Z14" s="377">
        <f>Workings_costs!V44</f>
        <v>0</v>
      </c>
      <c r="AA14" s="377">
        <f>Workings_costs!W44</f>
        <v>0</v>
      </c>
      <c r="AB14" s="377">
        <f>Workings_costs!X44</f>
        <v>0</v>
      </c>
      <c r="AC14" s="377">
        <f>Workings_costs!Y44</f>
        <v>0</v>
      </c>
      <c r="AD14" s="377">
        <f>Workings_costs!Z44</f>
        <v>0</v>
      </c>
      <c r="AE14" s="377">
        <f>Workings_costs!AA44</f>
        <v>0</v>
      </c>
      <c r="AF14" s="377">
        <f>Workings_costs!AB44</f>
        <v>0</v>
      </c>
      <c r="AG14" s="377">
        <f>Workings_costs!AC44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0">
        <v>0</v>
      </c>
      <c r="G15" s="210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0">
        <v>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10044122</v>
      </c>
      <c r="M17" s="105">
        <f t="shared" si="0"/>
        <v>10044122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10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/>
      <c r="AI19"/>
      <c r="AJ19"/>
      <c r="AK19"/>
      <c r="AL19"/>
      <c r="AM19"/>
    </row>
    <row r="20" spans="1:43" x14ac:dyDescent="0.2">
      <c r="G20" s="208"/>
      <c r="AH20"/>
      <c r="AI20"/>
      <c r="AJ20"/>
      <c r="AK20"/>
      <c r="AL20"/>
      <c r="AM20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11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152</v>
      </c>
      <c r="D24" s="110"/>
      <c r="E24" s="110"/>
      <c r="F24" s="110"/>
      <c r="G24" s="211"/>
      <c r="H24" s="110"/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153</v>
      </c>
      <c r="D25" s="211"/>
      <c r="E25" s="110"/>
      <c r="F25" s="110"/>
      <c r="G25" s="211"/>
      <c r="H25" s="110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11"/>
      <c r="E26" s="110"/>
      <c r="F26" s="110"/>
      <c r="G26" s="211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8"/>
      <c r="E27"/>
      <c r="G27" s="210" t="s">
        <v>40</v>
      </c>
      <c r="H27"/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 t="s">
        <v>63</v>
      </c>
      <c r="E28" s="112">
        <f>Assumptions!H41*vcr_esc</f>
        <v>41631.575238965597</v>
      </c>
      <c r="F28" s="241" t="str">
        <f>IF(AND(SUM(I27:AG27)&lt;&gt;0, E28=0), "!", "")</f>
        <v/>
      </c>
      <c r="G28" s="210">
        <f>input_dollars</f>
        <v>45291</v>
      </c>
      <c r="H28"/>
      <c r="I28" s="301">
        <f>I27*$E$28</f>
        <v>0</v>
      </c>
      <c r="J28" s="301">
        <f t="shared" ref="J28:AG28" si="2">J27*$E$28</f>
        <v>0</v>
      </c>
      <c r="K28" s="301">
        <f t="shared" si="2"/>
        <v>0</v>
      </c>
      <c r="L28" s="301">
        <f t="shared" si="2"/>
        <v>0</v>
      </c>
      <c r="M28" s="301">
        <f t="shared" si="2"/>
        <v>0</v>
      </c>
      <c r="N28" s="301">
        <f t="shared" si="2"/>
        <v>0</v>
      </c>
      <c r="O28" s="301">
        <f t="shared" si="2"/>
        <v>0</v>
      </c>
      <c r="P28" s="301">
        <f t="shared" si="2"/>
        <v>0</v>
      </c>
      <c r="Q28" s="301">
        <f t="shared" si="2"/>
        <v>0</v>
      </c>
      <c r="R28" s="301">
        <f t="shared" si="2"/>
        <v>0</v>
      </c>
      <c r="S28" s="301">
        <f t="shared" si="2"/>
        <v>0</v>
      </c>
      <c r="T28" s="301">
        <f t="shared" si="2"/>
        <v>0</v>
      </c>
      <c r="U28" s="301">
        <f t="shared" si="2"/>
        <v>0</v>
      </c>
      <c r="V28" s="301">
        <f t="shared" si="2"/>
        <v>0</v>
      </c>
      <c r="W28" s="301">
        <f t="shared" si="2"/>
        <v>0</v>
      </c>
      <c r="X28" s="301">
        <f t="shared" si="2"/>
        <v>0</v>
      </c>
      <c r="Y28" s="301">
        <f t="shared" si="2"/>
        <v>0</v>
      </c>
      <c r="Z28" s="301">
        <f t="shared" si="2"/>
        <v>0</v>
      </c>
      <c r="AA28" s="301">
        <f t="shared" si="2"/>
        <v>0</v>
      </c>
      <c r="AB28" s="301">
        <f t="shared" si="2"/>
        <v>0</v>
      </c>
      <c r="AC28" s="301">
        <f t="shared" si="2"/>
        <v>0</v>
      </c>
      <c r="AD28" s="301">
        <f t="shared" si="2"/>
        <v>0</v>
      </c>
      <c r="AE28" s="301">
        <f t="shared" si="2"/>
        <v>0</v>
      </c>
      <c r="AF28" s="301">
        <f t="shared" si="2"/>
        <v>0</v>
      </c>
      <c r="AG28" s="301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9"/>
      <c r="E29"/>
      <c r="G29" s="2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8" t="s">
        <v>209</v>
      </c>
      <c r="G30" s="210">
        <f>input_dollars</f>
        <v>45291</v>
      </c>
      <c r="H30" s="151"/>
      <c r="I30" s="377">
        <f>Workings_risks!E87</f>
        <v>390944.3686433112</v>
      </c>
      <c r="J30" s="377">
        <f>Workings_risks!F87</f>
        <v>390944.3686433112</v>
      </c>
      <c r="K30" s="377">
        <f>Workings_risks!G87</f>
        <v>390944.3686433112</v>
      </c>
      <c r="L30" s="377">
        <f>Workings_risks!H87</f>
        <v>390944.3686433112</v>
      </c>
      <c r="M30" s="377">
        <f>Workings_risks!I87</f>
        <v>390944.3686433112</v>
      </c>
      <c r="N30" s="377">
        <f>Workings_risks!J87</f>
        <v>268344.2146367688</v>
      </c>
      <c r="O30" s="377">
        <f>Workings_risks!K87</f>
        <v>268344.2146367688</v>
      </c>
      <c r="P30" s="377">
        <f>Workings_risks!L87</f>
        <v>268344.2146367688</v>
      </c>
      <c r="Q30" s="377">
        <f>Workings_risks!M87</f>
        <v>268344.2146367688</v>
      </c>
      <c r="R30" s="377">
        <f>Workings_risks!N87</f>
        <v>268344.2146367688</v>
      </c>
      <c r="S30" s="377">
        <f>Workings_risks!O87</f>
        <v>268344.2146367688</v>
      </c>
      <c r="T30" s="377">
        <f>Workings_risks!P87</f>
        <v>268344.2146367688</v>
      </c>
      <c r="U30" s="377">
        <f>Workings_risks!Q87</f>
        <v>268344.2146367688</v>
      </c>
      <c r="V30" s="377">
        <f>Workings_risks!R87</f>
        <v>268344.2146367688</v>
      </c>
      <c r="W30" s="377">
        <f>Workings_risks!S87</f>
        <v>268344.2146367688</v>
      </c>
      <c r="X30" s="377">
        <f>Workings_risks!T87</f>
        <v>268344.2146367688</v>
      </c>
      <c r="Y30" s="377">
        <f>Workings_risks!U87</f>
        <v>268344.2146367688</v>
      </c>
      <c r="Z30" s="377">
        <f>Workings_risks!V87</f>
        <v>268344.2146367688</v>
      </c>
      <c r="AA30" s="377">
        <f>Workings_risks!W87</f>
        <v>268344.2146367688</v>
      </c>
      <c r="AB30" s="377">
        <f>Workings_risks!X87</f>
        <v>268344.2146367688</v>
      </c>
      <c r="AC30" s="377">
        <f>Workings_risks!Y87</f>
        <v>268344.2146367688</v>
      </c>
      <c r="AD30" s="377">
        <f>Workings_risks!Z87</f>
        <v>268344.2146367688</v>
      </c>
      <c r="AE30" s="377">
        <f>Workings_risks!AA87</f>
        <v>268344.2146367688</v>
      </c>
      <c r="AF30" s="377">
        <f>Workings_risks!AB87</f>
        <v>268344.2146367688</v>
      </c>
      <c r="AG30" s="377">
        <f>Workings_risks!AC87</f>
        <v>268344.2146367688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9"/>
      <c r="E31"/>
      <c r="G31" s="210">
        <f>input_dollars</f>
        <v>45291</v>
      </c>
      <c r="H31" s="151"/>
      <c r="I31" s="377">
        <v>0</v>
      </c>
      <c r="J31" s="377">
        <v>0</v>
      </c>
      <c r="K31" s="377">
        <v>0</v>
      </c>
      <c r="L31" s="377">
        <v>0</v>
      </c>
      <c r="M31" s="377">
        <v>0</v>
      </c>
      <c r="N31" s="377">
        <v>0</v>
      </c>
      <c r="O31" s="377">
        <v>0</v>
      </c>
      <c r="P31" s="377">
        <v>0</v>
      </c>
      <c r="Q31" s="377">
        <v>0</v>
      </c>
      <c r="R31" s="377">
        <v>0</v>
      </c>
      <c r="S31" s="377">
        <v>0</v>
      </c>
      <c r="T31" s="377">
        <v>0</v>
      </c>
      <c r="U31" s="377">
        <v>0</v>
      </c>
      <c r="V31" s="377">
        <v>0</v>
      </c>
      <c r="W31" s="377">
        <v>0</v>
      </c>
      <c r="X31" s="377">
        <v>0</v>
      </c>
      <c r="Y31" s="377">
        <v>0</v>
      </c>
      <c r="Z31" s="377">
        <v>0</v>
      </c>
      <c r="AA31" s="377">
        <v>0</v>
      </c>
      <c r="AB31" s="377">
        <v>0</v>
      </c>
      <c r="AC31" s="377">
        <v>0</v>
      </c>
      <c r="AD31" s="377">
        <v>0</v>
      </c>
      <c r="AE31" s="377">
        <v>0</v>
      </c>
      <c r="AF31" s="377">
        <v>0</v>
      </c>
      <c r="AG31" s="377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8" t="s">
        <v>209</v>
      </c>
      <c r="E32"/>
      <c r="G32" s="210">
        <f>input_dollars</f>
        <v>45291</v>
      </c>
      <c r="H32"/>
      <c r="I32" s="32">
        <v>0</v>
      </c>
      <c r="J32" s="377">
        <v>0</v>
      </c>
      <c r="K32" s="377">
        <v>0</v>
      </c>
      <c r="L32" s="377">
        <v>0</v>
      </c>
      <c r="M32" s="377">
        <v>0</v>
      </c>
      <c r="N32" s="377">
        <v>0</v>
      </c>
      <c r="O32" s="377">
        <v>0</v>
      </c>
      <c r="P32" s="377">
        <v>0</v>
      </c>
      <c r="Q32" s="377">
        <v>0</v>
      </c>
      <c r="R32" s="377">
        <v>0</v>
      </c>
      <c r="S32" s="377">
        <v>0</v>
      </c>
      <c r="T32" s="377">
        <v>0</v>
      </c>
      <c r="U32" s="377">
        <v>0</v>
      </c>
      <c r="V32" s="377">
        <v>0</v>
      </c>
      <c r="W32" s="377">
        <v>0</v>
      </c>
      <c r="X32" s="377">
        <v>0</v>
      </c>
      <c r="Y32" s="377">
        <v>0</v>
      </c>
      <c r="Z32" s="377">
        <v>0</v>
      </c>
      <c r="AA32" s="377">
        <v>0</v>
      </c>
      <c r="AB32" s="377">
        <v>0</v>
      </c>
      <c r="AC32" s="377">
        <v>0</v>
      </c>
      <c r="AD32" s="377">
        <v>0</v>
      </c>
      <c r="AE32" s="377">
        <v>0</v>
      </c>
      <c r="AF32" s="377">
        <v>0</v>
      </c>
      <c r="AG32" s="37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376" t="s">
        <v>271</v>
      </c>
      <c r="D33" s="222"/>
      <c r="E33"/>
      <c r="G33" s="210">
        <f>input_dollars</f>
        <v>45291</v>
      </c>
      <c r="H33"/>
      <c r="I33" s="377">
        <f>Workings_risks!E86</f>
        <v>2151611.1790454965</v>
      </c>
      <c r="J33" s="377">
        <f>Workings_risks!F86</f>
        <v>2151611.1790454965</v>
      </c>
      <c r="K33" s="377">
        <f>Workings_risks!G86</f>
        <v>2151611.1790454965</v>
      </c>
      <c r="L33" s="377">
        <f>Workings_risks!H86</f>
        <v>2151611.1790454965</v>
      </c>
      <c r="M33" s="377">
        <f>Workings_risks!I86</f>
        <v>2151611.1790454965</v>
      </c>
      <c r="N33" s="377">
        <f>Workings_risks!J86</f>
        <v>989741.14236092824</v>
      </c>
      <c r="O33" s="377">
        <f>Workings_risks!K86</f>
        <v>989741.14236092824</v>
      </c>
      <c r="P33" s="377">
        <f>Workings_risks!L86</f>
        <v>989741.14236092824</v>
      </c>
      <c r="Q33" s="377">
        <f>Workings_risks!M86</f>
        <v>989741.14236092824</v>
      </c>
      <c r="R33" s="377">
        <f>Workings_risks!N86</f>
        <v>989741.14236092824</v>
      </c>
      <c r="S33" s="377">
        <f>Workings_risks!O86</f>
        <v>989741.14236092824</v>
      </c>
      <c r="T33" s="377">
        <f>Workings_risks!P86</f>
        <v>989741.14236092824</v>
      </c>
      <c r="U33" s="377">
        <f>Workings_risks!Q86</f>
        <v>989741.14236092824</v>
      </c>
      <c r="V33" s="377">
        <f>Workings_risks!R86</f>
        <v>989741.14236092824</v>
      </c>
      <c r="W33" s="377">
        <f>Workings_risks!S86</f>
        <v>989741.14236092824</v>
      </c>
      <c r="X33" s="377">
        <f>Workings_risks!T86</f>
        <v>989741.14236092824</v>
      </c>
      <c r="Y33" s="377">
        <f>Workings_risks!U86</f>
        <v>989741.14236092824</v>
      </c>
      <c r="Z33" s="377">
        <f>Workings_risks!V86</f>
        <v>989741.14236092824</v>
      </c>
      <c r="AA33" s="377">
        <f>Workings_risks!W86</f>
        <v>989741.14236092824</v>
      </c>
      <c r="AB33" s="377">
        <f>Workings_risks!X86</f>
        <v>989741.14236092824</v>
      </c>
      <c r="AC33" s="377">
        <f>Workings_risks!Y86</f>
        <v>989741.14236092824</v>
      </c>
      <c r="AD33" s="377">
        <f>Workings_risks!Z86</f>
        <v>989741.14236092824</v>
      </c>
      <c r="AE33" s="377">
        <f>Workings_risks!AA86</f>
        <v>989741.14236092824</v>
      </c>
      <c r="AF33" s="377">
        <f>Workings_risks!AB86</f>
        <v>989741.14236092824</v>
      </c>
      <c r="AG33" s="377">
        <f>Workings_risks!AC86</f>
        <v>989741.14236092824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8" t="s">
        <v>174</v>
      </c>
      <c r="D34" s="209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9"/>
      <c r="E35"/>
      <c r="G35" s="2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1"/>
      <c r="E36" s="106"/>
      <c r="F36" s="3"/>
      <c r="G36" s="212"/>
      <c r="H36" s="106"/>
      <c r="I36" s="173">
        <f>SUM(I28:I34)</f>
        <v>2542555.5476888078</v>
      </c>
      <c r="J36" s="173">
        <f t="shared" ref="J36:AG36" si="3">SUM(J28:J34)</f>
        <v>2542555.5476888078</v>
      </c>
      <c r="K36" s="173">
        <f t="shared" si="3"/>
        <v>2542555.5476888078</v>
      </c>
      <c r="L36" s="173">
        <f t="shared" si="3"/>
        <v>2542555.5476888078</v>
      </c>
      <c r="M36" s="173">
        <f t="shared" si="3"/>
        <v>2542555.5476888078</v>
      </c>
      <c r="N36" s="173">
        <f t="shared" si="3"/>
        <v>1258085.3569976971</v>
      </c>
      <c r="O36" s="173">
        <f t="shared" si="3"/>
        <v>1258085.3569976971</v>
      </c>
      <c r="P36" s="173">
        <f t="shared" si="3"/>
        <v>1258085.3569976971</v>
      </c>
      <c r="Q36" s="173">
        <f t="shared" si="3"/>
        <v>1258085.3569976971</v>
      </c>
      <c r="R36" s="173">
        <f t="shared" si="3"/>
        <v>1258085.3569976971</v>
      </c>
      <c r="S36" s="173">
        <f t="shared" si="3"/>
        <v>1258085.3569976971</v>
      </c>
      <c r="T36" s="173">
        <f t="shared" si="3"/>
        <v>1258085.3569976971</v>
      </c>
      <c r="U36" s="173">
        <f t="shared" si="3"/>
        <v>1258085.3569976971</v>
      </c>
      <c r="V36" s="173">
        <f t="shared" si="3"/>
        <v>1258085.3569976971</v>
      </c>
      <c r="W36" s="173">
        <f t="shared" si="3"/>
        <v>1258085.3569976971</v>
      </c>
      <c r="X36" s="173">
        <f t="shared" si="3"/>
        <v>1258085.3569976971</v>
      </c>
      <c r="Y36" s="173">
        <f t="shared" si="3"/>
        <v>1258085.3569976971</v>
      </c>
      <c r="Z36" s="173">
        <f t="shared" si="3"/>
        <v>1258085.3569976971</v>
      </c>
      <c r="AA36" s="173">
        <f t="shared" si="3"/>
        <v>1258085.3569976971</v>
      </c>
      <c r="AB36" s="173">
        <f t="shared" si="3"/>
        <v>1258085.3569976971</v>
      </c>
      <c r="AC36" s="173">
        <f t="shared" si="3"/>
        <v>1258085.3569976971</v>
      </c>
      <c r="AD36" s="173">
        <f t="shared" si="3"/>
        <v>1258085.3569976971</v>
      </c>
      <c r="AE36" s="173">
        <f t="shared" si="3"/>
        <v>1258085.3569976971</v>
      </c>
      <c r="AF36" s="173">
        <f t="shared" si="3"/>
        <v>1258085.3569976971</v>
      </c>
      <c r="AG36" s="173">
        <f t="shared" si="3"/>
        <v>1258085.3569976971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7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8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8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9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8" t="s">
        <v>63</v>
      </c>
      <c r="E45" s="112">
        <f>Assumptions!G94</f>
        <v>151432.81740793545</v>
      </c>
      <c r="G45" s="210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8" t="s">
        <v>63</v>
      </c>
      <c r="E46" s="112">
        <f>Assumptions!G95</f>
        <v>24590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8" t="s">
        <v>63</v>
      </c>
      <c r="E47" s="111">
        <f>Assumptions!G96</f>
        <v>88.357719508603083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8" t="s">
        <v>126</v>
      </c>
      <c r="E48" s="111">
        <f>Assumptions!G97</f>
        <v>0</v>
      </c>
      <c r="G48" s="210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8" t="s">
        <v>207</v>
      </c>
      <c r="E49" s="111">
        <f>Assumptions!G98</f>
        <v>0.35181336539087127</v>
      </c>
      <c r="G49" s="210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8" t="s">
        <v>207</v>
      </c>
      <c r="E50" s="111">
        <f>Assumptions!G99</f>
        <v>0.35181336539087127</v>
      </c>
      <c r="G50" s="210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8" t="s">
        <v>126</v>
      </c>
      <c r="E51" s="111">
        <f>Assumptions!G100</f>
        <v>0</v>
      </c>
      <c r="G51" s="210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8" t="s">
        <v>126</v>
      </c>
      <c r="E52" s="111">
        <f>Assumptions!G101</f>
        <v>0</v>
      </c>
      <c r="G52" s="210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8"/>
      <c r="G53" s="21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8"/>
      <c r="G54" s="210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8"/>
      <c r="G56" s="208"/>
    </row>
    <row r="57" spans="1:43" x14ac:dyDescent="0.2">
      <c r="C57" s="3" t="s">
        <v>125</v>
      </c>
      <c r="D57" s="221"/>
      <c r="E57" s="106"/>
      <c r="F57" s="3"/>
      <c r="G57" s="210">
        <f>input_dollars</f>
        <v>45291</v>
      </c>
      <c r="H57" s="106"/>
      <c r="I57" s="173" cm="1">
        <f t="array" ref="I57">SUMPRODUCT((I$45:I$52)*($E$45:$E$52))+SUM(I54:I55)+I42</f>
        <v>0</v>
      </c>
      <c r="J57" s="173" cm="1">
        <f t="array" ref="J57">SUMPRODUCT((J$45:J$52)*($E$45:$E$52))+SUM(J54:J55)+J42</f>
        <v>0</v>
      </c>
      <c r="K57" s="173" cm="1">
        <f t="array" ref="K57">SUMPRODUCT((K$45:K$52)*($E$45:$E$52))+SUM(K54:K55)+K42</f>
        <v>0</v>
      </c>
      <c r="L57" s="173" cm="1">
        <f t="array" ref="L57">SUMPRODUCT((L$45:L$52)*($E$45:$E$52))+SUM(L54:L55)+L42</f>
        <v>0</v>
      </c>
      <c r="M57" s="173" cm="1">
        <f t="array" ref="M57">SUMPRODUCT((M$45:M$52)*($E$45:$E$52))+SUM(M54:M55)+M42</f>
        <v>0</v>
      </c>
      <c r="N57" s="173" cm="1">
        <f t="array" ref="N57">SUMPRODUCT((N$45:N$52)*($E$45:$E$52))+SUM(N54:N55)+N42</f>
        <v>0</v>
      </c>
      <c r="O57" s="173" cm="1">
        <f t="array" ref="O57">SUMPRODUCT((O$45:O$52)*($E$45:$E$52))+SUM(O54:O55)+O42</f>
        <v>0</v>
      </c>
      <c r="P57" s="173" cm="1">
        <f t="array" ref="P57">SUMPRODUCT((P$45:P$52)*($E$45:$E$52))+SUM(P54:P55)+P42</f>
        <v>0</v>
      </c>
      <c r="Q57" s="173" cm="1">
        <f t="array" ref="Q57">SUMPRODUCT((Q$45:Q$52)*($E$45:$E$52))+SUM(Q54:Q55)+Q42</f>
        <v>0</v>
      </c>
      <c r="R57" s="173" cm="1">
        <f t="array" ref="R57">SUMPRODUCT((R$45:R$52)*($E$45:$E$52))+SUM(R54:R55)+R42</f>
        <v>0</v>
      </c>
      <c r="S57" s="173" cm="1">
        <f t="array" ref="S57">SUMPRODUCT((S$45:S$52)*($E$45:$E$52))+SUM(S54:S55)+S42</f>
        <v>0</v>
      </c>
      <c r="T57" s="173" cm="1">
        <f t="array" ref="T57">SUMPRODUCT((T$45:T$52)*($E$45:$E$52))+SUM(T54:T55)+T42</f>
        <v>0</v>
      </c>
      <c r="U57" s="173" cm="1">
        <f t="array" ref="U57">SUMPRODUCT((U$45:U$52)*($E$45:$E$52))+SUM(U54:U55)+U42</f>
        <v>0</v>
      </c>
      <c r="V57" s="173" cm="1">
        <f t="array" ref="V57">SUMPRODUCT((V$45:V$52)*($E$45:$E$52))+SUM(V54:V55)+V42</f>
        <v>0</v>
      </c>
      <c r="W57" s="173" cm="1">
        <f t="array" ref="W57">SUMPRODUCT((W$45:W$52)*($E$45:$E$52))+SUM(W54:W55)+W42</f>
        <v>0</v>
      </c>
      <c r="X57" s="173" cm="1">
        <f t="array" ref="X57">SUMPRODUCT((X$45:X$52)*($E$45:$E$52))+SUM(X54:X55)+X42</f>
        <v>0</v>
      </c>
      <c r="Y57" s="173" cm="1">
        <f t="array" ref="Y57">SUMPRODUCT((Y$45:Y$52)*($E$45:$E$52))+SUM(Y54:Y55)+Y42</f>
        <v>0</v>
      </c>
      <c r="Z57" s="173" cm="1">
        <f t="array" ref="Z57">SUMPRODUCT((Z$45:Z$52)*($E$45:$E$52))+SUM(Z54:Z55)+Z42</f>
        <v>0</v>
      </c>
      <c r="AA57" s="173" cm="1">
        <f t="array" ref="AA57">SUMPRODUCT((AA$45:AA$52)*($E$45:$E$52))+SUM(AA54:AA55)+AA42</f>
        <v>0</v>
      </c>
      <c r="AB57" s="173" cm="1">
        <f t="array" ref="AB57">SUMPRODUCT((AB$45:AB$52)*($E$45:$E$52))+SUM(AB54:AB55)+AB42</f>
        <v>0</v>
      </c>
      <c r="AC57" s="173" cm="1">
        <f t="array" ref="AC57">SUMPRODUCT((AC$45:AC$52)*($E$45:$E$52))+SUM(AC54:AC55)+AC42</f>
        <v>0</v>
      </c>
      <c r="AD57" s="173" cm="1">
        <f t="array" ref="AD57">SUMPRODUCT((AD$45:AD$52)*($E$45:$E$52))+SUM(AD54:AD55)+AD42</f>
        <v>0</v>
      </c>
      <c r="AE57" s="173" cm="1">
        <f t="array" ref="AE57">SUMPRODUCT((AE$45:AE$52)*($E$45:$E$52))+SUM(AE54:AE55)+AE42</f>
        <v>0</v>
      </c>
      <c r="AF57" s="173" cm="1">
        <f t="array" ref="AF57">SUMPRODUCT((AF$45:AF$52)*($E$45:$E$52))+SUM(AF54:AF55)+AF42</f>
        <v>0</v>
      </c>
      <c r="AG57" s="173" cm="1">
        <f t="array" ref="AG57">SUMPRODUCT((AG$45:AG$52)*($E$45:$E$52))+SUM(AG54:AG55)+AG42</f>
        <v>0</v>
      </c>
    </row>
    <row r="58" spans="1:43" x14ac:dyDescent="0.2">
      <c r="D58" s="208"/>
      <c r="G58" s="20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4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5"/>
    </row>
    <row r="64" spans="1:43" x14ac:dyDescent="0.2">
      <c r="C64" s="4" t="str">
        <f>'Option1 (base case)'!C64</f>
        <v>Risks mitigated vs base case</v>
      </c>
      <c r="G64" s="213">
        <f>input_dollars</f>
        <v>45291</v>
      </c>
      <c r="I64" s="134">
        <f>(1-INDEX(Data!$C$9:$C$13, MATCH($A$3, options,0)))*('Option1 (base case)'!I36-I36)</f>
        <v>0</v>
      </c>
      <c r="J64" s="134">
        <f>(1-INDEX(Data!$C$9:$C$13, MATCH($A$3, options,0)))*('Option1 (base case)'!J36-J36)</f>
        <v>0</v>
      </c>
      <c r="K64" s="134">
        <f>(1-INDEX(Data!$C$9:$C$13, MATCH($A$3, options,0)))*('Option1 (base case)'!K36-K36)</f>
        <v>0</v>
      </c>
      <c r="L64" s="134">
        <f>(1-INDEX(Data!$C$9:$C$13, MATCH($A$3, options,0)))*('Option1 (base case)'!L36-L36)</f>
        <v>0</v>
      </c>
      <c r="M64" s="134">
        <f>(1-INDEX(Data!$C$9:$C$13, MATCH($A$3, options,0)))*('Option1 (base case)'!M36-M36)</f>
        <v>0</v>
      </c>
      <c r="N64" s="134">
        <f>(1-INDEX(Data!$C$9:$C$13, MATCH($A$3, options,0)))*('Option1 (base case)'!N36-N36)</f>
        <v>1284470.1906911107</v>
      </c>
      <c r="O64" s="134">
        <f>(1-INDEX(Data!$C$9:$C$13, MATCH($A$3, options,0)))*('Option1 (base case)'!O36-O36)</f>
        <v>1284470.1906911107</v>
      </c>
      <c r="P64" s="134">
        <f>(1-INDEX(Data!$C$9:$C$13, MATCH($A$3, options,0)))*('Option1 (base case)'!P36-P36)</f>
        <v>1284470.1906911107</v>
      </c>
      <c r="Q64" s="134">
        <f>(1-INDEX(Data!$C$9:$C$13, MATCH($A$3, options,0)))*('Option1 (base case)'!Q36-Q36)</f>
        <v>1284470.1906911107</v>
      </c>
      <c r="R64" s="134">
        <f>(1-INDEX(Data!$C$9:$C$13, MATCH($A$3, options,0)))*('Option1 (base case)'!R36-R36)</f>
        <v>1284470.1906911107</v>
      </c>
      <c r="S64" s="134">
        <f>(1-INDEX(Data!$C$9:$C$13, MATCH($A$3, options,0)))*('Option1 (base case)'!S36-S36)</f>
        <v>1284470.1906911107</v>
      </c>
      <c r="T64" s="134">
        <f>(1-INDEX(Data!$C$9:$C$13, MATCH($A$3, options,0)))*('Option1 (base case)'!T36-T36)</f>
        <v>1284470.1906911107</v>
      </c>
      <c r="U64" s="134">
        <f>(1-INDEX(Data!$C$9:$C$13, MATCH($A$3, options,0)))*('Option1 (base case)'!U36-U36)</f>
        <v>1284470.1906911107</v>
      </c>
      <c r="V64" s="134">
        <f>(1-INDEX(Data!$C$9:$C$13, MATCH($A$3, options,0)))*('Option1 (base case)'!V36-V36)</f>
        <v>1284470.1906911107</v>
      </c>
      <c r="W64" s="134">
        <f>(1-INDEX(Data!$C$9:$C$13, MATCH($A$3, options,0)))*('Option1 (base case)'!W36-W36)</f>
        <v>1284470.1906911107</v>
      </c>
      <c r="X64" s="134">
        <f>(1-INDEX(Data!$C$9:$C$13, MATCH($A$3, options,0)))*('Option1 (base case)'!X36-X36)</f>
        <v>1284470.1906911107</v>
      </c>
      <c r="Y64" s="134">
        <f>(1-INDEX(Data!$C$9:$C$13, MATCH($A$3, options,0)))*('Option1 (base case)'!Y36-Y36)</f>
        <v>1284470.1906911107</v>
      </c>
      <c r="Z64" s="134">
        <f>(1-INDEX(Data!$C$9:$C$13, MATCH($A$3, options,0)))*('Option1 (base case)'!Z36-Z36)</f>
        <v>1284470.1906911107</v>
      </c>
      <c r="AA64" s="134">
        <f>(1-INDEX(Data!$C$9:$C$13, MATCH($A$3, options,0)))*('Option1 (base case)'!AA36-AA36)</f>
        <v>1284470.1906911107</v>
      </c>
      <c r="AB64" s="134">
        <f>(1-INDEX(Data!$C$9:$C$13, MATCH($A$3, options,0)))*('Option1 (base case)'!AB36-AB36)</f>
        <v>1284470.1906911107</v>
      </c>
      <c r="AC64" s="134">
        <f>(1-INDEX(Data!$C$9:$C$13, MATCH($A$3, options,0)))*('Option1 (base case)'!AC36-AC36)</f>
        <v>1284470.1906911107</v>
      </c>
      <c r="AD64" s="134">
        <f>(1-INDEX(Data!$C$9:$C$13, MATCH($A$3, options,0)))*('Option1 (base case)'!AD36-AD36)</f>
        <v>1284470.1906911107</v>
      </c>
      <c r="AE64" s="134">
        <f>(1-INDEX(Data!$C$9:$C$13, MATCH($A$3, options,0)))*('Option1 (base case)'!AE36-AE36)</f>
        <v>1284470.1906911107</v>
      </c>
      <c r="AF64" s="134">
        <f>(1-INDEX(Data!$C$9:$C$13, MATCH($A$3, options,0)))*('Option1 (base case)'!AF36-AF36)</f>
        <v>1284470.1906911107</v>
      </c>
      <c r="AG64" s="134">
        <f>(1-INDEX(Data!$C$9:$C$13, MATCH($A$3, options,0)))*('Option1 (base case)'!AG36-AG36)</f>
        <v>1284470.1906911107</v>
      </c>
    </row>
    <row r="65" spans="1:33" x14ac:dyDescent="0.2">
      <c r="G65" s="215"/>
    </row>
    <row r="66" spans="1:33" x14ac:dyDescent="0.2">
      <c r="A66" s="8"/>
      <c r="B66" s="8"/>
      <c r="C66" s="149" t="s">
        <v>30</v>
      </c>
      <c r="D66" s="38"/>
      <c r="F66" s="96"/>
      <c r="G66" s="216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Three REFCLs</v>
      </c>
      <c r="D67" s="38"/>
      <c r="F67" s="96"/>
      <c r="G67" s="213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-10044122</v>
      </c>
      <c r="M67" s="118">
        <f t="shared" si="5"/>
        <v>-10044122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6"/>
      <c r="G68" s="213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6"/>
      <c r="G69" s="213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7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9" t="s">
        <v>157</v>
      </c>
      <c r="D71" s="38"/>
      <c r="F71" s="96"/>
      <c r="G71" s="216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Three REFCLs</v>
      </c>
      <c r="D72" s="38"/>
      <c r="F72" s="96"/>
      <c r="G72" s="213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-10044122</v>
      </c>
      <c r="M72" s="118" cm="1">
        <f t="array" ref="M72">SUMPRODUCT(($I67:M67))-SUMPRODUCT(($I67:M67)*($I$6:M$6&lt;=(M$6-$E14)))</f>
        <v>-20088244</v>
      </c>
      <c r="N72" s="118" cm="1">
        <f t="array" ref="N72">SUMPRODUCT(($I67:N67))-SUMPRODUCT(($I67:N67)*($I$6:N$6&lt;=(N$6-$E14)))</f>
        <v>-20088244</v>
      </c>
      <c r="O72" s="118" cm="1">
        <f t="array" ref="O72">SUMPRODUCT(($I67:O67))-SUMPRODUCT(($I67:O67)*($I$6:O$6&lt;=(O$6-$E14)))</f>
        <v>-20088244</v>
      </c>
      <c r="P72" s="118" cm="1">
        <f t="array" ref="P72">SUMPRODUCT(($I67:P67))-SUMPRODUCT(($I67:P67)*($I$6:P$6&lt;=(P$6-$E14)))</f>
        <v>-20088244</v>
      </c>
      <c r="Q72" s="118" cm="1">
        <f t="array" ref="Q72">SUMPRODUCT(($I67:Q67))-SUMPRODUCT(($I67:Q67)*($I$6:Q$6&lt;=(Q$6-$E14)))</f>
        <v>-20088244</v>
      </c>
      <c r="R72" s="118" cm="1">
        <f t="array" ref="R72">SUMPRODUCT(($I67:R67))-SUMPRODUCT(($I67:R67)*($I$6:R$6&lt;=(R$6-$E14)))</f>
        <v>-20088244</v>
      </c>
      <c r="S72" s="118" cm="1">
        <f t="array" ref="S72">SUMPRODUCT(($I67:S67))-SUMPRODUCT(($I67:S67)*($I$6:S$6&lt;=(S$6-$E14)))</f>
        <v>-20088244</v>
      </c>
      <c r="T72" s="118" cm="1">
        <f t="array" ref="T72">SUMPRODUCT(($I67:T67))-SUMPRODUCT(($I67:T67)*($I$6:T$6&lt;=(T$6-$E14)))</f>
        <v>-20088244</v>
      </c>
      <c r="U72" s="118" cm="1">
        <f t="array" ref="U72">SUMPRODUCT(($I67:U67))-SUMPRODUCT(($I67:U67)*($I$6:U$6&lt;=(U$6-$E14)))</f>
        <v>-20088244</v>
      </c>
      <c r="V72" s="118" cm="1">
        <f t="array" ref="V72">SUMPRODUCT(($I67:V67))-SUMPRODUCT(($I67:V67)*($I$6:V$6&lt;=(V$6-$E14)))</f>
        <v>-20088244</v>
      </c>
      <c r="W72" s="118" cm="1">
        <f t="array" ref="W72">SUMPRODUCT(($I67:W67))-SUMPRODUCT(($I67:W67)*($I$6:W$6&lt;=(W$6-$E14)))</f>
        <v>-20088244</v>
      </c>
      <c r="X72" s="118" cm="1">
        <f t="array" ref="X72">SUMPRODUCT(($I67:X67))-SUMPRODUCT(($I67:X67)*($I$6:X$6&lt;=(X$6-$E14)))</f>
        <v>-20088244</v>
      </c>
      <c r="Y72" s="118" cm="1">
        <f t="array" ref="Y72">SUMPRODUCT(($I67:Y67))-SUMPRODUCT(($I67:Y67)*($I$6:Y$6&lt;=(Y$6-$E14)))</f>
        <v>-20088244</v>
      </c>
      <c r="Z72" s="118" cm="1">
        <f t="array" ref="Z72">SUMPRODUCT(($I67:Z67))-SUMPRODUCT(($I67:Z67)*($I$6:Z$6&lt;=(Z$6-$E14)))</f>
        <v>-20088244</v>
      </c>
      <c r="AA72" s="118" cm="1">
        <f t="array" ref="AA72">SUMPRODUCT(($I67:AA67))-SUMPRODUCT(($I67:AA67)*($I$6:AA$6&lt;=(AA$6-$E14)))</f>
        <v>-20088244</v>
      </c>
      <c r="AB72" s="118" cm="1">
        <f t="array" ref="AB72">SUMPRODUCT(($I67:AB67))-SUMPRODUCT(($I67:AB67)*($I$6:AB$6&lt;=(AB$6-$E14)))</f>
        <v>-20088244</v>
      </c>
      <c r="AC72" s="118" cm="1">
        <f t="array" ref="AC72">SUMPRODUCT(($I67:AC67))-SUMPRODUCT(($I67:AC67)*($I$6:AC$6&lt;=(AC$6-$E14)))</f>
        <v>-20088244</v>
      </c>
      <c r="AD72" s="118" cm="1">
        <f t="array" ref="AD72">SUMPRODUCT(($I67:AD67))-SUMPRODUCT(($I67:AD67)*($I$6:AD$6&lt;=(AD$6-$E14)))</f>
        <v>-20088244</v>
      </c>
      <c r="AE72" s="118" cm="1">
        <f t="array" ref="AE72">SUMPRODUCT(($I67:AE67))-SUMPRODUCT(($I67:AE67)*($I$6:AE$6&lt;=(AE$6-$E14)))</f>
        <v>-20088244</v>
      </c>
      <c r="AF72" s="118" cm="1">
        <f t="array" ref="AF72">SUMPRODUCT(($I67:AF67))-SUMPRODUCT(($I67:AF67)*($I$6:AF$6&lt;=(AF$6-$E14)))</f>
        <v>-20088244</v>
      </c>
      <c r="AG72" s="118" cm="1">
        <f t="array" ref="AG72">SUMPRODUCT(($I67:AG67))-SUMPRODUCT(($I67:AG67)*($I$6:AG$6&lt;=(AG$6-$E14)))</f>
        <v>-20088244</v>
      </c>
    </row>
    <row r="73" spans="1:33" x14ac:dyDescent="0.2">
      <c r="A73" s="8"/>
      <c r="B73" s="8"/>
      <c r="C73" s="4">
        <f>C15</f>
        <v>0</v>
      </c>
      <c r="D73" s="38"/>
      <c r="F73" s="96"/>
      <c r="G73" s="213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6"/>
      <c r="G74" s="213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7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9" t="s">
        <v>91</v>
      </c>
      <c r="D76" s="38"/>
      <c r="F76" s="96"/>
      <c r="G76" s="216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Three REFCLs</v>
      </c>
      <c r="D77" s="38"/>
      <c r="F77" s="96"/>
      <c r="G77" s="213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-546112.2879674182</v>
      </c>
      <c r="N77" s="118">
        <f t="shared" si="8"/>
        <v>-1092224.5759348364</v>
      </c>
      <c r="O77" s="118">
        <f t="shared" si="8"/>
        <v>-1092224.5759348364</v>
      </c>
      <c r="P77" s="118">
        <f t="shared" si="8"/>
        <v>-1092224.5759348364</v>
      </c>
      <c r="Q77" s="118">
        <f t="shared" si="8"/>
        <v>-1092224.5759348364</v>
      </c>
      <c r="R77" s="118">
        <f t="shared" si="8"/>
        <v>-1092224.5759348364</v>
      </c>
      <c r="S77" s="118">
        <f t="shared" si="8"/>
        <v>-1092224.5759348364</v>
      </c>
      <c r="T77" s="118">
        <f t="shared" si="8"/>
        <v>-1092224.5759348364</v>
      </c>
      <c r="U77" s="118">
        <f t="shared" si="8"/>
        <v>-1092224.5759348364</v>
      </c>
      <c r="V77" s="118">
        <f t="shared" si="8"/>
        <v>-1092224.5759348364</v>
      </c>
      <c r="W77" s="118">
        <f t="shared" si="8"/>
        <v>-1092224.5759348364</v>
      </c>
      <c r="X77" s="118">
        <f t="shared" si="8"/>
        <v>-1092224.5759348364</v>
      </c>
      <c r="Y77" s="118">
        <f t="shared" si="8"/>
        <v>-1092224.5759348364</v>
      </c>
      <c r="Z77" s="118">
        <f t="shared" si="8"/>
        <v>-1092224.5759348364</v>
      </c>
      <c r="AA77" s="118">
        <f t="shared" si="8"/>
        <v>-1092224.5759348364</v>
      </c>
      <c r="AB77" s="118">
        <f t="shared" si="8"/>
        <v>-1092224.5759348364</v>
      </c>
      <c r="AC77" s="118">
        <f t="shared" si="8"/>
        <v>-1092224.5759348364</v>
      </c>
      <c r="AD77" s="118">
        <f t="shared" si="8"/>
        <v>-1092224.5759348364</v>
      </c>
      <c r="AE77" s="118">
        <f t="shared" si="8"/>
        <v>-1092224.5759348364</v>
      </c>
      <c r="AF77" s="118">
        <f t="shared" si="8"/>
        <v>-1092224.5759348364</v>
      </c>
      <c r="AG77" s="118">
        <f t="shared" si="8"/>
        <v>-1092224.5759348364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6"/>
      <c r="G78" s="213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6"/>
      <c r="G79" s="213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5" t="s">
        <v>158</v>
      </c>
      <c r="D80" s="175"/>
      <c r="E80" s="176"/>
      <c r="F80" s="177"/>
      <c r="G80" s="218">
        <f>input_dollars</f>
        <v>45291</v>
      </c>
      <c r="H80" s="178"/>
      <c r="I80" s="179">
        <f>SUM(I77:I79)</f>
        <v>0</v>
      </c>
      <c r="J80" s="179">
        <f t="shared" ref="J80:AB80" si="11">SUM(J77:J79)</f>
        <v>0</v>
      </c>
      <c r="K80" s="179">
        <f t="shared" si="11"/>
        <v>0</v>
      </c>
      <c r="L80" s="179">
        <f t="shared" si="11"/>
        <v>0</v>
      </c>
      <c r="M80" s="179">
        <f t="shared" si="11"/>
        <v>-546112.2879674182</v>
      </c>
      <c r="N80" s="179">
        <f t="shared" si="11"/>
        <v>-1092224.5759348364</v>
      </c>
      <c r="O80" s="179">
        <f t="shared" si="11"/>
        <v>-1092224.5759348364</v>
      </c>
      <c r="P80" s="179">
        <f t="shared" si="11"/>
        <v>-1092224.5759348364</v>
      </c>
      <c r="Q80" s="179">
        <f t="shared" si="11"/>
        <v>-1092224.5759348364</v>
      </c>
      <c r="R80" s="179">
        <f t="shared" si="11"/>
        <v>-1092224.5759348364</v>
      </c>
      <c r="S80" s="179">
        <f t="shared" si="11"/>
        <v>-1092224.5759348364</v>
      </c>
      <c r="T80" s="179">
        <f t="shared" si="11"/>
        <v>-1092224.5759348364</v>
      </c>
      <c r="U80" s="179">
        <f t="shared" si="11"/>
        <v>-1092224.5759348364</v>
      </c>
      <c r="V80" s="179">
        <f t="shared" si="11"/>
        <v>-1092224.5759348364</v>
      </c>
      <c r="W80" s="179">
        <f t="shared" si="11"/>
        <v>-1092224.5759348364</v>
      </c>
      <c r="X80" s="179">
        <f t="shared" si="11"/>
        <v>-1092224.5759348364</v>
      </c>
      <c r="Y80" s="179">
        <f t="shared" si="11"/>
        <v>-1092224.5759348364</v>
      </c>
      <c r="Z80" s="179">
        <f t="shared" si="11"/>
        <v>-1092224.5759348364</v>
      </c>
      <c r="AA80" s="179">
        <f t="shared" si="11"/>
        <v>-1092224.5759348364</v>
      </c>
      <c r="AB80" s="179">
        <f t="shared" si="11"/>
        <v>-1092224.5759348364</v>
      </c>
      <c r="AC80" s="179">
        <f>SUM(AC77:AC79)</f>
        <v>-1092224.5759348364</v>
      </c>
      <c r="AD80" s="179">
        <f>SUM(AD77:AD79)</f>
        <v>-1092224.5759348364</v>
      </c>
      <c r="AE80" s="179">
        <f>SUM(AE77:AE79)</f>
        <v>-1092224.5759348364</v>
      </c>
      <c r="AF80" s="179">
        <f>SUM(AF77:AF79)</f>
        <v>-1092224.5759348364</v>
      </c>
      <c r="AG80" s="179">
        <f>SUM(AG77:AG79)</f>
        <v>-1092224.5759348364</v>
      </c>
    </row>
    <row r="81" spans="1:33" x14ac:dyDescent="0.2">
      <c r="A81" s="8"/>
      <c r="B81" s="8"/>
      <c r="C81" s="75"/>
      <c r="D81" s="38"/>
      <c r="F81"/>
      <c r="G81" s="219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13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-546112.2879674182</v>
      </c>
      <c r="N82" s="118">
        <f t="shared" si="13"/>
        <v>-1092224.5759348364</v>
      </c>
      <c r="O82" s="118">
        <f t="shared" si="13"/>
        <v>-1092224.5759348364</v>
      </c>
      <c r="P82" s="118">
        <f t="shared" si="13"/>
        <v>-1092224.5759348364</v>
      </c>
      <c r="Q82" s="118">
        <f t="shared" si="13"/>
        <v>-1092224.5759348364</v>
      </c>
      <c r="R82" s="118">
        <f t="shared" si="13"/>
        <v>-1092224.5759348364</v>
      </c>
      <c r="S82" s="118">
        <f t="shared" si="13"/>
        <v>-1092224.5759348364</v>
      </c>
      <c r="T82" s="118">
        <f t="shared" si="13"/>
        <v>-1092224.5759348364</v>
      </c>
      <c r="U82" s="118">
        <f t="shared" si="13"/>
        <v>-1092224.5759348364</v>
      </c>
      <c r="V82" s="118">
        <f t="shared" si="13"/>
        <v>-1092224.5759348364</v>
      </c>
      <c r="W82" s="118">
        <f t="shared" si="13"/>
        <v>-1092224.5759348364</v>
      </c>
      <c r="X82" s="118">
        <f t="shared" si="13"/>
        <v>-1092224.5759348364</v>
      </c>
      <c r="Y82" s="118">
        <f t="shared" si="13"/>
        <v>-1092224.5759348364</v>
      </c>
      <c r="Z82" s="118">
        <f t="shared" si="13"/>
        <v>-1092224.5759348364</v>
      </c>
      <c r="AA82" s="118">
        <f t="shared" si="13"/>
        <v>-1092224.5759348364</v>
      </c>
      <c r="AB82" s="118">
        <f t="shared" si="13"/>
        <v>-1092224.5759348364</v>
      </c>
      <c r="AC82" s="118">
        <f>AC80</f>
        <v>-1092224.5759348364</v>
      </c>
      <c r="AD82" s="118">
        <f>AD80</f>
        <v>-1092224.5759348364</v>
      </c>
      <c r="AE82" s="118">
        <f>AE80</f>
        <v>-1092224.5759348364</v>
      </c>
      <c r="AF82" s="118">
        <f>AF80</f>
        <v>-1092224.5759348364</v>
      </c>
      <c r="AG82" s="118">
        <f>AG80</f>
        <v>-1092224.5759348364</v>
      </c>
    </row>
    <row r="83" spans="1:33" x14ac:dyDescent="0.2">
      <c r="A83" s="8"/>
      <c r="B83" s="8"/>
      <c r="C83" s="4" t="s">
        <v>31</v>
      </c>
      <c r="D83" s="38"/>
      <c r="F83" s="96"/>
      <c r="G83" s="213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6"/>
      <c r="G84" s="213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1284470.1906911107</v>
      </c>
      <c r="O84" s="31">
        <f t="shared" si="15"/>
        <v>1284470.1906911107</v>
      </c>
      <c r="P84" s="31">
        <f t="shared" si="15"/>
        <v>1284470.1906911107</v>
      </c>
      <c r="Q84" s="31">
        <f t="shared" si="15"/>
        <v>1284470.1906911107</v>
      </c>
      <c r="R84" s="31">
        <f t="shared" si="15"/>
        <v>1284470.1906911107</v>
      </c>
      <c r="S84" s="31">
        <f t="shared" si="15"/>
        <v>1284470.1906911107</v>
      </c>
      <c r="T84" s="31">
        <f t="shared" si="15"/>
        <v>1284470.1906911107</v>
      </c>
      <c r="U84" s="31">
        <f t="shared" si="15"/>
        <v>1284470.1906911107</v>
      </c>
      <c r="V84" s="31">
        <f t="shared" si="15"/>
        <v>1284470.1906911107</v>
      </c>
      <c r="W84" s="31">
        <f t="shared" si="15"/>
        <v>1284470.1906911107</v>
      </c>
      <c r="X84" s="31">
        <f t="shared" si="15"/>
        <v>1284470.1906911107</v>
      </c>
      <c r="Y84" s="31">
        <f t="shared" si="15"/>
        <v>1284470.1906911107</v>
      </c>
      <c r="Z84" s="31">
        <f t="shared" si="15"/>
        <v>1284470.1906911107</v>
      </c>
      <c r="AA84" s="31">
        <f t="shared" si="15"/>
        <v>1284470.1906911107</v>
      </c>
      <c r="AB84" s="31">
        <f t="shared" si="15"/>
        <v>1284470.1906911107</v>
      </c>
      <c r="AC84" s="31">
        <f>AC64</f>
        <v>1284470.1906911107</v>
      </c>
      <c r="AD84" s="31">
        <f>AD64</f>
        <v>1284470.1906911107</v>
      </c>
      <c r="AE84" s="31">
        <f>AE64</f>
        <v>1284470.1906911107</v>
      </c>
      <c r="AF84" s="31">
        <f>AF64</f>
        <v>1284470.1906911107</v>
      </c>
      <c r="AG84" s="31">
        <f>AG64</f>
        <v>1284470.1906911107</v>
      </c>
    </row>
    <row r="85" spans="1:33" x14ac:dyDescent="0.2">
      <c r="A85" s="8"/>
      <c r="B85" s="8"/>
      <c r="C85" s="4" t="s">
        <v>122</v>
      </c>
      <c r="D85" s="38"/>
      <c r="F85" s="96"/>
      <c r="G85" s="213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189</v>
      </c>
      <c r="D87" s="181"/>
      <c r="E87" s="176"/>
      <c r="F87" s="182"/>
      <c r="G87" s="218">
        <f t="shared" si="12"/>
        <v>45291</v>
      </c>
      <c r="H87" s="182"/>
      <c r="I87" s="182">
        <f t="shared" ref="I87:AB87" si="17">SUM(I82:I86)</f>
        <v>0</v>
      </c>
      <c r="J87" s="182">
        <f t="shared" si="17"/>
        <v>0</v>
      </c>
      <c r="K87" s="182">
        <f t="shared" si="17"/>
        <v>0</v>
      </c>
      <c r="L87" s="182">
        <f t="shared" si="17"/>
        <v>0</v>
      </c>
      <c r="M87" s="182">
        <f t="shared" si="17"/>
        <v>-546112.2879674182</v>
      </c>
      <c r="N87" s="182">
        <f t="shared" si="17"/>
        <v>192245.61475627427</v>
      </c>
      <c r="O87" s="182">
        <f t="shared" si="17"/>
        <v>192245.61475627427</v>
      </c>
      <c r="P87" s="182">
        <f t="shared" si="17"/>
        <v>192245.61475627427</v>
      </c>
      <c r="Q87" s="182">
        <f t="shared" si="17"/>
        <v>192245.61475627427</v>
      </c>
      <c r="R87" s="182">
        <f t="shared" si="17"/>
        <v>192245.61475627427</v>
      </c>
      <c r="S87" s="182">
        <f t="shared" si="17"/>
        <v>192245.61475627427</v>
      </c>
      <c r="T87" s="182">
        <f t="shared" si="17"/>
        <v>192245.61475627427</v>
      </c>
      <c r="U87" s="182">
        <f t="shared" si="17"/>
        <v>192245.61475627427</v>
      </c>
      <c r="V87" s="182">
        <f t="shared" si="17"/>
        <v>192245.61475627427</v>
      </c>
      <c r="W87" s="182">
        <f t="shared" si="17"/>
        <v>192245.61475627427</v>
      </c>
      <c r="X87" s="182">
        <f t="shared" si="17"/>
        <v>192245.61475627427</v>
      </c>
      <c r="Y87" s="182">
        <f t="shared" si="17"/>
        <v>192245.61475627427</v>
      </c>
      <c r="Z87" s="182">
        <f t="shared" si="17"/>
        <v>192245.61475627427</v>
      </c>
      <c r="AA87" s="182">
        <f t="shared" si="17"/>
        <v>192245.61475627427</v>
      </c>
      <c r="AB87" s="182">
        <f t="shared" si="17"/>
        <v>192245.61475627427</v>
      </c>
      <c r="AC87" s="182">
        <f>SUM(AC82:AC86)</f>
        <v>192245.61475627427</v>
      </c>
      <c r="AD87" s="182">
        <f>SUM(AD82:AD86)</f>
        <v>192245.61475627427</v>
      </c>
      <c r="AE87" s="182">
        <f>SUM(AE82:AE86)</f>
        <v>192245.61475627427</v>
      </c>
      <c r="AF87" s="182">
        <f>SUM(AF82:AF86)</f>
        <v>192245.61475627427</v>
      </c>
      <c r="AG87" s="182">
        <f>SUM(AG82:AG86)</f>
        <v>192245.61475627427</v>
      </c>
    </row>
    <row r="88" spans="1:33" x14ac:dyDescent="0.2">
      <c r="A88" s="8"/>
      <c r="B88" s="8"/>
      <c r="C88" s="75"/>
      <c r="D88" s="140"/>
      <c r="E88" s="64"/>
      <c r="F88" s="143"/>
      <c r="G88" s="220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40"/>
      <c r="E89" s="64"/>
      <c r="F89" s="143"/>
      <c r="G89" s="220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33" t="s">
        <v>199</v>
      </c>
      <c r="D90" s="82"/>
      <c r="E90" s="234"/>
      <c r="F90" s="235"/>
      <c r="G90" s="236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7"/>
      <c r="E91" s="234"/>
      <c r="F91" s="234"/>
      <c r="G91" s="236"/>
    </row>
    <row r="92" spans="1:33" x14ac:dyDescent="0.2">
      <c r="C92" s="238" t="s">
        <v>194</v>
      </c>
      <c r="D92" s="239"/>
      <c r="E92" s="239"/>
      <c r="F92" s="239"/>
      <c r="G92" s="240">
        <f>IF(_xlfn.MINIFS($G$90:$G$91, $G$90:$G$91, "&gt;"&amp;0)=0, $A$4, _xlfn.MINIFS($G$90:$G$91, $G$90:$G$91, "&gt;"&amp;0))</f>
        <v>4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7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-546112.2879674182</v>
      </c>
      <c r="N106" s="31">
        <f t="shared" si="18"/>
        <v>192245.61475627427</v>
      </c>
      <c r="O106" s="31">
        <f t="shared" si="18"/>
        <v>192245.61475627427</v>
      </c>
      <c r="P106" s="31">
        <f t="shared" si="18"/>
        <v>192245.61475627427</v>
      </c>
      <c r="Q106" s="31">
        <f t="shared" si="18"/>
        <v>192245.61475627427</v>
      </c>
      <c r="R106" s="31">
        <f t="shared" si="18"/>
        <v>192245.61475627427</v>
      </c>
      <c r="S106" s="31">
        <f t="shared" si="18"/>
        <v>192245.61475627427</v>
      </c>
      <c r="T106" s="31">
        <f t="shared" si="18"/>
        <v>192245.61475627427</v>
      </c>
      <c r="U106" s="31">
        <f t="shared" si="18"/>
        <v>192245.61475627427</v>
      </c>
      <c r="V106" s="31">
        <f t="shared" si="18"/>
        <v>192245.61475627427</v>
      </c>
      <c r="W106" s="31">
        <f t="shared" si="18"/>
        <v>192245.61475627427</v>
      </c>
      <c r="X106" s="31">
        <f t="shared" si="18"/>
        <v>192245.61475627427</v>
      </c>
      <c r="Y106" s="31">
        <f t="shared" si="18"/>
        <v>192245.61475627427</v>
      </c>
      <c r="Z106" s="31">
        <f t="shared" si="18"/>
        <v>192245.61475627427</v>
      </c>
      <c r="AA106" s="31">
        <f t="shared" si="18"/>
        <v>192245.61475627427</v>
      </c>
      <c r="AB106" s="31">
        <f t="shared" si="18"/>
        <v>192245.61475627427</v>
      </c>
      <c r="AC106" s="31">
        <f t="shared" si="18"/>
        <v>192245.61475627427</v>
      </c>
      <c r="AD106" s="31">
        <f t="shared" si="18"/>
        <v>192245.61475627427</v>
      </c>
      <c r="AE106" s="31">
        <f t="shared" si="18"/>
        <v>192245.61475627427</v>
      </c>
      <c r="AF106" s="31">
        <f t="shared" si="18"/>
        <v>192245.61475627427</v>
      </c>
      <c r="AG106" s="31">
        <f t="shared" si="18"/>
        <v>192245.61475627427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-546112.2879674182</v>
      </c>
      <c r="N107" s="31">
        <f t="shared" si="19"/>
        <v>-1092224.5759348364</v>
      </c>
      <c r="O107" s="31">
        <f t="shared" si="19"/>
        <v>-1092224.5759348364</v>
      </c>
      <c r="P107" s="31">
        <f t="shared" si="19"/>
        <v>-1092224.5759348364</v>
      </c>
      <c r="Q107" s="31">
        <f t="shared" si="19"/>
        <v>-1092224.5759348364</v>
      </c>
      <c r="R107" s="31">
        <f t="shared" si="19"/>
        <v>-1092224.5759348364</v>
      </c>
      <c r="S107" s="31">
        <f t="shared" si="19"/>
        <v>-1092224.5759348364</v>
      </c>
      <c r="T107" s="31">
        <f t="shared" si="19"/>
        <v>-1092224.5759348364</v>
      </c>
      <c r="U107" s="31">
        <f t="shared" si="19"/>
        <v>-1092224.5759348364</v>
      </c>
      <c r="V107" s="31">
        <f t="shared" si="19"/>
        <v>-1092224.5759348364</v>
      </c>
      <c r="W107" s="31">
        <f t="shared" si="19"/>
        <v>-1092224.5759348364</v>
      </c>
      <c r="X107" s="31">
        <f t="shared" si="19"/>
        <v>-1092224.5759348364</v>
      </c>
      <c r="Y107" s="31">
        <f t="shared" si="19"/>
        <v>-1092224.5759348364</v>
      </c>
      <c r="Z107" s="31">
        <f t="shared" si="19"/>
        <v>-1092224.5759348364</v>
      </c>
      <c r="AA107" s="31">
        <f t="shared" si="19"/>
        <v>-1092224.5759348364</v>
      </c>
      <c r="AB107" s="31">
        <f t="shared" si="19"/>
        <v>-1092224.5759348364</v>
      </c>
      <c r="AC107" s="31">
        <f t="shared" si="19"/>
        <v>-1092224.5759348364</v>
      </c>
      <c r="AD107" s="31">
        <f t="shared" si="19"/>
        <v>-1092224.5759348364</v>
      </c>
      <c r="AE107" s="31">
        <f t="shared" si="19"/>
        <v>-1092224.5759348364</v>
      </c>
      <c r="AF107" s="31">
        <f t="shared" si="19"/>
        <v>-1092224.5759348364</v>
      </c>
      <c r="AG107" s="31">
        <f t="shared" si="19"/>
        <v>-1092224.5759348364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1284470.1906911107</v>
      </c>
      <c r="O108" s="31">
        <f t="shared" si="20"/>
        <v>1284470.1906911107</v>
      </c>
      <c r="P108" s="31">
        <f t="shared" si="20"/>
        <v>1284470.1906911107</v>
      </c>
      <c r="Q108" s="31">
        <f t="shared" si="20"/>
        <v>1284470.1906911107</v>
      </c>
      <c r="R108" s="31">
        <f t="shared" si="20"/>
        <v>1284470.1906911107</v>
      </c>
      <c r="S108" s="31">
        <f t="shared" si="20"/>
        <v>1284470.1906911107</v>
      </c>
      <c r="T108" s="31">
        <f t="shared" si="20"/>
        <v>1284470.1906911107</v>
      </c>
      <c r="U108" s="31">
        <f t="shared" si="20"/>
        <v>1284470.1906911107</v>
      </c>
      <c r="V108" s="31">
        <f t="shared" si="20"/>
        <v>1284470.1906911107</v>
      </c>
      <c r="W108" s="31">
        <f t="shared" si="20"/>
        <v>1284470.1906911107</v>
      </c>
      <c r="X108" s="31">
        <f t="shared" si="20"/>
        <v>1284470.1906911107</v>
      </c>
      <c r="Y108" s="31">
        <f t="shared" si="20"/>
        <v>1284470.1906911107</v>
      </c>
      <c r="Z108" s="31">
        <f t="shared" si="20"/>
        <v>1284470.1906911107</v>
      </c>
      <c r="AA108" s="31">
        <f t="shared" si="20"/>
        <v>1284470.1906911107</v>
      </c>
      <c r="AB108" s="31">
        <f t="shared" si="20"/>
        <v>1284470.1906911107</v>
      </c>
      <c r="AC108" s="31">
        <f t="shared" si="20"/>
        <v>1284470.1906911107</v>
      </c>
      <c r="AD108" s="31">
        <f t="shared" si="20"/>
        <v>1284470.1906911107</v>
      </c>
      <c r="AE108" s="31">
        <f t="shared" si="20"/>
        <v>1284470.1906911107</v>
      </c>
      <c r="AF108" s="31">
        <f t="shared" si="20"/>
        <v>1284470.1906911107</v>
      </c>
      <c r="AG108" s="31">
        <f t="shared" si="20"/>
        <v>1284470.1906911107</v>
      </c>
    </row>
    <row r="109" spans="1:43" x14ac:dyDescent="0.2">
      <c r="D109" s="305" t="str">
        <f>Assumptions!G110</f>
        <v>Capex</v>
      </c>
      <c r="E109" s="305" t="str">
        <f>Assumptions!H110</f>
        <v>Total benefits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43" x14ac:dyDescent="0.2">
      <c r="A110" s="1" t="str">
        <f>"sens"&amp;Assumptions!B111</f>
        <v>sens1</v>
      </c>
      <c r="C110" s="304" t="str">
        <f>Assumptions!C111</f>
        <v>Capex 10% higher</v>
      </c>
      <c r="D110" s="305">
        <f>Assumptions!G111</f>
        <v>0.1</v>
      </c>
      <c r="E110" s="305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-600723.51676416001</v>
      </c>
      <c r="N110" s="31" cm="1">
        <f t="array" ref="N110">N$106+IF($C110&lt;&gt;0,SUMPRODUCT((N$107:N$108)*TRANSPOSE(($D110:$E110))),0)</f>
        <v>83023.157162790623</v>
      </c>
      <c r="O110" s="31" cm="1">
        <f t="array" ref="O110">O$106+IF($C110&lt;&gt;0,SUMPRODUCT((O$107:O$108)*TRANSPOSE(($D110:$E110))),0)</f>
        <v>83023.157162790623</v>
      </c>
      <c r="P110" s="31" cm="1">
        <f t="array" ref="P110">P$106+IF($C110&lt;&gt;0,SUMPRODUCT((P$107:P$108)*TRANSPOSE(($D110:$E110))),0)</f>
        <v>83023.157162790623</v>
      </c>
      <c r="Q110" s="31" cm="1">
        <f t="array" ref="Q110">Q$106+IF($C110&lt;&gt;0,SUMPRODUCT((Q$107:Q$108)*TRANSPOSE(($D110:$E110))),0)</f>
        <v>83023.157162790623</v>
      </c>
      <c r="R110" s="31" cm="1">
        <f t="array" ref="R110">R$106+IF($C110&lt;&gt;0,SUMPRODUCT((R$107:R$108)*TRANSPOSE(($D110:$E110))),0)</f>
        <v>83023.157162790623</v>
      </c>
      <c r="S110" s="31" cm="1">
        <f t="array" ref="S110">S$106+IF($C110&lt;&gt;0,SUMPRODUCT((S$107:S$108)*TRANSPOSE(($D110:$E110))),0)</f>
        <v>83023.157162790623</v>
      </c>
      <c r="T110" s="31" cm="1">
        <f t="array" ref="T110">T$106+IF($C110&lt;&gt;0,SUMPRODUCT((T$107:T$108)*TRANSPOSE(($D110:$E110))),0)</f>
        <v>83023.157162790623</v>
      </c>
      <c r="U110" s="31" cm="1">
        <f t="array" ref="U110">U$106+IF($C110&lt;&gt;0,SUMPRODUCT((U$107:U$108)*TRANSPOSE(($D110:$E110))),0)</f>
        <v>83023.157162790623</v>
      </c>
      <c r="V110" s="31" cm="1">
        <f t="array" ref="V110">V$106+IF($C110&lt;&gt;0,SUMPRODUCT((V$107:V$108)*TRANSPOSE(($D110:$E110))),0)</f>
        <v>83023.157162790623</v>
      </c>
      <c r="W110" s="31" cm="1">
        <f t="array" ref="W110">W$106+IF($C110&lt;&gt;0,SUMPRODUCT((W$107:W$108)*TRANSPOSE(($D110:$E110))),0)</f>
        <v>83023.157162790623</v>
      </c>
      <c r="X110" s="31" cm="1">
        <f t="array" ref="X110">X$106+IF($C110&lt;&gt;0,SUMPRODUCT((X$107:X$108)*TRANSPOSE(($D110:$E110))),0)</f>
        <v>83023.157162790623</v>
      </c>
      <c r="Y110" s="31" cm="1">
        <f t="array" ref="Y110">Y$106+IF($C110&lt;&gt;0,SUMPRODUCT((Y$107:Y$108)*TRANSPOSE(($D110:$E110))),0)</f>
        <v>83023.157162790623</v>
      </c>
      <c r="Z110" s="31" cm="1">
        <f t="array" ref="Z110">Z$106+IF($C110&lt;&gt;0,SUMPRODUCT((Z$107:Z$108)*TRANSPOSE(($D110:$E110))),0)</f>
        <v>83023.157162790623</v>
      </c>
      <c r="AA110" s="31" cm="1">
        <f t="array" ref="AA110">AA$106+IF($C110&lt;&gt;0,SUMPRODUCT((AA$107:AA$108)*TRANSPOSE(($D110:$E110))),0)</f>
        <v>83023.157162790623</v>
      </c>
      <c r="AB110" s="31" cm="1">
        <f t="array" ref="AB110">AB$106+IF($C110&lt;&gt;0,SUMPRODUCT((AB$107:AB$108)*TRANSPOSE(($D110:$E110))),0)</f>
        <v>83023.157162790623</v>
      </c>
      <c r="AC110" s="31" cm="1">
        <f t="array" ref="AC110">AC$106+IF($C110&lt;&gt;0,SUMPRODUCT((AC$107:AC$108)*TRANSPOSE(($D110:$E110))),0)</f>
        <v>83023.157162790623</v>
      </c>
      <c r="AD110" s="31" cm="1">
        <f t="array" ref="AD110">AD$106+IF($C110&lt;&gt;0,SUMPRODUCT((AD$107:AD$108)*TRANSPOSE(($D110:$E110))),0)</f>
        <v>83023.157162790623</v>
      </c>
      <c r="AE110" s="31" cm="1">
        <f t="array" ref="AE110">AE$106+IF($C110&lt;&gt;0,SUMPRODUCT((AE$107:AE$108)*TRANSPOSE(($D110:$E110))),0)</f>
        <v>83023.157162790623</v>
      </c>
      <c r="AF110" s="31" cm="1">
        <f t="array" ref="AF110">AF$106+IF($C110&lt;&gt;0,SUMPRODUCT((AF$107:AF$108)*TRANSPOSE(($D110:$E110))),0)</f>
        <v>83023.157162790623</v>
      </c>
      <c r="AG110" s="31" cm="1">
        <f t="array" ref="AG110">AG$106+IF($C110&lt;&gt;0,SUMPRODUCT((AG$107:AG$108)*TRANSPOSE(($D110:$E110))),0)</f>
        <v>83023.157162790623</v>
      </c>
    </row>
    <row r="111" spans="1:43" x14ac:dyDescent="0.2">
      <c r="A111" s="1" t="str">
        <f>"sens"&amp;Assumptions!B112</f>
        <v>sens2</v>
      </c>
      <c r="C111" s="304" t="str">
        <f>Assumptions!C112</f>
        <v>Capex 10% lower</v>
      </c>
      <c r="D111" s="305">
        <f>Assumptions!G112</f>
        <v>-0.1</v>
      </c>
      <c r="E111" s="305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-491501.0591706764</v>
      </c>
      <c r="N111" s="31" cm="1">
        <f t="array" ref="N111">N$106+IF($C111&lt;&gt;0,SUMPRODUCT((N$107:N$108)*TRANSPOSE(($D111:$E111))),0)</f>
        <v>301468.07234975789</v>
      </c>
      <c r="O111" s="31" cm="1">
        <f t="array" ref="O111">O$106+IF($C111&lt;&gt;0,SUMPRODUCT((O$107:O$108)*TRANSPOSE(($D111:$E111))),0)</f>
        <v>301468.07234975789</v>
      </c>
      <c r="P111" s="31" cm="1">
        <f t="array" ref="P111">P$106+IF($C111&lt;&gt;0,SUMPRODUCT((P$107:P$108)*TRANSPOSE(($D111:$E111))),0)</f>
        <v>301468.07234975789</v>
      </c>
      <c r="Q111" s="31" cm="1">
        <f t="array" ref="Q111">Q$106+IF($C111&lt;&gt;0,SUMPRODUCT((Q$107:Q$108)*TRANSPOSE(($D111:$E111))),0)</f>
        <v>301468.07234975789</v>
      </c>
      <c r="R111" s="31" cm="1">
        <f t="array" ref="R111">R$106+IF($C111&lt;&gt;0,SUMPRODUCT((R$107:R$108)*TRANSPOSE(($D111:$E111))),0)</f>
        <v>301468.07234975789</v>
      </c>
      <c r="S111" s="31" cm="1">
        <f t="array" ref="S111">S$106+IF($C111&lt;&gt;0,SUMPRODUCT((S$107:S$108)*TRANSPOSE(($D111:$E111))),0)</f>
        <v>301468.07234975789</v>
      </c>
      <c r="T111" s="31" cm="1">
        <f t="array" ref="T111">T$106+IF($C111&lt;&gt;0,SUMPRODUCT((T$107:T$108)*TRANSPOSE(($D111:$E111))),0)</f>
        <v>301468.07234975789</v>
      </c>
      <c r="U111" s="31" cm="1">
        <f t="array" ref="U111">U$106+IF($C111&lt;&gt;0,SUMPRODUCT((U$107:U$108)*TRANSPOSE(($D111:$E111))),0)</f>
        <v>301468.07234975789</v>
      </c>
      <c r="V111" s="31" cm="1">
        <f t="array" ref="V111">V$106+IF($C111&lt;&gt;0,SUMPRODUCT((V$107:V$108)*TRANSPOSE(($D111:$E111))),0)</f>
        <v>301468.07234975789</v>
      </c>
      <c r="W111" s="31" cm="1">
        <f t="array" ref="W111">W$106+IF($C111&lt;&gt;0,SUMPRODUCT((W$107:W$108)*TRANSPOSE(($D111:$E111))),0)</f>
        <v>301468.07234975789</v>
      </c>
      <c r="X111" s="31" cm="1">
        <f t="array" ref="X111">X$106+IF($C111&lt;&gt;0,SUMPRODUCT((X$107:X$108)*TRANSPOSE(($D111:$E111))),0)</f>
        <v>301468.07234975789</v>
      </c>
      <c r="Y111" s="31" cm="1">
        <f t="array" ref="Y111">Y$106+IF($C111&lt;&gt;0,SUMPRODUCT((Y$107:Y$108)*TRANSPOSE(($D111:$E111))),0)</f>
        <v>301468.07234975789</v>
      </c>
      <c r="Z111" s="31" cm="1">
        <f t="array" ref="Z111">Z$106+IF($C111&lt;&gt;0,SUMPRODUCT((Z$107:Z$108)*TRANSPOSE(($D111:$E111))),0)</f>
        <v>301468.07234975789</v>
      </c>
      <c r="AA111" s="31" cm="1">
        <f t="array" ref="AA111">AA$106+IF($C111&lt;&gt;0,SUMPRODUCT((AA$107:AA$108)*TRANSPOSE(($D111:$E111))),0)</f>
        <v>301468.07234975789</v>
      </c>
      <c r="AB111" s="31" cm="1">
        <f t="array" ref="AB111">AB$106+IF($C111&lt;&gt;0,SUMPRODUCT((AB$107:AB$108)*TRANSPOSE(($D111:$E111))),0)</f>
        <v>301468.07234975789</v>
      </c>
      <c r="AC111" s="31" cm="1">
        <f t="array" ref="AC111">AC$106+IF($C111&lt;&gt;0,SUMPRODUCT((AC$107:AC$108)*TRANSPOSE(($D111:$E111))),0)</f>
        <v>301468.07234975789</v>
      </c>
      <c r="AD111" s="31" cm="1">
        <f t="array" ref="AD111">AD$106+IF($C111&lt;&gt;0,SUMPRODUCT((AD$107:AD$108)*TRANSPOSE(($D111:$E111))),0)</f>
        <v>301468.07234975789</v>
      </c>
      <c r="AE111" s="31" cm="1">
        <f t="array" ref="AE111">AE$106+IF($C111&lt;&gt;0,SUMPRODUCT((AE$107:AE$108)*TRANSPOSE(($D111:$E111))),0)</f>
        <v>301468.07234975789</v>
      </c>
      <c r="AF111" s="31" cm="1">
        <f t="array" ref="AF111">AF$106+IF($C111&lt;&gt;0,SUMPRODUCT((AF$107:AF$108)*TRANSPOSE(($D111:$E111))),0)</f>
        <v>301468.07234975789</v>
      </c>
      <c r="AG111" s="31" cm="1">
        <f t="array" ref="AG111">AG$106+IF($C111&lt;&gt;0,SUMPRODUCT((AG$107:AG$108)*TRANSPOSE(($D111:$E111))),0)</f>
        <v>301468.07234975789</v>
      </c>
    </row>
    <row r="112" spans="1:43" x14ac:dyDescent="0.2">
      <c r="A112" s="1" t="str">
        <f>"sens"&amp;Assumptions!B113</f>
        <v>sens3</v>
      </c>
      <c r="C112" s="304" t="str">
        <f>Assumptions!C113</f>
        <v>Total benefits 10% higher</v>
      </c>
      <c r="D112" s="305">
        <f>Assumptions!G113</f>
        <v>0</v>
      </c>
      <c r="E112" s="305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-546112.2879674182</v>
      </c>
      <c r="N112" s="31" cm="1">
        <f t="array" ref="N112">N$106+IF($C112&lt;&gt;0,SUMPRODUCT((N$107:N$108)*TRANSPOSE(($D112:$E112))),0)</f>
        <v>320692.63382538536</v>
      </c>
      <c r="O112" s="31" cm="1">
        <f t="array" ref="O112">O$106+IF($C112&lt;&gt;0,SUMPRODUCT((O$107:O$108)*TRANSPOSE(($D112:$E112))),0)</f>
        <v>320692.63382538536</v>
      </c>
      <c r="P112" s="31" cm="1">
        <f t="array" ref="P112">P$106+IF($C112&lt;&gt;0,SUMPRODUCT((P$107:P$108)*TRANSPOSE(($D112:$E112))),0)</f>
        <v>320692.63382538536</v>
      </c>
      <c r="Q112" s="31" cm="1">
        <f t="array" ref="Q112">Q$106+IF($C112&lt;&gt;0,SUMPRODUCT((Q$107:Q$108)*TRANSPOSE(($D112:$E112))),0)</f>
        <v>320692.63382538536</v>
      </c>
      <c r="R112" s="31" cm="1">
        <f t="array" ref="R112">R$106+IF($C112&lt;&gt;0,SUMPRODUCT((R$107:R$108)*TRANSPOSE(($D112:$E112))),0)</f>
        <v>320692.63382538536</v>
      </c>
      <c r="S112" s="31" cm="1">
        <f t="array" ref="S112">S$106+IF($C112&lt;&gt;0,SUMPRODUCT((S$107:S$108)*TRANSPOSE(($D112:$E112))),0)</f>
        <v>320692.63382538536</v>
      </c>
      <c r="T112" s="31" cm="1">
        <f t="array" ref="T112">T$106+IF($C112&lt;&gt;0,SUMPRODUCT((T$107:T$108)*TRANSPOSE(($D112:$E112))),0)</f>
        <v>320692.63382538536</v>
      </c>
      <c r="U112" s="31" cm="1">
        <f t="array" ref="U112">U$106+IF($C112&lt;&gt;0,SUMPRODUCT((U$107:U$108)*TRANSPOSE(($D112:$E112))),0)</f>
        <v>320692.63382538536</v>
      </c>
      <c r="V112" s="31" cm="1">
        <f t="array" ref="V112">V$106+IF($C112&lt;&gt;0,SUMPRODUCT((V$107:V$108)*TRANSPOSE(($D112:$E112))),0)</f>
        <v>320692.63382538536</v>
      </c>
      <c r="W112" s="31" cm="1">
        <f t="array" ref="W112">W$106+IF($C112&lt;&gt;0,SUMPRODUCT((W$107:W$108)*TRANSPOSE(($D112:$E112))),0)</f>
        <v>320692.63382538536</v>
      </c>
      <c r="X112" s="31" cm="1">
        <f t="array" ref="X112">X$106+IF($C112&lt;&gt;0,SUMPRODUCT((X$107:X$108)*TRANSPOSE(($D112:$E112))),0)</f>
        <v>320692.63382538536</v>
      </c>
      <c r="Y112" s="31" cm="1">
        <f t="array" ref="Y112">Y$106+IF($C112&lt;&gt;0,SUMPRODUCT((Y$107:Y$108)*TRANSPOSE(($D112:$E112))),0)</f>
        <v>320692.63382538536</v>
      </c>
      <c r="Z112" s="31" cm="1">
        <f t="array" ref="Z112">Z$106+IF($C112&lt;&gt;0,SUMPRODUCT((Z$107:Z$108)*TRANSPOSE(($D112:$E112))),0)</f>
        <v>320692.63382538536</v>
      </c>
      <c r="AA112" s="31" cm="1">
        <f t="array" ref="AA112">AA$106+IF($C112&lt;&gt;0,SUMPRODUCT((AA$107:AA$108)*TRANSPOSE(($D112:$E112))),0)</f>
        <v>320692.63382538536</v>
      </c>
      <c r="AB112" s="31" cm="1">
        <f t="array" ref="AB112">AB$106+IF($C112&lt;&gt;0,SUMPRODUCT((AB$107:AB$108)*TRANSPOSE(($D112:$E112))),0)</f>
        <v>320692.63382538536</v>
      </c>
      <c r="AC112" s="31" cm="1">
        <f t="array" ref="AC112">AC$106+IF($C112&lt;&gt;0,SUMPRODUCT((AC$107:AC$108)*TRANSPOSE(($D112:$E112))),0)</f>
        <v>320692.63382538536</v>
      </c>
      <c r="AD112" s="31" cm="1">
        <f t="array" ref="AD112">AD$106+IF($C112&lt;&gt;0,SUMPRODUCT((AD$107:AD$108)*TRANSPOSE(($D112:$E112))),0)</f>
        <v>320692.63382538536</v>
      </c>
      <c r="AE112" s="31" cm="1">
        <f t="array" ref="AE112">AE$106+IF($C112&lt;&gt;0,SUMPRODUCT((AE$107:AE$108)*TRANSPOSE(($D112:$E112))),0)</f>
        <v>320692.63382538536</v>
      </c>
      <c r="AF112" s="31" cm="1">
        <f t="array" ref="AF112">AF$106+IF($C112&lt;&gt;0,SUMPRODUCT((AF$107:AF$108)*TRANSPOSE(($D112:$E112))),0)</f>
        <v>320692.63382538536</v>
      </c>
      <c r="AG112" s="31" cm="1">
        <f t="array" ref="AG112">AG$106+IF($C112&lt;&gt;0,SUMPRODUCT((AG$107:AG$108)*TRANSPOSE(($D112:$E112))),0)</f>
        <v>320692.63382538536</v>
      </c>
    </row>
    <row r="113" spans="1:33" x14ac:dyDescent="0.2">
      <c r="A113" s="1" t="str">
        <f>"sens"&amp;Assumptions!B114</f>
        <v>sens4</v>
      </c>
      <c r="C113" s="304" t="str">
        <f>Assumptions!C114</f>
        <v>Total benefits 10% lower</v>
      </c>
      <c r="D113" s="305">
        <f>Assumptions!G114</f>
        <v>0</v>
      </c>
      <c r="E113" s="305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-546112.2879674182</v>
      </c>
      <c r="N113" s="31" cm="1">
        <f t="array" ref="N113">N$106+IF($C113&lt;&gt;0,SUMPRODUCT((N$107:N$108)*TRANSPOSE(($D113:$E113))),0)</f>
        <v>63798.595687163193</v>
      </c>
      <c r="O113" s="31" cm="1">
        <f t="array" ref="O113">O$106+IF($C113&lt;&gt;0,SUMPRODUCT((O$107:O$108)*TRANSPOSE(($D113:$E113))),0)</f>
        <v>63798.595687163193</v>
      </c>
      <c r="P113" s="31" cm="1">
        <f t="array" ref="P113">P$106+IF($C113&lt;&gt;0,SUMPRODUCT((P$107:P$108)*TRANSPOSE(($D113:$E113))),0)</f>
        <v>63798.595687163193</v>
      </c>
      <c r="Q113" s="31" cm="1">
        <f t="array" ref="Q113">Q$106+IF($C113&lt;&gt;0,SUMPRODUCT((Q$107:Q$108)*TRANSPOSE(($D113:$E113))),0)</f>
        <v>63798.595687163193</v>
      </c>
      <c r="R113" s="31" cm="1">
        <f t="array" ref="R113">R$106+IF($C113&lt;&gt;0,SUMPRODUCT((R$107:R$108)*TRANSPOSE(($D113:$E113))),0)</f>
        <v>63798.595687163193</v>
      </c>
      <c r="S113" s="31" cm="1">
        <f t="array" ref="S113">S$106+IF($C113&lt;&gt;0,SUMPRODUCT((S$107:S$108)*TRANSPOSE(($D113:$E113))),0)</f>
        <v>63798.595687163193</v>
      </c>
      <c r="T113" s="31" cm="1">
        <f t="array" ref="T113">T$106+IF($C113&lt;&gt;0,SUMPRODUCT((T$107:T$108)*TRANSPOSE(($D113:$E113))),0)</f>
        <v>63798.595687163193</v>
      </c>
      <c r="U113" s="31" cm="1">
        <f t="array" ref="U113">U$106+IF($C113&lt;&gt;0,SUMPRODUCT((U$107:U$108)*TRANSPOSE(($D113:$E113))),0)</f>
        <v>63798.595687163193</v>
      </c>
      <c r="V113" s="31" cm="1">
        <f t="array" ref="V113">V$106+IF($C113&lt;&gt;0,SUMPRODUCT((V$107:V$108)*TRANSPOSE(($D113:$E113))),0)</f>
        <v>63798.595687163193</v>
      </c>
      <c r="W113" s="31" cm="1">
        <f t="array" ref="W113">W$106+IF($C113&lt;&gt;0,SUMPRODUCT((W$107:W$108)*TRANSPOSE(($D113:$E113))),0)</f>
        <v>63798.595687163193</v>
      </c>
      <c r="X113" s="31" cm="1">
        <f t="array" ref="X113">X$106+IF($C113&lt;&gt;0,SUMPRODUCT((X$107:X$108)*TRANSPOSE(($D113:$E113))),0)</f>
        <v>63798.595687163193</v>
      </c>
      <c r="Y113" s="31" cm="1">
        <f t="array" ref="Y113">Y$106+IF($C113&lt;&gt;0,SUMPRODUCT((Y$107:Y$108)*TRANSPOSE(($D113:$E113))),0)</f>
        <v>63798.595687163193</v>
      </c>
      <c r="Z113" s="31" cm="1">
        <f t="array" ref="Z113">Z$106+IF($C113&lt;&gt;0,SUMPRODUCT((Z$107:Z$108)*TRANSPOSE(($D113:$E113))),0)</f>
        <v>63798.595687163193</v>
      </c>
      <c r="AA113" s="31" cm="1">
        <f t="array" ref="AA113">AA$106+IF($C113&lt;&gt;0,SUMPRODUCT((AA$107:AA$108)*TRANSPOSE(($D113:$E113))),0)</f>
        <v>63798.595687163193</v>
      </c>
      <c r="AB113" s="31" cm="1">
        <f t="array" ref="AB113">AB$106+IF($C113&lt;&gt;0,SUMPRODUCT((AB$107:AB$108)*TRANSPOSE(($D113:$E113))),0)</f>
        <v>63798.595687163193</v>
      </c>
      <c r="AC113" s="31" cm="1">
        <f t="array" ref="AC113">AC$106+IF($C113&lt;&gt;0,SUMPRODUCT((AC$107:AC$108)*TRANSPOSE(($D113:$E113))),0)</f>
        <v>63798.595687163193</v>
      </c>
      <c r="AD113" s="31" cm="1">
        <f t="array" ref="AD113">AD$106+IF($C113&lt;&gt;0,SUMPRODUCT((AD$107:AD$108)*TRANSPOSE(($D113:$E113))),0)</f>
        <v>63798.595687163193</v>
      </c>
      <c r="AE113" s="31" cm="1">
        <f t="array" ref="AE113">AE$106+IF($C113&lt;&gt;0,SUMPRODUCT((AE$107:AE$108)*TRANSPOSE(($D113:$E113))),0)</f>
        <v>63798.595687163193</v>
      </c>
      <c r="AF113" s="31" cm="1">
        <f t="array" ref="AF113">AF$106+IF($C113&lt;&gt;0,SUMPRODUCT((AF$107:AF$108)*TRANSPOSE(($D113:$E113))),0)</f>
        <v>63798.595687163193</v>
      </c>
      <c r="AG113" s="31" cm="1">
        <f t="array" ref="AG113">AG$106+IF($C113&lt;&gt;0,SUMPRODUCT((AG$107:AG$108)*TRANSPOSE(($D113:$E113))),0)</f>
        <v>63798.595687163193</v>
      </c>
    </row>
    <row r="114" spans="1:33" x14ac:dyDescent="0.2">
      <c r="A114" s="1" t="str">
        <f>"sens"&amp;Assumptions!B115</f>
        <v>sens5</v>
      </c>
      <c r="C114" s="304" t="str">
        <f>Assumptions!C115</f>
        <v>Capex 10% higher &amp; Total benefits 10% lower</v>
      </c>
      <c r="D114" s="305">
        <f>Assumptions!G115</f>
        <v>0.1</v>
      </c>
      <c r="E114" s="305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-600723.51676416001</v>
      </c>
      <c r="N114" s="31" cm="1">
        <f t="array" ref="N114">N$106+IF($C114&lt;&gt;0,SUMPRODUCT((N$107:N$108)*TRANSPOSE(($D114:$E114))),0)</f>
        <v>-45423.861906320439</v>
      </c>
      <c r="O114" s="31" cm="1">
        <f t="array" ref="O114">O$106+IF($C114&lt;&gt;0,SUMPRODUCT((O$107:O$108)*TRANSPOSE(($D114:$E114))),0)</f>
        <v>-45423.861906320439</v>
      </c>
      <c r="P114" s="31" cm="1">
        <f t="array" ref="P114">P$106+IF($C114&lt;&gt;0,SUMPRODUCT((P$107:P$108)*TRANSPOSE(($D114:$E114))),0)</f>
        <v>-45423.861906320439</v>
      </c>
      <c r="Q114" s="31" cm="1">
        <f t="array" ref="Q114">Q$106+IF($C114&lt;&gt;0,SUMPRODUCT((Q$107:Q$108)*TRANSPOSE(($D114:$E114))),0)</f>
        <v>-45423.861906320439</v>
      </c>
      <c r="R114" s="31" cm="1">
        <f t="array" ref="R114">R$106+IF($C114&lt;&gt;0,SUMPRODUCT((R$107:R$108)*TRANSPOSE(($D114:$E114))),0)</f>
        <v>-45423.861906320439</v>
      </c>
      <c r="S114" s="31" cm="1">
        <f t="array" ref="S114">S$106+IF($C114&lt;&gt;0,SUMPRODUCT((S$107:S$108)*TRANSPOSE(($D114:$E114))),0)</f>
        <v>-45423.861906320439</v>
      </c>
      <c r="T114" s="31" cm="1">
        <f t="array" ref="T114">T$106+IF($C114&lt;&gt;0,SUMPRODUCT((T$107:T$108)*TRANSPOSE(($D114:$E114))),0)</f>
        <v>-45423.861906320439</v>
      </c>
      <c r="U114" s="31" cm="1">
        <f t="array" ref="U114">U$106+IF($C114&lt;&gt;0,SUMPRODUCT((U$107:U$108)*TRANSPOSE(($D114:$E114))),0)</f>
        <v>-45423.861906320439</v>
      </c>
      <c r="V114" s="31" cm="1">
        <f t="array" ref="V114">V$106+IF($C114&lt;&gt;0,SUMPRODUCT((V$107:V$108)*TRANSPOSE(($D114:$E114))),0)</f>
        <v>-45423.861906320439</v>
      </c>
      <c r="W114" s="31" cm="1">
        <f t="array" ref="W114">W$106+IF($C114&lt;&gt;0,SUMPRODUCT((W$107:W$108)*TRANSPOSE(($D114:$E114))),0)</f>
        <v>-45423.861906320439</v>
      </c>
      <c r="X114" s="31" cm="1">
        <f t="array" ref="X114">X$106+IF($C114&lt;&gt;0,SUMPRODUCT((X$107:X$108)*TRANSPOSE(($D114:$E114))),0)</f>
        <v>-45423.861906320439</v>
      </c>
      <c r="Y114" s="31" cm="1">
        <f t="array" ref="Y114">Y$106+IF($C114&lt;&gt;0,SUMPRODUCT((Y$107:Y$108)*TRANSPOSE(($D114:$E114))),0)</f>
        <v>-45423.861906320439</v>
      </c>
      <c r="Z114" s="31" cm="1">
        <f t="array" ref="Z114">Z$106+IF($C114&lt;&gt;0,SUMPRODUCT((Z$107:Z$108)*TRANSPOSE(($D114:$E114))),0)</f>
        <v>-45423.861906320439</v>
      </c>
      <c r="AA114" s="31" cm="1">
        <f t="array" ref="AA114">AA$106+IF($C114&lt;&gt;0,SUMPRODUCT((AA$107:AA$108)*TRANSPOSE(($D114:$E114))),0)</f>
        <v>-45423.861906320439</v>
      </c>
      <c r="AB114" s="31" cm="1">
        <f t="array" ref="AB114">AB$106+IF($C114&lt;&gt;0,SUMPRODUCT((AB$107:AB$108)*TRANSPOSE(($D114:$E114))),0)</f>
        <v>-45423.861906320439</v>
      </c>
      <c r="AC114" s="31" cm="1">
        <f t="array" ref="AC114">AC$106+IF($C114&lt;&gt;0,SUMPRODUCT((AC$107:AC$108)*TRANSPOSE(($D114:$E114))),0)</f>
        <v>-45423.861906320439</v>
      </c>
      <c r="AD114" s="31" cm="1">
        <f t="array" ref="AD114">AD$106+IF($C114&lt;&gt;0,SUMPRODUCT((AD$107:AD$108)*TRANSPOSE(($D114:$E114))),0)</f>
        <v>-45423.861906320439</v>
      </c>
      <c r="AE114" s="31" cm="1">
        <f t="array" ref="AE114">AE$106+IF($C114&lt;&gt;0,SUMPRODUCT((AE$107:AE$108)*TRANSPOSE(($D114:$E114))),0)</f>
        <v>-45423.861906320439</v>
      </c>
      <c r="AF114" s="31" cm="1">
        <f t="array" ref="AF114">AF$106+IF($C114&lt;&gt;0,SUMPRODUCT((AF$107:AF$108)*TRANSPOSE(($D114:$E114))),0)</f>
        <v>-45423.861906320439</v>
      </c>
      <c r="AG114" s="31" cm="1">
        <f t="array" ref="AG114">AG$106+IF($C114&lt;&gt;0,SUMPRODUCT((AG$107:AG$108)*TRANSPOSE(($D114:$E114))),0)</f>
        <v>-45423.861906320439</v>
      </c>
    </row>
    <row r="115" spans="1:33" x14ac:dyDescent="0.2">
      <c r="A115" s="1" t="str">
        <f>"sens"&amp;Assumptions!B116</f>
        <v>sens</v>
      </c>
      <c r="C115" s="304">
        <f>Assumptions!C116</f>
        <v>0</v>
      </c>
      <c r="D115" s="305">
        <f>Assumptions!G116</f>
        <v>0</v>
      </c>
      <c r="E115" s="305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-546112.2879674182</v>
      </c>
      <c r="N115" s="31" cm="1">
        <f t="array" ref="N115">N$106+IF($C115&lt;&gt;0,SUMPRODUCT((N$107:N$108)*TRANSPOSE(($D115:$E115))),0)</f>
        <v>192245.61475627427</v>
      </c>
      <c r="O115" s="31" cm="1">
        <f t="array" ref="O115">O$106+IF($C115&lt;&gt;0,SUMPRODUCT((O$107:O$108)*TRANSPOSE(($D115:$E115))),0)</f>
        <v>192245.61475627427</v>
      </c>
      <c r="P115" s="31" cm="1">
        <f t="array" ref="P115">P$106+IF($C115&lt;&gt;0,SUMPRODUCT((P$107:P$108)*TRANSPOSE(($D115:$E115))),0)</f>
        <v>192245.61475627427</v>
      </c>
      <c r="Q115" s="31" cm="1">
        <f t="array" ref="Q115">Q$106+IF($C115&lt;&gt;0,SUMPRODUCT((Q$107:Q$108)*TRANSPOSE(($D115:$E115))),0)</f>
        <v>192245.61475627427</v>
      </c>
      <c r="R115" s="31" cm="1">
        <f t="array" ref="R115">R$106+IF($C115&lt;&gt;0,SUMPRODUCT((R$107:R$108)*TRANSPOSE(($D115:$E115))),0)</f>
        <v>192245.61475627427</v>
      </c>
      <c r="S115" s="31" cm="1">
        <f t="array" ref="S115">S$106+IF($C115&lt;&gt;0,SUMPRODUCT((S$107:S$108)*TRANSPOSE(($D115:$E115))),0)</f>
        <v>192245.61475627427</v>
      </c>
      <c r="T115" s="31" cm="1">
        <f t="array" ref="T115">T$106+IF($C115&lt;&gt;0,SUMPRODUCT((T$107:T$108)*TRANSPOSE(($D115:$E115))),0)</f>
        <v>192245.61475627427</v>
      </c>
      <c r="U115" s="31" cm="1">
        <f t="array" ref="U115">U$106+IF($C115&lt;&gt;0,SUMPRODUCT((U$107:U$108)*TRANSPOSE(($D115:$E115))),0)</f>
        <v>192245.61475627427</v>
      </c>
      <c r="V115" s="31" cm="1">
        <f t="array" ref="V115">V$106+IF($C115&lt;&gt;0,SUMPRODUCT((V$107:V$108)*TRANSPOSE(($D115:$E115))),0)</f>
        <v>192245.61475627427</v>
      </c>
      <c r="W115" s="31" cm="1">
        <f t="array" ref="W115">W$106+IF($C115&lt;&gt;0,SUMPRODUCT((W$107:W$108)*TRANSPOSE(($D115:$E115))),0)</f>
        <v>192245.61475627427</v>
      </c>
      <c r="X115" s="31" cm="1">
        <f t="array" ref="X115">X$106+IF($C115&lt;&gt;0,SUMPRODUCT((X$107:X$108)*TRANSPOSE(($D115:$E115))),0)</f>
        <v>192245.61475627427</v>
      </c>
      <c r="Y115" s="31" cm="1">
        <f t="array" ref="Y115">Y$106+IF($C115&lt;&gt;0,SUMPRODUCT((Y$107:Y$108)*TRANSPOSE(($D115:$E115))),0)</f>
        <v>192245.61475627427</v>
      </c>
      <c r="Z115" s="31" cm="1">
        <f t="array" ref="Z115">Z$106+IF($C115&lt;&gt;0,SUMPRODUCT((Z$107:Z$108)*TRANSPOSE(($D115:$E115))),0)</f>
        <v>192245.61475627427</v>
      </c>
      <c r="AA115" s="31" cm="1">
        <f t="array" ref="AA115">AA$106+IF($C115&lt;&gt;0,SUMPRODUCT((AA$107:AA$108)*TRANSPOSE(($D115:$E115))),0)</f>
        <v>192245.61475627427</v>
      </c>
      <c r="AB115" s="31" cm="1">
        <f t="array" ref="AB115">AB$106+IF($C115&lt;&gt;0,SUMPRODUCT((AB$107:AB$108)*TRANSPOSE(($D115:$E115))),0)</f>
        <v>192245.61475627427</v>
      </c>
      <c r="AC115" s="31" cm="1">
        <f t="array" ref="AC115">AC$106+IF($C115&lt;&gt;0,SUMPRODUCT((AC$107:AC$108)*TRANSPOSE(($D115:$E115))),0)</f>
        <v>192245.61475627427</v>
      </c>
      <c r="AD115" s="31" cm="1">
        <f t="array" ref="AD115">AD$106+IF($C115&lt;&gt;0,SUMPRODUCT((AD$107:AD$108)*TRANSPOSE(($D115:$E115))),0)</f>
        <v>192245.61475627427</v>
      </c>
      <c r="AE115" s="31" cm="1">
        <f t="array" ref="AE115">AE$106+IF($C115&lt;&gt;0,SUMPRODUCT((AE$107:AE$108)*TRANSPOSE(($D115:$E115))),0)</f>
        <v>192245.61475627427</v>
      </c>
      <c r="AF115" s="31" cm="1">
        <f t="array" ref="AF115">AF$106+IF($C115&lt;&gt;0,SUMPRODUCT((AF$107:AF$108)*TRANSPOSE(($D115:$E115))),0)</f>
        <v>192245.61475627427</v>
      </c>
      <c r="AG115" s="31" cm="1">
        <f t="array" ref="AG115">AG$106+IF($C115&lt;&gt;0,SUMPRODUCT((AG$107:AG$108)*TRANSPOSE(($D115:$E115))),0)</f>
        <v>192245.61475627427</v>
      </c>
    </row>
    <row r="116" spans="1:33" x14ac:dyDescent="0.2">
      <c r="A116" s="1" t="str">
        <f>"sens"&amp;Assumptions!B117</f>
        <v>sens</v>
      </c>
      <c r="C116" s="304">
        <f>Assumptions!C117</f>
        <v>0</v>
      </c>
      <c r="D116" s="305">
        <f>Assumptions!G117</f>
        <v>0</v>
      </c>
      <c r="E116" s="305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-546112.2879674182</v>
      </c>
      <c r="N116" s="31" cm="1">
        <f t="array" ref="N116">N$106+IF($C116&lt;&gt;0,SUMPRODUCT((N$107:N$108)*TRANSPOSE(($D116:$E116))),0)</f>
        <v>192245.61475627427</v>
      </c>
      <c r="O116" s="31" cm="1">
        <f t="array" ref="O116">O$106+IF($C116&lt;&gt;0,SUMPRODUCT((O$107:O$108)*TRANSPOSE(($D116:$E116))),0)</f>
        <v>192245.61475627427</v>
      </c>
      <c r="P116" s="31" cm="1">
        <f t="array" ref="P116">P$106+IF($C116&lt;&gt;0,SUMPRODUCT((P$107:P$108)*TRANSPOSE(($D116:$E116))),0)</f>
        <v>192245.61475627427</v>
      </c>
      <c r="Q116" s="31" cm="1">
        <f t="array" ref="Q116">Q$106+IF($C116&lt;&gt;0,SUMPRODUCT((Q$107:Q$108)*TRANSPOSE(($D116:$E116))),0)</f>
        <v>192245.61475627427</v>
      </c>
      <c r="R116" s="31" cm="1">
        <f t="array" ref="R116">R$106+IF($C116&lt;&gt;0,SUMPRODUCT((R$107:R$108)*TRANSPOSE(($D116:$E116))),0)</f>
        <v>192245.61475627427</v>
      </c>
      <c r="S116" s="31" cm="1">
        <f t="array" ref="S116">S$106+IF($C116&lt;&gt;0,SUMPRODUCT((S$107:S$108)*TRANSPOSE(($D116:$E116))),0)</f>
        <v>192245.61475627427</v>
      </c>
      <c r="T116" s="31" cm="1">
        <f t="array" ref="T116">T$106+IF($C116&lt;&gt;0,SUMPRODUCT((T$107:T$108)*TRANSPOSE(($D116:$E116))),0)</f>
        <v>192245.61475627427</v>
      </c>
      <c r="U116" s="31" cm="1">
        <f t="array" ref="U116">U$106+IF($C116&lt;&gt;0,SUMPRODUCT((U$107:U$108)*TRANSPOSE(($D116:$E116))),0)</f>
        <v>192245.61475627427</v>
      </c>
      <c r="V116" s="31" cm="1">
        <f t="array" ref="V116">V$106+IF($C116&lt;&gt;0,SUMPRODUCT((V$107:V$108)*TRANSPOSE(($D116:$E116))),0)</f>
        <v>192245.61475627427</v>
      </c>
      <c r="W116" s="31" cm="1">
        <f t="array" ref="W116">W$106+IF($C116&lt;&gt;0,SUMPRODUCT((W$107:W$108)*TRANSPOSE(($D116:$E116))),0)</f>
        <v>192245.61475627427</v>
      </c>
      <c r="X116" s="31" cm="1">
        <f t="array" ref="X116">X$106+IF($C116&lt;&gt;0,SUMPRODUCT((X$107:X$108)*TRANSPOSE(($D116:$E116))),0)</f>
        <v>192245.61475627427</v>
      </c>
      <c r="Y116" s="31" cm="1">
        <f t="array" ref="Y116">Y$106+IF($C116&lt;&gt;0,SUMPRODUCT((Y$107:Y$108)*TRANSPOSE(($D116:$E116))),0)</f>
        <v>192245.61475627427</v>
      </c>
      <c r="Z116" s="31" cm="1">
        <f t="array" ref="Z116">Z$106+IF($C116&lt;&gt;0,SUMPRODUCT((Z$107:Z$108)*TRANSPOSE(($D116:$E116))),0)</f>
        <v>192245.61475627427</v>
      </c>
      <c r="AA116" s="31" cm="1">
        <f t="array" ref="AA116">AA$106+IF($C116&lt;&gt;0,SUMPRODUCT((AA$107:AA$108)*TRANSPOSE(($D116:$E116))),0)</f>
        <v>192245.61475627427</v>
      </c>
      <c r="AB116" s="31" cm="1">
        <f t="array" ref="AB116">AB$106+IF($C116&lt;&gt;0,SUMPRODUCT((AB$107:AB$108)*TRANSPOSE(($D116:$E116))),0)</f>
        <v>192245.61475627427</v>
      </c>
      <c r="AC116" s="31" cm="1">
        <f t="array" ref="AC116">AC$106+IF($C116&lt;&gt;0,SUMPRODUCT((AC$107:AC$108)*TRANSPOSE(($D116:$E116))),0)</f>
        <v>192245.61475627427</v>
      </c>
      <c r="AD116" s="31" cm="1">
        <f t="array" ref="AD116">AD$106+IF($C116&lt;&gt;0,SUMPRODUCT((AD$107:AD$108)*TRANSPOSE(($D116:$E116))),0)</f>
        <v>192245.61475627427</v>
      </c>
      <c r="AE116" s="31" cm="1">
        <f t="array" ref="AE116">AE$106+IF($C116&lt;&gt;0,SUMPRODUCT((AE$107:AE$108)*TRANSPOSE(($D116:$E116))),0)</f>
        <v>192245.61475627427</v>
      </c>
      <c r="AF116" s="31" cm="1">
        <f t="array" ref="AF116">AF$106+IF($C116&lt;&gt;0,SUMPRODUCT((AF$107:AF$108)*TRANSPOSE(($D116:$E116))),0)</f>
        <v>192245.61475627427</v>
      </c>
      <c r="AG116" s="31" cm="1">
        <f t="array" ref="AG116">AG$106+IF($C116&lt;&gt;0,SUMPRODUCT((AG$107:AG$108)*TRANSPOSE(($D116:$E116))),0)</f>
        <v>192245.61475627427</v>
      </c>
    </row>
    <row r="117" spans="1:33" x14ac:dyDescent="0.2">
      <c r="A117" s="1" t="str">
        <f>"sens"&amp;Assumptions!B118</f>
        <v>sens</v>
      </c>
      <c r="C117" s="304">
        <f>Assumptions!C118</f>
        <v>0</v>
      </c>
      <c r="D117" s="305">
        <f>Assumptions!G118</f>
        <v>0</v>
      </c>
      <c r="E117" s="305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-546112.2879674182</v>
      </c>
      <c r="N117" s="31" cm="1">
        <f t="array" ref="N117">N$106+IF($C117&lt;&gt;0,SUMPRODUCT((N$107:N$108)*TRANSPOSE(($D117:$E117))),0)</f>
        <v>192245.61475627427</v>
      </c>
      <c r="O117" s="31" cm="1">
        <f t="array" ref="O117">O$106+IF($C117&lt;&gt;0,SUMPRODUCT((O$107:O$108)*TRANSPOSE(($D117:$E117))),0)</f>
        <v>192245.61475627427</v>
      </c>
      <c r="P117" s="31" cm="1">
        <f t="array" ref="P117">P$106+IF($C117&lt;&gt;0,SUMPRODUCT((P$107:P$108)*TRANSPOSE(($D117:$E117))),0)</f>
        <v>192245.61475627427</v>
      </c>
      <c r="Q117" s="31" cm="1">
        <f t="array" ref="Q117">Q$106+IF($C117&lt;&gt;0,SUMPRODUCT((Q$107:Q$108)*TRANSPOSE(($D117:$E117))),0)</f>
        <v>192245.61475627427</v>
      </c>
      <c r="R117" s="31" cm="1">
        <f t="array" ref="R117">R$106+IF($C117&lt;&gt;0,SUMPRODUCT((R$107:R$108)*TRANSPOSE(($D117:$E117))),0)</f>
        <v>192245.61475627427</v>
      </c>
      <c r="S117" s="31" cm="1">
        <f t="array" ref="S117">S$106+IF($C117&lt;&gt;0,SUMPRODUCT((S$107:S$108)*TRANSPOSE(($D117:$E117))),0)</f>
        <v>192245.61475627427</v>
      </c>
      <c r="T117" s="31" cm="1">
        <f t="array" ref="T117">T$106+IF($C117&lt;&gt;0,SUMPRODUCT((T$107:T$108)*TRANSPOSE(($D117:$E117))),0)</f>
        <v>192245.61475627427</v>
      </c>
      <c r="U117" s="31" cm="1">
        <f t="array" ref="U117">U$106+IF($C117&lt;&gt;0,SUMPRODUCT((U$107:U$108)*TRANSPOSE(($D117:$E117))),0)</f>
        <v>192245.61475627427</v>
      </c>
      <c r="V117" s="31" cm="1">
        <f t="array" ref="V117">V$106+IF($C117&lt;&gt;0,SUMPRODUCT((V$107:V$108)*TRANSPOSE(($D117:$E117))),0)</f>
        <v>192245.61475627427</v>
      </c>
      <c r="W117" s="31" cm="1">
        <f t="array" ref="W117">W$106+IF($C117&lt;&gt;0,SUMPRODUCT((W$107:W$108)*TRANSPOSE(($D117:$E117))),0)</f>
        <v>192245.61475627427</v>
      </c>
      <c r="X117" s="31" cm="1">
        <f t="array" ref="X117">X$106+IF($C117&lt;&gt;0,SUMPRODUCT((X$107:X$108)*TRANSPOSE(($D117:$E117))),0)</f>
        <v>192245.61475627427</v>
      </c>
      <c r="Y117" s="31" cm="1">
        <f t="array" ref="Y117">Y$106+IF($C117&lt;&gt;0,SUMPRODUCT((Y$107:Y$108)*TRANSPOSE(($D117:$E117))),0)</f>
        <v>192245.61475627427</v>
      </c>
      <c r="Z117" s="31" cm="1">
        <f t="array" ref="Z117">Z$106+IF($C117&lt;&gt;0,SUMPRODUCT((Z$107:Z$108)*TRANSPOSE(($D117:$E117))),0)</f>
        <v>192245.61475627427</v>
      </c>
      <c r="AA117" s="31" cm="1">
        <f t="array" ref="AA117">AA$106+IF($C117&lt;&gt;0,SUMPRODUCT((AA$107:AA$108)*TRANSPOSE(($D117:$E117))),0)</f>
        <v>192245.61475627427</v>
      </c>
      <c r="AB117" s="31" cm="1">
        <f t="array" ref="AB117">AB$106+IF($C117&lt;&gt;0,SUMPRODUCT((AB$107:AB$108)*TRANSPOSE(($D117:$E117))),0)</f>
        <v>192245.61475627427</v>
      </c>
      <c r="AC117" s="31" cm="1">
        <f t="array" ref="AC117">AC$106+IF($C117&lt;&gt;0,SUMPRODUCT((AC$107:AC$108)*TRANSPOSE(($D117:$E117))),0)</f>
        <v>192245.61475627427</v>
      </c>
      <c r="AD117" s="31" cm="1">
        <f t="array" ref="AD117">AD$106+IF($C117&lt;&gt;0,SUMPRODUCT((AD$107:AD$108)*TRANSPOSE(($D117:$E117))),0)</f>
        <v>192245.61475627427</v>
      </c>
      <c r="AE117" s="31" cm="1">
        <f t="array" ref="AE117">AE$106+IF($C117&lt;&gt;0,SUMPRODUCT((AE$107:AE$108)*TRANSPOSE(($D117:$E117))),0)</f>
        <v>192245.61475627427</v>
      </c>
      <c r="AF117" s="31" cm="1">
        <f t="array" ref="AF117">AF$106+IF($C117&lt;&gt;0,SUMPRODUCT((AF$107:AF$108)*TRANSPOSE(($D117:$E117))),0)</f>
        <v>192245.61475627427</v>
      </c>
      <c r="AG117" s="31" cm="1">
        <f t="array" ref="AG117">AG$106+IF($C117&lt;&gt;0,SUMPRODUCT((AG$107:AG$108)*TRANSPOSE(($D117:$E117))),0)</f>
        <v>192245.61475627427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C33" sqref="C33"/>
      <selection pane="topRight" activeCell="C33" sqref="C33"/>
      <selection pane="bottomLeft" activeCell="C33" sqref="C33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Horsham REFCL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186</v>
      </c>
      <c r="B3" s="5"/>
      <c r="C3" s="203">
        <f>INDEX(Assumptions!$E$14:$E$18, MATCH(A3,_xlfn.ANCHORARRAY( Assumptions!$C$14),0))</f>
        <v>0</v>
      </c>
    </row>
    <row r="4" spans="1:43" x14ac:dyDescent="0.2">
      <c r="A4" s="204" t="str">
        <f>(INDEX(Data!$D$9:$D$13, MATCH(A3, options,0)))</f>
        <v>Not used</v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62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  <c r="AH12"/>
      <c r="AI12"/>
      <c r="AJ12"/>
      <c r="AK12"/>
    </row>
    <row r="13" spans="1:43" x14ac:dyDescent="0.2">
      <c r="C13" s="3" t="s">
        <v>17</v>
      </c>
      <c r="D13"/>
      <c r="E13" s="125" t="s">
        <v>69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0">
        <v>0</v>
      </c>
      <c r="G14" s="210">
        <f>input_dollars</f>
        <v>45291</v>
      </c>
      <c r="H14" s="151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0">
        <v>0</v>
      </c>
      <c r="G15" s="210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0">
        <v>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>SUM(K14:K16)</f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10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/>
      <c r="AI19"/>
      <c r="AJ19"/>
      <c r="AK19"/>
    </row>
    <row r="20" spans="1:43" x14ac:dyDescent="0.2">
      <c r="G20" s="208"/>
      <c r="AH20"/>
      <c r="AI20"/>
      <c r="AJ20"/>
      <c r="AK20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11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152</v>
      </c>
      <c r="D24" s="110"/>
      <c r="E24" s="110"/>
      <c r="F24" s="110"/>
      <c r="G24" s="211"/>
      <c r="H24" s="110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153</v>
      </c>
      <c r="D25" s="211"/>
      <c r="E25" s="110"/>
      <c r="F25" s="110"/>
      <c r="G25" s="211"/>
      <c r="H25" s="110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11"/>
      <c r="E26" s="110"/>
      <c r="F26" s="110"/>
      <c r="G26" s="211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8"/>
      <c r="E27"/>
      <c r="G27" s="210" t="s">
        <v>40</v>
      </c>
      <c r="H27"/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 t="s">
        <v>63</v>
      </c>
      <c r="E28" s="112">
        <f>Assumptions!H41*vcr_esc</f>
        <v>41631.575238965597</v>
      </c>
      <c r="F28" s="241" t="str">
        <f>IF(AND(SUM(I27:AG27)&lt;&gt;0, E28=0), "!", "")</f>
        <v/>
      </c>
      <c r="G28" s="210">
        <f>input_dollars</f>
        <v>45291</v>
      </c>
      <c r="H28"/>
      <c r="I28" s="301">
        <f>I27*$E$28</f>
        <v>0</v>
      </c>
      <c r="J28" s="301">
        <f t="shared" ref="J28:AG28" si="2">J27*$E$28</f>
        <v>0</v>
      </c>
      <c r="K28" s="301">
        <f t="shared" si="2"/>
        <v>0</v>
      </c>
      <c r="L28" s="301">
        <f t="shared" si="2"/>
        <v>0</v>
      </c>
      <c r="M28" s="301">
        <f t="shared" si="2"/>
        <v>0</v>
      </c>
      <c r="N28" s="301">
        <f t="shared" si="2"/>
        <v>0</v>
      </c>
      <c r="O28" s="301">
        <f t="shared" si="2"/>
        <v>0</v>
      </c>
      <c r="P28" s="301">
        <f t="shared" si="2"/>
        <v>0</v>
      </c>
      <c r="Q28" s="301">
        <f t="shared" si="2"/>
        <v>0</v>
      </c>
      <c r="R28" s="301">
        <f t="shared" si="2"/>
        <v>0</v>
      </c>
      <c r="S28" s="301">
        <f t="shared" si="2"/>
        <v>0</v>
      </c>
      <c r="T28" s="301">
        <f t="shared" si="2"/>
        <v>0</v>
      </c>
      <c r="U28" s="301">
        <f t="shared" si="2"/>
        <v>0</v>
      </c>
      <c r="V28" s="301">
        <f t="shared" si="2"/>
        <v>0</v>
      </c>
      <c r="W28" s="301">
        <f t="shared" si="2"/>
        <v>0</v>
      </c>
      <c r="X28" s="301">
        <f t="shared" si="2"/>
        <v>0</v>
      </c>
      <c r="Y28" s="301">
        <f t="shared" si="2"/>
        <v>0</v>
      </c>
      <c r="Z28" s="301">
        <f t="shared" si="2"/>
        <v>0</v>
      </c>
      <c r="AA28" s="301">
        <f t="shared" si="2"/>
        <v>0</v>
      </c>
      <c r="AB28" s="301">
        <f t="shared" si="2"/>
        <v>0</v>
      </c>
      <c r="AC28" s="301">
        <f t="shared" si="2"/>
        <v>0</v>
      </c>
      <c r="AD28" s="301">
        <f t="shared" si="2"/>
        <v>0</v>
      </c>
      <c r="AE28" s="301">
        <f t="shared" si="2"/>
        <v>0</v>
      </c>
      <c r="AF28" s="301">
        <f t="shared" si="2"/>
        <v>0</v>
      </c>
      <c r="AG28" s="301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9"/>
      <c r="E29"/>
      <c r="G29" s="2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8" t="s">
        <v>209</v>
      </c>
      <c r="G30" s="210">
        <f>input_dollars</f>
        <v>45291</v>
      </c>
      <c r="H30" s="151"/>
      <c r="I30" s="173" cm="1">
        <f t="array" ref="I30">SUMPRODUCT((Assumptions!$H$70:$H$71)*(Assumptions!$G$70:$G$71)*(Assumptions!$I$70:$I$71)*(I$24:I$25))</f>
        <v>0</v>
      </c>
      <c r="J30" s="173" cm="1">
        <f t="array" ref="J30">SUMPRODUCT((Assumptions!$H$70:$H$71)*(Assumptions!$G$70:$G$71)*(Assumptions!$I$70:$I$71)*(J$24:J$25))</f>
        <v>0</v>
      </c>
      <c r="K30" s="173" cm="1">
        <f t="array" ref="K30">SUMPRODUCT((Assumptions!$H$70:$H$71)*(Assumptions!$G$70:$G$71)*(Assumptions!$I$70:$I$71)*(K$24:K$25))</f>
        <v>0</v>
      </c>
      <c r="L30" s="173" cm="1">
        <f t="array" ref="L30">SUMPRODUCT((Assumptions!$H$70:$H$71)*(Assumptions!$G$70:$G$71)*(Assumptions!$I$70:$I$71)*(L$24:L$25))</f>
        <v>0</v>
      </c>
      <c r="M30" s="173" cm="1">
        <f t="array" ref="M30">SUMPRODUCT((Assumptions!$H$70:$H$71)*(Assumptions!$G$70:$G$71)*(Assumptions!$I$70:$I$71)*(M$24:M$25))</f>
        <v>0</v>
      </c>
      <c r="N30" s="173" cm="1">
        <f t="array" ref="N30">SUMPRODUCT((Assumptions!$H$70:$H$71)*(Assumptions!$G$70:$G$71)*(Assumptions!$I$70:$I$71)*(N$24:N$25))</f>
        <v>0</v>
      </c>
      <c r="O30" s="173" cm="1">
        <f t="array" ref="O30">SUMPRODUCT((Assumptions!$H$70:$H$71)*(Assumptions!$G$70:$G$71)*(Assumptions!$I$70:$I$71)*(O$24:O$25))</f>
        <v>0</v>
      </c>
      <c r="P30" s="173" cm="1">
        <f t="array" ref="P30">SUMPRODUCT((Assumptions!$H$70:$H$71)*(Assumptions!$G$70:$G$71)*(Assumptions!$I$70:$I$71)*(P$24:P$25))</f>
        <v>0</v>
      </c>
      <c r="Q30" s="173" cm="1">
        <f t="array" ref="Q30">SUMPRODUCT((Assumptions!$H$70:$H$71)*(Assumptions!$G$70:$G$71)*(Assumptions!$I$70:$I$71)*(Q$24:Q$25))</f>
        <v>0</v>
      </c>
      <c r="R30" s="173" cm="1">
        <f t="array" ref="R30">SUMPRODUCT((Assumptions!$H$70:$H$71)*(Assumptions!$G$70:$G$71)*(Assumptions!$I$70:$I$71)*(R$24:R$25))</f>
        <v>0</v>
      </c>
      <c r="S30" s="173" cm="1">
        <f t="array" ref="S30">SUMPRODUCT((Assumptions!$H$70:$H$71)*(Assumptions!$G$70:$G$71)*(Assumptions!$I$70:$I$71)*(S$24:S$25))</f>
        <v>0</v>
      </c>
      <c r="T30" s="173" cm="1">
        <f t="array" ref="T30">SUMPRODUCT((Assumptions!$H$70:$H$71)*(Assumptions!$G$70:$G$71)*(Assumptions!$I$70:$I$71)*(T$24:T$25))</f>
        <v>0</v>
      </c>
      <c r="U30" s="173" cm="1">
        <f t="array" ref="U30">SUMPRODUCT((Assumptions!$H$70:$H$71)*(Assumptions!$G$70:$G$71)*(Assumptions!$I$70:$I$71)*(U$24:U$25))</f>
        <v>0</v>
      </c>
      <c r="V30" s="173" cm="1">
        <f t="array" ref="V30">SUMPRODUCT((Assumptions!$H$70:$H$71)*(Assumptions!$G$70:$G$71)*(Assumptions!$I$70:$I$71)*(V$24:V$25))</f>
        <v>0</v>
      </c>
      <c r="W30" s="173" cm="1">
        <f t="array" ref="W30">SUMPRODUCT((Assumptions!$H$70:$H$71)*(Assumptions!$G$70:$G$71)*(Assumptions!$I$70:$I$71)*(W$24:W$25))</f>
        <v>0</v>
      </c>
      <c r="X30" s="173" cm="1">
        <f t="array" ref="X30">SUMPRODUCT((Assumptions!$H$70:$H$71)*(Assumptions!$G$70:$G$71)*(Assumptions!$I$70:$I$71)*(X$24:X$25))</f>
        <v>0</v>
      </c>
      <c r="Y30" s="173" cm="1">
        <f t="array" ref="Y30">SUMPRODUCT((Assumptions!$H$70:$H$71)*(Assumptions!$G$70:$G$71)*(Assumptions!$I$70:$I$71)*(Y$24:Y$25))</f>
        <v>0</v>
      </c>
      <c r="Z30" s="173" cm="1">
        <f t="array" ref="Z30">SUMPRODUCT((Assumptions!$H$70:$H$71)*(Assumptions!$G$70:$G$71)*(Assumptions!$I$70:$I$71)*(Z$24:Z$25))</f>
        <v>0</v>
      </c>
      <c r="AA30" s="173" cm="1">
        <f t="array" ref="AA30">SUMPRODUCT((Assumptions!$H$70:$H$71)*(Assumptions!$G$70:$G$71)*(Assumptions!$I$70:$I$71)*(AA$24:AA$25))</f>
        <v>0</v>
      </c>
      <c r="AB30" s="173" cm="1">
        <f t="array" ref="AB30">SUMPRODUCT((Assumptions!$H$70:$H$71)*(Assumptions!$G$70:$G$71)*(Assumptions!$I$70:$I$71)*(AB$24:AB$25))</f>
        <v>0</v>
      </c>
      <c r="AC30" s="173" cm="1">
        <f t="array" ref="AC30">SUMPRODUCT((Assumptions!$H$70:$H$71)*(Assumptions!$G$70:$G$71)*(Assumptions!$I$70:$I$71)*(AC$24:AC$25))</f>
        <v>0</v>
      </c>
      <c r="AD30" s="173" cm="1">
        <f t="array" ref="AD30">SUMPRODUCT((Assumptions!$H$70:$H$71)*(Assumptions!$G$70:$G$71)*(Assumptions!$I$70:$I$71)*(AD$24:AD$25))</f>
        <v>0</v>
      </c>
      <c r="AE30" s="173" cm="1">
        <f t="array" ref="AE30">SUMPRODUCT((Assumptions!$H$70:$H$71)*(Assumptions!$G$70:$G$71)*(Assumptions!$I$70:$I$71)*(AE$24:AE$25))</f>
        <v>0</v>
      </c>
      <c r="AF30" s="173" cm="1">
        <f t="array" ref="AF30">SUMPRODUCT((Assumptions!$H$70:$H$71)*(Assumptions!$G$70:$G$71)*(Assumptions!$I$70:$I$71)*(AF$24:AF$25))</f>
        <v>0</v>
      </c>
      <c r="AG30" s="173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9"/>
      <c r="E31"/>
      <c r="G31" s="210">
        <f>input_dollars</f>
        <v>45291</v>
      </c>
      <c r="H31" s="151"/>
      <c r="I31" s="173" cm="1">
        <f t="array" ref="I31">(1+Assumptions!$G$81)*SUMPRODUCT((Assumptions!$G$78:$G$79)*(I$24:I$25))</f>
        <v>0</v>
      </c>
      <c r="J31" s="173" cm="1">
        <f t="array" ref="J31">(1+Assumptions!$G$81)*SUMPRODUCT((Assumptions!$G$78:$G$79)*(J$24:J$25))</f>
        <v>0</v>
      </c>
      <c r="K31" s="173" cm="1">
        <f t="array" ref="K31">(1+Assumptions!$G$81)*SUMPRODUCT((Assumptions!$G$78:$G$79)*(K$24:K$25))</f>
        <v>0</v>
      </c>
      <c r="L31" s="173" cm="1">
        <f t="array" ref="L31">(1+Assumptions!$G$81)*SUMPRODUCT((Assumptions!$G$78:$G$79)*(L$24:L$25))</f>
        <v>0</v>
      </c>
      <c r="M31" s="173" cm="1">
        <f t="array" ref="M31">(1+Assumptions!$G$81)*SUMPRODUCT((Assumptions!$G$78:$G$79)*(M$24:M$25))</f>
        <v>0</v>
      </c>
      <c r="N31" s="173" cm="1">
        <f t="array" ref="N31">(1+Assumptions!$G$81)*SUMPRODUCT((Assumptions!$G$78:$G$79)*(N$24:N$25))</f>
        <v>0</v>
      </c>
      <c r="O31" s="173" cm="1">
        <f t="array" ref="O31">(1+Assumptions!$G$81)*SUMPRODUCT((Assumptions!$G$78:$G$79)*(O$24:O$25))</f>
        <v>0</v>
      </c>
      <c r="P31" s="173" cm="1">
        <f t="array" ref="P31">(1+Assumptions!$G$81)*SUMPRODUCT((Assumptions!$G$78:$G$79)*(P$24:P$25))</f>
        <v>0</v>
      </c>
      <c r="Q31" s="173" cm="1">
        <f t="array" ref="Q31">(1+Assumptions!$G$81)*SUMPRODUCT((Assumptions!$G$78:$G$79)*(Q$24:Q$25))</f>
        <v>0</v>
      </c>
      <c r="R31" s="173" cm="1">
        <f t="array" ref="R31">(1+Assumptions!$G$81)*SUMPRODUCT((Assumptions!$G$78:$G$79)*(R$24:R$25))</f>
        <v>0</v>
      </c>
      <c r="S31" s="173" cm="1">
        <f t="array" ref="S31">(1+Assumptions!$G$81)*SUMPRODUCT((Assumptions!$G$78:$G$79)*(S$24:S$25))</f>
        <v>0</v>
      </c>
      <c r="T31" s="173" cm="1">
        <f t="array" ref="T31">(1+Assumptions!$G$81)*SUMPRODUCT((Assumptions!$G$78:$G$79)*(T$24:T$25))</f>
        <v>0</v>
      </c>
      <c r="U31" s="173" cm="1">
        <f t="array" ref="U31">(1+Assumptions!$G$81)*SUMPRODUCT((Assumptions!$G$78:$G$79)*(U$24:U$25))</f>
        <v>0</v>
      </c>
      <c r="V31" s="173" cm="1">
        <f t="array" ref="V31">(1+Assumptions!$G$81)*SUMPRODUCT((Assumptions!$G$78:$G$79)*(V$24:V$25))</f>
        <v>0</v>
      </c>
      <c r="W31" s="173" cm="1">
        <f t="array" ref="W31">(1+Assumptions!$G$81)*SUMPRODUCT((Assumptions!$G$78:$G$79)*(W$24:W$25))</f>
        <v>0</v>
      </c>
      <c r="X31" s="173" cm="1">
        <f t="array" ref="X31">(1+Assumptions!$G$81)*SUMPRODUCT((Assumptions!$G$78:$G$79)*(X$24:X$25))</f>
        <v>0</v>
      </c>
      <c r="Y31" s="173" cm="1">
        <f t="array" ref="Y31">(1+Assumptions!$G$81)*SUMPRODUCT((Assumptions!$G$78:$G$79)*(Y$24:Y$25))</f>
        <v>0</v>
      </c>
      <c r="Z31" s="173" cm="1">
        <f t="array" ref="Z31">(1+Assumptions!$G$81)*SUMPRODUCT((Assumptions!$G$78:$G$79)*(Z$24:Z$25))</f>
        <v>0</v>
      </c>
      <c r="AA31" s="173" cm="1">
        <f t="array" ref="AA31">(1+Assumptions!$G$81)*SUMPRODUCT((Assumptions!$G$78:$G$79)*(AA$24:AA$25))</f>
        <v>0</v>
      </c>
      <c r="AB31" s="173" cm="1">
        <f t="array" ref="AB31">(1+Assumptions!$G$81)*SUMPRODUCT((Assumptions!$G$78:$G$79)*(AB$24:AB$25))</f>
        <v>0</v>
      </c>
      <c r="AC31" s="173" cm="1">
        <f t="array" ref="AC31">(1+Assumptions!$G$81)*SUMPRODUCT((Assumptions!$G$78:$G$79)*(AC$24:AC$25))</f>
        <v>0</v>
      </c>
      <c r="AD31" s="173" cm="1">
        <f t="array" ref="AD31">(1+Assumptions!$G$81)*SUMPRODUCT((Assumptions!$G$78:$G$79)*(AD$24:AD$25))</f>
        <v>0</v>
      </c>
      <c r="AE31" s="173" cm="1">
        <f t="array" ref="AE31">(1+Assumptions!$G$81)*SUMPRODUCT((Assumptions!$G$78:$G$79)*(AE$24:AE$25))</f>
        <v>0</v>
      </c>
      <c r="AF31" s="173" cm="1">
        <f t="array" ref="AF31">(1+Assumptions!$G$81)*SUMPRODUCT((Assumptions!$G$78:$G$79)*(AF$24:AF$25))</f>
        <v>0</v>
      </c>
      <c r="AG31" s="173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8" t="s">
        <v>209</v>
      </c>
      <c r="E32"/>
      <c r="G32" s="210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376" t="s">
        <v>271</v>
      </c>
      <c r="D33" s="222"/>
      <c r="E33"/>
      <c r="G33" s="210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8" t="s">
        <v>174</v>
      </c>
      <c r="D34" s="209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9"/>
      <c r="E35"/>
      <c r="G35" s="2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1"/>
      <c r="E36" s="106"/>
      <c r="F36" s="3"/>
      <c r="G36" s="212"/>
      <c r="H36" s="106"/>
      <c r="I36" s="173">
        <f>SUM(I28:I34)</f>
        <v>0</v>
      </c>
      <c r="J36" s="173">
        <f t="shared" ref="J36:AG36" si="3">SUM(J28:J34)</f>
        <v>0</v>
      </c>
      <c r="K36" s="173">
        <f t="shared" si="3"/>
        <v>0</v>
      </c>
      <c r="L36" s="173">
        <f t="shared" si="3"/>
        <v>0</v>
      </c>
      <c r="M36" s="173">
        <f t="shared" si="3"/>
        <v>0</v>
      </c>
      <c r="N36" s="173">
        <f t="shared" si="3"/>
        <v>0</v>
      </c>
      <c r="O36" s="173">
        <f t="shared" si="3"/>
        <v>0</v>
      </c>
      <c r="P36" s="173">
        <f t="shared" si="3"/>
        <v>0</v>
      </c>
      <c r="Q36" s="173">
        <f t="shared" si="3"/>
        <v>0</v>
      </c>
      <c r="R36" s="173">
        <f t="shared" si="3"/>
        <v>0</v>
      </c>
      <c r="S36" s="173">
        <f t="shared" si="3"/>
        <v>0</v>
      </c>
      <c r="T36" s="173">
        <f t="shared" si="3"/>
        <v>0</v>
      </c>
      <c r="U36" s="173">
        <f t="shared" si="3"/>
        <v>0</v>
      </c>
      <c r="V36" s="173">
        <f t="shared" si="3"/>
        <v>0</v>
      </c>
      <c r="W36" s="173">
        <f t="shared" si="3"/>
        <v>0</v>
      </c>
      <c r="X36" s="173">
        <f t="shared" si="3"/>
        <v>0</v>
      </c>
      <c r="Y36" s="173">
        <f t="shared" si="3"/>
        <v>0</v>
      </c>
      <c r="Z36" s="173">
        <f t="shared" si="3"/>
        <v>0</v>
      </c>
      <c r="AA36" s="173">
        <f t="shared" si="3"/>
        <v>0</v>
      </c>
      <c r="AB36" s="173">
        <f t="shared" si="3"/>
        <v>0</v>
      </c>
      <c r="AC36" s="173">
        <f t="shared" si="3"/>
        <v>0</v>
      </c>
      <c r="AD36" s="173">
        <f t="shared" si="3"/>
        <v>0</v>
      </c>
      <c r="AE36" s="173">
        <f t="shared" si="3"/>
        <v>0</v>
      </c>
      <c r="AF36" s="173">
        <f t="shared" si="3"/>
        <v>0</v>
      </c>
      <c r="AG36" s="173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7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8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8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9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8" t="s">
        <v>63</v>
      </c>
      <c r="E45" s="112">
        <f>Assumptions!G94</f>
        <v>151432.81740793545</v>
      </c>
      <c r="G45" s="210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8" t="s">
        <v>63</v>
      </c>
      <c r="E46" s="112">
        <f>Assumptions!G95</f>
        <v>24590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8" t="s">
        <v>63</v>
      </c>
      <c r="E47" s="111">
        <f>Assumptions!G96</f>
        <v>88.357719508603083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8" t="s">
        <v>126</v>
      </c>
      <c r="E48" s="111">
        <f>Assumptions!G97</f>
        <v>0</v>
      </c>
      <c r="G48" s="210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8" t="s">
        <v>207</v>
      </c>
      <c r="E49" s="111">
        <f>Assumptions!G98</f>
        <v>0.35181336539087127</v>
      </c>
      <c r="G49" s="210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8" t="s">
        <v>207</v>
      </c>
      <c r="E50" s="111">
        <f>Assumptions!G99</f>
        <v>0.35181336539087127</v>
      </c>
      <c r="G50" s="210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8" t="s">
        <v>126</v>
      </c>
      <c r="E51" s="111">
        <f>Assumptions!G100</f>
        <v>0</v>
      </c>
      <c r="G51" s="210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8" t="s">
        <v>126</v>
      </c>
      <c r="E52" s="111">
        <f>Assumptions!G101</f>
        <v>0</v>
      </c>
      <c r="G52" s="210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8"/>
      <c r="G53" s="21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8"/>
      <c r="G54" s="210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8"/>
      <c r="G56" s="208"/>
    </row>
    <row r="57" spans="1:43" x14ac:dyDescent="0.2">
      <c r="C57" s="3" t="s">
        <v>125</v>
      </c>
      <c r="D57" s="221"/>
      <c r="E57" s="106"/>
      <c r="F57" s="3"/>
      <c r="G57" s="213">
        <f>input_dollars</f>
        <v>45291</v>
      </c>
      <c r="H57" s="106"/>
      <c r="I57" s="173" cm="1">
        <f t="array" ref="I57">SUMPRODUCT((I$45:I$52)*($E$45:$E$52))+SUM(I54:I55)+I42</f>
        <v>0</v>
      </c>
      <c r="J57" s="173" cm="1">
        <f t="array" ref="J57">SUMPRODUCT((J$45:J$52)*($E$45:$E$52))+SUM(J54:J55)+J42</f>
        <v>0</v>
      </c>
      <c r="K57" s="173" cm="1">
        <f t="array" ref="K57">SUMPRODUCT((K$45:K$52)*($E$45:$E$52))+SUM(K54:K55)+K42</f>
        <v>0</v>
      </c>
      <c r="L57" s="173" cm="1">
        <f t="array" ref="L57">SUMPRODUCT((L$45:L$52)*($E$45:$E$52))+SUM(L54:L55)+L42</f>
        <v>0</v>
      </c>
      <c r="M57" s="173" cm="1">
        <f t="array" ref="M57">SUMPRODUCT((M$45:M$52)*($E$45:$E$52))+SUM(M54:M55)+M42</f>
        <v>0</v>
      </c>
      <c r="N57" s="173" cm="1">
        <f t="array" ref="N57">SUMPRODUCT((N$45:N$52)*($E$45:$E$52))+SUM(N54:N55)+N42</f>
        <v>0</v>
      </c>
      <c r="O57" s="173" cm="1">
        <f t="array" ref="O57">SUMPRODUCT((O$45:O$52)*($E$45:$E$52))+SUM(O54:O55)+O42</f>
        <v>0</v>
      </c>
      <c r="P57" s="173" cm="1">
        <f t="array" ref="P57">SUMPRODUCT((P$45:P$52)*($E$45:$E$52))+SUM(P54:P55)+P42</f>
        <v>0</v>
      </c>
      <c r="Q57" s="173" cm="1">
        <f t="array" ref="Q57">SUMPRODUCT((Q$45:Q$52)*($E$45:$E$52))+SUM(Q54:Q55)+Q42</f>
        <v>0</v>
      </c>
      <c r="R57" s="173" cm="1">
        <f t="array" ref="R57">SUMPRODUCT((R$45:R$52)*($E$45:$E$52))+SUM(R54:R55)+R42</f>
        <v>0</v>
      </c>
      <c r="S57" s="173" cm="1">
        <f t="array" ref="S57">SUMPRODUCT((S$45:S$52)*($E$45:$E$52))+SUM(S54:S55)+S42</f>
        <v>0</v>
      </c>
      <c r="T57" s="173" cm="1">
        <f t="array" ref="T57">SUMPRODUCT((T$45:T$52)*($E$45:$E$52))+SUM(T54:T55)+T42</f>
        <v>0</v>
      </c>
      <c r="U57" s="173" cm="1">
        <f t="array" ref="U57">SUMPRODUCT((U$45:U$52)*($E$45:$E$52))+SUM(U54:U55)+U42</f>
        <v>0</v>
      </c>
      <c r="V57" s="173" cm="1">
        <f t="array" ref="V57">SUMPRODUCT((V$45:V$52)*($E$45:$E$52))+SUM(V54:V55)+V42</f>
        <v>0</v>
      </c>
      <c r="W57" s="173" cm="1">
        <f t="array" ref="W57">SUMPRODUCT((W$45:W$52)*($E$45:$E$52))+SUM(W54:W55)+W42</f>
        <v>0</v>
      </c>
      <c r="X57" s="173" cm="1">
        <f t="array" ref="X57">SUMPRODUCT((X$45:X$52)*($E$45:$E$52))+SUM(X54:X55)+X42</f>
        <v>0</v>
      </c>
      <c r="Y57" s="173" cm="1">
        <f t="array" ref="Y57">SUMPRODUCT((Y$45:Y$52)*($E$45:$E$52))+SUM(Y54:Y55)+Y42</f>
        <v>0</v>
      </c>
      <c r="Z57" s="173" cm="1">
        <f t="array" ref="Z57">SUMPRODUCT((Z$45:Z$52)*($E$45:$E$52))+SUM(Z54:Z55)+Z42</f>
        <v>0</v>
      </c>
      <c r="AA57" s="173" cm="1">
        <f t="array" ref="AA57">SUMPRODUCT((AA$45:AA$52)*($E$45:$E$52))+SUM(AA54:AA55)+AA42</f>
        <v>0</v>
      </c>
      <c r="AB57" s="173" cm="1">
        <f t="array" ref="AB57">SUMPRODUCT((AB$45:AB$52)*($E$45:$E$52))+SUM(AB54:AB55)+AB42</f>
        <v>0</v>
      </c>
      <c r="AC57" s="173" cm="1">
        <f t="array" ref="AC57">SUMPRODUCT((AC$45:AC$52)*($E$45:$E$52))+SUM(AC54:AC55)+AC42</f>
        <v>0</v>
      </c>
      <c r="AD57" s="173" cm="1">
        <f t="array" ref="AD57">SUMPRODUCT((AD$45:AD$52)*($E$45:$E$52))+SUM(AD54:AD55)+AD42</f>
        <v>0</v>
      </c>
      <c r="AE57" s="173" cm="1">
        <f t="array" ref="AE57">SUMPRODUCT((AE$45:AE$52)*($E$45:$E$52))+SUM(AE54:AE55)+AE42</f>
        <v>0</v>
      </c>
      <c r="AF57" s="173" cm="1">
        <f t="array" ref="AF57">SUMPRODUCT((AF$45:AF$52)*($E$45:$E$52))+SUM(AF54:AF55)+AF42</f>
        <v>0</v>
      </c>
      <c r="AG57" s="173" cm="1">
        <f t="array" ref="AG57">SUMPRODUCT((AG$45:AG$52)*($E$45:$E$52))+SUM(AG54:AG55)+AG42</f>
        <v>0</v>
      </c>
    </row>
    <row r="58" spans="1:43" x14ac:dyDescent="0.2">
      <c r="D58" s="208"/>
      <c r="G58" s="20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4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5"/>
    </row>
    <row r="64" spans="1:43" x14ac:dyDescent="0.2">
      <c r="C64" s="4" t="str">
        <f>'Option1 (base case)'!C64</f>
        <v>Risks mitigated vs base case</v>
      </c>
      <c r="G64" s="213">
        <f>input_dollars</f>
        <v>45291</v>
      </c>
      <c r="I64" s="134">
        <f>(1-INDEX(Data!$C$9:$C$13, MATCH($A$3, options,0)))*('Option1 (base case)'!I36-I36)</f>
        <v>0</v>
      </c>
      <c r="J64" s="134">
        <f>(1-INDEX(Data!$C$9:$C$13, MATCH($A$3, options,0)))*('Option1 (base case)'!J36-J36)</f>
        <v>0</v>
      </c>
      <c r="K64" s="134">
        <f>(1-INDEX(Data!$C$9:$C$13, MATCH($A$3, options,0)))*('Option1 (base case)'!K36-K36)</f>
        <v>0</v>
      </c>
      <c r="L64" s="134">
        <f>(1-INDEX(Data!$C$9:$C$13, MATCH($A$3, options,0)))*('Option1 (base case)'!L36-L36)</f>
        <v>0</v>
      </c>
      <c r="M64" s="134">
        <f>(1-INDEX(Data!$C$9:$C$13, MATCH($A$3, options,0)))*('Option1 (base case)'!M36-M36)</f>
        <v>0</v>
      </c>
      <c r="N64" s="134">
        <f>(1-INDEX(Data!$C$9:$C$13, MATCH($A$3, options,0)))*('Option1 (base case)'!N36-N36)</f>
        <v>0</v>
      </c>
      <c r="O64" s="134">
        <f>(1-INDEX(Data!$C$9:$C$13, MATCH($A$3, options,0)))*('Option1 (base case)'!O36-O36)</f>
        <v>0</v>
      </c>
      <c r="P64" s="134">
        <f>(1-INDEX(Data!$C$9:$C$13, MATCH($A$3, options,0)))*('Option1 (base case)'!P36-P36)</f>
        <v>0</v>
      </c>
      <c r="Q64" s="134">
        <f>(1-INDEX(Data!$C$9:$C$13, MATCH($A$3, options,0)))*('Option1 (base case)'!Q36-Q36)</f>
        <v>0</v>
      </c>
      <c r="R64" s="134">
        <f>(1-INDEX(Data!$C$9:$C$13, MATCH($A$3, options,0)))*('Option1 (base case)'!R36-R36)</f>
        <v>0</v>
      </c>
      <c r="S64" s="134">
        <f>(1-INDEX(Data!$C$9:$C$13, MATCH($A$3, options,0)))*('Option1 (base case)'!S36-S36)</f>
        <v>0</v>
      </c>
      <c r="T64" s="134">
        <f>(1-INDEX(Data!$C$9:$C$13, MATCH($A$3, options,0)))*('Option1 (base case)'!T36-T36)</f>
        <v>0</v>
      </c>
      <c r="U64" s="134">
        <f>(1-INDEX(Data!$C$9:$C$13, MATCH($A$3, options,0)))*('Option1 (base case)'!U36-U36)</f>
        <v>0</v>
      </c>
      <c r="V64" s="134">
        <f>(1-INDEX(Data!$C$9:$C$13, MATCH($A$3, options,0)))*('Option1 (base case)'!V36-V36)</f>
        <v>0</v>
      </c>
      <c r="W64" s="134">
        <f>(1-INDEX(Data!$C$9:$C$13, MATCH($A$3, options,0)))*('Option1 (base case)'!W36-W36)</f>
        <v>0</v>
      </c>
      <c r="X64" s="134">
        <f>(1-INDEX(Data!$C$9:$C$13, MATCH($A$3, options,0)))*('Option1 (base case)'!X36-X36)</f>
        <v>0</v>
      </c>
      <c r="Y64" s="134">
        <f>(1-INDEX(Data!$C$9:$C$13, MATCH($A$3, options,0)))*('Option1 (base case)'!Y36-Y36)</f>
        <v>0</v>
      </c>
      <c r="Z64" s="134">
        <f>(1-INDEX(Data!$C$9:$C$13, MATCH($A$3, options,0)))*('Option1 (base case)'!Z36-Z36)</f>
        <v>0</v>
      </c>
      <c r="AA64" s="134">
        <f>(1-INDEX(Data!$C$9:$C$13, MATCH($A$3, options,0)))*('Option1 (base case)'!AA36-AA36)</f>
        <v>0</v>
      </c>
      <c r="AB64" s="134">
        <f>(1-INDEX(Data!$C$9:$C$13, MATCH($A$3, options,0)))*('Option1 (base case)'!AB36-AB36)</f>
        <v>0</v>
      </c>
      <c r="AC64" s="134">
        <f>(1-INDEX(Data!$C$9:$C$13, MATCH($A$3, options,0)))*('Option1 (base case)'!AC36-AC36)</f>
        <v>0</v>
      </c>
      <c r="AD64" s="134">
        <f>(1-INDEX(Data!$C$9:$C$13, MATCH($A$3, options,0)))*('Option1 (base case)'!AD36-AD36)</f>
        <v>0</v>
      </c>
      <c r="AE64" s="134">
        <f>(1-INDEX(Data!$C$9:$C$13, MATCH($A$3, options,0)))*('Option1 (base case)'!AE36-AE36)</f>
        <v>0</v>
      </c>
      <c r="AF64" s="134">
        <f>(1-INDEX(Data!$C$9:$C$13, MATCH($A$3, options,0)))*('Option1 (base case)'!AF36-AF36)</f>
        <v>0</v>
      </c>
      <c r="AG64" s="134">
        <f>(1-INDEX(Data!$C$9:$C$13, MATCH($A$3, options,0)))*('Option1 (base case)'!AG36-AG36)</f>
        <v>0</v>
      </c>
    </row>
    <row r="65" spans="1:33" x14ac:dyDescent="0.2">
      <c r="G65" s="215"/>
    </row>
    <row r="66" spans="1:33" x14ac:dyDescent="0.2">
      <c r="A66" s="8"/>
      <c r="B66" s="8"/>
      <c r="C66" s="149" t="s">
        <v>30</v>
      </c>
      <c r="D66" s="38"/>
      <c r="F66" s="96"/>
      <c r="G66" s="216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13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13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13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7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9" t="s">
        <v>157</v>
      </c>
      <c r="D71" s="38"/>
      <c r="F71" s="96"/>
      <c r="G71" s="216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13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13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13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7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9" t="s">
        <v>91</v>
      </c>
      <c r="D76" s="38"/>
      <c r="F76" s="96"/>
      <c r="G76" s="216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13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13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13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5" t="s">
        <v>158</v>
      </c>
      <c r="D80" s="175"/>
      <c r="E80" s="176"/>
      <c r="F80" s="177"/>
      <c r="G80" s="218">
        <f>input_dollars</f>
        <v>45291</v>
      </c>
      <c r="H80" s="178"/>
      <c r="I80" s="179">
        <f>SUM(I77:I79)</f>
        <v>0</v>
      </c>
      <c r="J80" s="179">
        <f t="shared" ref="J80:AB80" si="11">SUM(J77:J79)</f>
        <v>0</v>
      </c>
      <c r="K80" s="179">
        <f t="shared" si="11"/>
        <v>0</v>
      </c>
      <c r="L80" s="179">
        <f t="shared" si="11"/>
        <v>0</v>
      </c>
      <c r="M80" s="179">
        <f t="shared" si="11"/>
        <v>0</v>
      </c>
      <c r="N80" s="179">
        <f t="shared" si="11"/>
        <v>0</v>
      </c>
      <c r="O80" s="179">
        <f t="shared" si="11"/>
        <v>0</v>
      </c>
      <c r="P80" s="179">
        <f t="shared" si="11"/>
        <v>0</v>
      </c>
      <c r="Q80" s="179">
        <f t="shared" si="11"/>
        <v>0</v>
      </c>
      <c r="R80" s="179">
        <f t="shared" si="11"/>
        <v>0</v>
      </c>
      <c r="S80" s="179">
        <f t="shared" si="11"/>
        <v>0</v>
      </c>
      <c r="T80" s="179">
        <f t="shared" si="11"/>
        <v>0</v>
      </c>
      <c r="U80" s="179">
        <f t="shared" si="11"/>
        <v>0</v>
      </c>
      <c r="V80" s="179">
        <f t="shared" si="11"/>
        <v>0</v>
      </c>
      <c r="W80" s="179">
        <f t="shared" si="11"/>
        <v>0</v>
      </c>
      <c r="X80" s="179">
        <f t="shared" si="11"/>
        <v>0</v>
      </c>
      <c r="Y80" s="179">
        <f t="shared" si="11"/>
        <v>0</v>
      </c>
      <c r="Z80" s="179">
        <f t="shared" si="11"/>
        <v>0</v>
      </c>
      <c r="AA80" s="179">
        <f t="shared" si="11"/>
        <v>0</v>
      </c>
      <c r="AB80" s="179">
        <f t="shared" si="11"/>
        <v>0</v>
      </c>
      <c r="AC80" s="179">
        <f>SUM(AC77:AC79)</f>
        <v>0</v>
      </c>
      <c r="AD80" s="179">
        <f>SUM(AD77:AD79)</f>
        <v>0</v>
      </c>
      <c r="AE80" s="179">
        <f>SUM(AE77:AE79)</f>
        <v>0</v>
      </c>
      <c r="AF80" s="179">
        <f>SUM(AF77:AF79)</f>
        <v>0</v>
      </c>
      <c r="AG80" s="179">
        <f>SUM(AG77:AG79)</f>
        <v>0</v>
      </c>
    </row>
    <row r="81" spans="1:33" x14ac:dyDescent="0.2">
      <c r="A81" s="8"/>
      <c r="B81" s="8"/>
      <c r="C81" s="75"/>
      <c r="D81" s="38"/>
      <c r="F81"/>
      <c r="G81" s="219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13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13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6"/>
      <c r="G84" s="213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13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189</v>
      </c>
      <c r="D87" s="181"/>
      <c r="E87" s="176"/>
      <c r="F87" s="182"/>
      <c r="G87" s="218">
        <f t="shared" si="12"/>
        <v>45291</v>
      </c>
      <c r="H87" s="182"/>
      <c r="I87" s="182">
        <f t="shared" ref="I87:AB87" si="17">SUM(I82:I86)</f>
        <v>0</v>
      </c>
      <c r="J87" s="182">
        <f t="shared" si="17"/>
        <v>0</v>
      </c>
      <c r="K87" s="182">
        <f t="shared" si="17"/>
        <v>0</v>
      </c>
      <c r="L87" s="182">
        <f t="shared" si="17"/>
        <v>0</v>
      </c>
      <c r="M87" s="182">
        <f t="shared" si="17"/>
        <v>0</v>
      </c>
      <c r="N87" s="182">
        <f t="shared" si="17"/>
        <v>0</v>
      </c>
      <c r="O87" s="182">
        <f t="shared" si="17"/>
        <v>0</v>
      </c>
      <c r="P87" s="182">
        <f t="shared" si="17"/>
        <v>0</v>
      </c>
      <c r="Q87" s="182">
        <f t="shared" si="17"/>
        <v>0</v>
      </c>
      <c r="R87" s="182">
        <f t="shared" si="17"/>
        <v>0</v>
      </c>
      <c r="S87" s="182">
        <f t="shared" si="17"/>
        <v>0</v>
      </c>
      <c r="T87" s="182">
        <f t="shared" si="17"/>
        <v>0</v>
      </c>
      <c r="U87" s="182">
        <f t="shared" si="17"/>
        <v>0</v>
      </c>
      <c r="V87" s="182">
        <f t="shared" si="17"/>
        <v>0</v>
      </c>
      <c r="W87" s="182">
        <f t="shared" si="17"/>
        <v>0</v>
      </c>
      <c r="X87" s="182">
        <f t="shared" si="17"/>
        <v>0</v>
      </c>
      <c r="Y87" s="182">
        <f t="shared" si="17"/>
        <v>0</v>
      </c>
      <c r="Z87" s="182">
        <f t="shared" si="17"/>
        <v>0</v>
      </c>
      <c r="AA87" s="182">
        <f t="shared" si="17"/>
        <v>0</v>
      </c>
      <c r="AB87" s="182">
        <f t="shared" si="17"/>
        <v>0</v>
      </c>
      <c r="AC87" s="182">
        <f>SUM(AC82:AC86)</f>
        <v>0</v>
      </c>
      <c r="AD87" s="182">
        <f>SUM(AD82:AD86)</f>
        <v>0</v>
      </c>
      <c r="AE87" s="182">
        <f>SUM(AE82:AE86)</f>
        <v>0</v>
      </c>
      <c r="AF87" s="182">
        <f>SUM(AF82:AF86)</f>
        <v>0</v>
      </c>
      <c r="AG87" s="182">
        <f>SUM(AG82:AG86)</f>
        <v>0</v>
      </c>
    </row>
    <row r="88" spans="1:33" x14ac:dyDescent="0.2">
      <c r="A88" s="8"/>
      <c r="B88" s="8"/>
      <c r="C88" s="75"/>
      <c r="D88" s="140"/>
      <c r="E88" s="64"/>
      <c r="F88" s="143"/>
      <c r="G88" s="220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40"/>
      <c r="E89" s="64"/>
      <c r="F89" s="143"/>
      <c r="G89" s="220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33" t="s">
        <v>199</v>
      </c>
      <c r="D90" s="82"/>
      <c r="E90" s="234"/>
      <c r="F90" s="235"/>
      <c r="G90" s="236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7"/>
      <c r="E91" s="234"/>
      <c r="F91" s="234"/>
      <c r="G91" s="236"/>
    </row>
    <row r="92" spans="1:33" x14ac:dyDescent="0.2">
      <c r="C92" s="238" t="s">
        <v>194</v>
      </c>
      <c r="D92" s="239"/>
      <c r="E92" s="239"/>
      <c r="F92" s="239"/>
      <c r="G92" s="240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7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5" t="str">
        <f>Assumptions!G110</f>
        <v>Capex</v>
      </c>
      <c r="E109" s="305" t="str">
        <f>Assumptions!H110</f>
        <v>Total benefits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43" x14ac:dyDescent="0.2">
      <c r="A110" s="1" t="str">
        <f>"sens"&amp;Assumptions!B111</f>
        <v>sens1</v>
      </c>
      <c r="C110" s="304" t="str">
        <f>Assumptions!C111</f>
        <v>Capex 10% higher</v>
      </c>
      <c r="D110" s="305">
        <f>Assumptions!G111</f>
        <v>0.1</v>
      </c>
      <c r="E110" s="305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4" t="str">
        <f>Assumptions!C112</f>
        <v>Capex 10% lower</v>
      </c>
      <c r="D111" s="305">
        <f>Assumptions!G112</f>
        <v>-0.1</v>
      </c>
      <c r="E111" s="305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4" t="str">
        <f>Assumptions!C113</f>
        <v>Total benefits 10% higher</v>
      </c>
      <c r="D112" s="305">
        <f>Assumptions!G113</f>
        <v>0</v>
      </c>
      <c r="E112" s="305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4" t="str">
        <f>Assumptions!C114</f>
        <v>Total benefits 10% lower</v>
      </c>
      <c r="D113" s="305">
        <f>Assumptions!G114</f>
        <v>0</v>
      </c>
      <c r="E113" s="305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4" t="str">
        <f>Assumptions!C115</f>
        <v>Capex 10% higher &amp; Total benefits 10% lower</v>
      </c>
      <c r="D114" s="305">
        <f>Assumptions!G115</f>
        <v>0.1</v>
      </c>
      <c r="E114" s="305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4">
        <f>Assumptions!C116</f>
        <v>0</v>
      </c>
      <c r="D115" s="305">
        <f>Assumptions!G116</f>
        <v>0</v>
      </c>
      <c r="E115" s="305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4">
        <f>Assumptions!C117</f>
        <v>0</v>
      </c>
      <c r="D116" s="305">
        <f>Assumptions!G117</f>
        <v>0</v>
      </c>
      <c r="E116" s="305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4">
        <f>Assumptions!C118</f>
        <v>0</v>
      </c>
      <c r="D117" s="305">
        <f>Assumptions!G118</f>
        <v>0</v>
      </c>
      <c r="E117" s="305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Horsham REFCL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6" t="s">
        <v>90</v>
      </c>
      <c r="B3" s="5"/>
      <c r="C3" s="34"/>
      <c r="D3" s="34"/>
      <c r="E3" s="3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4" s="2" customFormat="1" ht="10.5" customHeight="1" x14ac:dyDescent="0.2">
      <c r="A4" s="114"/>
      <c r="B4" s="114"/>
      <c r="C4" s="115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4" s="2" customFormat="1" hidden="1" outlineLevel="1" x14ac:dyDescent="0.2">
      <c r="A5" s="115" t="s">
        <v>195</v>
      </c>
      <c r="B5" s="115"/>
      <c r="C5" s="116"/>
      <c r="D5" s="115"/>
      <c r="E5" s="115"/>
      <c r="F5" s="115"/>
      <c r="G5" s="100"/>
      <c r="H5" s="191">
        <f t="shared" ref="H5:AG5" si="0">IF(H9=start,1/((1+real_disc)^(1/2)),G5/(1+real_disc))</f>
        <v>0</v>
      </c>
      <c r="I5" s="191">
        <f t="shared" si="0"/>
        <v>0.98294637436598087</v>
      </c>
      <c r="J5" s="191">
        <f t="shared" si="0"/>
        <v>0.94970664189949849</v>
      </c>
      <c r="K5" s="191">
        <f t="shared" si="0"/>
        <v>0.91759095835700344</v>
      </c>
      <c r="L5" s="191">
        <f t="shared" si="0"/>
        <v>0.88656131242222558</v>
      </c>
      <c r="M5" s="191">
        <f t="shared" si="0"/>
        <v>0.85658097818572532</v>
      </c>
      <c r="N5" s="191">
        <f t="shared" si="0"/>
        <v>0.8276144716770294</v>
      </c>
      <c r="O5" s="191">
        <f t="shared" si="0"/>
        <v>0.79962750886669509</v>
      </c>
      <c r="P5" s="191">
        <f t="shared" si="0"/>
        <v>0.77258696508859437</v>
      </c>
      <c r="Q5" s="191">
        <f t="shared" si="0"/>
        <v>0.74646083583439071</v>
      </c>
      <c r="R5" s="191">
        <f t="shared" si="0"/>
        <v>0.72121819887380756</v>
      </c>
      <c r="S5" s="191">
        <f t="shared" si="0"/>
        <v>0.69682917765585273</v>
      </c>
      <c r="T5" s="191">
        <f t="shared" si="0"/>
        <v>0.67326490594768384</v>
      </c>
      <c r="U5" s="191">
        <f t="shared" si="0"/>
        <v>0.6504974936692598</v>
      </c>
      <c r="V5" s="191">
        <f t="shared" si="0"/>
        <v>0.62849999388334288</v>
      </c>
      <c r="W5" s="191">
        <f t="shared" si="0"/>
        <v>0.60724637090178057</v>
      </c>
      <c r="X5" s="191">
        <f t="shared" si="0"/>
        <v>0.58671146947031949</v>
      </c>
      <c r="Y5" s="191">
        <f t="shared" si="0"/>
        <v>0.56687098499547783</v>
      </c>
      <c r="Z5" s="191">
        <f t="shared" si="0"/>
        <v>0.54770143477823952</v>
      </c>
      <c r="AA5" s="191">
        <f t="shared" si="0"/>
        <v>0.52918013022052135</v>
      </c>
      <c r="AB5" s="191">
        <f t="shared" si="0"/>
        <v>0.5112851499715183</v>
      </c>
      <c r="AC5" s="191">
        <f t="shared" si="0"/>
        <v>0.4939953139821433</v>
      </c>
      <c r="AD5" s="191">
        <f t="shared" si="0"/>
        <v>0.47729015843685346</v>
      </c>
      <c r="AE5" s="191">
        <f t="shared" si="0"/>
        <v>0.46114991153319179</v>
      </c>
      <c r="AF5" s="191">
        <f t="shared" si="0"/>
        <v>0.4455554700803786</v>
      </c>
      <c r="AG5" s="191">
        <f t="shared" si="0"/>
        <v>0.43048837688925473</v>
      </c>
    </row>
    <row r="6" spans="1:34" s="2" customFormat="1" hidden="1" outlineLevel="1" x14ac:dyDescent="0.2">
      <c r="A6" s="192" t="str">
        <f>'Option1 (base case)'!A6</f>
        <v>Count</v>
      </c>
      <c r="B6" s="115"/>
      <c r="C6" s="116"/>
      <c r="D6" s="115"/>
      <c r="E6" s="115"/>
      <c r="F6" s="115"/>
      <c r="G6" s="100"/>
      <c r="H6" s="192">
        <f>'Option1 (base case)'!H6</f>
        <v>0</v>
      </c>
      <c r="I6" s="192">
        <f>'Option1 (base case)'!I6</f>
        <v>1</v>
      </c>
      <c r="J6" s="192">
        <f>'Option1 (base case)'!J6</f>
        <v>2</v>
      </c>
      <c r="K6" s="192">
        <f>'Option1 (base case)'!K6</f>
        <v>3</v>
      </c>
      <c r="L6" s="192">
        <f>'Option1 (base case)'!L6</f>
        <v>4</v>
      </c>
      <c r="M6" s="192">
        <f>'Option1 (base case)'!M6</f>
        <v>5</v>
      </c>
      <c r="N6" s="192">
        <f>'Option1 (base case)'!N6</f>
        <v>6</v>
      </c>
      <c r="O6" s="192">
        <f>'Option1 (base case)'!O6</f>
        <v>7</v>
      </c>
      <c r="P6" s="192">
        <f>'Option1 (base case)'!P6</f>
        <v>8</v>
      </c>
      <c r="Q6" s="192">
        <f>'Option1 (base case)'!Q6</f>
        <v>9</v>
      </c>
      <c r="R6" s="192">
        <f>'Option1 (base case)'!R6</f>
        <v>10</v>
      </c>
      <c r="S6" s="192">
        <f>'Option1 (base case)'!S6</f>
        <v>11</v>
      </c>
      <c r="T6" s="192">
        <f>'Option1 (base case)'!T6</f>
        <v>12</v>
      </c>
      <c r="U6" s="192">
        <f>'Option1 (base case)'!U6</f>
        <v>13</v>
      </c>
      <c r="V6" s="192">
        <f>'Option1 (base case)'!V6</f>
        <v>14</v>
      </c>
      <c r="W6" s="192">
        <f>'Option1 (base case)'!W6</f>
        <v>15</v>
      </c>
      <c r="X6" s="192">
        <f>'Option1 (base case)'!X6</f>
        <v>16</v>
      </c>
      <c r="Y6" s="192">
        <f>'Option1 (base case)'!Y6</f>
        <v>17</v>
      </c>
      <c r="Z6" s="192">
        <f>'Option1 (base case)'!Z6</f>
        <v>18</v>
      </c>
      <c r="AA6" s="192">
        <f>'Option1 (base case)'!AA6</f>
        <v>19</v>
      </c>
      <c r="AB6" s="192">
        <f>'Option1 (base case)'!AB6</f>
        <v>20</v>
      </c>
      <c r="AC6" s="192">
        <f>'Option1 (base case)'!AC6</f>
        <v>21</v>
      </c>
      <c r="AD6" s="192">
        <f>'Option1 (base case)'!AD6</f>
        <v>22</v>
      </c>
      <c r="AE6" s="192">
        <f>'Option1 (base case)'!AE6</f>
        <v>23</v>
      </c>
      <c r="AF6" s="192">
        <f>'Option1 (base case)'!AF6</f>
        <v>24</v>
      </c>
      <c r="AG6" s="192">
        <f>'Option1 (base case)'!AG6</f>
        <v>25</v>
      </c>
    </row>
    <row r="7" spans="1:34" s="2" customFormat="1" hidden="1" outlineLevel="1" x14ac:dyDescent="0.2">
      <c r="A7" s="115" t="s">
        <v>196</v>
      </c>
      <c r="B7" s="115"/>
      <c r="C7" s="116"/>
      <c r="D7" s="115"/>
      <c r="E7" s="115"/>
      <c r="F7" s="115"/>
      <c r="G7" s="100"/>
      <c r="H7" s="100" t="b">
        <f t="shared" ref="H7:AG7" si="1">H$6&lt;(first_year+years)</f>
        <v>1</v>
      </c>
      <c r="I7" s="100" t="b">
        <f t="shared" si="1"/>
        <v>1</v>
      </c>
      <c r="J7" s="100" t="b">
        <f t="shared" si="1"/>
        <v>1</v>
      </c>
      <c r="K7" s="100" t="b">
        <f t="shared" si="1"/>
        <v>1</v>
      </c>
      <c r="L7" s="100" t="b">
        <f t="shared" si="1"/>
        <v>1</v>
      </c>
      <c r="M7" s="100" t="b">
        <f t="shared" si="1"/>
        <v>1</v>
      </c>
      <c r="N7" s="100" t="b">
        <f t="shared" si="1"/>
        <v>1</v>
      </c>
      <c r="O7" s="100" t="b">
        <f t="shared" si="1"/>
        <v>1</v>
      </c>
      <c r="P7" s="100" t="b">
        <f t="shared" si="1"/>
        <v>1</v>
      </c>
      <c r="Q7" s="100" t="b">
        <f t="shared" si="1"/>
        <v>1</v>
      </c>
      <c r="R7" s="100" t="b">
        <f t="shared" si="1"/>
        <v>1</v>
      </c>
      <c r="S7" s="100" t="b">
        <f t="shared" si="1"/>
        <v>1</v>
      </c>
      <c r="T7" s="100" t="b">
        <f t="shared" si="1"/>
        <v>1</v>
      </c>
      <c r="U7" s="100" t="b">
        <f t="shared" si="1"/>
        <v>1</v>
      </c>
      <c r="V7" s="100" t="b">
        <f t="shared" si="1"/>
        <v>1</v>
      </c>
      <c r="W7" s="100" t="b">
        <f t="shared" si="1"/>
        <v>1</v>
      </c>
      <c r="X7" s="100" t="b">
        <f t="shared" si="1"/>
        <v>1</v>
      </c>
      <c r="Y7" s="100" t="b">
        <f t="shared" si="1"/>
        <v>1</v>
      </c>
      <c r="Z7" s="100" t="b">
        <f t="shared" si="1"/>
        <v>1</v>
      </c>
      <c r="AA7" s="100" t="b">
        <f t="shared" si="1"/>
        <v>1</v>
      </c>
      <c r="AB7" s="100" t="b">
        <f t="shared" si="1"/>
        <v>1</v>
      </c>
      <c r="AC7" s="100" t="b">
        <f t="shared" si="1"/>
        <v>1</v>
      </c>
      <c r="AD7" s="100" t="b">
        <f t="shared" si="1"/>
        <v>1</v>
      </c>
      <c r="AE7" s="100" t="b">
        <f t="shared" si="1"/>
        <v>1</v>
      </c>
      <c r="AF7" s="100" t="b">
        <f t="shared" si="1"/>
        <v>0</v>
      </c>
      <c r="AG7" s="100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4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7"/>
      <c r="D10" s="117"/>
      <c r="F10" s="117"/>
      <c r="G10" s="224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4" s="2" customFormat="1" ht="15" x14ac:dyDescent="0.2">
      <c r="A11" s="119" t="s">
        <v>39</v>
      </c>
      <c r="B11" s="119"/>
      <c r="C11" s="120"/>
      <c r="D11" s="120"/>
      <c r="E11" s="120"/>
      <c r="F11" s="70" t="s">
        <v>154</v>
      </c>
      <c r="G11" s="225"/>
      <c r="H11" s="121" t="str" cm="1">
        <f t="array" ref="H11">IF(H6=$C$4,UPPER($A$4),IF(H6=end,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4" s="2" customFormat="1" x14ac:dyDescent="0.2">
      <c r="A12" s="117"/>
      <c r="B12" s="117"/>
      <c r="C12" s="117"/>
      <c r="D12" s="117"/>
      <c r="F12" s="117"/>
      <c r="G12" s="227"/>
      <c r="H12" s="117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34" s="2" customFormat="1" x14ac:dyDescent="0.2">
      <c r="A13" s="122"/>
      <c r="B13" s="122"/>
      <c r="C13" s="122"/>
      <c r="D13" s="117"/>
      <c r="F13" s="117"/>
      <c r="G13" s="224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</row>
    <row r="14" spans="1:34" s="274" customFormat="1" x14ac:dyDescent="0.2">
      <c r="A14" s="272" t="str">
        <f>A15</f>
        <v>Option 1 (base case)</v>
      </c>
      <c r="B14" s="272"/>
      <c r="C14" s="272" t="s">
        <v>124</v>
      </c>
      <c r="D14" s="273" t="str">
        <f t="shared" ref="D14:D25" si="2">A14&amp;C14</f>
        <v>Option 1 (base case)Energy at risk value</v>
      </c>
      <c r="F14" s="96">
        <f>SUMPRODUCT($H14:$AG14, $H$5:$AG$5)</f>
        <v>0</v>
      </c>
      <c r="G14" s="275">
        <f>output_dollars</f>
        <v>46203</v>
      </c>
      <c r="H14" s="276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7" t="str">
        <f>Data!B9</f>
        <v>Option 1 (base case)</v>
      </c>
      <c r="B15" s="137"/>
      <c r="C15" s="58" t="str">
        <f>'Option1 (base case)'!C$66</f>
        <v>Capital expenditure</v>
      </c>
      <c r="D15" s="38" t="str">
        <f t="shared" si="2"/>
        <v>Option 1 (base case)Capital expenditure</v>
      </c>
      <c r="F15" s="96">
        <f>SUMPRODUCT($H15:$AG15, $H$5:$AG$5)</f>
        <v>0</v>
      </c>
      <c r="G15" s="228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7" t="str">
        <f t="shared" ref="A16:A25" si="3">A15</f>
        <v>Option 1 (base case)</v>
      </c>
      <c r="B16" s="137"/>
      <c r="C16" s="58" t="str">
        <f>'Option1 (base case)'!C$36</f>
        <v>Total risk cost</v>
      </c>
      <c r="D16" s="38" t="str">
        <f t="shared" si="2"/>
        <v>Option 1 (base case)Total risk cost</v>
      </c>
      <c r="F16" s="107" cm="1">
        <f t="array" ref="F16">SUMPRODUCT(($H16:$AG16)*($H$5:$AG$5)*($H$7:$AG$7))</f>
        <v>44967023.797477931</v>
      </c>
      <c r="G16" s="228">
        <f>output_dollars</f>
        <v>46203</v>
      </c>
      <c r="H16" s="31"/>
      <c r="I16" s="31">
        <f>'Option1 (base case)'!I$36*conv_2026</f>
        <v>2829642.2232395508</v>
      </c>
      <c r="J16" s="31">
        <f>'Option1 (base case)'!J$36*conv_2026</f>
        <v>2829642.2232395508</v>
      </c>
      <c r="K16" s="31">
        <f>'Option1 (base case)'!K$36*conv_2026</f>
        <v>2829642.2232395508</v>
      </c>
      <c r="L16" s="31">
        <f>'Option1 (base case)'!L$36*conv_2026</f>
        <v>2829642.2232395508</v>
      </c>
      <c r="M16" s="31">
        <f>'Option1 (base case)'!M$36*conv_2026</f>
        <v>2829642.2232395508</v>
      </c>
      <c r="N16" s="31">
        <f>'Option1 (base case)'!N$36*conv_2026</f>
        <v>2829642.2232395508</v>
      </c>
      <c r="O16" s="31">
        <f>'Option1 (base case)'!O$36*conv_2026</f>
        <v>2829642.2232395508</v>
      </c>
      <c r="P16" s="31">
        <f>'Option1 (base case)'!P$36*conv_2026</f>
        <v>2829642.2232395508</v>
      </c>
      <c r="Q16" s="31">
        <f>'Option1 (base case)'!Q$36*conv_2026</f>
        <v>2829642.2232395508</v>
      </c>
      <c r="R16" s="31">
        <f>'Option1 (base case)'!R$36*conv_2026</f>
        <v>2829642.2232395508</v>
      </c>
      <c r="S16" s="31">
        <f>'Option1 (base case)'!S$36*conv_2026</f>
        <v>2829642.2232395508</v>
      </c>
      <c r="T16" s="31">
        <f>'Option1 (base case)'!T$36*conv_2026</f>
        <v>2829642.2232395508</v>
      </c>
      <c r="U16" s="31">
        <f>'Option1 (base case)'!U$36*conv_2026</f>
        <v>2829642.2232395508</v>
      </c>
      <c r="V16" s="31">
        <f>'Option1 (base case)'!V$36*conv_2026</f>
        <v>2829642.2232395508</v>
      </c>
      <c r="W16" s="31">
        <f>'Option1 (base case)'!W$36*conv_2026</f>
        <v>2829642.2232395508</v>
      </c>
      <c r="X16" s="31">
        <f>'Option1 (base case)'!X$36*conv_2026</f>
        <v>2829642.2232395508</v>
      </c>
      <c r="Y16" s="31">
        <f>'Option1 (base case)'!Y$36*conv_2026</f>
        <v>2829642.2232395508</v>
      </c>
      <c r="Z16" s="31">
        <f>'Option1 (base case)'!Z$36*conv_2026</f>
        <v>2829642.2232395508</v>
      </c>
      <c r="AA16" s="31">
        <f>'Option1 (base case)'!AA$36*conv_2026</f>
        <v>2829642.2232395508</v>
      </c>
      <c r="AB16" s="31">
        <f>'Option1 (base case)'!AB$36*conv_2026</f>
        <v>2829642.2232395508</v>
      </c>
      <c r="AC16" s="31">
        <f>'Option1 (base case)'!AC$36*conv_2026</f>
        <v>2829642.2232395508</v>
      </c>
      <c r="AD16" s="31">
        <f>'Option1 (base case)'!AD$36*conv_2026</f>
        <v>2829642.2232395508</v>
      </c>
      <c r="AE16" s="31">
        <f>'Option1 (base case)'!AE$36*conv_2026</f>
        <v>2829642.2232395508</v>
      </c>
      <c r="AF16" s="31">
        <f>'Option1 (base case)'!AF$36*conv_2026</f>
        <v>2829642.2232395508</v>
      </c>
      <c r="AG16" s="31">
        <f>'Option1 (base case)'!AG$36*conv_2026</f>
        <v>2829642.2232395508</v>
      </c>
    </row>
    <row r="17" spans="1:33" s="1" customFormat="1" x14ac:dyDescent="0.2">
      <c r="A17" s="137" t="str">
        <f t="shared" si="3"/>
        <v>Option 1 (base case)</v>
      </c>
      <c r="B17" s="137"/>
      <c r="C17" s="75"/>
      <c r="D17" s="38" t="str">
        <f t="shared" si="2"/>
        <v>Option 1 (base case)</v>
      </c>
      <c r="F17"/>
      <c r="G17" s="22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7" t="str">
        <f t="shared" si="3"/>
        <v>Option 1 (base case)</v>
      </c>
      <c r="B18" s="137"/>
      <c r="C18" s="58" t="str">
        <f>'Option1 (base case)'!C$82</f>
        <v>Annualised capex</v>
      </c>
      <c r="D18" s="38" t="str">
        <f t="shared" si="2"/>
        <v>Option 1 (base case)Annualised capex</v>
      </c>
      <c r="F18" s="96">
        <f>SUMPRODUCT($H18:$AG18, $H$5:$AG$5)</f>
        <v>0</v>
      </c>
      <c r="G18" s="228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7" t="str">
        <f t="shared" si="3"/>
        <v>Option 1 (base case)</v>
      </c>
      <c r="B19" s="137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6">
        <f>SUMPRODUCT($H19:$AG19, $H$5:$AG$5)</f>
        <v>0</v>
      </c>
      <c r="G19" s="228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7" t="str">
        <f t="shared" si="3"/>
        <v>Option 1 (base case)</v>
      </c>
      <c r="B20" s="137"/>
      <c r="C20" s="58" t="str">
        <f>'Option1 (base case)'!C$84</f>
        <v>Risk mitigated</v>
      </c>
      <c r="D20" s="38" t="str">
        <f t="shared" si="2"/>
        <v>Option 1 (base case)Risk mitigated</v>
      </c>
      <c r="F20" s="96">
        <f>SUMPRODUCT($H20:$AG20, $H$5:$AG$5)</f>
        <v>0</v>
      </c>
      <c r="G20" s="228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7" t="str">
        <f t="shared" si="3"/>
        <v>Option 1 (base case)</v>
      </c>
      <c r="B21" s="137"/>
      <c r="C21" s="58" t="str">
        <f>'Option1 (base case)'!C$85</f>
        <v>Other benefits value</v>
      </c>
      <c r="D21" s="38" t="str">
        <f t="shared" si="2"/>
        <v>Option 1 (base case)Other benefits value</v>
      </c>
      <c r="F21" s="96">
        <f>SUMPRODUCT($H21:$AG21, $H$5:$AG$5)</f>
        <v>0</v>
      </c>
      <c r="G21" s="228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7" t="str">
        <f t="shared" si="3"/>
        <v>Option 1 (base case)</v>
      </c>
      <c r="B22" s="137"/>
      <c r="C22" s="146" t="str">
        <f>'Option1 (base case)'!C$87</f>
        <v>Net benefits</v>
      </c>
      <c r="D22" s="108" t="str">
        <f t="shared" si="2"/>
        <v>Option 1 (base case)Net benefits</v>
      </c>
      <c r="E22" s="109"/>
      <c r="F22" s="145"/>
      <c r="G22" s="230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7" t="str">
        <f t="shared" si="3"/>
        <v>Option 1 (base case)</v>
      </c>
      <c r="B23" s="137"/>
      <c r="C23" s="8" t="s">
        <v>119</v>
      </c>
      <c r="D23" s="38" t="str">
        <f t="shared" si="2"/>
        <v>Option 1 (base case)NPV</v>
      </c>
      <c r="F23" s="107" cm="1">
        <f t="array" ref="F23">SUMPRODUCT(($H22:$AG22)*($H$5:$AG$5)*($H$7:$AG$7))</f>
        <v>0</v>
      </c>
      <c r="G23" s="228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7" t="str">
        <f t="shared" si="3"/>
        <v>Option 1 (base case)</v>
      </c>
      <c r="B24" s="137"/>
      <c r="C24" s="8" t="s">
        <v>190</v>
      </c>
      <c r="D24" s="38" t="str">
        <f t="shared" si="2"/>
        <v>Option 1 (base case)PV of costs</v>
      </c>
      <c r="F24" s="107">
        <f>SUM(F18:F19)</f>
        <v>0</v>
      </c>
      <c r="G24" s="228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7" t="str">
        <f t="shared" si="3"/>
        <v>Option 1 (base case)</v>
      </c>
      <c r="B25" s="137"/>
      <c r="C25" s="8" t="s">
        <v>191</v>
      </c>
      <c r="D25" s="38" t="str">
        <f t="shared" si="2"/>
        <v>Option 1 (base case)PV of benefits</v>
      </c>
      <c r="F25" s="107">
        <f>SUM(F20:F21)</f>
        <v>0</v>
      </c>
      <c r="G25" s="228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1"/>
    </row>
    <row r="27" spans="1:33" s="2" customFormat="1" x14ac:dyDescent="0.2">
      <c r="A27" s="122"/>
      <c r="B27" s="122"/>
      <c r="C27" s="122"/>
      <c r="D27" s="38" t="str">
        <f t="shared" si="6"/>
        <v/>
      </c>
      <c r="F27" s="117"/>
      <c r="G27" s="224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</row>
    <row r="28" spans="1:33" s="274" customFormat="1" x14ac:dyDescent="0.2">
      <c r="A28" s="272" t="str">
        <f>A29</f>
        <v>Option 2</v>
      </c>
      <c r="B28" s="272"/>
      <c r="C28" s="272" t="s">
        <v>124</v>
      </c>
      <c r="D28" s="273" t="str">
        <f t="shared" si="6"/>
        <v>Option 2Energy at risk value</v>
      </c>
      <c r="F28" s="96">
        <f>SUMPRODUCT($H28:$AG28, $H$5:$AG$5)</f>
        <v>0</v>
      </c>
      <c r="G28" s="275">
        <f>output_dollars</f>
        <v>46203</v>
      </c>
      <c r="H28" s="276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7" t="str">
        <f>Data!B10</f>
        <v>Option 2</v>
      </c>
      <c r="B29" s="137"/>
      <c r="C29" s="58" t="str">
        <f>Option2!C$66</f>
        <v>Capital expenditure</v>
      </c>
      <c r="D29" s="38" t="str">
        <f t="shared" si="6"/>
        <v>Option 2Capital expenditure</v>
      </c>
      <c r="E29" s="1"/>
      <c r="F29" s="96" cm="1">
        <f t="array" ref="F29">SUMPRODUCT(($H29:$AG29)*($H$5:$AG$5)*($H$7:$AG$7))</f>
        <v>-15977732.978057936</v>
      </c>
      <c r="G29" s="228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-9166052.0567632075</v>
      </c>
      <c r="M29" s="31">
        <f>SUM(Option2!M$67:M$69)*conv_2026*M$7</f>
        <v>-9166052.0567632075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7" t="str">
        <f t="shared" ref="A30:A39" si="7">A29</f>
        <v>Option 2</v>
      </c>
      <c r="B30" s="137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6" cm="1">
        <f t="array" ref="F30">SUMPRODUCT(($H30:$AG30)*($H$5:$AG$5)*($H$7:$AG$7))</f>
        <v>29898604.338213108</v>
      </c>
      <c r="G30" s="228">
        <f>output_dollars</f>
        <v>46203</v>
      </c>
      <c r="H30" s="31"/>
      <c r="I30" s="31">
        <f>Option2!I$36*conv_2026*I$7</f>
        <v>2829642.2232395508</v>
      </c>
      <c r="J30" s="31">
        <f>Option2!J$36*conv_2026*J$7</f>
        <v>2829642.2232395508</v>
      </c>
      <c r="K30" s="31">
        <f>Option2!K$36*conv_2026*K$7</f>
        <v>2829642.2232395508</v>
      </c>
      <c r="L30" s="31">
        <f>Option2!L$36*conv_2026*L$7</f>
        <v>2829642.2232395508</v>
      </c>
      <c r="M30" s="31">
        <f>Option2!M$36*conv_2026*M$7</f>
        <v>2829642.2232395508</v>
      </c>
      <c r="N30" s="31">
        <f>Option2!N$36*conv_2026*N$7</f>
        <v>1495921.3157275184</v>
      </c>
      <c r="O30" s="31">
        <f>Option2!O$36*conv_2026*O$7</f>
        <v>1495921.3157275184</v>
      </c>
      <c r="P30" s="31">
        <f>Option2!P$36*conv_2026*P$7</f>
        <v>1495921.3157275184</v>
      </c>
      <c r="Q30" s="31">
        <f>Option2!Q$36*conv_2026*Q$7</f>
        <v>1495921.3157275184</v>
      </c>
      <c r="R30" s="31">
        <f>Option2!R$36*conv_2026*R$7</f>
        <v>1495921.3157275184</v>
      </c>
      <c r="S30" s="31">
        <f>Option2!S$36*conv_2026*S$7</f>
        <v>1495921.3157275184</v>
      </c>
      <c r="T30" s="31">
        <f>Option2!T$36*conv_2026*T$7</f>
        <v>1495921.3157275184</v>
      </c>
      <c r="U30" s="31">
        <f>Option2!U$36*conv_2026*U$7</f>
        <v>1495921.3157275184</v>
      </c>
      <c r="V30" s="31">
        <f>Option2!V$36*conv_2026*V$7</f>
        <v>1495921.3157275184</v>
      </c>
      <c r="W30" s="31">
        <f>Option2!W$36*conv_2026*W$7</f>
        <v>1495921.3157275184</v>
      </c>
      <c r="X30" s="31">
        <f>Option2!X$36*conv_2026*X$7</f>
        <v>1495921.3157275184</v>
      </c>
      <c r="Y30" s="31">
        <f>Option2!Y$36*conv_2026*Y$7</f>
        <v>1495921.3157275184</v>
      </c>
      <c r="Z30" s="31">
        <f>Option2!Z$36*conv_2026*Z$7</f>
        <v>1495921.3157275184</v>
      </c>
      <c r="AA30" s="31">
        <f>Option2!AA$36*conv_2026*AA$7</f>
        <v>1495921.3157275184</v>
      </c>
      <c r="AB30" s="31">
        <f>Option2!AB$36*conv_2026*AB$7</f>
        <v>1495921.3157275184</v>
      </c>
      <c r="AC30" s="31">
        <f>Option2!AC$36*conv_2026*AC$7</f>
        <v>1495921.3157275184</v>
      </c>
      <c r="AD30" s="31">
        <f>Option2!AD$36*conv_2026*AD$7</f>
        <v>1495921.3157275184</v>
      </c>
      <c r="AE30" s="31">
        <f>Option2!AE$36*conv_2026*AE$7</f>
        <v>1495921.3157275184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7" t="str">
        <f t="shared" si="7"/>
        <v>Option 2</v>
      </c>
      <c r="B31" s="137"/>
      <c r="C31" s="75"/>
      <c r="D31" s="38" t="str">
        <f t="shared" si="6"/>
        <v>Option 2</v>
      </c>
      <c r="E31" s="1"/>
      <c r="F31" s="96"/>
      <c r="G31" s="22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7" t="str">
        <f t="shared" si="7"/>
        <v>Option 2</v>
      </c>
      <c r="B32" s="137"/>
      <c r="C32" s="58" t="str">
        <f>Option2!C$82</f>
        <v>Annualised capex</v>
      </c>
      <c r="D32" s="38" t="str">
        <f t="shared" si="6"/>
        <v>Option 2Annualised capex</v>
      </c>
      <c r="E32" s="1"/>
      <c r="F32" s="96" cm="1">
        <f t="array" ref="F32">SUMPRODUCT(($H32:$AG32)*($H$5:$AG$5)*($H$7:$AG$7))</f>
        <v>-11688103.850808784</v>
      </c>
      <c r="G32" s="228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0</v>
      </c>
      <c r="M32" s="31">
        <f>Option2!M$82*conv_2026*M$7</f>
        <v>-498370.455909179</v>
      </c>
      <c r="N32" s="31">
        <f>Option2!N$82*conv_2026*N$7</f>
        <v>-996740.911818358</v>
      </c>
      <c r="O32" s="31">
        <f>Option2!O$82*conv_2026*O$7</f>
        <v>-996740.911818358</v>
      </c>
      <c r="P32" s="31">
        <f>Option2!P$82*conv_2026*P$7</f>
        <v>-996740.911818358</v>
      </c>
      <c r="Q32" s="31">
        <f>Option2!Q$82*conv_2026*Q$7</f>
        <v>-996740.911818358</v>
      </c>
      <c r="R32" s="31">
        <f>Option2!R$82*conv_2026*R$7</f>
        <v>-996740.911818358</v>
      </c>
      <c r="S32" s="31">
        <f>Option2!S$82*conv_2026*S$7</f>
        <v>-996740.911818358</v>
      </c>
      <c r="T32" s="31">
        <f>Option2!T$82*conv_2026*T$7</f>
        <v>-996740.911818358</v>
      </c>
      <c r="U32" s="31">
        <f>Option2!U$82*conv_2026*U$7</f>
        <v>-996740.911818358</v>
      </c>
      <c r="V32" s="31">
        <f>Option2!V$82*conv_2026*V$7</f>
        <v>-996740.911818358</v>
      </c>
      <c r="W32" s="31">
        <f>Option2!W$82*conv_2026*W$7</f>
        <v>-996740.911818358</v>
      </c>
      <c r="X32" s="31">
        <f>Option2!X$82*conv_2026*X$7</f>
        <v>-996740.911818358</v>
      </c>
      <c r="Y32" s="31">
        <f>Option2!Y$82*conv_2026*Y$7</f>
        <v>-996740.911818358</v>
      </c>
      <c r="Z32" s="31">
        <f>Option2!Z$82*conv_2026*Z$7</f>
        <v>-996740.911818358</v>
      </c>
      <c r="AA32" s="31">
        <f>Option2!AA$82*conv_2026*AA$7</f>
        <v>-996740.911818358</v>
      </c>
      <c r="AB32" s="31">
        <f>Option2!AB$82*conv_2026*AB$7</f>
        <v>-996740.911818358</v>
      </c>
      <c r="AC32" s="31">
        <f>Option2!AC$82*conv_2026*AC$7</f>
        <v>-996740.911818358</v>
      </c>
      <c r="AD32" s="31">
        <f>Option2!AD$82*conv_2026*AD$7</f>
        <v>-996740.911818358</v>
      </c>
      <c r="AE32" s="31">
        <f>Option2!AE$82*conv_2026*AE$7</f>
        <v>-996740.911818358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7" t="str">
        <f t="shared" si="7"/>
        <v>Option 2</v>
      </c>
      <c r="B33" s="137"/>
      <c r="C33" s="58" t="str">
        <f>Option2!C$83</f>
        <v>Operating expenditure</v>
      </c>
      <c r="D33" s="38" t="str">
        <f t="shared" si="6"/>
        <v>Option 2Operating expenditure</v>
      </c>
      <c r="E33" s="1"/>
      <c r="F33" s="96" cm="1">
        <f t="array" ref="F33">SUMPRODUCT(($H33:$AG33)*($H$5:$AG$5)*($H$7:$AG$7))</f>
        <v>0</v>
      </c>
      <c r="G33" s="228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7" t="str">
        <f t="shared" si="7"/>
        <v>Option 2</v>
      </c>
      <c r="B34" s="137"/>
      <c r="C34" s="58" t="str">
        <f>Option2!C$84</f>
        <v>Risk mitigated</v>
      </c>
      <c r="D34" s="38" t="str">
        <f t="shared" si="6"/>
        <v>Option 2Risk mitigated</v>
      </c>
      <c r="E34" s="1"/>
      <c r="F34" s="96" cm="1">
        <f t="array" ref="F34">SUMPRODUCT(($H34:$AG34)*($H$5:$AG$5)*($H$7:$AG$7))</f>
        <v>15068419.459264839</v>
      </c>
      <c r="G34" s="228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1333720.9075120324</v>
      </c>
      <c r="O34" s="31">
        <f>Option2!O$84*conv_2026*O$7</f>
        <v>1333720.9075120324</v>
      </c>
      <c r="P34" s="31">
        <f>Option2!P$84*conv_2026*P$7</f>
        <v>1333720.9075120324</v>
      </c>
      <c r="Q34" s="31">
        <f>Option2!Q$84*conv_2026*Q$7</f>
        <v>1333720.9075120324</v>
      </c>
      <c r="R34" s="31">
        <f>Option2!R$84*conv_2026*R$7</f>
        <v>1333720.9075120324</v>
      </c>
      <c r="S34" s="31">
        <f>Option2!S$84*conv_2026*S$7</f>
        <v>1333720.9075120324</v>
      </c>
      <c r="T34" s="31">
        <f>Option2!T$84*conv_2026*T$7</f>
        <v>1333720.9075120324</v>
      </c>
      <c r="U34" s="31">
        <f>Option2!U$84*conv_2026*U$7</f>
        <v>1333720.9075120324</v>
      </c>
      <c r="V34" s="31">
        <f>Option2!V$84*conv_2026*V$7</f>
        <v>1333720.9075120324</v>
      </c>
      <c r="W34" s="31">
        <f>Option2!W$84*conv_2026*W$7</f>
        <v>1333720.9075120324</v>
      </c>
      <c r="X34" s="31">
        <f>Option2!X$84*conv_2026*X$7</f>
        <v>1333720.9075120324</v>
      </c>
      <c r="Y34" s="31">
        <f>Option2!Y$84*conv_2026*Y$7</f>
        <v>1333720.9075120324</v>
      </c>
      <c r="Z34" s="31">
        <f>Option2!Z$84*conv_2026*Z$7</f>
        <v>1333720.9075120324</v>
      </c>
      <c r="AA34" s="31">
        <f>Option2!AA$84*conv_2026*AA$7</f>
        <v>1333720.9075120324</v>
      </c>
      <c r="AB34" s="31">
        <f>Option2!AB$84*conv_2026*AB$7</f>
        <v>1333720.9075120324</v>
      </c>
      <c r="AC34" s="31">
        <f>Option2!AC$84*conv_2026*AC$7</f>
        <v>1333720.9075120324</v>
      </c>
      <c r="AD34" s="31">
        <f>Option2!AD$84*conv_2026*AD$7</f>
        <v>1333720.9075120324</v>
      </c>
      <c r="AE34" s="31">
        <f>Option2!AE$84*conv_2026*AE$7</f>
        <v>1333720.9075120324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7" t="str">
        <f t="shared" si="7"/>
        <v>Option 2</v>
      </c>
      <c r="B35" s="137"/>
      <c r="C35" s="58" t="str">
        <f>Option2!C$85</f>
        <v>Other benefits value</v>
      </c>
      <c r="D35" s="38" t="str">
        <f t="shared" si="6"/>
        <v>Option 2Other benefits value</v>
      </c>
      <c r="E35" s="1"/>
      <c r="F35" s="96" cm="1">
        <f t="array" ref="F35">SUMPRODUCT(($H35:$AG35)*($H$5:$AG$5)*($H$7:$AG$7))</f>
        <v>0</v>
      </c>
      <c r="G35" s="228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7" t="str">
        <f t="shared" si="7"/>
        <v>Option 2</v>
      </c>
      <c r="B36" s="137"/>
      <c r="C36" s="124" t="str">
        <f>Option2!C87</f>
        <v>Net benefits</v>
      </c>
      <c r="D36" s="108" t="str">
        <f t="shared" si="6"/>
        <v>Option 2Net benefits</v>
      </c>
      <c r="E36" s="109"/>
      <c r="F36" s="145"/>
      <c r="G36" s="230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0</v>
      </c>
      <c r="M36" s="52">
        <f t="shared" si="9"/>
        <v>-498370.455909179</v>
      </c>
      <c r="N36" s="52">
        <f t="shared" si="9"/>
        <v>336979.99569367443</v>
      </c>
      <c r="O36" s="52">
        <f t="shared" si="9"/>
        <v>336979.99569367443</v>
      </c>
      <c r="P36" s="52">
        <f t="shared" si="9"/>
        <v>336979.99569367443</v>
      </c>
      <c r="Q36" s="52">
        <f t="shared" si="9"/>
        <v>336979.99569367443</v>
      </c>
      <c r="R36" s="52">
        <f t="shared" si="9"/>
        <v>336979.99569367443</v>
      </c>
      <c r="S36" s="52">
        <f t="shared" si="9"/>
        <v>336979.99569367443</v>
      </c>
      <c r="T36" s="52">
        <f t="shared" si="9"/>
        <v>336979.99569367443</v>
      </c>
      <c r="U36" s="52">
        <f t="shared" si="9"/>
        <v>336979.99569367443</v>
      </c>
      <c r="V36" s="52">
        <f t="shared" si="9"/>
        <v>336979.99569367443</v>
      </c>
      <c r="W36" s="52">
        <f t="shared" si="9"/>
        <v>336979.99569367443</v>
      </c>
      <c r="X36" s="52">
        <f t="shared" si="9"/>
        <v>336979.99569367443</v>
      </c>
      <c r="Y36" s="52">
        <f t="shared" si="9"/>
        <v>336979.99569367443</v>
      </c>
      <c r="Z36" s="52">
        <f t="shared" si="9"/>
        <v>336979.99569367443</v>
      </c>
      <c r="AA36" s="52">
        <f t="shared" si="9"/>
        <v>336979.99569367443</v>
      </c>
      <c r="AB36" s="52">
        <f t="shared" si="9"/>
        <v>336979.99569367443</v>
      </c>
      <c r="AC36" s="52">
        <f t="shared" si="9"/>
        <v>336979.99569367443</v>
      </c>
      <c r="AD36" s="52">
        <f t="shared" si="9"/>
        <v>336979.99569367443</v>
      </c>
      <c r="AE36" s="52">
        <f t="shared" si="9"/>
        <v>336979.99569367443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7" t="str">
        <f t="shared" si="7"/>
        <v>Option 2</v>
      </c>
      <c r="B37" s="137"/>
      <c r="C37" s="8" t="s">
        <v>119</v>
      </c>
      <c r="D37" s="38" t="str">
        <f t="shared" si="6"/>
        <v>Option 2NPV</v>
      </c>
      <c r="E37" s="1"/>
      <c r="F37" s="107" cm="1">
        <f t="array" ref="F37">SUMPRODUCT(($H36:$AG36)*($H$5:$AG$5)*($H$7:$AG$7))</f>
        <v>3380315.6084560542</v>
      </c>
      <c r="G37" s="228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7" t="str">
        <f t="shared" si="7"/>
        <v>Option 2</v>
      </c>
      <c r="B38" s="137"/>
      <c r="C38" s="8" t="s">
        <v>190</v>
      </c>
      <c r="D38" s="38" t="str">
        <f t="shared" si="6"/>
        <v>Option 2PV of costs</v>
      </c>
      <c r="E38" s="1"/>
      <c r="F38" s="107">
        <f>SUM(F32:F33)</f>
        <v>-11688103.850808784</v>
      </c>
      <c r="G38" s="228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7" t="str">
        <f t="shared" si="7"/>
        <v>Option 2</v>
      </c>
      <c r="B39" s="137"/>
      <c r="C39" s="8" t="s">
        <v>191</v>
      </c>
      <c r="D39" s="38" t="str">
        <f t="shared" si="6"/>
        <v>Option 2PV of benefits</v>
      </c>
      <c r="E39" s="1"/>
      <c r="F39" s="107">
        <f>SUM(F34:F35)</f>
        <v>15068419.459264839</v>
      </c>
      <c r="G39" s="228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7"/>
      <c r="B40" s="137"/>
      <c r="C40" s="1"/>
      <c r="D40" s="38"/>
      <c r="E40" s="1"/>
      <c r="F40" s="107"/>
      <c r="G40" s="231"/>
      <c r="H40" s="1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s="2" customFormat="1" x14ac:dyDescent="0.2">
      <c r="A41" s="122"/>
      <c r="B41" s="122"/>
      <c r="C41" s="122"/>
      <c r="D41" s="38" t="str">
        <f>A41&amp;C41</f>
        <v/>
      </c>
      <c r="F41" s="117"/>
      <c r="G41" s="224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</row>
    <row r="42" spans="1:33" s="274" customFormat="1" x14ac:dyDescent="0.2">
      <c r="A42" s="272" t="str">
        <f>A43</f>
        <v>Option 3</v>
      </c>
      <c r="B42" s="272"/>
      <c r="C42" s="272" t="s">
        <v>124</v>
      </c>
      <c r="D42" s="273" t="str">
        <f>A42&amp;C42</f>
        <v>Option 3Energy at risk value</v>
      </c>
      <c r="F42" s="96">
        <f>SUMPRODUCT($H42:$AG42, $H$5:$AG$5)</f>
        <v>0</v>
      </c>
      <c r="G42" s="275">
        <f>output_dollars</f>
        <v>46203</v>
      </c>
      <c r="H42" s="276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7" t="str">
        <f>Data!B11</f>
        <v>Option 3</v>
      </c>
      <c r="B43" s="137"/>
      <c r="C43" s="58" t="str">
        <f>Option3!C$66</f>
        <v>Capital expenditure</v>
      </c>
      <c r="D43" s="38" t="str">
        <f>A43&amp;C43</f>
        <v>Option 3Capital expenditure</v>
      </c>
      <c r="E43" s="1"/>
      <c r="F43" s="96">
        <f>SUMPRODUCT($H43:$AG43, $H$5:$AG$5)</f>
        <v>-204937913.1345458</v>
      </c>
      <c r="G43" s="228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-117568091.96744929</v>
      </c>
      <c r="M43" s="31">
        <f>SUM(Option3!M$67:M$69)*conv_2026*M$7</f>
        <v>-117568091.96744929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7" t="str">
        <f t="shared" ref="A44:A53" si="10">A43</f>
        <v>Option 3</v>
      </c>
      <c r="B44" s="137"/>
      <c r="C44" s="58" t="str">
        <f>'Option1 (base case)'!C$36</f>
        <v>Total risk cost</v>
      </c>
      <c r="D44" s="38" t="str">
        <f>A44&amp;C44</f>
        <v>Option 3Total risk cost</v>
      </c>
      <c r="E44" s="1"/>
      <c r="F44" s="96">
        <f>SUMPRODUCT($H44:$AG44, $H$5:$AG$5)</f>
        <v>11019058.988274142</v>
      </c>
      <c r="G44" s="228">
        <f>output_dollars</f>
        <v>46203</v>
      </c>
      <c r="H44" s="31"/>
      <c r="I44" s="31">
        <f>Option3!I$36*conv_2026*I$7</f>
        <v>2829642.2232395508</v>
      </c>
      <c r="J44" s="31">
        <f>Option3!J$36*conv_2026*J$7</f>
        <v>2829642.2232395508</v>
      </c>
      <c r="K44" s="31">
        <f>Option3!K$36*conv_2026*K$7</f>
        <v>2829642.2232395508</v>
      </c>
      <c r="L44" s="31">
        <f>Option3!L$36*conv_2026*L$7</f>
        <v>1482275.3577239353</v>
      </c>
      <c r="M44" s="31">
        <f>Option3!M$36*conv_2026*M$7</f>
        <v>134908.49220831969</v>
      </c>
      <c r="N44" s="31">
        <f>Option3!N$36*conv_2026*N$7</f>
        <v>134908.49220831969</v>
      </c>
      <c r="O44" s="31">
        <f>Option3!O$36*conv_2026*O$7</f>
        <v>134908.49220831969</v>
      </c>
      <c r="P44" s="31">
        <f>Option3!P$36*conv_2026*P$7</f>
        <v>134908.49220831969</v>
      </c>
      <c r="Q44" s="31">
        <f>Option3!Q$36*conv_2026*Q$7</f>
        <v>134908.49220831969</v>
      </c>
      <c r="R44" s="31">
        <f>Option3!R$36*conv_2026*R$7</f>
        <v>134908.49220831969</v>
      </c>
      <c r="S44" s="31">
        <f>Option3!S$36*conv_2026*S$7</f>
        <v>134908.49220831969</v>
      </c>
      <c r="T44" s="31">
        <f>Option3!T$36*conv_2026*T$7</f>
        <v>134908.49220831969</v>
      </c>
      <c r="U44" s="31">
        <f>Option3!U$36*conv_2026*U$7</f>
        <v>134908.49220831969</v>
      </c>
      <c r="V44" s="31">
        <f>Option3!V$36*conv_2026*V$7</f>
        <v>134908.49220831969</v>
      </c>
      <c r="W44" s="31">
        <f>Option3!W$36*conv_2026*W$7</f>
        <v>134908.49220831969</v>
      </c>
      <c r="X44" s="31">
        <f>Option3!X$36*conv_2026*X$7</f>
        <v>134908.49220831969</v>
      </c>
      <c r="Y44" s="31">
        <f>Option3!Y$36*conv_2026*Y$7</f>
        <v>134908.49220831969</v>
      </c>
      <c r="Z44" s="31">
        <f>Option3!Z$36*conv_2026*Z$7</f>
        <v>134908.49220831969</v>
      </c>
      <c r="AA44" s="31">
        <f>Option3!AA$36*conv_2026*AA$7</f>
        <v>134908.49220831969</v>
      </c>
      <c r="AB44" s="31">
        <f>Option3!AB$36*conv_2026*AB$7</f>
        <v>134908.49220831969</v>
      </c>
      <c r="AC44" s="31">
        <f>Option3!AC$36*conv_2026*AC$7</f>
        <v>134908.49220831969</v>
      </c>
      <c r="AD44" s="31">
        <f>Option3!AD$36*conv_2026*AD$7</f>
        <v>134908.49220831969</v>
      </c>
      <c r="AE44" s="31">
        <f>Option3!AE$36*conv_2026*AE$7</f>
        <v>134908.49220831969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7" t="str">
        <f t="shared" si="10"/>
        <v>Option 3</v>
      </c>
      <c r="B45" s="137"/>
      <c r="C45" s="58"/>
      <c r="D45" s="38"/>
      <c r="E45" s="1"/>
      <c r="F45" s="96"/>
      <c r="G45" s="228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7" t="str">
        <f t="shared" si="10"/>
        <v>Option 3</v>
      </c>
      <c r="B46" s="137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6">
        <f>SUMPRODUCT($H46:$AG46, $H$5:$AG$5)</f>
        <v>-149917113.70906574</v>
      </c>
      <c r="G46" s="228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-6392333.7148142541</v>
      </c>
      <c r="N46" s="31">
        <f>Option3!N$82*conv_2026*N$7</f>
        <v>-12784667.429628508</v>
      </c>
      <c r="O46" s="31">
        <f>Option3!O$82*conv_2026*O$7</f>
        <v>-12784667.429628508</v>
      </c>
      <c r="P46" s="31">
        <f>Option3!P$82*conv_2026*P$7</f>
        <v>-12784667.429628508</v>
      </c>
      <c r="Q46" s="31">
        <f>Option3!Q$82*conv_2026*Q$7</f>
        <v>-12784667.429628508</v>
      </c>
      <c r="R46" s="31">
        <f>Option3!R$82*conv_2026*R$7</f>
        <v>-12784667.429628508</v>
      </c>
      <c r="S46" s="31">
        <f>Option3!S$82*conv_2026*S$7</f>
        <v>-12784667.429628508</v>
      </c>
      <c r="T46" s="31">
        <f>Option3!T$82*conv_2026*T$7</f>
        <v>-12784667.429628508</v>
      </c>
      <c r="U46" s="31">
        <f>Option3!U$82*conv_2026*U$7</f>
        <v>-12784667.429628508</v>
      </c>
      <c r="V46" s="31">
        <f>Option3!V$82*conv_2026*V$7</f>
        <v>-12784667.429628508</v>
      </c>
      <c r="W46" s="31">
        <f>Option3!W$82*conv_2026*W$7</f>
        <v>-12784667.429628508</v>
      </c>
      <c r="X46" s="31">
        <f>Option3!X$82*conv_2026*X$7</f>
        <v>-12784667.429628508</v>
      </c>
      <c r="Y46" s="31">
        <f>Option3!Y$82*conv_2026*Y$7</f>
        <v>-12784667.429628508</v>
      </c>
      <c r="Z46" s="31">
        <f>Option3!Z$82*conv_2026*Z$7</f>
        <v>-12784667.429628508</v>
      </c>
      <c r="AA46" s="31">
        <f>Option3!AA$82*conv_2026*AA$7</f>
        <v>-12784667.429628508</v>
      </c>
      <c r="AB46" s="31">
        <f>Option3!AB$82*conv_2026*AB$7</f>
        <v>-12784667.429628508</v>
      </c>
      <c r="AC46" s="31">
        <f>Option3!AC$82*conv_2026*AC$7</f>
        <v>-12784667.429628508</v>
      </c>
      <c r="AD46" s="31">
        <f>Option3!AD$82*conv_2026*AD$7</f>
        <v>-12784667.429628508</v>
      </c>
      <c r="AE46" s="31">
        <f>Option3!AE$82*conv_2026*AE$7</f>
        <v>-12784667.429628508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7" t="str">
        <f t="shared" si="10"/>
        <v>Option 3</v>
      </c>
      <c r="B47" s="137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6">
        <f>SUMPRODUCT($H47:$AG47, $H$5:$AG$5)</f>
        <v>0</v>
      </c>
      <c r="G47" s="228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7" t="str">
        <f t="shared" si="10"/>
        <v>Option 3</v>
      </c>
      <c r="B48" s="137"/>
      <c r="C48" s="58" t="str">
        <f>Option3!C$84</f>
        <v>Risk mitigated</v>
      </c>
      <c r="D48" s="38" t="str">
        <f t="shared" si="11"/>
        <v>Option 3Risk mitigated</v>
      </c>
      <c r="E48" s="1"/>
      <c r="F48" s="96">
        <f>SUMPRODUCT($H48:$AG48, $H$5:$AG$5)</f>
        <v>33947964.809203804</v>
      </c>
      <c r="G48" s="228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1347366.8655156156</v>
      </c>
      <c r="M48" s="31">
        <f>Option3!M$84*conv_2026*M$7</f>
        <v>2694733.7310312311</v>
      </c>
      <c r="N48" s="31">
        <f>Option3!N$84*conv_2026*N$7</f>
        <v>2694733.7310312311</v>
      </c>
      <c r="O48" s="31">
        <f>Option3!O$84*conv_2026*O$7</f>
        <v>2694733.7310312311</v>
      </c>
      <c r="P48" s="31">
        <f>Option3!P$84*conv_2026*P$7</f>
        <v>2694733.7310312311</v>
      </c>
      <c r="Q48" s="31">
        <f>Option3!Q$84*conv_2026*Q$7</f>
        <v>2694733.7310312311</v>
      </c>
      <c r="R48" s="31">
        <f>Option3!R$84*conv_2026*R$7</f>
        <v>2694733.7310312311</v>
      </c>
      <c r="S48" s="31">
        <f>Option3!S$84*conv_2026*S$7</f>
        <v>2694733.7310312311</v>
      </c>
      <c r="T48" s="31">
        <f>Option3!T$84*conv_2026*T$7</f>
        <v>2694733.7310312311</v>
      </c>
      <c r="U48" s="31">
        <f>Option3!U$84*conv_2026*U$7</f>
        <v>2694733.7310312311</v>
      </c>
      <c r="V48" s="31">
        <f>Option3!V$84*conv_2026*V$7</f>
        <v>2694733.7310312311</v>
      </c>
      <c r="W48" s="31">
        <f>Option3!W$84*conv_2026*W$7</f>
        <v>2694733.7310312311</v>
      </c>
      <c r="X48" s="31">
        <f>Option3!X$84*conv_2026*X$7</f>
        <v>2694733.7310312311</v>
      </c>
      <c r="Y48" s="31">
        <f>Option3!Y$84*conv_2026*Y$7</f>
        <v>2694733.7310312311</v>
      </c>
      <c r="Z48" s="31">
        <f>Option3!Z$84*conv_2026*Z$7</f>
        <v>2694733.7310312311</v>
      </c>
      <c r="AA48" s="31">
        <f>Option3!AA$84*conv_2026*AA$7</f>
        <v>2694733.7310312311</v>
      </c>
      <c r="AB48" s="31">
        <f>Option3!AB$84*conv_2026*AB$7</f>
        <v>2694733.7310312311</v>
      </c>
      <c r="AC48" s="31">
        <f>Option3!AC$84*conv_2026*AC$7</f>
        <v>2694733.7310312311</v>
      </c>
      <c r="AD48" s="31">
        <f>Option3!AD$84*conv_2026*AD$7</f>
        <v>2694733.7310312311</v>
      </c>
      <c r="AE48" s="31">
        <f>Option3!AE$84*conv_2026*AE$7</f>
        <v>2694733.7310312311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7" t="str">
        <f t="shared" si="10"/>
        <v>Option 3</v>
      </c>
      <c r="B49" s="137"/>
      <c r="C49" s="58" t="str">
        <f>Option3!C$85</f>
        <v>Other benefits value</v>
      </c>
      <c r="D49" s="38" t="str">
        <f t="shared" si="11"/>
        <v>Option 3Other benefits value</v>
      </c>
      <c r="E49" s="1"/>
      <c r="F49" s="96">
        <f>SUMPRODUCT($H49:$AG49, $H$5:$AG$5)</f>
        <v>0</v>
      </c>
      <c r="G49" s="228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7" t="str">
        <f t="shared" si="10"/>
        <v>Option 3</v>
      </c>
      <c r="B50" s="137"/>
      <c r="C50" s="124" t="str">
        <f>Option3!C87</f>
        <v>Net benefits</v>
      </c>
      <c r="D50" s="108" t="str">
        <f t="shared" si="11"/>
        <v>Option 3Net benefits</v>
      </c>
      <c r="E50" s="109"/>
      <c r="F50" s="145"/>
      <c r="G50" s="230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1347366.8655156156</v>
      </c>
      <c r="M50" s="52">
        <f t="shared" si="13"/>
        <v>-3697599.983783023</v>
      </c>
      <c r="N50" s="52">
        <f t="shared" si="13"/>
        <v>-10089933.698597277</v>
      </c>
      <c r="O50" s="52">
        <f t="shared" si="13"/>
        <v>-10089933.698597277</v>
      </c>
      <c r="P50" s="52">
        <f t="shared" si="13"/>
        <v>-10089933.698597277</v>
      </c>
      <c r="Q50" s="52">
        <f t="shared" si="13"/>
        <v>-10089933.698597277</v>
      </c>
      <c r="R50" s="52">
        <f t="shared" si="13"/>
        <v>-10089933.698597277</v>
      </c>
      <c r="S50" s="52">
        <f t="shared" si="13"/>
        <v>-10089933.698597277</v>
      </c>
      <c r="T50" s="52">
        <f t="shared" si="13"/>
        <v>-10089933.698597277</v>
      </c>
      <c r="U50" s="52">
        <f t="shared" si="13"/>
        <v>-10089933.698597277</v>
      </c>
      <c r="V50" s="52">
        <f t="shared" si="13"/>
        <v>-10089933.698597277</v>
      </c>
      <c r="W50" s="52">
        <f t="shared" si="13"/>
        <v>-10089933.698597277</v>
      </c>
      <c r="X50" s="52">
        <f t="shared" si="13"/>
        <v>-10089933.698597277</v>
      </c>
      <c r="Y50" s="52">
        <f t="shared" si="13"/>
        <v>-10089933.698597277</v>
      </c>
      <c r="Z50" s="52">
        <f t="shared" si="13"/>
        <v>-10089933.698597277</v>
      </c>
      <c r="AA50" s="52">
        <f t="shared" si="13"/>
        <v>-10089933.698597277</v>
      </c>
      <c r="AB50" s="52">
        <f t="shared" si="13"/>
        <v>-10089933.698597277</v>
      </c>
      <c r="AC50" s="52">
        <f>SUM(AC46:AC49)</f>
        <v>-10089933.698597277</v>
      </c>
      <c r="AD50" s="52">
        <f>SUM(AD46:AD49)</f>
        <v>-10089933.698597277</v>
      </c>
      <c r="AE50" s="52">
        <f>SUM(AE46:AE49)</f>
        <v>-10089933.698597277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7" t="str">
        <f t="shared" si="10"/>
        <v>Option 3</v>
      </c>
      <c r="B51" s="137"/>
      <c r="C51" s="8" t="s">
        <v>119</v>
      </c>
      <c r="D51" s="38" t="str">
        <f t="shared" si="11"/>
        <v>Option 3NPV</v>
      </c>
      <c r="E51" s="1"/>
      <c r="F51" s="107" cm="1">
        <f t="array" ref="F51">SUMPRODUCT(($H50:$AG50)*($H$5:$AG$5)*($H$7:$AG$7))</f>
        <v>-115969148.89986192</v>
      </c>
      <c r="G51" s="228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7" t="str">
        <f t="shared" si="10"/>
        <v>Option 3</v>
      </c>
      <c r="B52" s="137"/>
      <c r="C52" s="8" t="s">
        <v>190</v>
      </c>
      <c r="D52" s="38" t="str">
        <f t="shared" si="11"/>
        <v>Option 3PV of costs</v>
      </c>
      <c r="E52" s="1"/>
      <c r="F52" s="107">
        <f>SUM(F46:F47)</f>
        <v>-149917113.70906574</v>
      </c>
      <c r="G52" s="228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7" t="str">
        <f t="shared" si="10"/>
        <v>Option 3</v>
      </c>
      <c r="B53" s="137"/>
      <c r="C53" s="8" t="s">
        <v>191</v>
      </c>
      <c r="D53" s="38" t="str">
        <f t="shared" si="11"/>
        <v>Option 3PV of benefits</v>
      </c>
      <c r="E53" s="1"/>
      <c r="F53" s="107">
        <f>SUM(F48:F49)</f>
        <v>33947964.809203804</v>
      </c>
      <c r="G53" s="228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7"/>
      <c r="B54" s="137"/>
      <c r="C54" s="1"/>
      <c r="D54" s="38"/>
      <c r="E54" s="1"/>
      <c r="F54" s="107"/>
      <c r="G54" s="231"/>
      <c r="H54" s="1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</row>
    <row r="55" spans="1:33" s="2" customFormat="1" x14ac:dyDescent="0.2">
      <c r="A55" s="122"/>
      <c r="B55" s="122"/>
      <c r="C55" s="122"/>
      <c r="D55" s="38"/>
      <c r="F55" s="117"/>
      <c r="G55" s="224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1:33" s="274" customFormat="1" x14ac:dyDescent="0.2">
      <c r="A56" s="272" t="str">
        <f>A57</f>
        <v>Option 4</v>
      </c>
      <c r="B56" s="272"/>
      <c r="C56" s="272" t="s">
        <v>124</v>
      </c>
      <c r="D56" s="273" t="str">
        <f>A56&amp;C56</f>
        <v>Option 4Energy at risk value</v>
      </c>
      <c r="F56" s="96">
        <f>SUMPRODUCT($H56:$AG56, $H$5:$AG$5)</f>
        <v>0</v>
      </c>
      <c r="G56" s="275">
        <f>output_dollars</f>
        <v>46203</v>
      </c>
      <c r="H56" s="276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7" t="str">
        <f>Data!B12</f>
        <v>Option 4</v>
      </c>
      <c r="B57" s="137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6">
        <f>SUMPRODUCT($H57:$AG57, $H$5:$AG$5)</f>
        <v>-19485246.13734173</v>
      </c>
      <c r="G57" s="228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-11178230.395951161</v>
      </c>
      <c r="M57" s="31">
        <f>SUM(Option4!M$67:M$69)*conv_2026*M$7</f>
        <v>-11178230.395951161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7" t="str">
        <f t="shared" ref="A58:A67" si="15">A57</f>
        <v>Option 4</v>
      </c>
      <c r="B58" s="137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6">
        <f>SUMPRODUCT($H58:$AG58, $H$5:$AG$5)</f>
        <v>28816453.991916519</v>
      </c>
      <c r="G58" s="228">
        <f>output_dollars</f>
        <v>46203</v>
      </c>
      <c r="H58" s="31"/>
      <c r="I58" s="31">
        <f>Option4!I$36*conv_2026*I$7</f>
        <v>2829642.2232395508</v>
      </c>
      <c r="J58" s="31">
        <f>Option4!J$36*conv_2026*J$7</f>
        <v>2829642.2232395508</v>
      </c>
      <c r="K58" s="31">
        <f>Option4!K$36*conv_2026*K$7</f>
        <v>2829642.2232395508</v>
      </c>
      <c r="L58" s="31">
        <f>Option4!L$36*conv_2026*L$7</f>
        <v>2829642.2232395508</v>
      </c>
      <c r="M58" s="31">
        <f>Option4!M$36*conv_2026*M$7</f>
        <v>2829642.2232395508</v>
      </c>
      <c r="N58" s="31">
        <f>Option4!N$36*conv_2026*N$7</f>
        <v>1400139.1040742761</v>
      </c>
      <c r="O58" s="31">
        <f>Option4!O$36*conv_2026*O$7</f>
        <v>1400139.1040742761</v>
      </c>
      <c r="P58" s="31">
        <f>Option4!P$36*conv_2026*P$7</f>
        <v>1400139.1040742761</v>
      </c>
      <c r="Q58" s="31">
        <f>Option4!Q$36*conv_2026*Q$7</f>
        <v>1400139.1040742761</v>
      </c>
      <c r="R58" s="31">
        <f>Option4!R$36*conv_2026*R$7</f>
        <v>1400139.1040742761</v>
      </c>
      <c r="S58" s="31">
        <f>Option4!S$36*conv_2026*S$7</f>
        <v>1400139.1040742761</v>
      </c>
      <c r="T58" s="31">
        <f>Option4!T$36*conv_2026*T$7</f>
        <v>1400139.1040742761</v>
      </c>
      <c r="U58" s="31">
        <f>Option4!U$36*conv_2026*U$7</f>
        <v>1400139.1040742761</v>
      </c>
      <c r="V58" s="31">
        <f>Option4!V$36*conv_2026*V$7</f>
        <v>1400139.1040742761</v>
      </c>
      <c r="W58" s="31">
        <f>Option4!W$36*conv_2026*W$7</f>
        <v>1400139.1040742761</v>
      </c>
      <c r="X58" s="31">
        <f>Option4!X$36*conv_2026*X$7</f>
        <v>1400139.1040742761</v>
      </c>
      <c r="Y58" s="31">
        <f>Option4!Y$36*conv_2026*Y$7</f>
        <v>1400139.1040742761</v>
      </c>
      <c r="Z58" s="31">
        <f>Option4!Z$36*conv_2026*Z$7</f>
        <v>1400139.1040742761</v>
      </c>
      <c r="AA58" s="31">
        <f>Option4!AA$36*conv_2026*AA$7</f>
        <v>1400139.1040742761</v>
      </c>
      <c r="AB58" s="31">
        <f>Option4!AB$36*conv_2026*AB$7</f>
        <v>1400139.1040742761</v>
      </c>
      <c r="AC58" s="31">
        <f>Option4!AC$36*conv_2026*AC$7</f>
        <v>1400139.1040742761</v>
      </c>
      <c r="AD58" s="31">
        <f>Option4!AD$36*conv_2026*AD$7</f>
        <v>1400139.1040742761</v>
      </c>
      <c r="AE58" s="31">
        <f>Option4!AE$36*conv_2026*AE$7</f>
        <v>1400139.1040742761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7" t="str">
        <f t="shared" si="15"/>
        <v>Option 4</v>
      </c>
      <c r="B59" s="137"/>
      <c r="C59" s="75"/>
      <c r="D59" s="38" t="str">
        <f t="shared" si="14"/>
        <v>Option 4</v>
      </c>
      <c r="E59" s="1"/>
      <c r="F59"/>
      <c r="G59" s="22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7" t="str">
        <f t="shared" si="15"/>
        <v>Option 4</v>
      </c>
      <c r="B60" s="137"/>
      <c r="C60" s="58" t="str">
        <f>Option4!C$82</f>
        <v>Annualised capex</v>
      </c>
      <c r="D60" s="38" t="str">
        <f t="shared" si="14"/>
        <v>Option 4Annualised capex</v>
      </c>
      <c r="E60" s="1"/>
      <c r="F60" s="96">
        <f>SUMPRODUCT($H60:$AG60, $H$5:$AG$5)</f>
        <v>-14253935.819592278</v>
      </c>
      <c r="G60" s="228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-607775.27164244198</v>
      </c>
      <c r="N60" s="31">
        <f>Option4!N$82*conv_2026*N$7</f>
        <v>-1215550.543284884</v>
      </c>
      <c r="O60" s="31">
        <f>Option4!O$82*conv_2026*O$7</f>
        <v>-1215550.543284884</v>
      </c>
      <c r="P60" s="31">
        <f>Option4!P$82*conv_2026*P$7</f>
        <v>-1215550.543284884</v>
      </c>
      <c r="Q60" s="31">
        <f>Option4!Q$82*conv_2026*Q$7</f>
        <v>-1215550.543284884</v>
      </c>
      <c r="R60" s="31">
        <f>Option4!R$82*conv_2026*R$7</f>
        <v>-1215550.543284884</v>
      </c>
      <c r="S60" s="31">
        <f>Option4!S$82*conv_2026*S$7</f>
        <v>-1215550.543284884</v>
      </c>
      <c r="T60" s="31">
        <f>Option4!T$82*conv_2026*T$7</f>
        <v>-1215550.543284884</v>
      </c>
      <c r="U60" s="31">
        <f>Option4!U$82*conv_2026*U$7</f>
        <v>-1215550.543284884</v>
      </c>
      <c r="V60" s="31">
        <f>Option4!V$82*conv_2026*V$7</f>
        <v>-1215550.543284884</v>
      </c>
      <c r="W60" s="31">
        <f>Option4!W$82*conv_2026*W$7</f>
        <v>-1215550.543284884</v>
      </c>
      <c r="X60" s="31">
        <f>Option4!X$82*conv_2026*X$7</f>
        <v>-1215550.543284884</v>
      </c>
      <c r="Y60" s="31">
        <f>Option4!Y$82*conv_2026*Y$7</f>
        <v>-1215550.543284884</v>
      </c>
      <c r="Z60" s="31">
        <f>Option4!Z$82*conv_2026*Z$7</f>
        <v>-1215550.543284884</v>
      </c>
      <c r="AA60" s="31">
        <f>Option4!AA$82*conv_2026*AA$7</f>
        <v>-1215550.543284884</v>
      </c>
      <c r="AB60" s="31">
        <f>Option4!AB$82*conv_2026*AB$7</f>
        <v>-1215550.543284884</v>
      </c>
      <c r="AC60" s="31">
        <f>Option4!AC$82*conv_2026*AC$7</f>
        <v>-1215550.543284884</v>
      </c>
      <c r="AD60" s="31">
        <f>Option4!AD$82*conv_2026*AD$7</f>
        <v>-1215550.543284884</v>
      </c>
      <c r="AE60" s="31">
        <f>Option4!AE$82*conv_2026*AE$7</f>
        <v>-1215550.543284884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7" t="str">
        <f t="shared" si="15"/>
        <v>Option 4</v>
      </c>
      <c r="B61" s="137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6">
        <f>SUMPRODUCT($H61:$AG61, $H$5:$AG$5)</f>
        <v>0</v>
      </c>
      <c r="G61" s="228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7" t="str">
        <f t="shared" si="15"/>
        <v>Option 4</v>
      </c>
      <c r="B62" s="137"/>
      <c r="C62" s="58" t="str">
        <f>Option4!C$84</f>
        <v>Risk mitigated</v>
      </c>
      <c r="D62" s="38" t="str">
        <f t="shared" si="14"/>
        <v>Option 4Risk mitigated</v>
      </c>
      <c r="E62" s="1"/>
      <c r="F62" s="96">
        <f>SUMPRODUCT($H62:$AG62, $H$5:$AG$5)</f>
        <v>16150569.805561427</v>
      </c>
      <c r="G62" s="228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1429503.1191652748</v>
      </c>
      <c r="O62" s="31">
        <f>Option4!O$84*conv_2026*O$7</f>
        <v>1429503.1191652748</v>
      </c>
      <c r="P62" s="31">
        <f>Option4!P$84*conv_2026*P$7</f>
        <v>1429503.1191652748</v>
      </c>
      <c r="Q62" s="31">
        <f>Option4!Q$84*conv_2026*Q$7</f>
        <v>1429503.1191652748</v>
      </c>
      <c r="R62" s="31">
        <f>Option4!R$84*conv_2026*R$7</f>
        <v>1429503.1191652748</v>
      </c>
      <c r="S62" s="31">
        <f>Option4!S$84*conv_2026*S$7</f>
        <v>1429503.1191652748</v>
      </c>
      <c r="T62" s="31">
        <f>Option4!T$84*conv_2026*T$7</f>
        <v>1429503.1191652748</v>
      </c>
      <c r="U62" s="31">
        <f>Option4!U$84*conv_2026*U$7</f>
        <v>1429503.1191652748</v>
      </c>
      <c r="V62" s="31">
        <f>Option4!V$84*conv_2026*V$7</f>
        <v>1429503.1191652748</v>
      </c>
      <c r="W62" s="31">
        <f>Option4!W$84*conv_2026*W$7</f>
        <v>1429503.1191652748</v>
      </c>
      <c r="X62" s="31">
        <f>Option4!X$84*conv_2026*X$7</f>
        <v>1429503.1191652748</v>
      </c>
      <c r="Y62" s="31">
        <f>Option4!Y$84*conv_2026*Y$7</f>
        <v>1429503.1191652748</v>
      </c>
      <c r="Z62" s="31">
        <f>Option4!Z$84*conv_2026*Z$7</f>
        <v>1429503.1191652748</v>
      </c>
      <c r="AA62" s="31">
        <f>Option4!AA$84*conv_2026*AA$7</f>
        <v>1429503.1191652748</v>
      </c>
      <c r="AB62" s="31">
        <f>Option4!AB$84*conv_2026*AB$7</f>
        <v>1429503.1191652748</v>
      </c>
      <c r="AC62" s="31">
        <f>Option4!AC$84*conv_2026*AC$7</f>
        <v>1429503.1191652748</v>
      </c>
      <c r="AD62" s="31">
        <f>Option4!AD$84*conv_2026*AD$7</f>
        <v>1429503.1191652748</v>
      </c>
      <c r="AE62" s="31">
        <f>Option4!AE$84*conv_2026*AE$7</f>
        <v>1429503.1191652748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7" t="str">
        <f t="shared" si="15"/>
        <v>Option 4</v>
      </c>
      <c r="B63" s="137"/>
      <c r="C63" s="58" t="str">
        <f>Option4!C$85</f>
        <v>Other benefits value</v>
      </c>
      <c r="D63" s="38" t="str">
        <f t="shared" si="14"/>
        <v>Option 4Other benefits value</v>
      </c>
      <c r="E63" s="1"/>
      <c r="F63" s="96">
        <f>SUMPRODUCT($H63:$AG63, $H$5:$AG$5)</f>
        <v>0</v>
      </c>
      <c r="G63" s="228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7" t="str">
        <f t="shared" si="15"/>
        <v>Option 4</v>
      </c>
      <c r="B64" s="137"/>
      <c r="C64" s="124" t="str">
        <f>Option4!C87</f>
        <v>Net benefits</v>
      </c>
      <c r="D64" s="108" t="str">
        <f t="shared" si="14"/>
        <v>Option 4Net benefits</v>
      </c>
      <c r="E64" s="109"/>
      <c r="F64" s="145"/>
      <c r="G64" s="230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-607775.27164244198</v>
      </c>
      <c r="N64" s="52">
        <f t="shared" si="17"/>
        <v>213952.57588039082</v>
      </c>
      <c r="O64" s="52">
        <f t="shared" si="17"/>
        <v>213952.57588039082</v>
      </c>
      <c r="P64" s="52">
        <f t="shared" si="17"/>
        <v>213952.57588039082</v>
      </c>
      <c r="Q64" s="52">
        <f t="shared" si="17"/>
        <v>213952.57588039082</v>
      </c>
      <c r="R64" s="52">
        <f t="shared" si="17"/>
        <v>213952.57588039082</v>
      </c>
      <c r="S64" s="52">
        <f t="shared" si="17"/>
        <v>213952.57588039082</v>
      </c>
      <c r="T64" s="52">
        <f t="shared" si="17"/>
        <v>213952.57588039082</v>
      </c>
      <c r="U64" s="52">
        <f t="shared" si="17"/>
        <v>213952.57588039082</v>
      </c>
      <c r="V64" s="52">
        <f t="shared" si="17"/>
        <v>213952.57588039082</v>
      </c>
      <c r="W64" s="52">
        <f t="shared" si="17"/>
        <v>213952.57588039082</v>
      </c>
      <c r="X64" s="52">
        <f t="shared" si="17"/>
        <v>213952.57588039082</v>
      </c>
      <c r="Y64" s="52">
        <f t="shared" si="17"/>
        <v>213952.57588039082</v>
      </c>
      <c r="Z64" s="52">
        <f t="shared" si="17"/>
        <v>213952.57588039082</v>
      </c>
      <c r="AA64" s="52">
        <f t="shared" si="17"/>
        <v>213952.57588039082</v>
      </c>
      <c r="AB64" s="52">
        <f t="shared" si="17"/>
        <v>213952.57588039082</v>
      </c>
      <c r="AC64" s="52">
        <f>SUM(AC60:AC63)</f>
        <v>213952.57588039082</v>
      </c>
      <c r="AD64" s="52">
        <f>SUM(AD60:AD63)</f>
        <v>213952.57588039082</v>
      </c>
      <c r="AE64" s="52">
        <f>SUM(AE60:AE63)</f>
        <v>213952.57588039082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7" t="str">
        <f t="shared" si="15"/>
        <v>Option 4</v>
      </c>
      <c r="B65" s="137"/>
      <c r="C65" s="8" t="s">
        <v>119</v>
      </c>
      <c r="D65" s="38" t="str">
        <f t="shared" si="14"/>
        <v>Option 4NPV</v>
      </c>
      <c r="E65" s="1"/>
      <c r="F65" s="107" cm="1">
        <f t="array" ref="F65">SUMPRODUCT(($H64:$AG64)*($H$5:$AG$5)*($H$7:$AG$7))</f>
        <v>1896633.9859691444</v>
      </c>
      <c r="G65" s="228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7" t="str">
        <f t="shared" si="15"/>
        <v>Option 4</v>
      </c>
      <c r="B66" s="137"/>
      <c r="C66" s="8" t="s">
        <v>190</v>
      </c>
      <c r="D66" s="38" t="str">
        <f t="shared" si="14"/>
        <v>Option 4PV of costs</v>
      </c>
      <c r="E66" s="1"/>
      <c r="F66" s="107">
        <f>SUM(F60:F61)</f>
        <v>-14253935.819592278</v>
      </c>
      <c r="G66" s="228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7" t="str">
        <f t="shared" si="15"/>
        <v>Option 4</v>
      </c>
      <c r="B67" s="137"/>
      <c r="C67" s="8" t="s">
        <v>191</v>
      </c>
      <c r="D67" s="38" t="str">
        <f t="shared" si="14"/>
        <v>Option 4PV of benefits</v>
      </c>
      <c r="E67" s="1"/>
      <c r="F67" s="107">
        <f>SUM(F62:F63)</f>
        <v>16150569.805561427</v>
      </c>
      <c r="G67" s="228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7"/>
      <c r="B68" s="137"/>
      <c r="C68" s="1"/>
      <c r="D68" s="38"/>
      <c r="E68" s="1"/>
      <c r="F68" s="107"/>
      <c r="G68" s="231"/>
      <c r="H68" s="1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</row>
    <row r="69" spans="1:33" s="2" customFormat="1" x14ac:dyDescent="0.2">
      <c r="A69" s="122"/>
      <c r="B69" s="122"/>
      <c r="C69" s="122"/>
      <c r="D69" s="38" t="str">
        <f t="shared" ref="D69:D81" si="18">A69&amp;C69</f>
        <v/>
      </c>
      <c r="F69" s="117"/>
      <c r="G69" s="224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274" customFormat="1" x14ac:dyDescent="0.2">
      <c r="A70" s="272" t="str">
        <f>A71</f>
        <v>Option 5</v>
      </c>
      <c r="B70" s="272"/>
      <c r="C70" s="272" t="s">
        <v>124</v>
      </c>
      <c r="D70" s="273" t="str">
        <f t="shared" si="18"/>
        <v>Option 5Energy at risk value</v>
      </c>
      <c r="F70" s="96">
        <f>SUMPRODUCT($H70:$AG70, $H$5:$AG$5)</f>
        <v>0</v>
      </c>
      <c r="G70" s="275">
        <f>output_dollars</f>
        <v>46203</v>
      </c>
      <c r="H70" s="276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7" t="str">
        <f>Data!B13</f>
        <v>Option 5</v>
      </c>
      <c r="B71" s="137"/>
      <c r="C71" s="58" t="str">
        <f>Option5!C$66</f>
        <v>Capital expenditure</v>
      </c>
      <c r="D71" s="38" t="str">
        <f t="shared" si="18"/>
        <v>Option 5Capital expenditure</v>
      </c>
      <c r="E71" s="1"/>
      <c r="F71" s="96">
        <f>SUMPRODUCT($H71:$AG71, $H$5:$AG$5)</f>
        <v>0</v>
      </c>
      <c r="G71" s="228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7" t="str">
        <f t="shared" ref="A72:A81" si="19">A71</f>
        <v>Option 5</v>
      </c>
      <c r="B72" s="137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6">
        <f>SUMPRODUCT($H72:$AG72, $H$5:$AG$5)</f>
        <v>0</v>
      </c>
      <c r="G72" s="228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7" t="str">
        <f t="shared" si="19"/>
        <v>Option 5</v>
      </c>
      <c r="B73" s="137"/>
      <c r="C73" s="75"/>
      <c r="D73" s="38" t="str">
        <f t="shared" si="18"/>
        <v>Option 5</v>
      </c>
      <c r="E73" s="1"/>
      <c r="F73"/>
      <c r="G73" s="22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7" t="str">
        <f t="shared" si="19"/>
        <v>Option 5</v>
      </c>
      <c r="B74" s="137"/>
      <c r="C74" s="58" t="str">
        <f>Option5!C$82</f>
        <v>Annualised capex</v>
      </c>
      <c r="D74" s="38" t="str">
        <f t="shared" si="18"/>
        <v>Option 5Annualised capex</v>
      </c>
      <c r="E74" s="1"/>
      <c r="F74" s="107" cm="1">
        <f t="array" ref="F74">SUMPRODUCT(($H74:$AG74)*($H$5:$AG$5)*($H$7:$AG$7))</f>
        <v>0</v>
      </c>
      <c r="G74" s="228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7" t="str">
        <f t="shared" si="19"/>
        <v>Option 5</v>
      </c>
      <c r="B75" s="137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7" cm="1">
        <f t="array" ref="F75">SUMPRODUCT(($H75:$AG75)*($H$5:$AG$5)*($H$7:$AG$7))</f>
        <v>0</v>
      </c>
      <c r="G75" s="228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7" t="str">
        <f t="shared" si="19"/>
        <v>Option 5</v>
      </c>
      <c r="B76" s="137"/>
      <c r="C76" s="58" t="str">
        <f>Option5!C$84</f>
        <v>Risk mitigated</v>
      </c>
      <c r="D76" s="38" t="str">
        <f t="shared" si="18"/>
        <v>Option 5Risk mitigated</v>
      </c>
      <c r="E76" s="1"/>
      <c r="F76" s="96">
        <f>SUMPRODUCT($H76:$AG76, $H$5:$AG$5)</f>
        <v>0</v>
      </c>
      <c r="G76" s="228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7" t="str">
        <f t="shared" si="19"/>
        <v>Option 5</v>
      </c>
      <c r="B77" s="137"/>
      <c r="C77" s="58" t="str">
        <f>Option5!C$85</f>
        <v>Other benefits value</v>
      </c>
      <c r="D77" s="38" t="str">
        <f t="shared" si="18"/>
        <v>Option 5Other benefits value</v>
      </c>
      <c r="E77" s="1"/>
      <c r="F77" s="96">
        <f>SUMPRODUCT($H77:$AG77, $H$5:$AG$5)</f>
        <v>0</v>
      </c>
      <c r="G77" s="228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7" t="str">
        <f t="shared" si="19"/>
        <v>Option 5</v>
      </c>
      <c r="B78" s="137"/>
      <c r="C78" s="124" t="str">
        <f>Option5!C87</f>
        <v>Net benefits</v>
      </c>
      <c r="D78" s="108" t="str">
        <f t="shared" si="18"/>
        <v>Option 5Net benefits</v>
      </c>
      <c r="E78" s="109"/>
      <c r="F78" s="145"/>
      <c r="G78" s="230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7" t="str">
        <f t="shared" si="19"/>
        <v>Option 5</v>
      </c>
      <c r="B79" s="137"/>
      <c r="C79" s="8" t="s">
        <v>119</v>
      </c>
      <c r="D79" s="38" t="str">
        <f t="shared" si="18"/>
        <v>Option 5NPV</v>
      </c>
      <c r="E79" s="1"/>
      <c r="F79" s="107" cm="1">
        <f t="array" ref="F79">SUMPRODUCT(($H78:$AG78)*($H$5:$AG$5)*($H$7:$AG$7))</f>
        <v>0</v>
      </c>
      <c r="G79" s="228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7" t="str">
        <f t="shared" si="19"/>
        <v>Option 5</v>
      </c>
      <c r="B80" s="137"/>
      <c r="C80" s="8" t="s">
        <v>190</v>
      </c>
      <c r="D80" s="38" t="str">
        <f t="shared" si="18"/>
        <v>Option 5PV of costs</v>
      </c>
      <c r="E80" s="1"/>
      <c r="F80" s="107">
        <f>SUM(F74:F75)</f>
        <v>0</v>
      </c>
      <c r="G80" s="228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7" t="str">
        <f t="shared" si="19"/>
        <v>Option 5</v>
      </c>
      <c r="B81" s="137"/>
      <c r="C81" s="8" t="s">
        <v>191</v>
      </c>
      <c r="D81" s="38" t="str">
        <f t="shared" si="18"/>
        <v>Option 5PV of benefits</v>
      </c>
      <c r="E81" s="1"/>
      <c r="F81" s="107">
        <f>SUM(F76:F77)</f>
        <v>0</v>
      </c>
      <c r="G81" s="228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3"/>
      <c r="B82" s="123"/>
      <c r="C82" s="123"/>
      <c r="D82" s="38" t="str">
        <f>A82&amp;C82</f>
        <v/>
      </c>
      <c r="F82" s="117"/>
      <c r="G82" s="224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ht="12" x14ac:dyDescent="0.2">
      <c r="E83" s="84"/>
      <c r="G83" s="232"/>
    </row>
    <row r="84" spans="1:33" ht="12" x14ac:dyDescent="0.2">
      <c r="E84" s="84"/>
      <c r="G84" s="232"/>
    </row>
    <row r="85" spans="1:33" ht="12" x14ac:dyDescent="0.2">
      <c r="E85" s="84"/>
      <c r="G85" s="232"/>
    </row>
    <row r="86" spans="1:33" ht="12" x14ac:dyDescent="0.2">
      <c r="E86" s="84"/>
      <c r="G86" s="232"/>
    </row>
    <row r="87" spans="1:33" ht="12" x14ac:dyDescent="0.2">
      <c r="E87" s="10"/>
      <c r="G87" s="232"/>
    </row>
    <row r="88" spans="1:33" ht="15" x14ac:dyDescent="0.25">
      <c r="A88" s="205" t="s">
        <v>203</v>
      </c>
      <c r="B88" s="54"/>
      <c r="C88" s="19"/>
      <c r="D88" s="19"/>
      <c r="E88" s="83"/>
      <c r="F88" s="19"/>
      <c r="G88" s="226"/>
      <c r="H88" s="226"/>
      <c r="I88" s="202" t="str">
        <f>"FY"&amp;RIGHT(I$9,2)</f>
        <v>FY27</v>
      </c>
      <c r="J88" s="202" t="str">
        <f t="shared" ref="J88:AG88" si="22">"FY"&amp;RIGHT(J$9,2)</f>
        <v>FY28</v>
      </c>
      <c r="K88" s="202" t="str">
        <f t="shared" si="22"/>
        <v>FY29</v>
      </c>
      <c r="L88" s="202" t="str">
        <f t="shared" si="22"/>
        <v>FY30</v>
      </c>
      <c r="M88" s="202" t="str">
        <f t="shared" si="22"/>
        <v>FY31</v>
      </c>
      <c r="N88" s="202" t="str">
        <f t="shared" si="22"/>
        <v>FY32</v>
      </c>
      <c r="O88" s="202" t="str">
        <f t="shared" si="22"/>
        <v>FY33</v>
      </c>
      <c r="P88" s="202" t="str">
        <f t="shared" si="22"/>
        <v>FY34</v>
      </c>
      <c r="Q88" s="202" t="str">
        <f t="shared" si="22"/>
        <v>FY35</v>
      </c>
      <c r="R88" s="202" t="str">
        <f t="shared" si="22"/>
        <v>FY36</v>
      </c>
      <c r="S88" s="202" t="str">
        <f t="shared" si="22"/>
        <v>FY37</v>
      </c>
      <c r="T88" s="202" t="str">
        <f t="shared" si="22"/>
        <v>FY38</v>
      </c>
      <c r="U88" s="202" t="str">
        <f t="shared" si="22"/>
        <v>FY39</v>
      </c>
      <c r="V88" s="202" t="str">
        <f t="shared" si="22"/>
        <v>FY40</v>
      </c>
      <c r="W88" s="202" t="str">
        <f t="shared" si="22"/>
        <v>FY41</v>
      </c>
      <c r="X88" s="202" t="str">
        <f t="shared" si="22"/>
        <v>FY42</v>
      </c>
      <c r="Y88" s="202" t="str">
        <f t="shared" si="22"/>
        <v>FY43</v>
      </c>
      <c r="Z88" s="202" t="str">
        <f t="shared" si="22"/>
        <v>FY44</v>
      </c>
      <c r="AA88" s="202" t="str">
        <f t="shared" si="22"/>
        <v>FY45</v>
      </c>
      <c r="AB88" s="202" t="str">
        <f t="shared" si="22"/>
        <v>FY46</v>
      </c>
      <c r="AC88" s="202" t="str">
        <f t="shared" si="22"/>
        <v>FY47</v>
      </c>
      <c r="AD88" s="202" t="str">
        <f t="shared" si="22"/>
        <v>FY48</v>
      </c>
      <c r="AE88" s="202" t="str">
        <f t="shared" si="22"/>
        <v>FY49</v>
      </c>
      <c r="AF88" s="202" t="str">
        <f t="shared" si="22"/>
        <v>FY50</v>
      </c>
      <c r="AG88" s="202" t="str">
        <f t="shared" si="22"/>
        <v>FY51</v>
      </c>
    </row>
    <row r="89" spans="1:33" ht="12" x14ac:dyDescent="0.2">
      <c r="E89" s="84"/>
      <c r="G89" s="232"/>
    </row>
    <row r="90" spans="1:33" ht="12" x14ac:dyDescent="0.2">
      <c r="E90" s="84"/>
    </row>
    <row r="91" spans="1:33" x14ac:dyDescent="0.2">
      <c r="A91" s="201" t="str">
        <f>Summary!$C$26</f>
        <v>Option 2</v>
      </c>
      <c r="B91" s="141"/>
      <c r="C91" s="199" t="s">
        <v>91</v>
      </c>
      <c r="D91" s="117">
        <f>INDEX(Data!$C$30:$C$36, MATCH(C91, Data!$B$30:$B$36,0))</f>
        <v>-1</v>
      </c>
      <c r="E91" s="2"/>
      <c r="F91" s="117"/>
      <c r="G91" s="118"/>
      <c r="H91" s="118" t="str">
        <f>A91&amp;" "&amp;LOWER(C91)</f>
        <v>Option 2 annualised capex</v>
      </c>
      <c r="I91" s="301" cm="1">
        <f t="array" ref="I91">MAX($D91*INDEX(I$15:W$81, MATCH($A91&amp;$C91, $D$15:$D$81,0),))/mill_conv</f>
        <v>0.996740911818358</v>
      </c>
      <c r="J91" s="301" cm="1">
        <f t="array" ref="J91">MAX($D91*INDEX(J$15:X$81, MATCH($A91&amp;$C91, $D$15:$D$81,0),))/mill_conv</f>
        <v>0.996740911818358</v>
      </c>
      <c r="K91" s="301" cm="1">
        <f t="array" ref="K91">MAX($D91*INDEX(K$15:Y$81, MATCH($A91&amp;$C91, $D$15:$D$81,0),))/mill_conv</f>
        <v>0.996740911818358</v>
      </c>
      <c r="L91" s="301" cm="1">
        <f t="array" ref="L91">MAX($D91*INDEX(L$15:Z$81, MATCH($A91&amp;$C91, $D$15:$D$81,0),))/mill_conv</f>
        <v>0.996740911818358</v>
      </c>
      <c r="M91" s="301" cm="1">
        <f t="array" ref="M91">MAX($D91*INDEX(M$15:AA$81, MATCH($A91&amp;$C91, $D$15:$D$81,0),))/mill_conv</f>
        <v>0.996740911818358</v>
      </c>
      <c r="N91" s="301" cm="1">
        <f t="array" ref="N91">MAX($D91*INDEX(N$15:AB$81, MATCH($A91&amp;$C91, $D$15:$D$81,0),))/mill_conv</f>
        <v>0.996740911818358</v>
      </c>
      <c r="O91" s="301" cm="1">
        <f t="array" ref="O91">MAX($D91*INDEX(O$15:AC$81, MATCH($A91&amp;$C91, $D$15:$D$81,0),))/mill_conv</f>
        <v>0.996740911818358</v>
      </c>
      <c r="P91" s="301" cm="1">
        <f t="array" ref="P91">MAX($D91*INDEX(P$15:AD$81, MATCH($A91&amp;$C91, $D$15:$D$81,0),))/mill_conv</f>
        <v>0.996740911818358</v>
      </c>
      <c r="Q91" s="301" cm="1">
        <f t="array" ref="Q91">MAX($D91*INDEX(Q$15:AE$81, MATCH($A91&amp;$C91, $D$15:$D$81,0),))/mill_conv</f>
        <v>0.996740911818358</v>
      </c>
      <c r="R91" s="301" cm="1">
        <f t="array" ref="R91">MAX($D91*INDEX(R$15:AF$81, MATCH($A91&amp;$C91, $D$15:$D$81,0),))/mill_conv</f>
        <v>0.996740911818358</v>
      </c>
      <c r="S91" s="301" cm="1">
        <f t="array" ref="S91">MAX($D91*INDEX(S$15:AG$81, MATCH($A91&amp;$C91, $D$15:$D$81,0),))/mill_conv</f>
        <v>0.996740911818358</v>
      </c>
      <c r="T91" s="301" cm="1">
        <f t="array" ref="T91">MAX($D91*INDEX(T$15:AH$81, MATCH($A91&amp;$C91, $D$15:$D$81,0),))/mill_conv</f>
        <v>0.996740911818358</v>
      </c>
      <c r="U91" s="301" cm="1">
        <f t="array" ref="U91">MAX($D91*INDEX(U$15:AI$81, MATCH($A91&amp;$C91, $D$15:$D$81,0),))/mill_conv</f>
        <v>0.996740911818358</v>
      </c>
      <c r="V91" s="301" cm="1">
        <f t="array" ref="V91">MAX($D91*INDEX(V$15:AJ$81, MATCH($A91&amp;$C91, $D$15:$D$81,0),))/mill_conv</f>
        <v>0.996740911818358</v>
      </c>
      <c r="W91" s="301" cm="1">
        <f t="array" ref="W91">MAX($D91*INDEX(W$15:AK$81, MATCH($A91&amp;$C91, $D$15:$D$81,0),))/mill_conv</f>
        <v>0.996740911818358</v>
      </c>
      <c r="X91" s="301" cm="1">
        <f t="array" ref="X91">MAX($D91*INDEX(X$15:AL$81, MATCH($A91&amp;$C91, $D$15:$D$81,0),))/mill_conv</f>
        <v>0.996740911818358</v>
      </c>
      <c r="Y91" s="301" cm="1">
        <f t="array" ref="Y91">MAX($D91*INDEX(Y$15:AM$81, MATCH($A91&amp;$C91, $D$15:$D$81,0),))/mill_conv</f>
        <v>0.996740911818358</v>
      </c>
      <c r="Z91" s="301" cm="1">
        <f t="array" ref="Z91">MAX($D91*INDEX(Z$15:AN$81, MATCH($A91&amp;$C91, $D$15:$D$81,0),))/mill_conv</f>
        <v>0.996740911818358</v>
      </c>
      <c r="AA91" s="301" cm="1">
        <f t="array" ref="AA91">MAX($D91*INDEX(AA$15:AO$81, MATCH($A91&amp;$C91, $D$15:$D$81,0),))/mill_conv</f>
        <v>0.996740911818358</v>
      </c>
      <c r="AB91" s="301" cm="1">
        <f t="array" ref="AB91">MAX($D91*INDEX(AB$15:AP$81, MATCH($A91&amp;$C91, $D$15:$D$81,0),))/mill_conv</f>
        <v>0.996740911818358</v>
      </c>
      <c r="AC91" s="301" cm="1">
        <f t="array" ref="AC91">MAX($D91*INDEX(AC$15:AQ$81, MATCH($A91&amp;$C91, $D$15:$D$81,0),))/mill_conv</f>
        <v>0.996740911818358</v>
      </c>
      <c r="AD91" s="301" cm="1">
        <f t="array" ref="AD91">MAX($D91*INDEX(AD$15:AR$81, MATCH($A91&amp;$C91, $D$15:$D$81,0),))/mill_conv</f>
        <v>0.996740911818358</v>
      </c>
      <c r="AE91" s="301" cm="1">
        <f t="array" ref="AE91">MAX($D91*INDEX(AE$15:AS$81, MATCH($A91&amp;$C91, $D$15:$D$81,0),))/mill_conv</f>
        <v>0.996740911818358</v>
      </c>
      <c r="AF91" s="301" cm="1">
        <f t="array" ref="AF91">MAX($D91*INDEX(AF$15:AT$81, MATCH($A91&amp;$C91, $D$15:$D$81,0),))/mill_conv</f>
        <v>0</v>
      </c>
      <c r="AG91" s="301" cm="1">
        <f t="array" ref="AG91">MAX($D91*INDEX(AG$15:AU$81, MATCH($A91&amp;$C91, $D$15:$D$81,0),))/mill_conv</f>
        <v>0</v>
      </c>
    </row>
    <row r="92" spans="1:33" x14ac:dyDescent="0.2">
      <c r="A92" s="200" t="str">
        <f>A16</f>
        <v>Option 1 (base case)</v>
      </c>
      <c r="B92" s="141"/>
      <c r="C92" s="200" t="s">
        <v>173</v>
      </c>
      <c r="D92" s="117">
        <f>INDEX(Data!$C$30:$C$36, MATCH(C92, Data!$B$30:$B$36,0))</f>
        <v>1</v>
      </c>
      <c r="E92" s="84"/>
      <c r="H92" s="118" t="str">
        <f>A92&amp;" risk cost"</f>
        <v>Option 1 (base case) risk cost</v>
      </c>
      <c r="I92" s="301">
        <f t="shared" ref="I92:R92" si="23">$D92*INDEX(I$15:I$81, MATCH($A92&amp;$C92, $D$15:$D$81,0))/mill_conv</f>
        <v>2.8296422232395506</v>
      </c>
      <c r="J92" s="301">
        <f t="shared" si="23"/>
        <v>2.8296422232395506</v>
      </c>
      <c r="K92" s="301">
        <f t="shared" si="23"/>
        <v>2.8296422232395506</v>
      </c>
      <c r="L92" s="301">
        <f t="shared" si="23"/>
        <v>2.8296422232395506</v>
      </c>
      <c r="M92" s="301">
        <f t="shared" si="23"/>
        <v>2.8296422232395506</v>
      </c>
      <c r="N92" s="301">
        <f t="shared" si="23"/>
        <v>2.8296422232395506</v>
      </c>
      <c r="O92" s="301">
        <f t="shared" si="23"/>
        <v>2.8296422232395506</v>
      </c>
      <c r="P92" s="301">
        <f t="shared" si="23"/>
        <v>2.8296422232395506</v>
      </c>
      <c r="Q92" s="301">
        <f t="shared" si="23"/>
        <v>2.8296422232395506</v>
      </c>
      <c r="R92" s="301">
        <f t="shared" si="23"/>
        <v>2.8296422232395506</v>
      </c>
      <c r="S92" s="301">
        <f t="shared" ref="S92:AG92" si="24">$D92*INDEX(S$15:S$81, MATCH($A92&amp;$C92, $D$15:$D$81,0))/mill_conv</f>
        <v>2.8296422232395506</v>
      </c>
      <c r="T92" s="301">
        <f t="shared" si="24"/>
        <v>2.8296422232395506</v>
      </c>
      <c r="U92" s="301">
        <f t="shared" si="24"/>
        <v>2.8296422232395506</v>
      </c>
      <c r="V92" s="301">
        <f t="shared" si="24"/>
        <v>2.8296422232395506</v>
      </c>
      <c r="W92" s="301">
        <f t="shared" si="24"/>
        <v>2.8296422232395506</v>
      </c>
      <c r="X92" s="301">
        <f t="shared" si="24"/>
        <v>2.8296422232395506</v>
      </c>
      <c r="Y92" s="301">
        <f t="shared" si="24"/>
        <v>2.8296422232395506</v>
      </c>
      <c r="Z92" s="301">
        <f t="shared" si="24"/>
        <v>2.8296422232395506</v>
      </c>
      <c r="AA92" s="301">
        <f t="shared" si="24"/>
        <v>2.8296422232395506</v>
      </c>
      <c r="AB92" s="301">
        <f t="shared" si="24"/>
        <v>2.8296422232395506</v>
      </c>
      <c r="AC92" s="301">
        <f t="shared" si="24"/>
        <v>2.8296422232395506</v>
      </c>
      <c r="AD92" s="301">
        <f t="shared" si="24"/>
        <v>2.8296422232395506</v>
      </c>
      <c r="AE92" s="301">
        <f t="shared" si="24"/>
        <v>2.8296422232395506</v>
      </c>
      <c r="AF92" s="301">
        <f t="shared" si="24"/>
        <v>2.8296422232395506</v>
      </c>
      <c r="AG92" s="301">
        <f t="shared" si="24"/>
        <v>2.8296422232395506</v>
      </c>
    </row>
    <row r="93" spans="1:33" ht="12" x14ac:dyDescent="0.2">
      <c r="E93" s="84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8" t="str">
        <f>I88</f>
        <v>FY27</v>
      </c>
      <c r="J97" s="298" t="str">
        <f t="shared" ref="J97:AG97" si="25">J88</f>
        <v>FY28</v>
      </c>
      <c r="K97" s="298" t="str">
        <f t="shared" si="25"/>
        <v>FY29</v>
      </c>
      <c r="L97" s="298" t="str">
        <f t="shared" si="25"/>
        <v>FY30</v>
      </c>
      <c r="M97" s="298" t="str">
        <f t="shared" si="25"/>
        <v>FY31</v>
      </c>
      <c r="N97" s="298" t="str">
        <f t="shared" si="25"/>
        <v>FY32</v>
      </c>
      <c r="O97" s="298" t="str">
        <f t="shared" si="25"/>
        <v>FY33</v>
      </c>
      <c r="P97" s="298" t="str">
        <f t="shared" si="25"/>
        <v>FY34</v>
      </c>
      <c r="Q97" s="298" t="str">
        <f t="shared" si="25"/>
        <v>FY35</v>
      </c>
      <c r="R97" s="298" t="str">
        <f t="shared" si="25"/>
        <v>FY36</v>
      </c>
      <c r="S97" s="298" t="str">
        <f t="shared" si="25"/>
        <v>FY37</v>
      </c>
      <c r="T97" s="298" t="str">
        <f t="shared" si="25"/>
        <v>FY38</v>
      </c>
      <c r="U97" s="298" t="str">
        <f t="shared" si="25"/>
        <v>FY39</v>
      </c>
      <c r="V97" s="298" t="str">
        <f t="shared" si="25"/>
        <v>FY40</v>
      </c>
      <c r="W97" s="298" t="str">
        <f t="shared" si="25"/>
        <v>FY41</v>
      </c>
      <c r="X97" s="298" t="str">
        <f t="shared" si="25"/>
        <v>FY42</v>
      </c>
      <c r="Y97" s="298" t="str">
        <f t="shared" si="25"/>
        <v>FY43</v>
      </c>
      <c r="Z97" s="298" t="str">
        <f t="shared" si="25"/>
        <v>FY44</v>
      </c>
      <c r="AA97" s="298" t="str">
        <f t="shared" si="25"/>
        <v>FY45</v>
      </c>
      <c r="AB97" s="298" t="str">
        <f t="shared" si="25"/>
        <v>FY46</v>
      </c>
      <c r="AC97" s="298" t="str">
        <f t="shared" si="25"/>
        <v>FY47</v>
      </c>
      <c r="AD97" s="298" t="str">
        <f t="shared" si="25"/>
        <v>FY48</v>
      </c>
      <c r="AE97" s="298" t="str">
        <f t="shared" si="25"/>
        <v>FY49</v>
      </c>
      <c r="AF97" s="298" t="str">
        <f t="shared" si="25"/>
        <v>FY50</v>
      </c>
      <c r="AG97" s="298" t="str">
        <f t="shared" si="25"/>
        <v>FY51</v>
      </c>
    </row>
    <row r="98" spans="1:33" x14ac:dyDescent="0.2">
      <c r="A98" s="201" t="s">
        <v>235</v>
      </c>
      <c r="B98" s="141"/>
      <c r="C98" s="199" t="s">
        <v>123</v>
      </c>
      <c r="D98" s="193">
        <f>MAX(H98:AG98)</f>
        <v>0</v>
      </c>
      <c r="E98" s="297"/>
      <c r="F98" s="117"/>
      <c r="G98" s="118"/>
      <c r="H98" s="118" t="str">
        <f>A98&amp;" "&amp;LOWER(C98)</f>
        <v>Energy at risk energy at risk (weighted)</v>
      </c>
      <c r="I98" s="118">
        <f>INDEX('Option1 (base case)'!I$14:I$87, MATCH($C98, 'Option1 (base case)'!$C$14:$C$87,0))</f>
        <v>0</v>
      </c>
      <c r="J98" s="118">
        <f>INDEX('Option1 (base case)'!J$14:J$87, MATCH($C98, 'Option1 (base case)'!$C$14:$C$87,0))</f>
        <v>0</v>
      </c>
      <c r="K98" s="118">
        <f>INDEX('Option1 (base case)'!K$14:K$87, MATCH($C98, 'Option1 (base case)'!$C$14:$C$87,0))</f>
        <v>0</v>
      </c>
      <c r="L98" s="118">
        <f>INDEX('Option1 (base case)'!L$14:L$87, MATCH($C98, 'Option1 (base case)'!$C$14:$C$87,0))</f>
        <v>0</v>
      </c>
      <c r="M98" s="118">
        <f>INDEX('Option1 (base case)'!M$14:M$87, MATCH($C98, 'Option1 (base case)'!$C$14:$C$87,0))</f>
        <v>0</v>
      </c>
      <c r="N98" s="118">
        <f>INDEX('Option1 (base case)'!N$14:N$87, MATCH($C98, 'Option1 (base case)'!$C$14:$C$87,0))</f>
        <v>0</v>
      </c>
      <c r="O98" s="118">
        <f>INDEX('Option1 (base case)'!O$14:O$87, MATCH($C98, 'Option1 (base case)'!$C$14:$C$87,0))</f>
        <v>0</v>
      </c>
      <c r="P98" s="118">
        <f>INDEX('Option1 (base case)'!P$14:P$87, MATCH($C98, 'Option1 (base case)'!$C$14:$C$87,0))</f>
        <v>0</v>
      </c>
      <c r="Q98" s="118">
        <f>INDEX('Option1 (base case)'!Q$14:Q$87, MATCH($C98, 'Option1 (base case)'!$C$14:$C$87,0))</f>
        <v>0</v>
      </c>
      <c r="R98" s="118">
        <f>INDEX('Option1 (base case)'!R$14:R$87, MATCH($C98, 'Option1 (base case)'!$C$14:$C$87,0))</f>
        <v>0</v>
      </c>
      <c r="S98" s="118">
        <f>INDEX('Option1 (base case)'!S$14:S$87, MATCH($C98, 'Option1 (base case)'!$C$14:$C$87,0))</f>
        <v>0</v>
      </c>
      <c r="T98" s="118">
        <f>INDEX('Option1 (base case)'!T$14:T$87, MATCH($C98, 'Option1 (base case)'!$C$14:$C$87,0))</f>
        <v>0</v>
      </c>
      <c r="U98" s="118">
        <f>INDEX('Option1 (base case)'!U$14:U$87, MATCH($C98, 'Option1 (base case)'!$C$14:$C$87,0))</f>
        <v>0</v>
      </c>
      <c r="V98" s="118">
        <f>INDEX('Option1 (base case)'!V$14:V$87, MATCH($C98, 'Option1 (base case)'!$C$14:$C$87,0))</f>
        <v>0</v>
      </c>
      <c r="W98" s="118">
        <f>INDEX('Option1 (base case)'!W$14:W$87, MATCH($C98, 'Option1 (base case)'!$C$14:$C$87,0))</f>
        <v>0</v>
      </c>
      <c r="X98" s="118">
        <f>INDEX('Option1 (base case)'!X$14:X$87, MATCH($C98, 'Option1 (base case)'!$C$14:$C$87,0))</f>
        <v>0</v>
      </c>
      <c r="Y98" s="118">
        <f>INDEX('Option1 (base case)'!Y$14:Y$87, MATCH($C98, 'Option1 (base case)'!$C$14:$C$87,0))</f>
        <v>0</v>
      </c>
      <c r="Z98" s="118">
        <f>INDEX('Option1 (base case)'!Z$14:Z$87, MATCH($C98, 'Option1 (base case)'!$C$14:$C$87,0))</f>
        <v>0</v>
      </c>
      <c r="AA98" s="118">
        <f>INDEX('Option1 (base case)'!AA$14:AA$87, MATCH($C98, 'Option1 (base case)'!$C$14:$C$87,0))</f>
        <v>0</v>
      </c>
      <c r="AB98" s="118">
        <f>INDEX('Option1 (base case)'!AB$14:AB$87, MATCH($C98, 'Option1 (base case)'!$C$14:$C$87,0))</f>
        <v>0</v>
      </c>
      <c r="AC98" s="118">
        <f>INDEX('Option1 (base case)'!AC$14:AC$87, MATCH($C98, 'Option1 (base case)'!$C$14:$C$87,0))</f>
        <v>0</v>
      </c>
      <c r="AD98" s="118">
        <f>INDEX('Option1 (base case)'!AD$14:AD$87, MATCH($C98, 'Option1 (base case)'!$C$14:$C$87,0))</f>
        <v>0</v>
      </c>
      <c r="AE98" s="118">
        <f>INDEX('Option1 (base case)'!AE$14:AE$87, MATCH($C98, 'Option1 (base case)'!$C$14:$C$87,0))</f>
        <v>0</v>
      </c>
      <c r="AF98" s="118">
        <f>INDEX('Option1 (base case)'!AF$14:AF$87, MATCH($C98, 'Option1 (base case)'!$C$14:$C$87,0))</f>
        <v>0</v>
      </c>
      <c r="AG98" s="118">
        <f>INDEX('Option1 (base case)'!AG$14:AG$87, MATCH($C98, 'Option1 (base case)'!$C$14:$C$87,0))</f>
        <v>0</v>
      </c>
    </row>
    <row r="99" spans="1:33" x14ac:dyDescent="0.2">
      <c r="A99" s="200" t="str">
        <f>A23</f>
        <v>Option 1 (base case)</v>
      </c>
      <c r="B99" s="141"/>
      <c r="C99" s="200" t="s">
        <v>124</v>
      </c>
      <c r="D99" s="193">
        <f>MAX(H99:AG99)</f>
        <v>0</v>
      </c>
      <c r="E99" s="297"/>
      <c r="H99" s="118" t="str">
        <f>A99&amp;" risk cost"</f>
        <v>Option 1 (base case) risk cost</v>
      </c>
      <c r="I99" s="118">
        <f>INDEX('Option1 (base case)'!I$14:I$87, MATCH($C99, 'Option1 (base case)'!$C$14:$C$87,0))/10^6</f>
        <v>0</v>
      </c>
      <c r="J99" s="118">
        <f>INDEX('Option1 (base case)'!J$14:J$87, MATCH($C99, 'Option1 (base case)'!$C$14:$C$87,0))/10^6</f>
        <v>0</v>
      </c>
      <c r="K99" s="118">
        <f>INDEX('Option1 (base case)'!K$14:K$87, MATCH($C99, 'Option1 (base case)'!$C$14:$C$87,0))/10^6</f>
        <v>0</v>
      </c>
      <c r="L99" s="118">
        <f>INDEX('Option1 (base case)'!L$14:L$87, MATCH($C99, 'Option1 (base case)'!$C$14:$C$87,0))/10^6</f>
        <v>0</v>
      </c>
      <c r="M99" s="118">
        <f>INDEX('Option1 (base case)'!M$14:M$87, MATCH($C99, 'Option1 (base case)'!$C$14:$C$87,0))/10^6</f>
        <v>0</v>
      </c>
      <c r="N99" s="118">
        <f>INDEX('Option1 (base case)'!N$14:N$87, MATCH($C99, 'Option1 (base case)'!$C$14:$C$87,0))/10^6</f>
        <v>0</v>
      </c>
      <c r="O99" s="118">
        <f>INDEX('Option1 (base case)'!O$14:O$87, MATCH($C99, 'Option1 (base case)'!$C$14:$C$87,0))/10^6</f>
        <v>0</v>
      </c>
      <c r="P99" s="118">
        <f>INDEX('Option1 (base case)'!P$14:P$87, MATCH($C99, 'Option1 (base case)'!$C$14:$C$87,0))/10^6</f>
        <v>0</v>
      </c>
      <c r="Q99" s="118">
        <f>INDEX('Option1 (base case)'!Q$14:Q$87, MATCH($C99, 'Option1 (base case)'!$C$14:$C$87,0))/10^6</f>
        <v>0</v>
      </c>
      <c r="R99" s="118">
        <f>INDEX('Option1 (base case)'!R$14:R$87, MATCH($C99, 'Option1 (base case)'!$C$14:$C$87,0))/10^6</f>
        <v>0</v>
      </c>
      <c r="S99" s="118">
        <f>INDEX('Option1 (base case)'!S$14:S$87, MATCH($C99, 'Option1 (base case)'!$C$14:$C$87,0))/10^6</f>
        <v>0</v>
      </c>
      <c r="T99" s="118">
        <f>INDEX('Option1 (base case)'!T$14:T$87, MATCH($C99, 'Option1 (base case)'!$C$14:$C$87,0))/10^6</f>
        <v>0</v>
      </c>
      <c r="U99" s="118">
        <f>INDEX('Option1 (base case)'!U$14:U$87, MATCH($C99, 'Option1 (base case)'!$C$14:$C$87,0))/10^6</f>
        <v>0</v>
      </c>
      <c r="V99" s="118">
        <f>INDEX('Option1 (base case)'!V$14:V$87, MATCH($C99, 'Option1 (base case)'!$C$14:$C$87,0))/10^6</f>
        <v>0</v>
      </c>
      <c r="W99" s="118">
        <f>INDEX('Option1 (base case)'!W$14:W$87, MATCH($C99, 'Option1 (base case)'!$C$14:$C$87,0))/10^6</f>
        <v>0</v>
      </c>
      <c r="X99" s="118">
        <f>INDEX('Option1 (base case)'!X$14:X$87, MATCH($C99, 'Option1 (base case)'!$C$14:$C$87,0))/10^6</f>
        <v>0</v>
      </c>
      <c r="Y99" s="118">
        <f>INDEX('Option1 (base case)'!Y$14:Y$87, MATCH($C99, 'Option1 (base case)'!$C$14:$C$87,0))/10^6</f>
        <v>0</v>
      </c>
      <c r="Z99" s="118">
        <f>INDEX('Option1 (base case)'!Z$14:Z$87, MATCH($C99, 'Option1 (base case)'!$C$14:$C$87,0))/10^6</f>
        <v>0</v>
      </c>
      <c r="AA99" s="118">
        <f>INDEX('Option1 (base case)'!AA$14:AA$87, MATCH($C99, 'Option1 (base case)'!$C$14:$C$87,0))/10^6</f>
        <v>0</v>
      </c>
      <c r="AB99" s="118">
        <f>INDEX('Option1 (base case)'!AB$14:AB$87, MATCH($C99, 'Option1 (base case)'!$C$14:$C$87,0))/10^6</f>
        <v>0</v>
      </c>
      <c r="AC99" s="118">
        <f>INDEX('Option1 (base case)'!AC$14:AC$87, MATCH($C99, 'Option1 (base case)'!$C$14:$C$87,0))/10^6</f>
        <v>0</v>
      </c>
      <c r="AD99" s="118">
        <f>INDEX('Option1 (base case)'!AD$14:AD$87, MATCH($C99, 'Option1 (base case)'!$C$14:$C$87,0))/10^6</f>
        <v>0</v>
      </c>
      <c r="AE99" s="118">
        <f>INDEX('Option1 (base case)'!AE$14:AE$87, MATCH($C99, 'Option1 (base case)'!$C$14:$C$87,0))/10^6</f>
        <v>0</v>
      </c>
      <c r="AF99" s="118">
        <f>INDEX('Option1 (base case)'!AF$14:AF$87, MATCH($C99, 'Option1 (base case)'!$C$14:$C$87,0))/10^6</f>
        <v>0</v>
      </c>
      <c r="AG99" s="118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9" customFormat="1" ht="12" x14ac:dyDescent="0.2"/>
    <row r="102" spans="1:33" ht="12" x14ac:dyDescent="0.2">
      <c r="E102" s="10"/>
    </row>
    <row r="103" spans="1:33" ht="12" x14ac:dyDescent="0.2">
      <c r="E103" s="10"/>
      <c r="I103" s="299"/>
    </row>
    <row r="104" spans="1:33" ht="12" x14ac:dyDescent="0.2">
      <c r="E104" s="10"/>
      <c r="H104" s="152"/>
    </row>
    <row r="105" spans="1:33" ht="12" x14ac:dyDescent="0.2">
      <c r="E105" s="10"/>
      <c r="H105" s="152"/>
    </row>
    <row r="106" spans="1:33" ht="12" x14ac:dyDescent="0.2">
      <c r="D106" s="193"/>
      <c r="E106" s="10"/>
    </row>
    <row r="107" spans="1:33" ht="12" x14ac:dyDescent="0.2">
      <c r="D107" s="193"/>
      <c r="E107" s="10"/>
    </row>
    <row r="108" spans="1:33" ht="12" x14ac:dyDescent="0.2">
      <c r="D108" s="193"/>
      <c r="E108" s="84"/>
    </row>
    <row r="109" spans="1:33" ht="12" x14ac:dyDescent="0.2">
      <c r="C109" s="123"/>
      <c r="D109" s="193"/>
      <c r="E109" s="193"/>
    </row>
    <row r="110" spans="1:33" ht="12" x14ac:dyDescent="0.2">
      <c r="D110" s="193"/>
      <c r="E110" s="84"/>
    </row>
    <row r="111" spans="1:33" ht="12" x14ac:dyDescent="0.2">
      <c r="D111" s="193"/>
      <c r="E111" s="84"/>
    </row>
    <row r="112" spans="1:33" ht="12" x14ac:dyDescent="0.2">
      <c r="D112" s="193"/>
      <c r="E112" s="84"/>
    </row>
    <row r="113" spans="4:5" ht="12" x14ac:dyDescent="0.2">
      <c r="D113" s="193"/>
      <c r="E113" s="84"/>
    </row>
    <row r="114" spans="4:5" ht="12" x14ac:dyDescent="0.2">
      <c r="D114" s="193"/>
      <c r="E114" s="84"/>
    </row>
    <row r="115" spans="4:5" ht="12" x14ac:dyDescent="0.2">
      <c r="D115" s="193"/>
      <c r="E115" s="84"/>
    </row>
    <row r="116" spans="4:5" ht="12" x14ac:dyDescent="0.2">
      <c r="D116" s="193"/>
      <c r="E116" s="84"/>
    </row>
    <row r="117" spans="4:5" ht="12" x14ac:dyDescent="0.2">
      <c r="D117" s="193"/>
      <c r="E117" s="84"/>
    </row>
    <row r="118" spans="4:5" ht="12" x14ac:dyDescent="0.2">
      <c r="D118" s="193"/>
      <c r="E118" s="84"/>
    </row>
    <row r="119" spans="4:5" ht="12" x14ac:dyDescent="0.2">
      <c r="D119" s="193"/>
      <c r="E119" s="84"/>
    </row>
    <row r="120" spans="4:5" ht="12" x14ac:dyDescent="0.2">
      <c r="D120" s="193"/>
      <c r="E120" s="84"/>
    </row>
    <row r="121" spans="4:5" ht="12" x14ac:dyDescent="0.2">
      <c r="D121" s="193"/>
      <c r="E121" s="84"/>
    </row>
    <row r="122" spans="4:5" ht="12" x14ac:dyDescent="0.2">
      <c r="D122" s="193"/>
      <c r="E122" s="84"/>
    </row>
    <row r="123" spans="4:5" ht="12" x14ac:dyDescent="0.2">
      <c r="D123" s="193"/>
      <c r="E123" s="84"/>
    </row>
    <row r="124" spans="4:5" ht="12" x14ac:dyDescent="0.2">
      <c r="D124" s="193"/>
      <c r="E124" s="84"/>
    </row>
    <row r="125" spans="4:5" ht="12" x14ac:dyDescent="0.2">
      <c r="D125" s="193"/>
      <c r="E125" s="84"/>
    </row>
    <row r="126" spans="4:5" ht="12" x14ac:dyDescent="0.2">
      <c r="D126" s="193"/>
      <c r="E126" s="84"/>
    </row>
    <row r="127" spans="4:5" ht="12" x14ac:dyDescent="0.2">
      <c r="D127" s="193"/>
      <c r="E127" s="84"/>
    </row>
    <row r="128" spans="4:5" ht="12" x14ac:dyDescent="0.2">
      <c r="D128" s="193"/>
      <c r="E128" s="84"/>
    </row>
    <row r="129" spans="4:5" ht="12" x14ac:dyDescent="0.2">
      <c r="D129" s="193"/>
      <c r="E129" s="84"/>
    </row>
    <row r="130" spans="4:5" ht="12" x14ac:dyDescent="0.2">
      <c r="D130" s="193"/>
      <c r="E130" s="84"/>
    </row>
    <row r="131" spans="4:5" ht="12" x14ac:dyDescent="0.2">
      <c r="D131" s="193"/>
      <c r="E131" s="84"/>
    </row>
    <row r="132" spans="4:5" ht="12" x14ac:dyDescent="0.2">
      <c r="D132" s="193"/>
      <c r="E132" s="84"/>
    </row>
    <row r="133" spans="4:5" ht="12" x14ac:dyDescent="0.2">
      <c r="D133" s="193"/>
      <c r="E133" s="84"/>
    </row>
    <row r="134" spans="4:5" ht="12" x14ac:dyDescent="0.2">
      <c r="D134" s="193"/>
      <c r="E134" s="84"/>
    </row>
    <row r="135" spans="4:5" ht="12" x14ac:dyDescent="0.2">
      <c r="D135" s="193"/>
      <c r="E135" s="84"/>
    </row>
    <row r="136" spans="4:5" ht="12" x14ac:dyDescent="0.2">
      <c r="D136" s="193"/>
      <c r="E136" s="84"/>
    </row>
    <row r="137" spans="4:5" ht="12" x14ac:dyDescent="0.2">
      <c r="D137" s="193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Horsham REFCL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6" t="s">
        <v>223</v>
      </c>
      <c r="B3" s="5"/>
      <c r="D3" s="34"/>
      <c r="E3" s="34"/>
      <c r="F3" s="3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3" s="2" customFormat="1" ht="6.75" customHeight="1" x14ac:dyDescent="0.2">
      <c r="A4" s="114"/>
      <c r="B4" s="114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3" s="2" customFormat="1" hidden="1" outlineLevel="1" x14ac:dyDescent="0.2">
      <c r="A5" s="115" t="s">
        <v>195</v>
      </c>
      <c r="B5" s="115"/>
      <c r="D5" s="116"/>
      <c r="E5" s="115"/>
      <c r="F5" s="115"/>
      <c r="G5" s="100"/>
      <c r="H5" s="191">
        <f>Consol!H5</f>
        <v>0</v>
      </c>
      <c r="I5" s="191">
        <f>Consol!I5</f>
        <v>0.98294637436598087</v>
      </c>
      <c r="J5" s="191">
        <f>Consol!J5</f>
        <v>0.94970664189949849</v>
      </c>
      <c r="K5" s="191">
        <f>Consol!K5</f>
        <v>0.91759095835700344</v>
      </c>
      <c r="L5" s="191">
        <f>Consol!L5</f>
        <v>0.88656131242222558</v>
      </c>
      <c r="M5" s="191">
        <f>Consol!M5</f>
        <v>0.85658097818572532</v>
      </c>
      <c r="N5" s="191">
        <f>Consol!N5</f>
        <v>0.8276144716770294</v>
      </c>
      <c r="O5" s="191">
        <f>Consol!O5</f>
        <v>0.79962750886669509</v>
      </c>
      <c r="P5" s="191">
        <f>Consol!P5</f>
        <v>0.77258696508859437</v>
      </c>
      <c r="Q5" s="191">
        <f>Consol!Q5</f>
        <v>0.74646083583439071</v>
      </c>
      <c r="R5" s="191">
        <f>Consol!R5</f>
        <v>0.72121819887380756</v>
      </c>
      <c r="S5" s="191">
        <f>Consol!S5</f>
        <v>0.69682917765585273</v>
      </c>
      <c r="T5" s="191">
        <f>Consol!T5</f>
        <v>0.67326490594768384</v>
      </c>
      <c r="U5" s="191">
        <f>Consol!U5</f>
        <v>0.6504974936692598</v>
      </c>
      <c r="V5" s="191">
        <f>Consol!V5</f>
        <v>0.62849999388334288</v>
      </c>
      <c r="W5" s="191">
        <f>Consol!W5</f>
        <v>0.60724637090178057</v>
      </c>
      <c r="X5" s="191">
        <f>Consol!X5</f>
        <v>0.58671146947031949</v>
      </c>
      <c r="Y5" s="191">
        <f>Consol!Y5</f>
        <v>0.56687098499547783</v>
      </c>
      <c r="Z5" s="191">
        <f>Consol!Z5</f>
        <v>0.54770143477823952</v>
      </c>
      <c r="AA5" s="191">
        <f>Consol!AA5</f>
        <v>0.52918013022052135</v>
      </c>
      <c r="AB5" s="191">
        <f>Consol!AB5</f>
        <v>0.5112851499715183</v>
      </c>
      <c r="AC5" s="191">
        <f>Consol!AC5</f>
        <v>0.4939953139821433</v>
      </c>
      <c r="AD5" s="191">
        <f>Consol!AD5</f>
        <v>0.47729015843685346</v>
      </c>
      <c r="AE5" s="191">
        <f>Consol!AE5</f>
        <v>0.46114991153319179</v>
      </c>
      <c r="AF5" s="191">
        <f>Consol!AF5</f>
        <v>0.4455554700803786</v>
      </c>
      <c r="AG5" s="191">
        <f>Consol!AG5</f>
        <v>0.43048837688925473</v>
      </c>
    </row>
    <row r="6" spans="1:33" s="2" customFormat="1" hidden="1" outlineLevel="1" x14ac:dyDescent="0.2">
      <c r="A6" s="192" t="str">
        <f>'Option1 (base case)'!A6</f>
        <v>Count</v>
      </c>
      <c r="B6" s="115"/>
      <c r="D6" s="116"/>
      <c r="E6" s="115"/>
      <c r="F6" s="115"/>
      <c r="G6" s="100"/>
      <c r="H6" s="192">
        <f>Consol!H6</f>
        <v>0</v>
      </c>
      <c r="I6" s="192">
        <f>Consol!I6</f>
        <v>1</v>
      </c>
      <c r="J6" s="192">
        <f>Consol!J6</f>
        <v>2</v>
      </c>
      <c r="K6" s="192">
        <f>Consol!K6</f>
        <v>3</v>
      </c>
      <c r="L6" s="192">
        <f>Consol!L6</f>
        <v>4</v>
      </c>
      <c r="M6" s="192">
        <f>Consol!M6</f>
        <v>5</v>
      </c>
      <c r="N6" s="192">
        <f>Consol!N6</f>
        <v>6</v>
      </c>
      <c r="O6" s="192">
        <f>Consol!O6</f>
        <v>7</v>
      </c>
      <c r="P6" s="192">
        <f>Consol!P6</f>
        <v>8</v>
      </c>
      <c r="Q6" s="192">
        <f>Consol!Q6</f>
        <v>9</v>
      </c>
      <c r="R6" s="192">
        <f>Consol!R6</f>
        <v>10</v>
      </c>
      <c r="S6" s="192">
        <f>Consol!S6</f>
        <v>11</v>
      </c>
      <c r="T6" s="192">
        <f>Consol!T6</f>
        <v>12</v>
      </c>
      <c r="U6" s="192">
        <f>Consol!U6</f>
        <v>13</v>
      </c>
      <c r="V6" s="192">
        <f>Consol!V6</f>
        <v>14</v>
      </c>
      <c r="W6" s="192">
        <f>Consol!W6</f>
        <v>15</v>
      </c>
      <c r="X6" s="192">
        <f>Consol!X6</f>
        <v>16</v>
      </c>
      <c r="Y6" s="192">
        <f>Consol!Y6</f>
        <v>17</v>
      </c>
      <c r="Z6" s="192">
        <f>Consol!Z6</f>
        <v>18</v>
      </c>
      <c r="AA6" s="192">
        <f>Consol!AA6</f>
        <v>19</v>
      </c>
      <c r="AB6" s="192">
        <f>Consol!AB6</f>
        <v>20</v>
      </c>
      <c r="AC6" s="192">
        <f>Consol!AC6</f>
        <v>21</v>
      </c>
      <c r="AD6" s="192">
        <f>Consol!AD6</f>
        <v>22</v>
      </c>
      <c r="AE6" s="192">
        <f>Consol!AE6</f>
        <v>23</v>
      </c>
      <c r="AF6" s="192">
        <f>Consol!AF6</f>
        <v>24</v>
      </c>
      <c r="AG6" s="192">
        <f>Consol!AG6</f>
        <v>25</v>
      </c>
    </row>
    <row r="7" spans="1:33" s="2" customFormat="1" collapsed="1" x14ac:dyDescent="0.2">
      <c r="A7" s="115" t="s">
        <v>196</v>
      </c>
      <c r="B7" s="115"/>
      <c r="D7" s="116"/>
      <c r="E7" s="115"/>
      <c r="F7" s="115"/>
      <c r="G7" s="100"/>
      <c r="H7" s="259" t="b">
        <f>Consol!H7</f>
        <v>1</v>
      </c>
      <c r="I7" s="259" t="b">
        <f>Consol!I7</f>
        <v>1</v>
      </c>
      <c r="J7" s="259" t="b">
        <f>Consol!J7</f>
        <v>1</v>
      </c>
      <c r="K7" s="259" t="b">
        <f>Consol!K7</f>
        <v>1</v>
      </c>
      <c r="L7" s="259" t="b">
        <f>Consol!L7</f>
        <v>1</v>
      </c>
      <c r="M7" s="259" t="b">
        <f>Consol!M7</f>
        <v>1</v>
      </c>
      <c r="N7" s="259" t="b">
        <f>Consol!N7</f>
        <v>1</v>
      </c>
      <c r="O7" s="259" t="b">
        <f>Consol!O7</f>
        <v>1</v>
      </c>
      <c r="P7" s="259" t="b">
        <f>Consol!P7</f>
        <v>1</v>
      </c>
      <c r="Q7" s="259" t="b">
        <f>Consol!Q7</f>
        <v>1</v>
      </c>
      <c r="R7" s="259" t="b">
        <f>Consol!R7</f>
        <v>1</v>
      </c>
      <c r="S7" s="259" t="b">
        <f>Consol!S7</f>
        <v>1</v>
      </c>
      <c r="T7" s="259" t="b">
        <f>Consol!T7</f>
        <v>1</v>
      </c>
      <c r="U7" s="259" t="b">
        <f>Consol!U7</f>
        <v>1</v>
      </c>
      <c r="V7" s="259" t="b">
        <f>Consol!V7</f>
        <v>1</v>
      </c>
      <c r="W7" s="259" t="b">
        <f>Consol!W7</f>
        <v>1</v>
      </c>
      <c r="X7" s="259" t="b">
        <f>Consol!X7</f>
        <v>1</v>
      </c>
      <c r="Y7" s="259" t="b">
        <f>Consol!Y7</f>
        <v>1</v>
      </c>
      <c r="Z7" s="259" t="b">
        <f>Consol!Z7</f>
        <v>1</v>
      </c>
      <c r="AA7" s="259" t="b">
        <f>Consol!AA7</f>
        <v>1</v>
      </c>
      <c r="AB7" s="259" t="b">
        <f>Consol!AB7</f>
        <v>1</v>
      </c>
      <c r="AC7" s="259" t="b">
        <f>Consol!AC7</f>
        <v>1</v>
      </c>
      <c r="AD7" s="259" t="b">
        <f>Consol!AD7</f>
        <v>1</v>
      </c>
      <c r="AE7" s="259" t="b">
        <f>Consol!AE7</f>
        <v>1</v>
      </c>
      <c r="AF7" s="259" t="b">
        <f>Consol!AF7</f>
        <v>0</v>
      </c>
      <c r="AG7" s="259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7"/>
      <c r="E10" s="117"/>
      <c r="G10" s="224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3" s="2" customFormat="1" ht="15" x14ac:dyDescent="0.2">
      <c r="A11" s="119"/>
      <c r="B11" s="119"/>
      <c r="C11" s="119"/>
      <c r="D11" s="120"/>
      <c r="E11" s="120"/>
      <c r="F11" s="70" t="s">
        <v>154</v>
      </c>
      <c r="G11" s="225"/>
      <c r="H11" s="121" t="str" cm="1">
        <f t="array" ref="H11">IF(H6=$D$4,UPPER($A$4),IF(H6=end,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7" customFormat="1" x14ac:dyDescent="0.2">
      <c r="A12" s="249"/>
      <c r="B12" s="249"/>
      <c r="C12" s="249"/>
      <c r="D12" s="249"/>
      <c r="E12" s="249"/>
      <c r="F12" s="249"/>
      <c r="G12" s="25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336979.99569367443</v>
      </c>
      <c r="AA12" s="31">
        <f>Consol!AB36</f>
        <v>336979.99569367443</v>
      </c>
      <c r="AB12" s="31">
        <f>Consol!AC36</f>
        <v>336979.99569367443</v>
      </c>
      <c r="AC12" s="31">
        <f>Consol!AD36</f>
        <v>336979.99569367443</v>
      </c>
      <c r="AD12" s="31">
        <f>Consol!AE36</f>
        <v>336979.99569367443</v>
      </c>
      <c r="AE12" s="31">
        <f>Consol!AF36</f>
        <v>0</v>
      </c>
      <c r="AF12" s="31">
        <f>Consol!AG36</f>
        <v>0</v>
      </c>
      <c r="AG12" s="250"/>
    </row>
    <row r="13" spans="1:33" s="7" customFormat="1" x14ac:dyDescent="0.2">
      <c r="A13" s="249"/>
      <c r="B13" s="249"/>
      <c r="C13" s="249"/>
      <c r="D13" s="249"/>
      <c r="E13" s="249"/>
      <c r="F13" s="249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</row>
    <row r="14" spans="1:33" s="7" customFormat="1" x14ac:dyDescent="0.2">
      <c r="A14" s="257" t="s">
        <v>143</v>
      </c>
      <c r="B14" s="257" t="s">
        <v>119</v>
      </c>
      <c r="C14" s="257" t="s">
        <v>189</v>
      </c>
      <c r="D14" s="257" t="str">
        <f>A14&amp;B14</f>
        <v>OPTION 1 (base case)NPV</v>
      </c>
      <c r="E14" s="258"/>
      <c r="F14" s="31">
        <f>SUMPRODUCT($H14:$AG14, $H$5:$AG$5)</f>
        <v>0</v>
      </c>
      <c r="G14" s="250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9"/>
      <c r="B15" s="249"/>
      <c r="C15" s="249"/>
      <c r="D15" s="249"/>
      <c r="E15" s="249"/>
      <c r="F15" s="249"/>
      <c r="G15" s="25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7" t="s">
        <v>143</v>
      </c>
      <c r="B16" s="257" t="str">
        <f>'Option1 (base case)'!A110</f>
        <v>sens1</v>
      </c>
      <c r="C16" s="257" t="str">
        <f>'Option1 (base case)'!C110</f>
        <v>Capex 10% higher</v>
      </c>
      <c r="D16" s="257" t="str">
        <f t="shared" ref="D16:D23" si="0">A16&amp;B16</f>
        <v>OPTION 1 (base case)sens1</v>
      </c>
      <c r="E16" s="258"/>
      <c r="F16" s="31">
        <f>SUMPRODUCT($H16:$AG16, $H$5:$AG$5)</f>
        <v>0</v>
      </c>
      <c r="G16" s="250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7" t="s">
        <v>143</v>
      </c>
      <c r="B17" s="257" t="str">
        <f>'Option1 (base case)'!A111</f>
        <v>sens2</v>
      </c>
      <c r="C17" s="257" t="str">
        <f>'Option1 (base case)'!C111</f>
        <v>Capex 10% lower</v>
      </c>
      <c r="D17" s="257" t="str">
        <f t="shared" si="0"/>
        <v>OPTION 1 (base case)sens2</v>
      </c>
      <c r="E17" s="258"/>
      <c r="F17" s="31">
        <f t="shared" ref="F17:F23" si="1">SUMPRODUCT($H17:$AG17, $H$5:$AG$5)</f>
        <v>0</v>
      </c>
      <c r="G17" s="257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7" t="s">
        <v>143</v>
      </c>
      <c r="B18" s="257" t="str">
        <f>'Option1 (base case)'!A112</f>
        <v>sens3</v>
      </c>
      <c r="C18" s="257" t="str">
        <f>'Option1 (base case)'!C112</f>
        <v>Total benefits 10% higher</v>
      </c>
      <c r="D18" s="257" t="str">
        <f t="shared" si="0"/>
        <v>OPTION 1 (base case)sens3</v>
      </c>
      <c r="E18" s="258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7" t="s">
        <v>143</v>
      </c>
      <c r="B19" s="257" t="str">
        <f>'Option1 (base case)'!A113</f>
        <v>sens4</v>
      </c>
      <c r="C19" s="257" t="str">
        <f>'Option1 (base case)'!C113</f>
        <v>Total benefits 10% lower</v>
      </c>
      <c r="D19" s="257" t="str">
        <f t="shared" si="0"/>
        <v>OPTION 1 (base case)sens4</v>
      </c>
      <c r="E19" s="258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7" t="s">
        <v>143</v>
      </c>
      <c r="B20" s="257" t="str">
        <f>'Option1 (base case)'!A114</f>
        <v>sens5</v>
      </c>
      <c r="C20" s="257" t="str">
        <f>'Option1 (base case)'!C114</f>
        <v>Capex 10% higher &amp; Total benefits 10% lower</v>
      </c>
      <c r="D20" s="257" t="str">
        <f t="shared" si="0"/>
        <v>OPTION 1 (base case)sens5</v>
      </c>
      <c r="E20" s="258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7" t="s">
        <v>143</v>
      </c>
      <c r="B21" s="257" t="str">
        <f>'Option1 (base case)'!A115</f>
        <v>sens</v>
      </c>
      <c r="C21" s="257">
        <f>'Option1 (base case)'!C115</f>
        <v>0</v>
      </c>
      <c r="D21" s="257" t="str">
        <f t="shared" si="0"/>
        <v>OPTION 1 (base case)sens</v>
      </c>
      <c r="E21" s="258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7" t="s">
        <v>143</v>
      </c>
      <c r="B22" s="257" t="str">
        <f>'Option1 (base case)'!A116</f>
        <v>sens</v>
      </c>
      <c r="C22" s="257">
        <f>'Option1 (base case)'!C116</f>
        <v>0</v>
      </c>
      <c r="D22" s="257" t="str">
        <f t="shared" si="0"/>
        <v>OPTION 1 (base case)sens</v>
      </c>
      <c r="E22" s="258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7" t="s">
        <v>143</v>
      </c>
      <c r="B23" s="257" t="str">
        <f>'Option1 (base case)'!A117</f>
        <v>sens</v>
      </c>
      <c r="C23" s="257">
        <f>'Option1 (base case)'!C117</f>
        <v>0</v>
      </c>
      <c r="D23" s="257" t="str">
        <f t="shared" si="0"/>
        <v>OPTION 1 (base case)sens</v>
      </c>
      <c r="E23" s="258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9"/>
      <c r="B24" s="249"/>
      <c r="C24" s="249"/>
      <c r="D24" s="249"/>
      <c r="E24" s="249"/>
      <c r="F24" s="249"/>
      <c r="G24" s="25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9"/>
      <c r="B25" s="249"/>
      <c r="C25" s="249"/>
      <c r="D25" s="249"/>
      <c r="E25" s="249"/>
      <c r="F25" s="249"/>
      <c r="G25" s="25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9"/>
      <c r="B26" s="249"/>
      <c r="C26" s="249"/>
      <c r="D26" s="249"/>
      <c r="E26" s="249"/>
      <c r="F26" s="249"/>
      <c r="G26" s="25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9"/>
      <c r="B27" s="249"/>
      <c r="C27" s="249"/>
      <c r="D27" s="249"/>
      <c r="E27" s="249"/>
      <c r="F27" s="249"/>
      <c r="G27" s="25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7" t="s">
        <v>131</v>
      </c>
      <c r="B28" s="257" t="s">
        <v>119</v>
      </c>
      <c r="C28" s="257" t="s">
        <v>189</v>
      </c>
      <c r="D28" s="257" t="str">
        <f>A28&amp;B28</f>
        <v>Option 2NPV</v>
      </c>
      <c r="E28" s="258"/>
      <c r="F28" s="31">
        <f>SUMPRODUCT($H28:$AG28, $H$5:$AG$5)</f>
        <v>3380315.6084560561</v>
      </c>
      <c r="G28" s="250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0</v>
      </c>
      <c r="M28" s="31">
        <f>(INDEX(Option2!M$106:M$117, MATCH($D28, Option2!$G$106:$G$117,0)))*conv_2026*M$7</f>
        <v>-498370.455909179</v>
      </c>
      <c r="N28" s="31">
        <f>(INDEX(Option2!N$106:N$117, MATCH($D28, Option2!$G$106:$G$117,0)))*conv_2026*N$7</f>
        <v>336979.99569367449</v>
      </c>
      <c r="O28" s="31">
        <f>(INDEX(Option2!O$106:O$117, MATCH($D28, Option2!$G$106:$G$117,0)))*conv_2026*O$7</f>
        <v>336979.99569367449</v>
      </c>
      <c r="P28" s="31">
        <f>(INDEX(Option2!P$106:P$117, MATCH($D28, Option2!$G$106:$G$117,0)))*conv_2026*P$7</f>
        <v>336979.99569367449</v>
      </c>
      <c r="Q28" s="31">
        <f>(INDEX(Option2!Q$106:Q$117, MATCH($D28, Option2!$G$106:$G$117,0)))*conv_2026*Q$7</f>
        <v>336979.99569367449</v>
      </c>
      <c r="R28" s="31">
        <f>(INDEX(Option2!R$106:R$117, MATCH($D28, Option2!$G$106:$G$117,0)))*conv_2026*R$7</f>
        <v>336979.99569367449</v>
      </c>
      <c r="S28" s="31">
        <f>(INDEX(Option2!S$106:S$117, MATCH($D28, Option2!$G$106:$G$117,0)))*conv_2026*S$7</f>
        <v>336979.99569367449</v>
      </c>
      <c r="T28" s="31">
        <f>(INDEX(Option2!T$106:T$117, MATCH($D28, Option2!$G$106:$G$117,0)))*conv_2026*T$7</f>
        <v>336979.99569367449</v>
      </c>
      <c r="U28" s="31">
        <f>(INDEX(Option2!U$106:U$117, MATCH($D28, Option2!$G$106:$G$117,0)))*conv_2026*U$7</f>
        <v>336979.99569367449</v>
      </c>
      <c r="V28" s="31">
        <f>(INDEX(Option2!V$106:V$117, MATCH($D28, Option2!$G$106:$G$117,0)))*conv_2026*V$7</f>
        <v>336979.99569367449</v>
      </c>
      <c r="W28" s="31">
        <f>(INDEX(Option2!W$106:W$117, MATCH($D28, Option2!$G$106:$G$117,0)))*conv_2026*W$7</f>
        <v>336979.99569367449</v>
      </c>
      <c r="X28" s="31">
        <f>(INDEX(Option2!X$106:X$117, MATCH($D28, Option2!$G$106:$G$117,0)))*conv_2026*X$7</f>
        <v>336979.99569367449</v>
      </c>
      <c r="Y28" s="31">
        <f>(INDEX(Option2!Y$106:Y$117, MATCH($D28, Option2!$G$106:$G$117,0)))*conv_2026*Y$7</f>
        <v>336979.99569367449</v>
      </c>
      <c r="Z28" s="31">
        <f>(INDEX(Option2!Z$106:Z$117, MATCH($D28, Option2!$G$106:$G$117,0)))*conv_2026*Z$7</f>
        <v>336979.99569367449</v>
      </c>
      <c r="AA28" s="31">
        <f>(INDEX(Option2!AA$106:AA$117, MATCH($D28, Option2!$G$106:$G$117,0)))*conv_2026*AA$7</f>
        <v>336979.99569367449</v>
      </c>
      <c r="AB28" s="31">
        <f>(INDEX(Option2!AB$106:AB$117, MATCH($D28, Option2!$G$106:$G$117,0)))*conv_2026*AB$7</f>
        <v>336979.99569367449</v>
      </c>
      <c r="AC28" s="31">
        <f>(INDEX(Option2!AC$106:AC$117, MATCH($D28, Option2!$G$106:$G$117,0)))*conv_2026*AC$7</f>
        <v>336979.99569367449</v>
      </c>
      <c r="AD28" s="31">
        <f>(INDEX(Option2!AD$106:AD$117, MATCH($D28, Option2!$G$106:$G$117,0)))*conv_2026*AD$7</f>
        <v>336979.99569367449</v>
      </c>
      <c r="AE28" s="31">
        <f>(INDEX(Option2!AE$106:AE$117, MATCH($D28, Option2!$G$106:$G$117,0)))*conv_2026*AE$7</f>
        <v>336979.99569367449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9"/>
      <c r="B29" s="249"/>
      <c r="C29" s="249"/>
      <c r="D29" s="249"/>
      <c r="E29" s="249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</row>
    <row r="30" spans="1:35" s="7" customFormat="1" x14ac:dyDescent="0.2">
      <c r="A30" s="257" t="s">
        <v>131</v>
      </c>
      <c r="B30" s="257" t="str">
        <f>Option2!A110</f>
        <v>sens1</v>
      </c>
      <c r="C30" s="257" t="str">
        <f>Option2!C110</f>
        <v>Capex 10% higher</v>
      </c>
      <c r="D30" s="257" t="str">
        <f t="shared" ref="D30:D37" si="2">A30&amp;B30</f>
        <v>Option 2sens1</v>
      </c>
      <c r="E30" s="258"/>
      <c r="F30" s="31">
        <f>SUMPRODUCT($H30:$AG30, $H$5:$AG$5)</f>
        <v>2211505.223375177</v>
      </c>
      <c r="G30" s="250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0</v>
      </c>
      <c r="M30" s="31">
        <f>IF($B30=0,0, (INDEX(Option2!M$106:M$117, MATCH($D30, Option2!$G$106:$G$117,0)))*conv_2026*M$7)</f>
        <v>-548207.50150009699</v>
      </c>
      <c r="N30" s="31">
        <f>IF($B30=0,0, (INDEX(Option2!N$106:N$117, MATCH($D30, Option2!$G$106:$G$117,0)))*conv_2026*N$7)</f>
        <v>237305.90451183866</v>
      </c>
      <c r="O30" s="31">
        <f>IF($B30=0,0, (INDEX(Option2!O$106:O$117, MATCH($D30, Option2!$G$106:$G$117,0)))*conv_2026*O$7)</f>
        <v>237305.90451183866</v>
      </c>
      <c r="P30" s="31">
        <f>IF($B30=0,0, (INDEX(Option2!P$106:P$117, MATCH($D30, Option2!$G$106:$G$117,0)))*conv_2026*P$7)</f>
        <v>237305.90451183866</v>
      </c>
      <c r="Q30" s="31">
        <f>IF($B30=0,0, (INDEX(Option2!Q$106:Q$117, MATCH($D30, Option2!$G$106:$G$117,0)))*conv_2026*Q$7)</f>
        <v>237305.90451183866</v>
      </c>
      <c r="R30" s="31">
        <f>IF($B30=0,0, (INDEX(Option2!R$106:R$117, MATCH($D30, Option2!$G$106:$G$117,0)))*conv_2026*R$7)</f>
        <v>237305.90451183866</v>
      </c>
      <c r="S30" s="31">
        <f>IF($B30=0,0, (INDEX(Option2!S$106:S$117, MATCH($D30, Option2!$G$106:$G$117,0)))*conv_2026*S$7)</f>
        <v>237305.90451183866</v>
      </c>
      <c r="T30" s="31">
        <f>IF($B30=0,0, (INDEX(Option2!T$106:T$117, MATCH($D30, Option2!$G$106:$G$117,0)))*conv_2026*T$7)</f>
        <v>237305.90451183866</v>
      </c>
      <c r="U30" s="31">
        <f>IF($B30=0,0, (INDEX(Option2!U$106:U$117, MATCH($D30, Option2!$G$106:$G$117,0)))*conv_2026*U$7)</f>
        <v>237305.90451183866</v>
      </c>
      <c r="V30" s="31">
        <f>IF($B30=0,0, (INDEX(Option2!V$106:V$117, MATCH($D30, Option2!$G$106:$G$117,0)))*conv_2026*V$7)</f>
        <v>237305.90451183866</v>
      </c>
      <c r="W30" s="31">
        <f>IF($B30=0,0, (INDEX(Option2!W$106:W$117, MATCH($D30, Option2!$G$106:$G$117,0)))*conv_2026*W$7)</f>
        <v>237305.90451183866</v>
      </c>
      <c r="X30" s="31">
        <f>IF($B30=0,0, (INDEX(Option2!X$106:X$117, MATCH($D30, Option2!$G$106:$G$117,0)))*conv_2026*X$7)</f>
        <v>237305.90451183866</v>
      </c>
      <c r="Y30" s="31">
        <f>IF($B30=0,0, (INDEX(Option2!Y$106:Y$117, MATCH($D30, Option2!$G$106:$G$117,0)))*conv_2026*Y$7)</f>
        <v>237305.90451183866</v>
      </c>
      <c r="Z30" s="31">
        <f>IF($B30=0,0, (INDEX(Option2!Z$106:Z$117, MATCH($D30, Option2!$G$106:$G$117,0)))*conv_2026*Z$7)</f>
        <v>237305.90451183866</v>
      </c>
      <c r="AA30" s="31">
        <f>IF($B30=0,0, (INDEX(Option2!AA$106:AA$117, MATCH($D30, Option2!$G$106:$G$117,0)))*conv_2026*AA$7)</f>
        <v>237305.90451183866</v>
      </c>
      <c r="AB30" s="31">
        <f>IF($B30=0,0, (INDEX(Option2!AB$106:AB$117, MATCH($D30, Option2!$G$106:$G$117,0)))*conv_2026*AB$7)</f>
        <v>237305.90451183866</v>
      </c>
      <c r="AC30" s="31">
        <f>IF($B30=0,0, (INDEX(Option2!AC$106:AC$117, MATCH($D30, Option2!$G$106:$G$117,0)))*conv_2026*AC$7)</f>
        <v>237305.90451183866</v>
      </c>
      <c r="AD30" s="31">
        <f>IF($B30=0,0, (INDEX(Option2!AD$106:AD$117, MATCH($D30, Option2!$G$106:$G$117,0)))*conv_2026*AD$7)</f>
        <v>237305.90451183866</v>
      </c>
      <c r="AE30" s="31">
        <f>IF($B30=0,0, (INDEX(Option2!AE$106:AE$117, MATCH($D30, Option2!$G$106:$G$117,0)))*conv_2026*AE$7)</f>
        <v>237305.90451183866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7" t="s">
        <v>131</v>
      </c>
      <c r="B31" s="257" t="str">
        <f>Option2!A111</f>
        <v>sens2</v>
      </c>
      <c r="C31" s="257" t="str">
        <f>Option2!C111</f>
        <v>Capex 10% lower</v>
      </c>
      <c r="D31" s="257" t="str">
        <f t="shared" si="2"/>
        <v>Option 2sens2</v>
      </c>
      <c r="E31" s="258"/>
      <c r="F31" s="31">
        <f t="shared" ref="F31:F37" si="3">SUMPRODUCT($H31:$AG31, $H$5:$AG$5)</f>
        <v>4549125.9935369333</v>
      </c>
      <c r="G31" s="257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0</v>
      </c>
      <c r="M31" s="31">
        <f>IF($B31=0,0, (INDEX(Option2!M$106:M$117, MATCH($D31, Option2!$G$106:$G$117,0)))*conv_2026*M$7)</f>
        <v>-448533.41031826107</v>
      </c>
      <c r="N31" s="31">
        <f>IF($B31=0,0, (INDEX(Option2!N$106:N$117, MATCH($D31, Option2!$G$106:$G$117,0)))*conv_2026*N$7)</f>
        <v>436654.08687551029</v>
      </c>
      <c r="O31" s="31">
        <f>IF($B31=0,0, (INDEX(Option2!O$106:O$117, MATCH($D31, Option2!$G$106:$G$117,0)))*conv_2026*O$7)</f>
        <v>436654.08687551029</v>
      </c>
      <c r="P31" s="31">
        <f>IF($B31=0,0, (INDEX(Option2!P$106:P$117, MATCH($D31, Option2!$G$106:$G$117,0)))*conv_2026*P$7)</f>
        <v>436654.08687551029</v>
      </c>
      <c r="Q31" s="31">
        <f>IF($B31=0,0, (INDEX(Option2!Q$106:Q$117, MATCH($D31, Option2!$G$106:$G$117,0)))*conv_2026*Q$7)</f>
        <v>436654.08687551029</v>
      </c>
      <c r="R31" s="31">
        <f>IF($B31=0,0, (INDEX(Option2!R$106:R$117, MATCH($D31, Option2!$G$106:$G$117,0)))*conv_2026*R$7)</f>
        <v>436654.08687551029</v>
      </c>
      <c r="S31" s="31">
        <f>IF($B31=0,0, (INDEX(Option2!S$106:S$117, MATCH($D31, Option2!$G$106:$G$117,0)))*conv_2026*S$7)</f>
        <v>436654.08687551029</v>
      </c>
      <c r="T31" s="31">
        <f>IF($B31=0,0, (INDEX(Option2!T$106:T$117, MATCH($D31, Option2!$G$106:$G$117,0)))*conv_2026*T$7)</f>
        <v>436654.08687551029</v>
      </c>
      <c r="U31" s="31">
        <f>IF($B31=0,0, (INDEX(Option2!U$106:U$117, MATCH($D31, Option2!$G$106:$G$117,0)))*conv_2026*U$7)</f>
        <v>436654.08687551029</v>
      </c>
      <c r="V31" s="31">
        <f>IF($B31=0,0, (INDEX(Option2!V$106:V$117, MATCH($D31, Option2!$G$106:$G$117,0)))*conv_2026*V$7)</f>
        <v>436654.08687551029</v>
      </c>
      <c r="W31" s="31">
        <f>IF($B31=0,0, (INDEX(Option2!W$106:W$117, MATCH($D31, Option2!$G$106:$G$117,0)))*conv_2026*W$7)</f>
        <v>436654.08687551029</v>
      </c>
      <c r="X31" s="31">
        <f>IF($B31=0,0, (INDEX(Option2!X$106:X$117, MATCH($D31, Option2!$G$106:$G$117,0)))*conv_2026*X$7)</f>
        <v>436654.08687551029</v>
      </c>
      <c r="Y31" s="31">
        <f>IF($B31=0,0, (INDEX(Option2!Y$106:Y$117, MATCH($D31, Option2!$G$106:$G$117,0)))*conv_2026*Y$7)</f>
        <v>436654.08687551029</v>
      </c>
      <c r="Z31" s="31">
        <f>IF($B31=0,0, (INDEX(Option2!Z$106:Z$117, MATCH($D31, Option2!$G$106:$G$117,0)))*conv_2026*Z$7)</f>
        <v>436654.08687551029</v>
      </c>
      <c r="AA31" s="31">
        <f>IF($B31=0,0, (INDEX(Option2!AA$106:AA$117, MATCH($D31, Option2!$G$106:$G$117,0)))*conv_2026*AA$7)</f>
        <v>436654.08687551029</v>
      </c>
      <c r="AB31" s="31">
        <f>IF($B31=0,0, (INDEX(Option2!AB$106:AB$117, MATCH($D31, Option2!$G$106:$G$117,0)))*conv_2026*AB$7)</f>
        <v>436654.08687551029</v>
      </c>
      <c r="AC31" s="31">
        <f>IF($B31=0,0, (INDEX(Option2!AC$106:AC$117, MATCH($D31, Option2!$G$106:$G$117,0)))*conv_2026*AC$7)</f>
        <v>436654.08687551029</v>
      </c>
      <c r="AD31" s="31">
        <f>IF($B31=0,0, (INDEX(Option2!AD$106:AD$117, MATCH($D31, Option2!$G$106:$G$117,0)))*conv_2026*AD$7)</f>
        <v>436654.08687551029</v>
      </c>
      <c r="AE31" s="31">
        <f>IF($B31=0,0, (INDEX(Option2!AE$106:AE$117, MATCH($D31, Option2!$G$106:$G$117,0)))*conv_2026*AE$7)</f>
        <v>436654.08687551029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7" t="s">
        <v>131</v>
      </c>
      <c r="B32" s="257" t="str">
        <f>Option2!A112</f>
        <v>sens3</v>
      </c>
      <c r="C32" s="257" t="str">
        <f>Option2!C112</f>
        <v>Total benefits 10% higher</v>
      </c>
      <c r="D32" s="257" t="str">
        <f t="shared" si="2"/>
        <v>Option 2sens3</v>
      </c>
      <c r="E32" s="258"/>
      <c r="F32" s="31">
        <f t="shared" si="3"/>
        <v>4887157.5543825394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0</v>
      </c>
      <c r="M32" s="31">
        <f>IF($B32=0,0, (INDEX(Option2!M$106:M$117, MATCH($D32, Option2!$G$106:$G$117,0)))*conv_2026*M$7)</f>
        <v>-498370.455909179</v>
      </c>
      <c r="N32" s="31">
        <f>IF($B32=0,0, (INDEX(Option2!N$106:N$117, MATCH($D32, Option2!$G$106:$G$117,0)))*conv_2026*N$7)</f>
        <v>470352.08644487773</v>
      </c>
      <c r="O32" s="31">
        <f>IF($B32=0,0, (INDEX(Option2!O$106:O$117, MATCH($D32, Option2!$G$106:$G$117,0)))*conv_2026*O$7)</f>
        <v>470352.08644487773</v>
      </c>
      <c r="P32" s="31">
        <f>IF($B32=0,0, (INDEX(Option2!P$106:P$117, MATCH($D32, Option2!$G$106:$G$117,0)))*conv_2026*P$7)</f>
        <v>470352.08644487773</v>
      </c>
      <c r="Q32" s="31">
        <f>IF($B32=0,0, (INDEX(Option2!Q$106:Q$117, MATCH($D32, Option2!$G$106:$G$117,0)))*conv_2026*Q$7)</f>
        <v>470352.08644487773</v>
      </c>
      <c r="R32" s="31">
        <f>IF($B32=0,0, (INDEX(Option2!R$106:R$117, MATCH($D32, Option2!$G$106:$G$117,0)))*conv_2026*R$7)</f>
        <v>470352.08644487773</v>
      </c>
      <c r="S32" s="31">
        <f>IF($B32=0,0, (INDEX(Option2!S$106:S$117, MATCH($D32, Option2!$G$106:$G$117,0)))*conv_2026*S$7)</f>
        <v>470352.08644487773</v>
      </c>
      <c r="T32" s="31">
        <f>IF($B32=0,0, (INDEX(Option2!T$106:T$117, MATCH($D32, Option2!$G$106:$G$117,0)))*conv_2026*T$7)</f>
        <v>470352.08644487773</v>
      </c>
      <c r="U32" s="31">
        <f>IF($B32=0,0, (INDEX(Option2!U$106:U$117, MATCH($D32, Option2!$G$106:$G$117,0)))*conv_2026*U$7)</f>
        <v>470352.08644487773</v>
      </c>
      <c r="V32" s="31">
        <f>IF($B32=0,0, (INDEX(Option2!V$106:V$117, MATCH($D32, Option2!$G$106:$G$117,0)))*conv_2026*V$7)</f>
        <v>470352.08644487773</v>
      </c>
      <c r="W32" s="31">
        <f>IF($B32=0,0, (INDEX(Option2!W$106:W$117, MATCH($D32, Option2!$G$106:$G$117,0)))*conv_2026*W$7)</f>
        <v>470352.08644487773</v>
      </c>
      <c r="X32" s="31">
        <f>IF($B32=0,0, (INDEX(Option2!X$106:X$117, MATCH($D32, Option2!$G$106:$G$117,0)))*conv_2026*X$7)</f>
        <v>470352.08644487773</v>
      </c>
      <c r="Y32" s="31">
        <f>IF($B32=0,0, (INDEX(Option2!Y$106:Y$117, MATCH($D32, Option2!$G$106:$G$117,0)))*conv_2026*Y$7)</f>
        <v>470352.08644487773</v>
      </c>
      <c r="Z32" s="31">
        <f>IF($B32=0,0, (INDEX(Option2!Z$106:Z$117, MATCH($D32, Option2!$G$106:$G$117,0)))*conv_2026*Z$7)</f>
        <v>470352.08644487773</v>
      </c>
      <c r="AA32" s="31">
        <f>IF($B32=0,0, (INDEX(Option2!AA$106:AA$117, MATCH($D32, Option2!$G$106:$G$117,0)))*conv_2026*AA$7)</f>
        <v>470352.08644487773</v>
      </c>
      <c r="AB32" s="31">
        <f>IF($B32=0,0, (INDEX(Option2!AB$106:AB$117, MATCH($D32, Option2!$G$106:$G$117,0)))*conv_2026*AB$7)</f>
        <v>470352.08644487773</v>
      </c>
      <c r="AC32" s="31">
        <f>IF($B32=0,0, (INDEX(Option2!AC$106:AC$117, MATCH($D32, Option2!$G$106:$G$117,0)))*conv_2026*AC$7)</f>
        <v>470352.08644487773</v>
      </c>
      <c r="AD32" s="31">
        <f>IF($B32=0,0, (INDEX(Option2!AD$106:AD$117, MATCH($D32, Option2!$G$106:$G$117,0)))*conv_2026*AD$7)</f>
        <v>470352.08644487773</v>
      </c>
      <c r="AE32" s="31">
        <f>IF($B32=0,0, (INDEX(Option2!AE$106:AE$117, MATCH($D32, Option2!$G$106:$G$117,0)))*conv_2026*AE$7)</f>
        <v>470352.08644487773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7" t="s">
        <v>131</v>
      </c>
      <c r="B33" s="257" t="str">
        <f>Option2!A113</f>
        <v>sens4</v>
      </c>
      <c r="C33" s="257" t="str">
        <f>Option2!C113</f>
        <v>Total benefits 10% lower</v>
      </c>
      <c r="D33" s="257" t="str">
        <f t="shared" si="2"/>
        <v>Option 2sens4</v>
      </c>
      <c r="E33" s="258"/>
      <c r="F33" s="31">
        <f t="shared" si="3"/>
        <v>1873473.6625295714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0</v>
      </c>
      <c r="M33" s="31">
        <f>IF($B33=0,0, (INDEX(Option2!M$106:M$117, MATCH($D33, Option2!$G$106:$G$117,0)))*conv_2026*M$7)</f>
        <v>-498370.455909179</v>
      </c>
      <c r="N33" s="31">
        <f>IF($B33=0,0, (INDEX(Option2!N$106:N$117, MATCH($D33, Option2!$G$106:$G$117,0)))*conv_2026*N$7)</f>
        <v>203607.90494247124</v>
      </c>
      <c r="O33" s="31">
        <f>IF($B33=0,0, (INDEX(Option2!O$106:O$117, MATCH($D33, Option2!$G$106:$G$117,0)))*conv_2026*O$7)</f>
        <v>203607.90494247124</v>
      </c>
      <c r="P33" s="31">
        <f>IF($B33=0,0, (INDEX(Option2!P$106:P$117, MATCH($D33, Option2!$G$106:$G$117,0)))*conv_2026*P$7)</f>
        <v>203607.90494247124</v>
      </c>
      <c r="Q33" s="31">
        <f>IF($B33=0,0, (INDEX(Option2!Q$106:Q$117, MATCH($D33, Option2!$G$106:$G$117,0)))*conv_2026*Q$7)</f>
        <v>203607.90494247124</v>
      </c>
      <c r="R33" s="31">
        <f>IF($B33=0,0, (INDEX(Option2!R$106:R$117, MATCH($D33, Option2!$G$106:$G$117,0)))*conv_2026*R$7)</f>
        <v>203607.90494247124</v>
      </c>
      <c r="S33" s="31">
        <f>IF($B33=0,0, (INDEX(Option2!S$106:S$117, MATCH($D33, Option2!$G$106:$G$117,0)))*conv_2026*S$7)</f>
        <v>203607.90494247124</v>
      </c>
      <c r="T33" s="31">
        <f>IF($B33=0,0, (INDEX(Option2!T$106:T$117, MATCH($D33, Option2!$G$106:$G$117,0)))*conv_2026*T$7)</f>
        <v>203607.90494247124</v>
      </c>
      <c r="U33" s="31">
        <f>IF($B33=0,0, (INDEX(Option2!U$106:U$117, MATCH($D33, Option2!$G$106:$G$117,0)))*conv_2026*U$7)</f>
        <v>203607.90494247124</v>
      </c>
      <c r="V33" s="31">
        <f>IF($B33=0,0, (INDEX(Option2!V$106:V$117, MATCH($D33, Option2!$G$106:$G$117,0)))*conv_2026*V$7)</f>
        <v>203607.90494247124</v>
      </c>
      <c r="W33" s="31">
        <f>IF($B33=0,0, (INDEX(Option2!W$106:W$117, MATCH($D33, Option2!$G$106:$G$117,0)))*conv_2026*W$7)</f>
        <v>203607.90494247124</v>
      </c>
      <c r="X33" s="31">
        <f>IF($B33=0,0, (INDEX(Option2!X$106:X$117, MATCH($D33, Option2!$G$106:$G$117,0)))*conv_2026*X$7)</f>
        <v>203607.90494247124</v>
      </c>
      <c r="Y33" s="31">
        <f>IF($B33=0,0, (INDEX(Option2!Y$106:Y$117, MATCH($D33, Option2!$G$106:$G$117,0)))*conv_2026*Y$7)</f>
        <v>203607.90494247124</v>
      </c>
      <c r="Z33" s="31">
        <f>IF($B33=0,0, (INDEX(Option2!Z$106:Z$117, MATCH($D33, Option2!$G$106:$G$117,0)))*conv_2026*Z$7)</f>
        <v>203607.90494247124</v>
      </c>
      <c r="AA33" s="31">
        <f>IF($B33=0,0, (INDEX(Option2!AA$106:AA$117, MATCH($D33, Option2!$G$106:$G$117,0)))*conv_2026*AA$7)</f>
        <v>203607.90494247124</v>
      </c>
      <c r="AB33" s="31">
        <f>IF($B33=0,0, (INDEX(Option2!AB$106:AB$117, MATCH($D33, Option2!$G$106:$G$117,0)))*conv_2026*AB$7)</f>
        <v>203607.90494247124</v>
      </c>
      <c r="AC33" s="31">
        <f>IF($B33=0,0, (INDEX(Option2!AC$106:AC$117, MATCH($D33, Option2!$G$106:$G$117,0)))*conv_2026*AC$7)</f>
        <v>203607.90494247124</v>
      </c>
      <c r="AD33" s="31">
        <f>IF($B33=0,0, (INDEX(Option2!AD$106:AD$117, MATCH($D33, Option2!$G$106:$G$117,0)))*conv_2026*AD$7)</f>
        <v>203607.90494247124</v>
      </c>
      <c r="AE33" s="31">
        <f>IF($B33=0,0, (INDEX(Option2!AE$106:AE$117, MATCH($D33, Option2!$G$106:$G$117,0)))*conv_2026*AE$7)</f>
        <v>203607.90494247124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7" t="s">
        <v>131</v>
      </c>
      <c r="B34" s="257" t="str">
        <f>Option2!A114</f>
        <v>sens5</v>
      </c>
      <c r="C34" s="257" t="str">
        <f>Option2!C114</f>
        <v>Capex 10% higher &amp; Total benefits 10% lower</v>
      </c>
      <c r="D34" s="257" t="str">
        <f t="shared" si="2"/>
        <v>Option 2sens5</v>
      </c>
      <c r="E34" s="258"/>
      <c r="F34" s="31">
        <f t="shared" si="3"/>
        <v>704663.27744869282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0</v>
      </c>
      <c r="M34" s="31">
        <f>IF($B34=0,0, (INDEX(Option2!M$106:M$117, MATCH($D34, Option2!$G$106:$G$117,0)))*conv_2026*M$7)</f>
        <v>-548207.50150009699</v>
      </c>
      <c r="N34" s="31">
        <f>IF($B34=0,0, (INDEX(Option2!N$106:N$117, MATCH($D34, Option2!$G$106:$G$117,0)))*conv_2026*N$7)</f>
        <v>103933.81376063541</v>
      </c>
      <c r="O34" s="31">
        <f>IF($B34=0,0, (INDEX(Option2!O$106:O$117, MATCH($D34, Option2!$G$106:$G$117,0)))*conv_2026*O$7)</f>
        <v>103933.81376063541</v>
      </c>
      <c r="P34" s="31">
        <f>IF($B34=0,0, (INDEX(Option2!P$106:P$117, MATCH($D34, Option2!$G$106:$G$117,0)))*conv_2026*P$7)</f>
        <v>103933.81376063541</v>
      </c>
      <c r="Q34" s="31">
        <f>IF($B34=0,0, (INDEX(Option2!Q$106:Q$117, MATCH($D34, Option2!$G$106:$G$117,0)))*conv_2026*Q$7)</f>
        <v>103933.81376063541</v>
      </c>
      <c r="R34" s="31">
        <f>IF($B34=0,0, (INDEX(Option2!R$106:R$117, MATCH($D34, Option2!$G$106:$G$117,0)))*conv_2026*R$7)</f>
        <v>103933.81376063541</v>
      </c>
      <c r="S34" s="31">
        <f>IF($B34=0,0, (INDEX(Option2!S$106:S$117, MATCH($D34, Option2!$G$106:$G$117,0)))*conv_2026*S$7)</f>
        <v>103933.81376063541</v>
      </c>
      <c r="T34" s="31">
        <f>IF($B34=0,0, (INDEX(Option2!T$106:T$117, MATCH($D34, Option2!$G$106:$G$117,0)))*conv_2026*T$7)</f>
        <v>103933.81376063541</v>
      </c>
      <c r="U34" s="31">
        <f>IF($B34=0,0, (INDEX(Option2!U$106:U$117, MATCH($D34, Option2!$G$106:$G$117,0)))*conv_2026*U$7)</f>
        <v>103933.81376063541</v>
      </c>
      <c r="V34" s="31">
        <f>IF($B34=0,0, (INDEX(Option2!V$106:V$117, MATCH($D34, Option2!$G$106:$G$117,0)))*conv_2026*V$7)</f>
        <v>103933.81376063541</v>
      </c>
      <c r="W34" s="31">
        <f>IF($B34=0,0, (INDEX(Option2!W$106:W$117, MATCH($D34, Option2!$G$106:$G$117,0)))*conv_2026*W$7)</f>
        <v>103933.81376063541</v>
      </c>
      <c r="X34" s="31">
        <f>IF($B34=0,0, (INDEX(Option2!X$106:X$117, MATCH($D34, Option2!$G$106:$G$117,0)))*conv_2026*X$7)</f>
        <v>103933.81376063541</v>
      </c>
      <c r="Y34" s="31">
        <f>IF($B34=0,0, (INDEX(Option2!Y$106:Y$117, MATCH($D34, Option2!$G$106:$G$117,0)))*conv_2026*Y$7)</f>
        <v>103933.81376063541</v>
      </c>
      <c r="Z34" s="31">
        <f>IF($B34=0,0, (INDEX(Option2!Z$106:Z$117, MATCH($D34, Option2!$G$106:$G$117,0)))*conv_2026*Z$7)</f>
        <v>103933.81376063541</v>
      </c>
      <c r="AA34" s="31">
        <f>IF($B34=0,0, (INDEX(Option2!AA$106:AA$117, MATCH($D34, Option2!$G$106:$G$117,0)))*conv_2026*AA$7)</f>
        <v>103933.81376063541</v>
      </c>
      <c r="AB34" s="31">
        <f>IF($B34=0,0, (INDEX(Option2!AB$106:AB$117, MATCH($D34, Option2!$G$106:$G$117,0)))*conv_2026*AB$7)</f>
        <v>103933.81376063541</v>
      </c>
      <c r="AC34" s="31">
        <f>IF($B34=0,0, (INDEX(Option2!AC$106:AC$117, MATCH($D34, Option2!$G$106:$G$117,0)))*conv_2026*AC$7)</f>
        <v>103933.81376063541</v>
      </c>
      <c r="AD34" s="31">
        <f>IF($B34=0,0, (INDEX(Option2!AD$106:AD$117, MATCH($D34, Option2!$G$106:$G$117,0)))*conv_2026*AD$7)</f>
        <v>103933.81376063541</v>
      </c>
      <c r="AE34" s="31">
        <f>IF($B34=0,0, (INDEX(Option2!AE$106:AE$117, MATCH($D34, Option2!$G$106:$G$117,0)))*conv_2026*AE$7)</f>
        <v>103933.81376063541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7" t="s">
        <v>131</v>
      </c>
      <c r="B35" s="257" t="str">
        <f>Option2!A115</f>
        <v>sens</v>
      </c>
      <c r="C35" s="257">
        <f>Option2!C115</f>
        <v>0</v>
      </c>
      <c r="D35" s="257" t="str">
        <f t="shared" si="2"/>
        <v>Option 2sens</v>
      </c>
      <c r="E35" s="258"/>
      <c r="F35" s="31">
        <f t="shared" si="3"/>
        <v>3380315.6084560561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0</v>
      </c>
      <c r="M35" s="31">
        <f>IF($B35=0,0, (INDEX(Option2!M$106:M$117, MATCH($D35, Option2!$G$106:$G$117,0)))*conv_2026*M$7)</f>
        <v>-498370.455909179</v>
      </c>
      <c r="N35" s="31">
        <f>IF($B35=0,0, (INDEX(Option2!N$106:N$117, MATCH($D35, Option2!$G$106:$G$117,0)))*conv_2026*N$7)</f>
        <v>336979.99569367449</v>
      </c>
      <c r="O35" s="31">
        <f>IF($B35=0,0, (INDEX(Option2!O$106:O$117, MATCH($D35, Option2!$G$106:$G$117,0)))*conv_2026*O$7)</f>
        <v>336979.99569367449</v>
      </c>
      <c r="P35" s="31">
        <f>IF($B35=0,0, (INDEX(Option2!P$106:P$117, MATCH($D35, Option2!$G$106:$G$117,0)))*conv_2026*P$7)</f>
        <v>336979.99569367449</v>
      </c>
      <c r="Q35" s="31">
        <f>IF($B35=0,0, (INDEX(Option2!Q$106:Q$117, MATCH($D35, Option2!$G$106:$G$117,0)))*conv_2026*Q$7)</f>
        <v>336979.99569367449</v>
      </c>
      <c r="R35" s="31">
        <f>IF($B35=0,0, (INDEX(Option2!R$106:R$117, MATCH($D35, Option2!$G$106:$G$117,0)))*conv_2026*R$7)</f>
        <v>336979.99569367449</v>
      </c>
      <c r="S35" s="31">
        <f>IF($B35=0,0, (INDEX(Option2!S$106:S$117, MATCH($D35, Option2!$G$106:$G$117,0)))*conv_2026*S$7)</f>
        <v>336979.99569367449</v>
      </c>
      <c r="T35" s="31">
        <f>IF($B35=0,0, (INDEX(Option2!T$106:T$117, MATCH($D35, Option2!$G$106:$G$117,0)))*conv_2026*T$7)</f>
        <v>336979.99569367449</v>
      </c>
      <c r="U35" s="31">
        <f>IF($B35=0,0, (INDEX(Option2!U$106:U$117, MATCH($D35, Option2!$G$106:$G$117,0)))*conv_2026*U$7)</f>
        <v>336979.99569367449</v>
      </c>
      <c r="V35" s="31">
        <f>IF($B35=0,0, (INDEX(Option2!V$106:V$117, MATCH($D35, Option2!$G$106:$G$117,0)))*conv_2026*V$7)</f>
        <v>336979.99569367449</v>
      </c>
      <c r="W35" s="31">
        <f>IF($B35=0,0, (INDEX(Option2!W$106:W$117, MATCH($D35, Option2!$G$106:$G$117,0)))*conv_2026*W$7)</f>
        <v>336979.99569367449</v>
      </c>
      <c r="X35" s="31">
        <f>IF($B35=0,0, (INDEX(Option2!X$106:X$117, MATCH($D35, Option2!$G$106:$G$117,0)))*conv_2026*X$7)</f>
        <v>336979.99569367449</v>
      </c>
      <c r="Y35" s="31">
        <f>IF($B35=0,0, (INDEX(Option2!Y$106:Y$117, MATCH($D35, Option2!$G$106:$G$117,0)))*conv_2026*Y$7)</f>
        <v>336979.99569367449</v>
      </c>
      <c r="Z35" s="31">
        <f>IF($B35=0,0, (INDEX(Option2!Z$106:Z$117, MATCH($D35, Option2!$G$106:$G$117,0)))*conv_2026*Z$7)</f>
        <v>336979.99569367449</v>
      </c>
      <c r="AA35" s="31">
        <f>IF($B35=0,0, (INDEX(Option2!AA$106:AA$117, MATCH($D35, Option2!$G$106:$G$117,0)))*conv_2026*AA$7)</f>
        <v>336979.99569367449</v>
      </c>
      <c r="AB35" s="31">
        <f>IF($B35=0,0, (INDEX(Option2!AB$106:AB$117, MATCH($D35, Option2!$G$106:$G$117,0)))*conv_2026*AB$7)</f>
        <v>336979.99569367449</v>
      </c>
      <c r="AC35" s="31">
        <f>IF($B35=0,0, (INDEX(Option2!AC$106:AC$117, MATCH($D35, Option2!$G$106:$G$117,0)))*conv_2026*AC$7)</f>
        <v>336979.99569367449</v>
      </c>
      <c r="AD35" s="31">
        <f>IF($B35=0,0, (INDEX(Option2!AD$106:AD$117, MATCH($D35, Option2!$G$106:$G$117,0)))*conv_2026*AD$7)</f>
        <v>336979.99569367449</v>
      </c>
      <c r="AE35" s="31">
        <f>IF($B35=0,0, (INDEX(Option2!AE$106:AE$117, MATCH($D35, Option2!$G$106:$G$117,0)))*conv_2026*AE$7)</f>
        <v>336979.99569367449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7" t="s">
        <v>131</v>
      </c>
      <c r="B36" s="257" t="str">
        <f>Option2!A116</f>
        <v>sens</v>
      </c>
      <c r="C36" s="257">
        <f>Option2!C116</f>
        <v>0</v>
      </c>
      <c r="D36" s="257" t="str">
        <f t="shared" si="2"/>
        <v>Option 2sens</v>
      </c>
      <c r="E36" s="258"/>
      <c r="F36" s="31">
        <f t="shared" si="3"/>
        <v>3380315.6084560561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0</v>
      </c>
      <c r="M36" s="31">
        <f>IF($B36=0,0, (INDEX(Option2!M$106:M$117, MATCH($D36, Option2!$G$106:$G$117,0)))*conv_2026*M$7)</f>
        <v>-498370.455909179</v>
      </c>
      <c r="N36" s="31">
        <f>IF($B36=0,0, (INDEX(Option2!N$106:N$117, MATCH($D36, Option2!$G$106:$G$117,0)))*conv_2026*N$7)</f>
        <v>336979.99569367449</v>
      </c>
      <c r="O36" s="31">
        <f>IF($B36=0,0, (INDEX(Option2!O$106:O$117, MATCH($D36, Option2!$G$106:$G$117,0)))*conv_2026*O$7)</f>
        <v>336979.99569367449</v>
      </c>
      <c r="P36" s="31">
        <f>IF($B36=0,0, (INDEX(Option2!P$106:P$117, MATCH($D36, Option2!$G$106:$G$117,0)))*conv_2026*P$7)</f>
        <v>336979.99569367449</v>
      </c>
      <c r="Q36" s="31">
        <f>IF($B36=0,0, (INDEX(Option2!Q$106:Q$117, MATCH($D36, Option2!$G$106:$G$117,0)))*conv_2026*Q$7)</f>
        <v>336979.99569367449</v>
      </c>
      <c r="R36" s="31">
        <f>IF($B36=0,0, (INDEX(Option2!R$106:R$117, MATCH($D36, Option2!$G$106:$G$117,0)))*conv_2026*R$7)</f>
        <v>336979.99569367449</v>
      </c>
      <c r="S36" s="31">
        <f>IF($B36=0,0, (INDEX(Option2!S$106:S$117, MATCH($D36, Option2!$G$106:$G$117,0)))*conv_2026*S$7)</f>
        <v>336979.99569367449</v>
      </c>
      <c r="T36" s="31">
        <f>IF($B36=0,0, (INDEX(Option2!T$106:T$117, MATCH($D36, Option2!$G$106:$G$117,0)))*conv_2026*T$7)</f>
        <v>336979.99569367449</v>
      </c>
      <c r="U36" s="31">
        <f>IF($B36=0,0, (INDEX(Option2!U$106:U$117, MATCH($D36, Option2!$G$106:$G$117,0)))*conv_2026*U$7)</f>
        <v>336979.99569367449</v>
      </c>
      <c r="V36" s="31">
        <f>IF($B36=0,0, (INDEX(Option2!V$106:V$117, MATCH($D36, Option2!$G$106:$G$117,0)))*conv_2026*V$7)</f>
        <v>336979.99569367449</v>
      </c>
      <c r="W36" s="31">
        <f>IF($B36=0,0, (INDEX(Option2!W$106:W$117, MATCH($D36, Option2!$G$106:$G$117,0)))*conv_2026*W$7)</f>
        <v>336979.99569367449</v>
      </c>
      <c r="X36" s="31">
        <f>IF($B36=0,0, (INDEX(Option2!X$106:X$117, MATCH($D36, Option2!$G$106:$G$117,0)))*conv_2026*X$7)</f>
        <v>336979.99569367449</v>
      </c>
      <c r="Y36" s="31">
        <f>IF($B36=0,0, (INDEX(Option2!Y$106:Y$117, MATCH($D36, Option2!$G$106:$G$117,0)))*conv_2026*Y$7)</f>
        <v>336979.99569367449</v>
      </c>
      <c r="Z36" s="31">
        <f>IF($B36=0,0, (INDEX(Option2!Z$106:Z$117, MATCH($D36, Option2!$G$106:$G$117,0)))*conv_2026*Z$7)</f>
        <v>336979.99569367449</v>
      </c>
      <c r="AA36" s="31">
        <f>IF($B36=0,0, (INDEX(Option2!AA$106:AA$117, MATCH($D36, Option2!$G$106:$G$117,0)))*conv_2026*AA$7)</f>
        <v>336979.99569367449</v>
      </c>
      <c r="AB36" s="31">
        <f>IF($B36=0,0, (INDEX(Option2!AB$106:AB$117, MATCH($D36, Option2!$G$106:$G$117,0)))*conv_2026*AB$7)</f>
        <v>336979.99569367449</v>
      </c>
      <c r="AC36" s="31">
        <f>IF($B36=0,0, (INDEX(Option2!AC$106:AC$117, MATCH($D36, Option2!$G$106:$G$117,0)))*conv_2026*AC$7)</f>
        <v>336979.99569367449</v>
      </c>
      <c r="AD36" s="31">
        <f>IF($B36=0,0, (INDEX(Option2!AD$106:AD$117, MATCH($D36, Option2!$G$106:$G$117,0)))*conv_2026*AD$7)</f>
        <v>336979.99569367449</v>
      </c>
      <c r="AE36" s="31">
        <f>IF($B36=0,0, (INDEX(Option2!AE$106:AE$117, MATCH($D36, Option2!$G$106:$G$117,0)))*conv_2026*AE$7)</f>
        <v>336979.99569367449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7" t="s">
        <v>131</v>
      </c>
      <c r="B37" s="257" t="str">
        <f>Option2!A117</f>
        <v>sens</v>
      </c>
      <c r="C37" s="257">
        <f>Option2!C117</f>
        <v>0</v>
      </c>
      <c r="D37" s="257" t="str">
        <f t="shared" si="2"/>
        <v>Option 2sens</v>
      </c>
      <c r="E37" s="258"/>
      <c r="F37" s="31">
        <f t="shared" si="3"/>
        <v>3380315.6084560561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0</v>
      </c>
      <c r="M37" s="31">
        <f>IF($B37=0,0, (INDEX(Option2!M$106:M$117, MATCH($D37, Option2!$G$106:$G$117,0)))*conv_2026*M$7)</f>
        <v>-498370.455909179</v>
      </c>
      <c r="N37" s="31">
        <f>IF($B37=0,0, (INDEX(Option2!N$106:N$117, MATCH($D37, Option2!$G$106:$G$117,0)))*conv_2026*N$7)</f>
        <v>336979.99569367449</v>
      </c>
      <c r="O37" s="31">
        <f>IF($B37=0,0, (INDEX(Option2!O$106:O$117, MATCH($D37, Option2!$G$106:$G$117,0)))*conv_2026*O$7)</f>
        <v>336979.99569367449</v>
      </c>
      <c r="P37" s="31">
        <f>IF($B37=0,0, (INDEX(Option2!P$106:P$117, MATCH($D37, Option2!$G$106:$G$117,0)))*conv_2026*P$7)</f>
        <v>336979.99569367449</v>
      </c>
      <c r="Q37" s="31">
        <f>IF($B37=0,0, (INDEX(Option2!Q$106:Q$117, MATCH($D37, Option2!$G$106:$G$117,0)))*conv_2026*Q$7)</f>
        <v>336979.99569367449</v>
      </c>
      <c r="R37" s="31">
        <f>IF($B37=0,0, (INDEX(Option2!R$106:R$117, MATCH($D37, Option2!$G$106:$G$117,0)))*conv_2026*R$7)</f>
        <v>336979.99569367449</v>
      </c>
      <c r="S37" s="31">
        <f>IF($B37=0,0, (INDEX(Option2!S$106:S$117, MATCH($D37, Option2!$G$106:$G$117,0)))*conv_2026*S$7)</f>
        <v>336979.99569367449</v>
      </c>
      <c r="T37" s="31">
        <f>IF($B37=0,0, (INDEX(Option2!T$106:T$117, MATCH($D37, Option2!$G$106:$G$117,0)))*conv_2026*T$7)</f>
        <v>336979.99569367449</v>
      </c>
      <c r="U37" s="31">
        <f>IF($B37=0,0, (INDEX(Option2!U$106:U$117, MATCH($D37, Option2!$G$106:$G$117,0)))*conv_2026*U$7)</f>
        <v>336979.99569367449</v>
      </c>
      <c r="V37" s="31">
        <f>IF($B37=0,0, (INDEX(Option2!V$106:V$117, MATCH($D37, Option2!$G$106:$G$117,0)))*conv_2026*V$7)</f>
        <v>336979.99569367449</v>
      </c>
      <c r="W37" s="31">
        <f>IF($B37=0,0, (INDEX(Option2!W$106:W$117, MATCH($D37, Option2!$G$106:$G$117,0)))*conv_2026*W$7)</f>
        <v>336979.99569367449</v>
      </c>
      <c r="X37" s="31">
        <f>IF($B37=0,0, (INDEX(Option2!X$106:X$117, MATCH($D37, Option2!$G$106:$G$117,0)))*conv_2026*X$7)</f>
        <v>336979.99569367449</v>
      </c>
      <c r="Y37" s="31">
        <f>IF($B37=0,0, (INDEX(Option2!Y$106:Y$117, MATCH($D37, Option2!$G$106:$G$117,0)))*conv_2026*Y$7)</f>
        <v>336979.99569367449</v>
      </c>
      <c r="Z37" s="31">
        <f>IF($B37=0,0, (INDEX(Option2!Z$106:Z$117, MATCH($D37, Option2!$G$106:$G$117,0)))*conv_2026*Z$7)</f>
        <v>336979.99569367449</v>
      </c>
      <c r="AA37" s="31">
        <f>IF($B37=0,0, (INDEX(Option2!AA$106:AA$117, MATCH($D37, Option2!$G$106:$G$117,0)))*conv_2026*AA$7)</f>
        <v>336979.99569367449</v>
      </c>
      <c r="AB37" s="31">
        <f>IF($B37=0,0, (INDEX(Option2!AB$106:AB$117, MATCH($D37, Option2!$G$106:$G$117,0)))*conv_2026*AB$7)</f>
        <v>336979.99569367449</v>
      </c>
      <c r="AC37" s="31">
        <f>IF($B37=0,0, (INDEX(Option2!AC$106:AC$117, MATCH($D37, Option2!$G$106:$G$117,0)))*conv_2026*AC$7)</f>
        <v>336979.99569367449</v>
      </c>
      <c r="AD37" s="31">
        <f>IF($B37=0,0, (INDEX(Option2!AD$106:AD$117, MATCH($D37, Option2!$G$106:$G$117,0)))*conv_2026*AD$7)</f>
        <v>336979.99569367449</v>
      </c>
      <c r="AE37" s="31">
        <f>IF($B37=0,0, (INDEX(Option2!AE$106:AE$117, MATCH($D37, Option2!$G$106:$G$117,0)))*conv_2026*AE$7)</f>
        <v>336979.99569367449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7"/>
      <c r="B38" s="257"/>
      <c r="C38" s="257"/>
      <c r="D38" s="257"/>
      <c r="E38" s="257"/>
      <c r="F38" s="31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</row>
    <row r="39" spans="1:35" s="8" customFormat="1" x14ac:dyDescent="0.2">
      <c r="A39" s="257"/>
      <c r="B39" s="257"/>
      <c r="C39" s="257"/>
      <c r="D39" s="257"/>
      <c r="E39" s="257"/>
      <c r="F39" s="31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</row>
    <row r="40" spans="1:35" s="8" customFormat="1" x14ac:dyDescent="0.2">
      <c r="A40" s="257"/>
      <c r="B40" s="257"/>
      <c r="C40" s="257"/>
      <c r="D40" s="257"/>
      <c r="E40" s="257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1347366.8655156156</v>
      </c>
      <c r="M40" s="31">
        <f>Consol!M50</f>
        <v>-3697599.983783023</v>
      </c>
      <c r="N40" s="31">
        <f>Consol!N50</f>
        <v>-10089933.698597277</v>
      </c>
      <c r="O40" s="31">
        <f>Consol!O50</f>
        <v>-10089933.698597277</v>
      </c>
      <c r="P40" s="31">
        <f>Consol!P50</f>
        <v>-10089933.698597277</v>
      </c>
      <c r="Q40" s="31">
        <f>Consol!Q50</f>
        <v>-10089933.698597277</v>
      </c>
      <c r="R40" s="31">
        <f>Consol!R50</f>
        <v>-10089933.698597277</v>
      </c>
      <c r="S40" s="31">
        <f>Consol!S50</f>
        <v>-10089933.698597277</v>
      </c>
      <c r="T40" s="31">
        <f>Consol!T50</f>
        <v>-10089933.698597277</v>
      </c>
      <c r="U40" s="31">
        <f>Consol!U50</f>
        <v>-10089933.698597277</v>
      </c>
      <c r="V40" s="31">
        <f>Consol!V50</f>
        <v>-10089933.698597277</v>
      </c>
      <c r="W40" s="31">
        <f>Consol!W50</f>
        <v>-10089933.698597277</v>
      </c>
      <c r="X40" s="31">
        <f>Consol!X50</f>
        <v>-10089933.698597277</v>
      </c>
      <c r="Y40" s="31">
        <f>Consol!Y50</f>
        <v>-10089933.698597277</v>
      </c>
      <c r="Z40" s="31">
        <f>Consol!Z50</f>
        <v>-10089933.698597277</v>
      </c>
      <c r="AA40" s="31">
        <f>Consol!AA50</f>
        <v>-10089933.698597277</v>
      </c>
      <c r="AB40" s="31">
        <f>Consol!AB50</f>
        <v>-10089933.698597277</v>
      </c>
      <c r="AC40" s="31">
        <f>Consol!AC50</f>
        <v>-10089933.698597277</v>
      </c>
      <c r="AD40" s="31">
        <f>Consol!AD50</f>
        <v>-10089933.698597277</v>
      </c>
      <c r="AE40" s="31">
        <f>Consol!AE50</f>
        <v>-10089933.698597277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7"/>
      <c r="B41" s="257"/>
      <c r="C41" s="257"/>
      <c r="D41" s="257"/>
      <c r="E41" s="257"/>
      <c r="F41" s="31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</row>
    <row r="42" spans="1:35" s="8" customFormat="1" x14ac:dyDescent="0.2">
      <c r="A42" s="257" t="s">
        <v>132</v>
      </c>
      <c r="B42" s="257" t="s">
        <v>119</v>
      </c>
      <c r="C42" s="257" t="s">
        <v>189</v>
      </c>
      <c r="D42" s="257" t="str">
        <f>A42&amp;B42</f>
        <v>Option 3NPV</v>
      </c>
      <c r="E42" s="258"/>
      <c r="F42" s="31">
        <f t="shared" ref="F42:F51" si="4">SUMPRODUCT($H42:$AG42, $H$5:$AG$5)</f>
        <v>-115969148.89986192</v>
      </c>
      <c r="G42" s="250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1347366.8655156156</v>
      </c>
      <c r="M42" s="31">
        <f>(INDEX(Option3!M$106:M$117, MATCH($D42, Option3!$G$106:$G$117,0)))*conv_2026*M$7</f>
        <v>-3697599.983783023</v>
      </c>
      <c r="N42" s="31">
        <f>(INDEX(Option3!N$106:N$117, MATCH($D42, Option3!$G$106:$G$117,0)))*conv_2026*N$7</f>
        <v>-10089933.698597277</v>
      </c>
      <c r="O42" s="31">
        <f>(INDEX(Option3!O$106:O$117, MATCH($D42, Option3!$G$106:$G$117,0)))*conv_2026*O$7</f>
        <v>-10089933.698597277</v>
      </c>
      <c r="P42" s="31">
        <f>(INDEX(Option3!P$106:P$117, MATCH($D42, Option3!$G$106:$G$117,0)))*conv_2026*P$7</f>
        <v>-10089933.698597277</v>
      </c>
      <c r="Q42" s="31">
        <f>(INDEX(Option3!Q$106:Q$117, MATCH($D42, Option3!$G$106:$G$117,0)))*conv_2026*Q$7</f>
        <v>-10089933.698597277</v>
      </c>
      <c r="R42" s="31">
        <f>(INDEX(Option3!R$106:R$117, MATCH($D42, Option3!$G$106:$G$117,0)))*conv_2026*R$7</f>
        <v>-10089933.698597277</v>
      </c>
      <c r="S42" s="31">
        <f>(INDEX(Option3!S$106:S$117, MATCH($D42, Option3!$G$106:$G$117,0)))*conv_2026*S$7</f>
        <v>-10089933.698597277</v>
      </c>
      <c r="T42" s="31">
        <f>(INDEX(Option3!T$106:T$117, MATCH($D42, Option3!$G$106:$G$117,0)))*conv_2026*T$7</f>
        <v>-10089933.698597277</v>
      </c>
      <c r="U42" s="31">
        <f>(INDEX(Option3!U$106:U$117, MATCH($D42, Option3!$G$106:$G$117,0)))*conv_2026*U$7</f>
        <v>-10089933.698597277</v>
      </c>
      <c r="V42" s="31">
        <f>(INDEX(Option3!V$106:V$117, MATCH($D42, Option3!$G$106:$G$117,0)))*conv_2026*V$7</f>
        <v>-10089933.698597277</v>
      </c>
      <c r="W42" s="31">
        <f>(INDEX(Option3!W$106:W$117, MATCH($D42, Option3!$G$106:$G$117,0)))*conv_2026*W$7</f>
        <v>-10089933.698597277</v>
      </c>
      <c r="X42" s="31">
        <f>(INDEX(Option3!X$106:X$117, MATCH($D42, Option3!$G$106:$G$117,0)))*conv_2026*X$7</f>
        <v>-10089933.698597277</v>
      </c>
      <c r="Y42" s="31">
        <f>(INDEX(Option3!Y$106:Y$117, MATCH($D42, Option3!$G$106:$G$117,0)))*conv_2026*Y$7</f>
        <v>-10089933.698597277</v>
      </c>
      <c r="Z42" s="31">
        <f>(INDEX(Option3!Z$106:Z$117, MATCH($D42, Option3!$G$106:$G$117,0)))*conv_2026*Z$7</f>
        <v>-10089933.698597277</v>
      </c>
      <c r="AA42" s="31">
        <f>(INDEX(Option3!AA$106:AA$117, MATCH($D42, Option3!$G$106:$G$117,0)))*conv_2026*AA$7</f>
        <v>-10089933.698597277</v>
      </c>
      <c r="AB42" s="31">
        <f>(INDEX(Option3!AB$106:AB$117, MATCH($D42, Option3!$G$106:$G$117,0)))*conv_2026*AB$7</f>
        <v>-10089933.698597277</v>
      </c>
      <c r="AC42" s="31">
        <f>(INDEX(Option3!AC$106:AC$117, MATCH($D42, Option3!$G$106:$G$117,0)))*conv_2026*AC$7</f>
        <v>-10089933.698597277</v>
      </c>
      <c r="AD42" s="31">
        <f>(INDEX(Option3!AD$106:AD$117, MATCH($D42, Option3!$G$106:$G$117,0)))*conv_2026*AD$7</f>
        <v>-10089933.698597277</v>
      </c>
      <c r="AE42" s="31">
        <f>(INDEX(Option3!AE$106:AE$117, MATCH($D42, Option3!$G$106:$G$117,0)))*conv_2026*AE$7</f>
        <v>-10089933.698597277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9"/>
      <c r="B43" s="249"/>
      <c r="C43" s="249"/>
      <c r="D43" s="249"/>
      <c r="E43" s="249"/>
      <c r="F43" s="249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7"/>
      <c r="AI43" s="7"/>
    </row>
    <row r="44" spans="1:35" s="8" customFormat="1" x14ac:dyDescent="0.2">
      <c r="A44" s="257" t="s">
        <v>132</v>
      </c>
      <c r="B44" s="257" t="str">
        <f>Option3!A110</f>
        <v>sens1</v>
      </c>
      <c r="C44" s="257" t="str">
        <f>Option3!C110</f>
        <v>Capex 10% higher</v>
      </c>
      <c r="D44" s="257" t="str">
        <f t="shared" ref="D44:D51" si="5">A44&amp;B44</f>
        <v>Option 3sens1</v>
      </c>
      <c r="E44" s="258"/>
      <c r="F44" s="31">
        <f t="shared" si="4"/>
        <v>-130960860.27076848</v>
      </c>
      <c r="G44" s="250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1347366.8655156156</v>
      </c>
      <c r="M44" s="31">
        <f>(INDEX(Option3!M$106:M$117, MATCH($D44, Option3!$G$106:$G$117,0)))*conv_2026*M$7</f>
        <v>-4336833.3552644486</v>
      </c>
      <c r="N44" s="31">
        <f>(INDEX(Option3!N$106:N$117, MATCH($D44, Option3!$G$106:$G$117,0)))*conv_2026*N$7</f>
        <v>-11368400.441560129</v>
      </c>
      <c r="O44" s="31">
        <f>(INDEX(Option3!O$106:O$117, MATCH($D44, Option3!$G$106:$G$117,0)))*conv_2026*O$7</f>
        <v>-11368400.441560129</v>
      </c>
      <c r="P44" s="31">
        <f>(INDEX(Option3!P$106:P$117, MATCH($D44, Option3!$G$106:$G$117,0)))*conv_2026*P$7</f>
        <v>-11368400.441560129</v>
      </c>
      <c r="Q44" s="31">
        <f>(INDEX(Option3!Q$106:Q$117, MATCH($D44, Option3!$G$106:$G$117,0)))*conv_2026*Q$7</f>
        <v>-11368400.441560129</v>
      </c>
      <c r="R44" s="31">
        <f>(INDEX(Option3!R$106:R$117, MATCH($D44, Option3!$G$106:$G$117,0)))*conv_2026*R$7</f>
        <v>-11368400.441560129</v>
      </c>
      <c r="S44" s="31">
        <f>(INDEX(Option3!S$106:S$117, MATCH($D44, Option3!$G$106:$G$117,0)))*conv_2026*S$7</f>
        <v>-11368400.441560129</v>
      </c>
      <c r="T44" s="31">
        <f>(INDEX(Option3!T$106:T$117, MATCH($D44, Option3!$G$106:$G$117,0)))*conv_2026*T$7</f>
        <v>-11368400.441560129</v>
      </c>
      <c r="U44" s="31">
        <f>(INDEX(Option3!U$106:U$117, MATCH($D44, Option3!$G$106:$G$117,0)))*conv_2026*U$7</f>
        <v>-11368400.441560129</v>
      </c>
      <c r="V44" s="31">
        <f>(INDEX(Option3!V$106:V$117, MATCH($D44, Option3!$G$106:$G$117,0)))*conv_2026*V$7</f>
        <v>-11368400.441560129</v>
      </c>
      <c r="W44" s="31">
        <f>(INDEX(Option3!W$106:W$117, MATCH($D44, Option3!$G$106:$G$117,0)))*conv_2026*W$7</f>
        <v>-11368400.441560129</v>
      </c>
      <c r="X44" s="31">
        <f>(INDEX(Option3!X$106:X$117, MATCH($D44, Option3!$G$106:$G$117,0)))*conv_2026*X$7</f>
        <v>-11368400.441560129</v>
      </c>
      <c r="Y44" s="31">
        <f>(INDEX(Option3!Y$106:Y$117, MATCH($D44, Option3!$G$106:$G$117,0)))*conv_2026*Y$7</f>
        <v>-11368400.441560129</v>
      </c>
      <c r="Z44" s="31">
        <f>(INDEX(Option3!Z$106:Z$117, MATCH($D44, Option3!$G$106:$G$117,0)))*conv_2026*Z$7</f>
        <v>-11368400.441560129</v>
      </c>
      <c r="AA44" s="31">
        <f>(INDEX(Option3!AA$106:AA$117, MATCH($D44, Option3!$G$106:$G$117,0)))*conv_2026*AA$7</f>
        <v>-11368400.441560129</v>
      </c>
      <c r="AB44" s="31">
        <f>(INDEX(Option3!AB$106:AB$117, MATCH($D44, Option3!$G$106:$G$117,0)))*conv_2026*AB$7</f>
        <v>-11368400.441560129</v>
      </c>
      <c r="AC44" s="31">
        <f>(INDEX(Option3!AC$106:AC$117, MATCH($D44, Option3!$G$106:$G$117,0)))*conv_2026*AC$7</f>
        <v>-11368400.441560129</v>
      </c>
      <c r="AD44" s="31">
        <f>(INDEX(Option3!AD$106:AD$117, MATCH($D44, Option3!$G$106:$G$117,0)))*conv_2026*AD$7</f>
        <v>-11368400.441560129</v>
      </c>
      <c r="AE44" s="31">
        <f>(INDEX(Option3!AE$106:AE$117, MATCH($D44, Option3!$G$106:$G$117,0)))*conv_2026*AE$7</f>
        <v>-11368400.441560129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7" t="s">
        <v>132</v>
      </c>
      <c r="B45" s="257" t="str">
        <f>Option3!A111</f>
        <v>sens2</v>
      </c>
      <c r="C45" s="257" t="str">
        <f>Option3!C111</f>
        <v>Capex 10% lower</v>
      </c>
      <c r="D45" s="257" t="str">
        <f t="shared" si="5"/>
        <v>Option 3sens2</v>
      </c>
      <c r="E45" s="258"/>
      <c r="F45" s="31">
        <f t="shared" si="4"/>
        <v>-100977437.52895531</v>
      </c>
      <c r="G45" s="257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1347366.8655156156</v>
      </c>
      <c r="M45" s="31">
        <f>(INDEX(Option3!M$106:M$117, MATCH($D45, Option3!$G$106:$G$117,0)))*conv_2026*M$7</f>
        <v>-3058366.6123015969</v>
      </c>
      <c r="N45" s="31">
        <f>(INDEX(Option3!N$106:N$117, MATCH($D45, Option3!$G$106:$G$117,0)))*conv_2026*N$7</f>
        <v>-8811466.9556344245</v>
      </c>
      <c r="O45" s="31">
        <f>(INDEX(Option3!O$106:O$117, MATCH($D45, Option3!$G$106:$G$117,0)))*conv_2026*O$7</f>
        <v>-8811466.9556344245</v>
      </c>
      <c r="P45" s="31">
        <f>(INDEX(Option3!P$106:P$117, MATCH($D45, Option3!$G$106:$G$117,0)))*conv_2026*P$7</f>
        <v>-8811466.9556344245</v>
      </c>
      <c r="Q45" s="31">
        <f>(INDEX(Option3!Q$106:Q$117, MATCH($D45, Option3!$G$106:$G$117,0)))*conv_2026*Q$7</f>
        <v>-8811466.9556344245</v>
      </c>
      <c r="R45" s="31">
        <f>(INDEX(Option3!R$106:R$117, MATCH($D45, Option3!$G$106:$G$117,0)))*conv_2026*R$7</f>
        <v>-8811466.9556344245</v>
      </c>
      <c r="S45" s="31">
        <f>(INDEX(Option3!S$106:S$117, MATCH($D45, Option3!$G$106:$G$117,0)))*conv_2026*S$7</f>
        <v>-8811466.9556344245</v>
      </c>
      <c r="T45" s="31">
        <f>(INDEX(Option3!T$106:T$117, MATCH($D45, Option3!$G$106:$G$117,0)))*conv_2026*T$7</f>
        <v>-8811466.9556344245</v>
      </c>
      <c r="U45" s="31">
        <f>(INDEX(Option3!U$106:U$117, MATCH($D45, Option3!$G$106:$G$117,0)))*conv_2026*U$7</f>
        <v>-8811466.9556344245</v>
      </c>
      <c r="V45" s="31">
        <f>(INDEX(Option3!V$106:V$117, MATCH($D45, Option3!$G$106:$G$117,0)))*conv_2026*V$7</f>
        <v>-8811466.9556344245</v>
      </c>
      <c r="W45" s="31">
        <f>(INDEX(Option3!W$106:W$117, MATCH($D45, Option3!$G$106:$G$117,0)))*conv_2026*W$7</f>
        <v>-8811466.9556344245</v>
      </c>
      <c r="X45" s="31">
        <f>(INDEX(Option3!X$106:X$117, MATCH($D45, Option3!$G$106:$G$117,0)))*conv_2026*X$7</f>
        <v>-8811466.9556344245</v>
      </c>
      <c r="Y45" s="31">
        <f>(INDEX(Option3!Y$106:Y$117, MATCH($D45, Option3!$G$106:$G$117,0)))*conv_2026*Y$7</f>
        <v>-8811466.9556344245</v>
      </c>
      <c r="Z45" s="31">
        <f>(INDEX(Option3!Z$106:Z$117, MATCH($D45, Option3!$G$106:$G$117,0)))*conv_2026*Z$7</f>
        <v>-8811466.9556344245</v>
      </c>
      <c r="AA45" s="31">
        <f>(INDEX(Option3!AA$106:AA$117, MATCH($D45, Option3!$G$106:$G$117,0)))*conv_2026*AA$7</f>
        <v>-8811466.9556344245</v>
      </c>
      <c r="AB45" s="31">
        <f>(INDEX(Option3!AB$106:AB$117, MATCH($D45, Option3!$G$106:$G$117,0)))*conv_2026*AB$7</f>
        <v>-8811466.9556344245</v>
      </c>
      <c r="AC45" s="31">
        <f>(INDEX(Option3!AC$106:AC$117, MATCH($D45, Option3!$G$106:$G$117,0)))*conv_2026*AC$7</f>
        <v>-8811466.9556344245</v>
      </c>
      <c r="AD45" s="31">
        <f>(INDEX(Option3!AD$106:AD$117, MATCH($D45, Option3!$G$106:$G$117,0)))*conv_2026*AD$7</f>
        <v>-8811466.9556344245</v>
      </c>
      <c r="AE45" s="31">
        <f>(INDEX(Option3!AE$106:AE$117, MATCH($D45, Option3!$G$106:$G$117,0)))*conv_2026*AE$7</f>
        <v>-8811466.9556344245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7" t="s">
        <v>132</v>
      </c>
      <c r="B46" s="257" t="str">
        <f>Option3!A112</f>
        <v>sens3</v>
      </c>
      <c r="C46" s="257" t="str">
        <f>Option3!C112</f>
        <v>Total benefits 10% higher</v>
      </c>
      <c r="D46" s="257" t="str">
        <f t="shared" si="5"/>
        <v>Option 3sens3</v>
      </c>
      <c r="E46" s="258"/>
      <c r="F46" s="31">
        <f t="shared" si="4"/>
        <v>-112574352.41894153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1482103.5520671771</v>
      </c>
      <c r="M46" s="31">
        <f>(INDEX(Option3!M$106:M$117, MATCH($D46, Option3!$G$106:$G$117,0)))*conv_2026*M$7</f>
        <v>-3428126.6106798993</v>
      </c>
      <c r="N46" s="31">
        <f>(INDEX(Option3!N$106:N$117, MATCH($D46, Option3!$G$106:$G$117,0)))*conv_2026*N$7</f>
        <v>-9820460.3254941534</v>
      </c>
      <c r="O46" s="31">
        <f>(INDEX(Option3!O$106:O$117, MATCH($D46, Option3!$G$106:$G$117,0)))*conv_2026*O$7</f>
        <v>-9820460.3254941534</v>
      </c>
      <c r="P46" s="31">
        <f>(INDEX(Option3!P$106:P$117, MATCH($D46, Option3!$G$106:$G$117,0)))*conv_2026*P$7</f>
        <v>-9820460.3254941534</v>
      </c>
      <c r="Q46" s="31">
        <f>(INDEX(Option3!Q$106:Q$117, MATCH($D46, Option3!$G$106:$G$117,0)))*conv_2026*Q$7</f>
        <v>-9820460.3254941534</v>
      </c>
      <c r="R46" s="31">
        <f>(INDEX(Option3!R$106:R$117, MATCH($D46, Option3!$G$106:$G$117,0)))*conv_2026*R$7</f>
        <v>-9820460.3254941534</v>
      </c>
      <c r="S46" s="31">
        <f>(INDEX(Option3!S$106:S$117, MATCH($D46, Option3!$G$106:$G$117,0)))*conv_2026*S$7</f>
        <v>-9820460.3254941534</v>
      </c>
      <c r="T46" s="31">
        <f>(INDEX(Option3!T$106:T$117, MATCH($D46, Option3!$G$106:$G$117,0)))*conv_2026*T$7</f>
        <v>-9820460.3254941534</v>
      </c>
      <c r="U46" s="31">
        <f>(INDEX(Option3!U$106:U$117, MATCH($D46, Option3!$G$106:$G$117,0)))*conv_2026*U$7</f>
        <v>-9820460.3254941534</v>
      </c>
      <c r="V46" s="31">
        <f>(INDEX(Option3!V$106:V$117, MATCH($D46, Option3!$G$106:$G$117,0)))*conv_2026*V$7</f>
        <v>-9820460.3254941534</v>
      </c>
      <c r="W46" s="31">
        <f>(INDEX(Option3!W$106:W$117, MATCH($D46, Option3!$G$106:$G$117,0)))*conv_2026*W$7</f>
        <v>-9820460.3254941534</v>
      </c>
      <c r="X46" s="31">
        <f>(INDEX(Option3!X$106:X$117, MATCH($D46, Option3!$G$106:$G$117,0)))*conv_2026*X$7</f>
        <v>-9820460.3254941534</v>
      </c>
      <c r="Y46" s="31">
        <f>(INDEX(Option3!Y$106:Y$117, MATCH($D46, Option3!$G$106:$G$117,0)))*conv_2026*Y$7</f>
        <v>-9820460.3254941534</v>
      </c>
      <c r="Z46" s="31">
        <f>(INDEX(Option3!Z$106:Z$117, MATCH($D46, Option3!$G$106:$G$117,0)))*conv_2026*Z$7</f>
        <v>-9820460.3254941534</v>
      </c>
      <c r="AA46" s="31">
        <f>(INDEX(Option3!AA$106:AA$117, MATCH($D46, Option3!$G$106:$G$117,0)))*conv_2026*AA$7</f>
        <v>-9820460.3254941534</v>
      </c>
      <c r="AB46" s="31">
        <f>(INDEX(Option3!AB$106:AB$117, MATCH($D46, Option3!$G$106:$G$117,0)))*conv_2026*AB$7</f>
        <v>-9820460.3254941534</v>
      </c>
      <c r="AC46" s="31">
        <f>(INDEX(Option3!AC$106:AC$117, MATCH($D46, Option3!$G$106:$G$117,0)))*conv_2026*AC$7</f>
        <v>-9820460.3254941534</v>
      </c>
      <c r="AD46" s="31">
        <f>(INDEX(Option3!AD$106:AD$117, MATCH($D46, Option3!$G$106:$G$117,0)))*conv_2026*AD$7</f>
        <v>-9820460.3254941534</v>
      </c>
      <c r="AE46" s="31">
        <f>(INDEX(Option3!AE$106:AE$117, MATCH($D46, Option3!$G$106:$G$117,0)))*conv_2026*AE$7</f>
        <v>-9820460.3254941534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7" t="s">
        <v>132</v>
      </c>
      <c r="B47" s="257" t="str">
        <f>Option3!A113</f>
        <v>sens4</v>
      </c>
      <c r="C47" s="257" t="str">
        <f>Option3!C113</f>
        <v>Total benefits 10% lower</v>
      </c>
      <c r="D47" s="257" t="str">
        <f t="shared" si="5"/>
        <v>Option 3sens4</v>
      </c>
      <c r="E47" s="258"/>
      <c r="F47" s="31">
        <f t="shared" si="4"/>
        <v>-119363945.38078231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1212630.178964054</v>
      </c>
      <c r="M47" s="31">
        <f>(INDEX(Option3!M$106:M$117, MATCH($D47, Option3!$G$106:$G$117,0)))*conv_2026*M$7</f>
        <v>-3967073.3568861461</v>
      </c>
      <c r="N47" s="31">
        <f>(INDEX(Option3!N$106:N$117, MATCH($D47, Option3!$G$106:$G$117,0)))*conv_2026*N$7</f>
        <v>-10359407.0717004</v>
      </c>
      <c r="O47" s="31">
        <f>(INDEX(Option3!O$106:O$117, MATCH($D47, Option3!$G$106:$G$117,0)))*conv_2026*O$7</f>
        <v>-10359407.0717004</v>
      </c>
      <c r="P47" s="31">
        <f>(INDEX(Option3!P$106:P$117, MATCH($D47, Option3!$G$106:$G$117,0)))*conv_2026*P$7</f>
        <v>-10359407.0717004</v>
      </c>
      <c r="Q47" s="31">
        <f>(INDEX(Option3!Q$106:Q$117, MATCH($D47, Option3!$G$106:$G$117,0)))*conv_2026*Q$7</f>
        <v>-10359407.0717004</v>
      </c>
      <c r="R47" s="31">
        <f>(INDEX(Option3!R$106:R$117, MATCH($D47, Option3!$G$106:$G$117,0)))*conv_2026*R$7</f>
        <v>-10359407.0717004</v>
      </c>
      <c r="S47" s="31">
        <f>(INDEX(Option3!S$106:S$117, MATCH($D47, Option3!$G$106:$G$117,0)))*conv_2026*S$7</f>
        <v>-10359407.0717004</v>
      </c>
      <c r="T47" s="31">
        <f>(INDEX(Option3!T$106:T$117, MATCH($D47, Option3!$G$106:$G$117,0)))*conv_2026*T$7</f>
        <v>-10359407.0717004</v>
      </c>
      <c r="U47" s="31">
        <f>(INDEX(Option3!U$106:U$117, MATCH($D47, Option3!$G$106:$G$117,0)))*conv_2026*U$7</f>
        <v>-10359407.0717004</v>
      </c>
      <c r="V47" s="31">
        <f>(INDEX(Option3!V$106:V$117, MATCH($D47, Option3!$G$106:$G$117,0)))*conv_2026*V$7</f>
        <v>-10359407.0717004</v>
      </c>
      <c r="W47" s="31">
        <f>(INDEX(Option3!W$106:W$117, MATCH($D47, Option3!$G$106:$G$117,0)))*conv_2026*W$7</f>
        <v>-10359407.0717004</v>
      </c>
      <c r="X47" s="31">
        <f>(INDEX(Option3!X$106:X$117, MATCH($D47, Option3!$G$106:$G$117,0)))*conv_2026*X$7</f>
        <v>-10359407.0717004</v>
      </c>
      <c r="Y47" s="31">
        <f>(INDEX(Option3!Y$106:Y$117, MATCH($D47, Option3!$G$106:$G$117,0)))*conv_2026*Y$7</f>
        <v>-10359407.0717004</v>
      </c>
      <c r="Z47" s="31">
        <f>(INDEX(Option3!Z$106:Z$117, MATCH($D47, Option3!$G$106:$G$117,0)))*conv_2026*Z$7</f>
        <v>-10359407.0717004</v>
      </c>
      <c r="AA47" s="31">
        <f>(INDEX(Option3!AA$106:AA$117, MATCH($D47, Option3!$G$106:$G$117,0)))*conv_2026*AA$7</f>
        <v>-10359407.0717004</v>
      </c>
      <c r="AB47" s="31">
        <f>(INDEX(Option3!AB$106:AB$117, MATCH($D47, Option3!$G$106:$G$117,0)))*conv_2026*AB$7</f>
        <v>-10359407.0717004</v>
      </c>
      <c r="AC47" s="31">
        <f>(INDEX(Option3!AC$106:AC$117, MATCH($D47, Option3!$G$106:$G$117,0)))*conv_2026*AC$7</f>
        <v>-10359407.0717004</v>
      </c>
      <c r="AD47" s="31">
        <f>(INDEX(Option3!AD$106:AD$117, MATCH($D47, Option3!$G$106:$G$117,0)))*conv_2026*AD$7</f>
        <v>-10359407.0717004</v>
      </c>
      <c r="AE47" s="31">
        <f>(INDEX(Option3!AE$106:AE$117, MATCH($D47, Option3!$G$106:$G$117,0)))*conv_2026*AE$7</f>
        <v>-10359407.0717004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7" t="s">
        <v>132</v>
      </c>
      <c r="B48" s="257" t="str">
        <f>Option3!A114</f>
        <v>sens5</v>
      </c>
      <c r="C48" s="257" t="str">
        <f>Option3!C114</f>
        <v>Capex 10% higher &amp; Total benefits 10% lower</v>
      </c>
      <c r="D48" s="257" t="str">
        <f t="shared" si="5"/>
        <v>Option 3sens5</v>
      </c>
      <c r="E48" s="258"/>
      <c r="F48" s="31">
        <f t="shared" si="4"/>
        <v>-134355656.75168887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1212630.178964054</v>
      </c>
      <c r="M48" s="31">
        <f>(INDEX(Option3!M$106:M$117, MATCH($D48, Option3!$G$106:$G$117,0)))*conv_2026*M$7</f>
        <v>-4606306.7283675717</v>
      </c>
      <c r="N48" s="31">
        <f>(INDEX(Option3!N$106:N$117, MATCH($D48, Option3!$G$106:$G$117,0)))*conv_2026*N$7</f>
        <v>-11637873.814663252</v>
      </c>
      <c r="O48" s="31">
        <f>(INDEX(Option3!O$106:O$117, MATCH($D48, Option3!$G$106:$G$117,0)))*conv_2026*O$7</f>
        <v>-11637873.814663252</v>
      </c>
      <c r="P48" s="31">
        <f>(INDEX(Option3!P$106:P$117, MATCH($D48, Option3!$G$106:$G$117,0)))*conv_2026*P$7</f>
        <v>-11637873.814663252</v>
      </c>
      <c r="Q48" s="31">
        <f>(INDEX(Option3!Q$106:Q$117, MATCH($D48, Option3!$G$106:$G$117,0)))*conv_2026*Q$7</f>
        <v>-11637873.814663252</v>
      </c>
      <c r="R48" s="31">
        <f>(INDEX(Option3!R$106:R$117, MATCH($D48, Option3!$G$106:$G$117,0)))*conv_2026*R$7</f>
        <v>-11637873.814663252</v>
      </c>
      <c r="S48" s="31">
        <f>(INDEX(Option3!S$106:S$117, MATCH($D48, Option3!$G$106:$G$117,0)))*conv_2026*S$7</f>
        <v>-11637873.814663252</v>
      </c>
      <c r="T48" s="31">
        <f>(INDEX(Option3!T$106:T$117, MATCH($D48, Option3!$G$106:$G$117,0)))*conv_2026*T$7</f>
        <v>-11637873.814663252</v>
      </c>
      <c r="U48" s="31">
        <f>(INDEX(Option3!U$106:U$117, MATCH($D48, Option3!$G$106:$G$117,0)))*conv_2026*U$7</f>
        <v>-11637873.814663252</v>
      </c>
      <c r="V48" s="31">
        <f>(INDEX(Option3!V$106:V$117, MATCH($D48, Option3!$G$106:$G$117,0)))*conv_2026*V$7</f>
        <v>-11637873.814663252</v>
      </c>
      <c r="W48" s="31">
        <f>(INDEX(Option3!W$106:W$117, MATCH($D48, Option3!$G$106:$G$117,0)))*conv_2026*W$7</f>
        <v>-11637873.814663252</v>
      </c>
      <c r="X48" s="31">
        <f>(INDEX(Option3!X$106:X$117, MATCH($D48, Option3!$G$106:$G$117,0)))*conv_2026*X$7</f>
        <v>-11637873.814663252</v>
      </c>
      <c r="Y48" s="31">
        <f>(INDEX(Option3!Y$106:Y$117, MATCH($D48, Option3!$G$106:$G$117,0)))*conv_2026*Y$7</f>
        <v>-11637873.814663252</v>
      </c>
      <c r="Z48" s="31">
        <f>(INDEX(Option3!Z$106:Z$117, MATCH($D48, Option3!$G$106:$G$117,0)))*conv_2026*Z$7</f>
        <v>-11637873.814663252</v>
      </c>
      <c r="AA48" s="31">
        <f>(INDEX(Option3!AA$106:AA$117, MATCH($D48, Option3!$G$106:$G$117,0)))*conv_2026*AA$7</f>
        <v>-11637873.814663252</v>
      </c>
      <c r="AB48" s="31">
        <f>(INDEX(Option3!AB$106:AB$117, MATCH($D48, Option3!$G$106:$G$117,0)))*conv_2026*AB$7</f>
        <v>-11637873.814663252</v>
      </c>
      <c r="AC48" s="31">
        <f>(INDEX(Option3!AC$106:AC$117, MATCH($D48, Option3!$G$106:$G$117,0)))*conv_2026*AC$7</f>
        <v>-11637873.814663252</v>
      </c>
      <c r="AD48" s="31">
        <f>(INDEX(Option3!AD$106:AD$117, MATCH($D48, Option3!$G$106:$G$117,0)))*conv_2026*AD$7</f>
        <v>-11637873.814663252</v>
      </c>
      <c r="AE48" s="31">
        <f>(INDEX(Option3!AE$106:AE$117, MATCH($D48, Option3!$G$106:$G$117,0)))*conv_2026*AE$7</f>
        <v>-11637873.814663252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7" t="s">
        <v>132</v>
      </c>
      <c r="B49" s="257" t="str">
        <f>Option3!A115</f>
        <v>sens</v>
      </c>
      <c r="C49" s="257">
        <f>Option3!C115</f>
        <v>0</v>
      </c>
      <c r="D49" s="257" t="str">
        <f t="shared" si="5"/>
        <v>Option 3sens</v>
      </c>
      <c r="E49" s="258"/>
      <c r="F49" s="31">
        <f t="shared" si="4"/>
        <v>-115969148.89986192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1347366.8655156156</v>
      </c>
      <c r="M49" s="31">
        <f>(INDEX(Option3!M$106:M$117, MATCH($D49, Option3!$G$106:$G$117,0)))*conv_2026*M$7</f>
        <v>-3697599.983783023</v>
      </c>
      <c r="N49" s="31">
        <f>(INDEX(Option3!N$106:N$117, MATCH($D49, Option3!$G$106:$G$117,0)))*conv_2026*N$7</f>
        <v>-10089933.698597277</v>
      </c>
      <c r="O49" s="31">
        <f>(INDEX(Option3!O$106:O$117, MATCH($D49, Option3!$G$106:$G$117,0)))*conv_2026*O$7</f>
        <v>-10089933.698597277</v>
      </c>
      <c r="P49" s="31">
        <f>(INDEX(Option3!P$106:P$117, MATCH($D49, Option3!$G$106:$G$117,0)))*conv_2026*P$7</f>
        <v>-10089933.698597277</v>
      </c>
      <c r="Q49" s="31">
        <f>(INDEX(Option3!Q$106:Q$117, MATCH($D49, Option3!$G$106:$G$117,0)))*conv_2026*Q$7</f>
        <v>-10089933.698597277</v>
      </c>
      <c r="R49" s="31">
        <f>(INDEX(Option3!R$106:R$117, MATCH($D49, Option3!$G$106:$G$117,0)))*conv_2026*R$7</f>
        <v>-10089933.698597277</v>
      </c>
      <c r="S49" s="31">
        <f>(INDEX(Option3!S$106:S$117, MATCH($D49, Option3!$G$106:$G$117,0)))*conv_2026*S$7</f>
        <v>-10089933.698597277</v>
      </c>
      <c r="T49" s="31">
        <f>(INDEX(Option3!T$106:T$117, MATCH($D49, Option3!$G$106:$G$117,0)))*conv_2026*T$7</f>
        <v>-10089933.698597277</v>
      </c>
      <c r="U49" s="31">
        <f>(INDEX(Option3!U$106:U$117, MATCH($D49, Option3!$G$106:$G$117,0)))*conv_2026*U$7</f>
        <v>-10089933.698597277</v>
      </c>
      <c r="V49" s="31">
        <f>(INDEX(Option3!V$106:V$117, MATCH($D49, Option3!$G$106:$G$117,0)))*conv_2026*V$7</f>
        <v>-10089933.698597277</v>
      </c>
      <c r="W49" s="31">
        <f>(INDEX(Option3!W$106:W$117, MATCH($D49, Option3!$G$106:$G$117,0)))*conv_2026*W$7</f>
        <v>-10089933.698597277</v>
      </c>
      <c r="X49" s="31">
        <f>(INDEX(Option3!X$106:X$117, MATCH($D49, Option3!$G$106:$G$117,0)))*conv_2026*X$7</f>
        <v>-10089933.698597277</v>
      </c>
      <c r="Y49" s="31">
        <f>(INDEX(Option3!Y$106:Y$117, MATCH($D49, Option3!$G$106:$G$117,0)))*conv_2026*Y$7</f>
        <v>-10089933.698597277</v>
      </c>
      <c r="Z49" s="31">
        <f>(INDEX(Option3!Z$106:Z$117, MATCH($D49, Option3!$G$106:$G$117,0)))*conv_2026*Z$7</f>
        <v>-10089933.698597277</v>
      </c>
      <c r="AA49" s="31">
        <f>(INDEX(Option3!AA$106:AA$117, MATCH($D49, Option3!$G$106:$G$117,0)))*conv_2026*AA$7</f>
        <v>-10089933.698597277</v>
      </c>
      <c r="AB49" s="31">
        <f>(INDEX(Option3!AB$106:AB$117, MATCH($D49, Option3!$G$106:$G$117,0)))*conv_2026*AB$7</f>
        <v>-10089933.698597277</v>
      </c>
      <c r="AC49" s="31">
        <f>(INDEX(Option3!AC$106:AC$117, MATCH($D49, Option3!$G$106:$G$117,0)))*conv_2026*AC$7</f>
        <v>-10089933.698597277</v>
      </c>
      <c r="AD49" s="31">
        <f>(INDEX(Option3!AD$106:AD$117, MATCH($D49, Option3!$G$106:$G$117,0)))*conv_2026*AD$7</f>
        <v>-10089933.698597277</v>
      </c>
      <c r="AE49" s="31">
        <f>(INDEX(Option3!AE$106:AE$117, MATCH($D49, Option3!$G$106:$G$117,0)))*conv_2026*AE$7</f>
        <v>-10089933.698597277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7" t="s">
        <v>132</v>
      </c>
      <c r="B50" s="257" t="str">
        <f>Option3!A116</f>
        <v>sens</v>
      </c>
      <c r="C50" s="257">
        <f>Option3!C116</f>
        <v>0</v>
      </c>
      <c r="D50" s="257" t="str">
        <f t="shared" si="5"/>
        <v>Option 3sens</v>
      </c>
      <c r="E50" s="258"/>
      <c r="F50" s="31">
        <f t="shared" si="4"/>
        <v>-115969148.89986192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1347366.8655156156</v>
      </c>
      <c r="M50" s="31">
        <f>(INDEX(Option3!M$106:M$117, MATCH($D50, Option3!$G$106:$G$117,0)))*conv_2026*M$7</f>
        <v>-3697599.983783023</v>
      </c>
      <c r="N50" s="31">
        <f>(INDEX(Option3!N$106:N$117, MATCH($D50, Option3!$G$106:$G$117,0)))*conv_2026*N$7</f>
        <v>-10089933.698597277</v>
      </c>
      <c r="O50" s="31">
        <f>(INDEX(Option3!O$106:O$117, MATCH($D50, Option3!$G$106:$G$117,0)))*conv_2026*O$7</f>
        <v>-10089933.698597277</v>
      </c>
      <c r="P50" s="31">
        <f>(INDEX(Option3!P$106:P$117, MATCH($D50, Option3!$G$106:$G$117,0)))*conv_2026*P$7</f>
        <v>-10089933.698597277</v>
      </c>
      <c r="Q50" s="31">
        <f>(INDEX(Option3!Q$106:Q$117, MATCH($D50, Option3!$G$106:$G$117,0)))*conv_2026*Q$7</f>
        <v>-10089933.698597277</v>
      </c>
      <c r="R50" s="31">
        <f>(INDEX(Option3!R$106:R$117, MATCH($D50, Option3!$G$106:$G$117,0)))*conv_2026*R$7</f>
        <v>-10089933.698597277</v>
      </c>
      <c r="S50" s="31">
        <f>(INDEX(Option3!S$106:S$117, MATCH($D50, Option3!$G$106:$G$117,0)))*conv_2026*S$7</f>
        <v>-10089933.698597277</v>
      </c>
      <c r="T50" s="31">
        <f>(INDEX(Option3!T$106:T$117, MATCH($D50, Option3!$G$106:$G$117,0)))*conv_2026*T$7</f>
        <v>-10089933.698597277</v>
      </c>
      <c r="U50" s="31">
        <f>(INDEX(Option3!U$106:U$117, MATCH($D50, Option3!$G$106:$G$117,0)))*conv_2026*U$7</f>
        <v>-10089933.698597277</v>
      </c>
      <c r="V50" s="31">
        <f>(INDEX(Option3!V$106:V$117, MATCH($D50, Option3!$G$106:$G$117,0)))*conv_2026*V$7</f>
        <v>-10089933.698597277</v>
      </c>
      <c r="W50" s="31">
        <f>(INDEX(Option3!W$106:W$117, MATCH($D50, Option3!$G$106:$G$117,0)))*conv_2026*W$7</f>
        <v>-10089933.698597277</v>
      </c>
      <c r="X50" s="31">
        <f>(INDEX(Option3!X$106:X$117, MATCH($D50, Option3!$G$106:$G$117,0)))*conv_2026*X$7</f>
        <v>-10089933.698597277</v>
      </c>
      <c r="Y50" s="31">
        <f>(INDEX(Option3!Y$106:Y$117, MATCH($D50, Option3!$G$106:$G$117,0)))*conv_2026*Y$7</f>
        <v>-10089933.698597277</v>
      </c>
      <c r="Z50" s="31">
        <f>(INDEX(Option3!Z$106:Z$117, MATCH($D50, Option3!$G$106:$G$117,0)))*conv_2026*Z$7</f>
        <v>-10089933.698597277</v>
      </c>
      <c r="AA50" s="31">
        <f>(INDEX(Option3!AA$106:AA$117, MATCH($D50, Option3!$G$106:$G$117,0)))*conv_2026*AA$7</f>
        <v>-10089933.698597277</v>
      </c>
      <c r="AB50" s="31">
        <f>(INDEX(Option3!AB$106:AB$117, MATCH($D50, Option3!$G$106:$G$117,0)))*conv_2026*AB$7</f>
        <v>-10089933.698597277</v>
      </c>
      <c r="AC50" s="31">
        <f>(INDEX(Option3!AC$106:AC$117, MATCH($D50, Option3!$G$106:$G$117,0)))*conv_2026*AC$7</f>
        <v>-10089933.698597277</v>
      </c>
      <c r="AD50" s="31">
        <f>(INDEX(Option3!AD$106:AD$117, MATCH($D50, Option3!$G$106:$G$117,0)))*conv_2026*AD$7</f>
        <v>-10089933.698597277</v>
      </c>
      <c r="AE50" s="31">
        <f>(INDEX(Option3!AE$106:AE$117, MATCH($D50, Option3!$G$106:$G$117,0)))*conv_2026*AE$7</f>
        <v>-10089933.698597277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7" t="s">
        <v>132</v>
      </c>
      <c r="B51" s="257" t="str">
        <f>Option3!A117</f>
        <v>sens</v>
      </c>
      <c r="C51" s="257">
        <f>Option3!C117</f>
        <v>0</v>
      </c>
      <c r="D51" s="257" t="str">
        <f t="shared" si="5"/>
        <v>Option 3sens</v>
      </c>
      <c r="E51" s="258"/>
      <c r="F51" s="31">
        <f t="shared" si="4"/>
        <v>-115969148.89986192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1347366.8655156156</v>
      </c>
      <c r="M51" s="31">
        <f>(INDEX(Option3!M$106:M$117, MATCH($D51, Option3!$G$106:$G$117,0)))*conv_2026*M$7</f>
        <v>-3697599.983783023</v>
      </c>
      <c r="N51" s="31">
        <f>(INDEX(Option3!N$106:N$117, MATCH($D51, Option3!$G$106:$G$117,0)))*conv_2026*N$7</f>
        <v>-10089933.698597277</v>
      </c>
      <c r="O51" s="31">
        <f>(INDEX(Option3!O$106:O$117, MATCH($D51, Option3!$G$106:$G$117,0)))*conv_2026*O$7</f>
        <v>-10089933.698597277</v>
      </c>
      <c r="P51" s="31">
        <f>(INDEX(Option3!P$106:P$117, MATCH($D51, Option3!$G$106:$G$117,0)))*conv_2026*P$7</f>
        <v>-10089933.698597277</v>
      </c>
      <c r="Q51" s="31">
        <f>(INDEX(Option3!Q$106:Q$117, MATCH($D51, Option3!$G$106:$G$117,0)))*conv_2026*Q$7</f>
        <v>-10089933.698597277</v>
      </c>
      <c r="R51" s="31">
        <f>(INDEX(Option3!R$106:R$117, MATCH($D51, Option3!$G$106:$G$117,0)))*conv_2026*R$7</f>
        <v>-10089933.698597277</v>
      </c>
      <c r="S51" s="31">
        <f>(INDEX(Option3!S$106:S$117, MATCH($D51, Option3!$G$106:$G$117,0)))*conv_2026*S$7</f>
        <v>-10089933.698597277</v>
      </c>
      <c r="T51" s="31">
        <f>(INDEX(Option3!T$106:T$117, MATCH($D51, Option3!$G$106:$G$117,0)))*conv_2026*T$7</f>
        <v>-10089933.698597277</v>
      </c>
      <c r="U51" s="31">
        <f>(INDEX(Option3!U$106:U$117, MATCH($D51, Option3!$G$106:$G$117,0)))*conv_2026*U$7</f>
        <v>-10089933.698597277</v>
      </c>
      <c r="V51" s="31">
        <f>(INDEX(Option3!V$106:V$117, MATCH($D51, Option3!$G$106:$G$117,0)))*conv_2026*V$7</f>
        <v>-10089933.698597277</v>
      </c>
      <c r="W51" s="31">
        <f>(INDEX(Option3!W$106:W$117, MATCH($D51, Option3!$G$106:$G$117,0)))*conv_2026*W$7</f>
        <v>-10089933.698597277</v>
      </c>
      <c r="X51" s="31">
        <f>(INDEX(Option3!X$106:X$117, MATCH($D51, Option3!$G$106:$G$117,0)))*conv_2026*X$7</f>
        <v>-10089933.698597277</v>
      </c>
      <c r="Y51" s="31">
        <f>(INDEX(Option3!Y$106:Y$117, MATCH($D51, Option3!$G$106:$G$117,0)))*conv_2026*Y$7</f>
        <v>-10089933.698597277</v>
      </c>
      <c r="Z51" s="31">
        <f>(INDEX(Option3!Z$106:Z$117, MATCH($D51, Option3!$G$106:$G$117,0)))*conv_2026*Z$7</f>
        <v>-10089933.698597277</v>
      </c>
      <c r="AA51" s="31">
        <f>(INDEX(Option3!AA$106:AA$117, MATCH($D51, Option3!$G$106:$G$117,0)))*conv_2026*AA$7</f>
        <v>-10089933.698597277</v>
      </c>
      <c r="AB51" s="31">
        <f>(INDEX(Option3!AB$106:AB$117, MATCH($D51, Option3!$G$106:$G$117,0)))*conv_2026*AB$7</f>
        <v>-10089933.698597277</v>
      </c>
      <c r="AC51" s="31">
        <f>(INDEX(Option3!AC$106:AC$117, MATCH($D51, Option3!$G$106:$G$117,0)))*conv_2026*AC$7</f>
        <v>-10089933.698597277</v>
      </c>
      <c r="AD51" s="31">
        <f>(INDEX(Option3!AD$106:AD$117, MATCH($D51, Option3!$G$106:$G$117,0)))*conv_2026*AD$7</f>
        <v>-10089933.698597277</v>
      </c>
      <c r="AE51" s="31">
        <f>(INDEX(Option3!AE$106:AE$117, MATCH($D51, Option3!$G$106:$G$117,0)))*conv_2026*AE$7</f>
        <v>-10089933.698597277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7"/>
      <c r="B52" s="257"/>
      <c r="C52" s="257"/>
      <c r="D52" s="257"/>
      <c r="E52" s="257"/>
      <c r="F52" s="31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</row>
    <row r="53" spans="1:35" s="8" customFormat="1" x14ac:dyDescent="0.2">
      <c r="A53" s="257"/>
      <c r="B53" s="257"/>
      <c r="C53" s="257"/>
      <c r="D53" s="257"/>
      <c r="E53" s="257"/>
      <c r="F53" s="31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</row>
    <row r="54" spans="1:35" s="8" customFormat="1" x14ac:dyDescent="0.2">
      <c r="A54" s="257"/>
      <c r="B54" s="257"/>
      <c r="C54" s="257"/>
      <c r="D54" s="257"/>
      <c r="E54" s="257"/>
      <c r="F54" s="31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</row>
    <row r="55" spans="1:35" s="8" customFormat="1" x14ac:dyDescent="0.2">
      <c r="A55" s="257"/>
      <c r="B55" s="257"/>
      <c r="C55" s="257"/>
      <c r="D55" s="257"/>
      <c r="E55" s="257"/>
      <c r="F55" s="31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</row>
    <row r="56" spans="1:35" s="8" customFormat="1" x14ac:dyDescent="0.2">
      <c r="A56" s="257" t="s">
        <v>133</v>
      </c>
      <c r="B56" s="257" t="s">
        <v>119</v>
      </c>
      <c r="C56" s="257" t="s">
        <v>189</v>
      </c>
      <c r="D56" s="257" t="str">
        <f>A56&amp;B56</f>
        <v>Option 4NPV</v>
      </c>
      <c r="E56" s="258"/>
      <c r="F56" s="31">
        <f t="shared" ref="F56:F65" si="6">SUMPRODUCT($H56:$AG56, $H$5:$AG$5)</f>
        <v>1896633.9859691437</v>
      </c>
      <c r="G56" s="250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-607775.27164244198</v>
      </c>
      <c r="N56" s="31">
        <f>(INDEX(Option4!N$106:N$117, MATCH($D56, Option4!$G$106:$G$117,0)))*conv_2026*N$7</f>
        <v>213952.57588039077</v>
      </c>
      <c r="O56" s="31">
        <f>(INDEX(Option4!O$106:O$117, MATCH($D56, Option4!$G$106:$G$117,0)))*conv_2026*O$7</f>
        <v>213952.57588039077</v>
      </c>
      <c r="P56" s="31">
        <f>(INDEX(Option4!P$106:P$117, MATCH($D56, Option4!$G$106:$G$117,0)))*conv_2026*P$7</f>
        <v>213952.57588039077</v>
      </c>
      <c r="Q56" s="31">
        <f>(INDEX(Option4!Q$106:Q$117, MATCH($D56, Option4!$G$106:$G$117,0)))*conv_2026*Q$7</f>
        <v>213952.57588039077</v>
      </c>
      <c r="R56" s="31">
        <f>(INDEX(Option4!R$106:R$117, MATCH($D56, Option4!$G$106:$G$117,0)))*conv_2026*R$7</f>
        <v>213952.57588039077</v>
      </c>
      <c r="S56" s="31">
        <f>(INDEX(Option4!S$106:S$117, MATCH($D56, Option4!$G$106:$G$117,0)))*conv_2026*S$7</f>
        <v>213952.57588039077</v>
      </c>
      <c r="T56" s="31">
        <f>(INDEX(Option4!T$106:T$117, MATCH($D56, Option4!$G$106:$G$117,0)))*conv_2026*T$7</f>
        <v>213952.57588039077</v>
      </c>
      <c r="U56" s="31">
        <f>(INDEX(Option4!U$106:U$117, MATCH($D56, Option4!$G$106:$G$117,0)))*conv_2026*U$7</f>
        <v>213952.57588039077</v>
      </c>
      <c r="V56" s="31">
        <f>(INDEX(Option4!V$106:V$117, MATCH($D56, Option4!$G$106:$G$117,0)))*conv_2026*V$7</f>
        <v>213952.57588039077</v>
      </c>
      <c r="W56" s="31">
        <f>(INDEX(Option4!W$106:W$117, MATCH($D56, Option4!$G$106:$G$117,0)))*conv_2026*W$7</f>
        <v>213952.57588039077</v>
      </c>
      <c r="X56" s="31">
        <f>(INDEX(Option4!X$106:X$117, MATCH($D56, Option4!$G$106:$G$117,0)))*conv_2026*X$7</f>
        <v>213952.57588039077</v>
      </c>
      <c r="Y56" s="31">
        <f>(INDEX(Option4!Y$106:Y$117, MATCH($D56, Option4!$G$106:$G$117,0)))*conv_2026*Y$7</f>
        <v>213952.57588039077</v>
      </c>
      <c r="Z56" s="31">
        <f>(INDEX(Option4!Z$106:Z$117, MATCH($D56, Option4!$G$106:$G$117,0)))*conv_2026*Z$7</f>
        <v>213952.57588039077</v>
      </c>
      <c r="AA56" s="31">
        <f>(INDEX(Option4!AA$106:AA$117, MATCH($D56, Option4!$G$106:$G$117,0)))*conv_2026*AA$7</f>
        <v>213952.57588039077</v>
      </c>
      <c r="AB56" s="31">
        <f>(INDEX(Option4!AB$106:AB$117, MATCH($D56, Option4!$G$106:$G$117,0)))*conv_2026*AB$7</f>
        <v>213952.57588039077</v>
      </c>
      <c r="AC56" s="31">
        <f>(INDEX(Option4!AC$106:AC$117, MATCH($D56, Option4!$G$106:$G$117,0)))*conv_2026*AC$7</f>
        <v>213952.57588039077</v>
      </c>
      <c r="AD56" s="31">
        <f>(INDEX(Option4!AD$106:AD$117, MATCH($D56, Option4!$G$106:$G$117,0)))*conv_2026*AD$7</f>
        <v>213952.57588039077</v>
      </c>
      <c r="AE56" s="31">
        <f>(INDEX(Option4!AE$106:AE$117, MATCH($D56, Option4!$G$106:$G$117,0)))*conv_2026*AE$7</f>
        <v>213952.57588039077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9"/>
      <c r="B57" s="249"/>
      <c r="C57" s="249"/>
      <c r="D57" s="249"/>
      <c r="E57" s="249"/>
      <c r="F57" s="249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7"/>
      <c r="AI57" s="7"/>
    </row>
    <row r="58" spans="1:35" s="8" customFormat="1" x14ac:dyDescent="0.2">
      <c r="A58" s="257" t="s">
        <v>133</v>
      </c>
      <c r="B58" s="257" t="str">
        <f>Option4!A110</f>
        <v>sens1</v>
      </c>
      <c r="C58" s="257" t="str">
        <f>Option4!C110</f>
        <v>Capex 10% higher</v>
      </c>
      <c r="D58" s="257" t="str">
        <f t="shared" ref="D58:D65" si="7">A58&amp;B58</f>
        <v>Option 4sens1</v>
      </c>
      <c r="E58" s="258"/>
      <c r="F58" s="31">
        <f t="shared" si="6"/>
        <v>471240.40400991571</v>
      </c>
      <c r="G58" s="250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-668552.79880668619</v>
      </c>
      <c r="N58" s="31">
        <f>(INDEX(Option4!N$106:N$117, MATCH($D58, Option4!$G$106:$G$117,0)))*conv_2026*N$7</f>
        <v>92397.521551902348</v>
      </c>
      <c r="O58" s="31">
        <f>(INDEX(Option4!O$106:O$117, MATCH($D58, Option4!$G$106:$G$117,0)))*conv_2026*O$7</f>
        <v>92397.521551902348</v>
      </c>
      <c r="P58" s="31">
        <f>(INDEX(Option4!P$106:P$117, MATCH($D58, Option4!$G$106:$G$117,0)))*conv_2026*P$7</f>
        <v>92397.521551902348</v>
      </c>
      <c r="Q58" s="31">
        <f>(INDEX(Option4!Q$106:Q$117, MATCH($D58, Option4!$G$106:$G$117,0)))*conv_2026*Q$7</f>
        <v>92397.521551902348</v>
      </c>
      <c r="R58" s="31">
        <f>(INDEX(Option4!R$106:R$117, MATCH($D58, Option4!$G$106:$G$117,0)))*conv_2026*R$7</f>
        <v>92397.521551902348</v>
      </c>
      <c r="S58" s="31">
        <f>(INDEX(Option4!S$106:S$117, MATCH($D58, Option4!$G$106:$G$117,0)))*conv_2026*S$7</f>
        <v>92397.521551902348</v>
      </c>
      <c r="T58" s="31">
        <f>(INDEX(Option4!T$106:T$117, MATCH($D58, Option4!$G$106:$G$117,0)))*conv_2026*T$7</f>
        <v>92397.521551902348</v>
      </c>
      <c r="U58" s="31">
        <f>(INDEX(Option4!U$106:U$117, MATCH($D58, Option4!$G$106:$G$117,0)))*conv_2026*U$7</f>
        <v>92397.521551902348</v>
      </c>
      <c r="V58" s="31">
        <f>(INDEX(Option4!V$106:V$117, MATCH($D58, Option4!$G$106:$G$117,0)))*conv_2026*V$7</f>
        <v>92397.521551902348</v>
      </c>
      <c r="W58" s="31">
        <f>(INDEX(Option4!W$106:W$117, MATCH($D58, Option4!$G$106:$G$117,0)))*conv_2026*W$7</f>
        <v>92397.521551902348</v>
      </c>
      <c r="X58" s="31">
        <f>(INDEX(Option4!X$106:X$117, MATCH($D58, Option4!$G$106:$G$117,0)))*conv_2026*X$7</f>
        <v>92397.521551902348</v>
      </c>
      <c r="Y58" s="31">
        <f>(INDEX(Option4!Y$106:Y$117, MATCH($D58, Option4!$G$106:$G$117,0)))*conv_2026*Y$7</f>
        <v>92397.521551902348</v>
      </c>
      <c r="Z58" s="31">
        <f>(INDEX(Option4!Z$106:Z$117, MATCH($D58, Option4!$G$106:$G$117,0)))*conv_2026*Z$7</f>
        <v>92397.521551902348</v>
      </c>
      <c r="AA58" s="31">
        <f>(INDEX(Option4!AA$106:AA$117, MATCH($D58, Option4!$G$106:$G$117,0)))*conv_2026*AA$7</f>
        <v>92397.521551902348</v>
      </c>
      <c r="AB58" s="31">
        <f>(INDEX(Option4!AB$106:AB$117, MATCH($D58, Option4!$G$106:$G$117,0)))*conv_2026*AB$7</f>
        <v>92397.521551902348</v>
      </c>
      <c r="AC58" s="31">
        <f>(INDEX(Option4!AC$106:AC$117, MATCH($D58, Option4!$G$106:$G$117,0)))*conv_2026*AC$7</f>
        <v>92397.521551902348</v>
      </c>
      <c r="AD58" s="31">
        <f>(INDEX(Option4!AD$106:AD$117, MATCH($D58, Option4!$G$106:$G$117,0)))*conv_2026*AD$7</f>
        <v>92397.521551902348</v>
      </c>
      <c r="AE58" s="31">
        <f>(INDEX(Option4!AE$106:AE$117, MATCH($D58, Option4!$G$106:$G$117,0)))*conv_2026*AE$7</f>
        <v>92397.521551902348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7" t="s">
        <v>133</v>
      </c>
      <c r="B59" s="257" t="str">
        <f>Option4!A111</f>
        <v>sens2</v>
      </c>
      <c r="C59" s="257" t="str">
        <f>Option4!C111</f>
        <v>Capex 10% lower</v>
      </c>
      <c r="D59" s="257" t="str">
        <f t="shared" si="7"/>
        <v>Option 4sens2</v>
      </c>
      <c r="E59" s="258"/>
      <c r="F59" s="31">
        <f t="shared" si="6"/>
        <v>3322027.567928372</v>
      </c>
      <c r="G59" s="257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-546997.74447819777</v>
      </c>
      <c r="N59" s="31">
        <f>(INDEX(Option4!N$106:N$117, MATCH($D59, Option4!$G$106:$G$117,0)))*conv_2026*N$7</f>
        <v>335507.63020887913</v>
      </c>
      <c r="O59" s="31">
        <f>(INDEX(Option4!O$106:O$117, MATCH($D59, Option4!$G$106:$G$117,0)))*conv_2026*O$7</f>
        <v>335507.63020887913</v>
      </c>
      <c r="P59" s="31">
        <f>(INDEX(Option4!P$106:P$117, MATCH($D59, Option4!$G$106:$G$117,0)))*conv_2026*P$7</f>
        <v>335507.63020887913</v>
      </c>
      <c r="Q59" s="31">
        <f>(INDEX(Option4!Q$106:Q$117, MATCH($D59, Option4!$G$106:$G$117,0)))*conv_2026*Q$7</f>
        <v>335507.63020887913</v>
      </c>
      <c r="R59" s="31">
        <f>(INDEX(Option4!R$106:R$117, MATCH($D59, Option4!$G$106:$G$117,0)))*conv_2026*R$7</f>
        <v>335507.63020887913</v>
      </c>
      <c r="S59" s="31">
        <f>(INDEX(Option4!S$106:S$117, MATCH($D59, Option4!$G$106:$G$117,0)))*conv_2026*S$7</f>
        <v>335507.63020887913</v>
      </c>
      <c r="T59" s="31">
        <f>(INDEX(Option4!T$106:T$117, MATCH($D59, Option4!$G$106:$G$117,0)))*conv_2026*T$7</f>
        <v>335507.63020887913</v>
      </c>
      <c r="U59" s="31">
        <f>(INDEX(Option4!U$106:U$117, MATCH($D59, Option4!$G$106:$G$117,0)))*conv_2026*U$7</f>
        <v>335507.63020887913</v>
      </c>
      <c r="V59" s="31">
        <f>(INDEX(Option4!V$106:V$117, MATCH($D59, Option4!$G$106:$G$117,0)))*conv_2026*V$7</f>
        <v>335507.63020887913</v>
      </c>
      <c r="W59" s="31">
        <f>(INDEX(Option4!W$106:W$117, MATCH($D59, Option4!$G$106:$G$117,0)))*conv_2026*W$7</f>
        <v>335507.63020887913</v>
      </c>
      <c r="X59" s="31">
        <f>(INDEX(Option4!X$106:X$117, MATCH($D59, Option4!$G$106:$G$117,0)))*conv_2026*X$7</f>
        <v>335507.63020887913</v>
      </c>
      <c r="Y59" s="31">
        <f>(INDEX(Option4!Y$106:Y$117, MATCH($D59, Option4!$G$106:$G$117,0)))*conv_2026*Y$7</f>
        <v>335507.63020887913</v>
      </c>
      <c r="Z59" s="31">
        <f>(INDEX(Option4!Z$106:Z$117, MATCH($D59, Option4!$G$106:$G$117,0)))*conv_2026*Z$7</f>
        <v>335507.63020887913</v>
      </c>
      <c r="AA59" s="31">
        <f>(INDEX(Option4!AA$106:AA$117, MATCH($D59, Option4!$G$106:$G$117,0)))*conv_2026*AA$7</f>
        <v>335507.63020887913</v>
      </c>
      <c r="AB59" s="31">
        <f>(INDEX(Option4!AB$106:AB$117, MATCH($D59, Option4!$G$106:$G$117,0)))*conv_2026*AB$7</f>
        <v>335507.63020887913</v>
      </c>
      <c r="AC59" s="31">
        <f>(INDEX(Option4!AC$106:AC$117, MATCH($D59, Option4!$G$106:$G$117,0)))*conv_2026*AC$7</f>
        <v>335507.63020887913</v>
      </c>
      <c r="AD59" s="31">
        <f>(INDEX(Option4!AD$106:AD$117, MATCH($D59, Option4!$G$106:$G$117,0)))*conv_2026*AD$7</f>
        <v>335507.63020887913</v>
      </c>
      <c r="AE59" s="31">
        <f>(INDEX(Option4!AE$106:AE$117, MATCH($D59, Option4!$G$106:$G$117,0)))*conv_2026*AE$7</f>
        <v>335507.63020887913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7" t="s">
        <v>133</v>
      </c>
      <c r="B60" s="257" t="str">
        <f>Option4!A112</f>
        <v>sens3</v>
      </c>
      <c r="C60" s="257" t="str">
        <f>Option4!C112</f>
        <v>Total benefits 10% higher</v>
      </c>
      <c r="D60" s="257" t="str">
        <f t="shared" si="7"/>
        <v>Option 4sens3</v>
      </c>
      <c r="E60" s="258"/>
      <c r="F60" s="31">
        <f t="shared" si="6"/>
        <v>3511690.9665252869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-607775.27164244198</v>
      </c>
      <c r="N60" s="31">
        <f>(INDEX(Option4!N$106:N$117, MATCH($D60, Option4!$G$106:$G$117,0)))*conv_2026*N$7</f>
        <v>356902.88779691828</v>
      </c>
      <c r="O60" s="31">
        <f>(INDEX(Option4!O$106:O$117, MATCH($D60, Option4!$G$106:$G$117,0)))*conv_2026*O$7</f>
        <v>356902.88779691828</v>
      </c>
      <c r="P60" s="31">
        <f>(INDEX(Option4!P$106:P$117, MATCH($D60, Option4!$G$106:$G$117,0)))*conv_2026*P$7</f>
        <v>356902.88779691828</v>
      </c>
      <c r="Q60" s="31">
        <f>(INDEX(Option4!Q$106:Q$117, MATCH($D60, Option4!$G$106:$G$117,0)))*conv_2026*Q$7</f>
        <v>356902.88779691828</v>
      </c>
      <c r="R60" s="31">
        <f>(INDEX(Option4!R$106:R$117, MATCH($D60, Option4!$G$106:$G$117,0)))*conv_2026*R$7</f>
        <v>356902.88779691828</v>
      </c>
      <c r="S60" s="31">
        <f>(INDEX(Option4!S$106:S$117, MATCH($D60, Option4!$G$106:$G$117,0)))*conv_2026*S$7</f>
        <v>356902.88779691828</v>
      </c>
      <c r="T60" s="31">
        <f>(INDEX(Option4!T$106:T$117, MATCH($D60, Option4!$G$106:$G$117,0)))*conv_2026*T$7</f>
        <v>356902.88779691828</v>
      </c>
      <c r="U60" s="31">
        <f>(INDEX(Option4!U$106:U$117, MATCH($D60, Option4!$G$106:$G$117,0)))*conv_2026*U$7</f>
        <v>356902.88779691828</v>
      </c>
      <c r="V60" s="31">
        <f>(INDEX(Option4!V$106:V$117, MATCH($D60, Option4!$G$106:$G$117,0)))*conv_2026*V$7</f>
        <v>356902.88779691828</v>
      </c>
      <c r="W60" s="31">
        <f>(INDEX(Option4!W$106:W$117, MATCH($D60, Option4!$G$106:$G$117,0)))*conv_2026*W$7</f>
        <v>356902.88779691828</v>
      </c>
      <c r="X60" s="31">
        <f>(INDEX(Option4!X$106:X$117, MATCH($D60, Option4!$G$106:$G$117,0)))*conv_2026*X$7</f>
        <v>356902.88779691828</v>
      </c>
      <c r="Y60" s="31">
        <f>(INDEX(Option4!Y$106:Y$117, MATCH($D60, Option4!$G$106:$G$117,0)))*conv_2026*Y$7</f>
        <v>356902.88779691828</v>
      </c>
      <c r="Z60" s="31">
        <f>(INDEX(Option4!Z$106:Z$117, MATCH($D60, Option4!$G$106:$G$117,0)))*conv_2026*Z$7</f>
        <v>356902.88779691828</v>
      </c>
      <c r="AA60" s="31">
        <f>(INDEX(Option4!AA$106:AA$117, MATCH($D60, Option4!$G$106:$G$117,0)))*conv_2026*AA$7</f>
        <v>356902.88779691828</v>
      </c>
      <c r="AB60" s="31">
        <f>(INDEX(Option4!AB$106:AB$117, MATCH($D60, Option4!$G$106:$G$117,0)))*conv_2026*AB$7</f>
        <v>356902.88779691828</v>
      </c>
      <c r="AC60" s="31">
        <f>(INDEX(Option4!AC$106:AC$117, MATCH($D60, Option4!$G$106:$G$117,0)))*conv_2026*AC$7</f>
        <v>356902.88779691828</v>
      </c>
      <c r="AD60" s="31">
        <f>(INDEX(Option4!AD$106:AD$117, MATCH($D60, Option4!$G$106:$G$117,0)))*conv_2026*AD$7</f>
        <v>356902.88779691828</v>
      </c>
      <c r="AE60" s="31">
        <f>(INDEX(Option4!AE$106:AE$117, MATCH($D60, Option4!$G$106:$G$117,0)))*conv_2026*AE$7</f>
        <v>356902.88779691828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7" t="s">
        <v>133</v>
      </c>
      <c r="B61" s="257" t="str">
        <f>Option4!A113</f>
        <v>sens4</v>
      </c>
      <c r="C61" s="257" t="str">
        <f>Option4!C113</f>
        <v>Total benefits 10% lower</v>
      </c>
      <c r="D61" s="257" t="str">
        <f t="shared" si="7"/>
        <v>Option 4sens4</v>
      </c>
      <c r="E61" s="258"/>
      <c r="F61" s="31">
        <f t="shared" si="6"/>
        <v>281577.00541300123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-607775.27164244198</v>
      </c>
      <c r="N61" s="31">
        <f>(INDEX(Option4!N$106:N$117, MATCH($D61, Option4!$G$106:$G$117,0)))*conv_2026*N$7</f>
        <v>71002.263963863268</v>
      </c>
      <c r="O61" s="31">
        <f>(INDEX(Option4!O$106:O$117, MATCH($D61, Option4!$G$106:$G$117,0)))*conv_2026*O$7</f>
        <v>71002.263963863268</v>
      </c>
      <c r="P61" s="31">
        <f>(INDEX(Option4!P$106:P$117, MATCH($D61, Option4!$G$106:$G$117,0)))*conv_2026*P$7</f>
        <v>71002.263963863268</v>
      </c>
      <c r="Q61" s="31">
        <f>(INDEX(Option4!Q$106:Q$117, MATCH($D61, Option4!$G$106:$G$117,0)))*conv_2026*Q$7</f>
        <v>71002.263963863268</v>
      </c>
      <c r="R61" s="31">
        <f>(INDEX(Option4!R$106:R$117, MATCH($D61, Option4!$G$106:$G$117,0)))*conv_2026*R$7</f>
        <v>71002.263963863268</v>
      </c>
      <c r="S61" s="31">
        <f>(INDEX(Option4!S$106:S$117, MATCH($D61, Option4!$G$106:$G$117,0)))*conv_2026*S$7</f>
        <v>71002.263963863268</v>
      </c>
      <c r="T61" s="31">
        <f>(INDEX(Option4!T$106:T$117, MATCH($D61, Option4!$G$106:$G$117,0)))*conv_2026*T$7</f>
        <v>71002.263963863268</v>
      </c>
      <c r="U61" s="31">
        <f>(INDEX(Option4!U$106:U$117, MATCH($D61, Option4!$G$106:$G$117,0)))*conv_2026*U$7</f>
        <v>71002.263963863268</v>
      </c>
      <c r="V61" s="31">
        <f>(INDEX(Option4!V$106:V$117, MATCH($D61, Option4!$G$106:$G$117,0)))*conv_2026*V$7</f>
        <v>71002.263963863268</v>
      </c>
      <c r="W61" s="31">
        <f>(INDEX(Option4!W$106:W$117, MATCH($D61, Option4!$G$106:$G$117,0)))*conv_2026*W$7</f>
        <v>71002.263963863268</v>
      </c>
      <c r="X61" s="31">
        <f>(INDEX(Option4!X$106:X$117, MATCH($D61, Option4!$G$106:$G$117,0)))*conv_2026*X$7</f>
        <v>71002.263963863268</v>
      </c>
      <c r="Y61" s="31">
        <f>(INDEX(Option4!Y$106:Y$117, MATCH($D61, Option4!$G$106:$G$117,0)))*conv_2026*Y$7</f>
        <v>71002.263963863268</v>
      </c>
      <c r="Z61" s="31">
        <f>(INDEX(Option4!Z$106:Z$117, MATCH($D61, Option4!$G$106:$G$117,0)))*conv_2026*Z$7</f>
        <v>71002.263963863268</v>
      </c>
      <c r="AA61" s="31">
        <f>(INDEX(Option4!AA$106:AA$117, MATCH($D61, Option4!$G$106:$G$117,0)))*conv_2026*AA$7</f>
        <v>71002.263963863268</v>
      </c>
      <c r="AB61" s="31">
        <f>(INDEX(Option4!AB$106:AB$117, MATCH($D61, Option4!$G$106:$G$117,0)))*conv_2026*AB$7</f>
        <v>71002.263963863268</v>
      </c>
      <c r="AC61" s="31">
        <f>(INDEX(Option4!AC$106:AC$117, MATCH($D61, Option4!$G$106:$G$117,0)))*conv_2026*AC$7</f>
        <v>71002.263963863268</v>
      </c>
      <c r="AD61" s="31">
        <f>(INDEX(Option4!AD$106:AD$117, MATCH($D61, Option4!$G$106:$G$117,0)))*conv_2026*AD$7</f>
        <v>71002.263963863268</v>
      </c>
      <c r="AE61" s="31">
        <f>(INDEX(Option4!AE$106:AE$117, MATCH($D61, Option4!$G$106:$G$117,0)))*conv_2026*AE$7</f>
        <v>71002.263963863268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7" t="s">
        <v>133</v>
      </c>
      <c r="B62" s="257" t="str">
        <f>Option4!A114</f>
        <v>sens5</v>
      </c>
      <c r="C62" s="257" t="str">
        <f>Option4!C114</f>
        <v>Capex 10% higher &amp; Total benefits 10% lower</v>
      </c>
      <c r="D62" s="257" t="str">
        <f t="shared" si="7"/>
        <v>Option 4sens5</v>
      </c>
      <c r="E62" s="258"/>
      <c r="F62" s="31">
        <f t="shared" si="6"/>
        <v>-1143816.5765462269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-668552.79880668619</v>
      </c>
      <c r="N62" s="31">
        <f>(INDEX(Option4!N$106:N$117, MATCH($D62, Option4!$G$106:$G$117,0)))*conv_2026*N$7</f>
        <v>-50552.790364625122</v>
      </c>
      <c r="O62" s="31">
        <f>(INDEX(Option4!O$106:O$117, MATCH($D62, Option4!$G$106:$G$117,0)))*conv_2026*O$7</f>
        <v>-50552.790364625122</v>
      </c>
      <c r="P62" s="31">
        <f>(INDEX(Option4!P$106:P$117, MATCH($D62, Option4!$G$106:$G$117,0)))*conv_2026*P$7</f>
        <v>-50552.790364625122</v>
      </c>
      <c r="Q62" s="31">
        <f>(INDEX(Option4!Q$106:Q$117, MATCH($D62, Option4!$G$106:$G$117,0)))*conv_2026*Q$7</f>
        <v>-50552.790364625122</v>
      </c>
      <c r="R62" s="31">
        <f>(INDEX(Option4!R$106:R$117, MATCH($D62, Option4!$G$106:$G$117,0)))*conv_2026*R$7</f>
        <v>-50552.790364625122</v>
      </c>
      <c r="S62" s="31">
        <f>(INDEX(Option4!S$106:S$117, MATCH($D62, Option4!$G$106:$G$117,0)))*conv_2026*S$7</f>
        <v>-50552.790364625122</v>
      </c>
      <c r="T62" s="31">
        <f>(INDEX(Option4!T$106:T$117, MATCH($D62, Option4!$G$106:$G$117,0)))*conv_2026*T$7</f>
        <v>-50552.790364625122</v>
      </c>
      <c r="U62" s="31">
        <f>(INDEX(Option4!U$106:U$117, MATCH($D62, Option4!$G$106:$G$117,0)))*conv_2026*U$7</f>
        <v>-50552.790364625122</v>
      </c>
      <c r="V62" s="31">
        <f>(INDEX(Option4!V$106:V$117, MATCH($D62, Option4!$G$106:$G$117,0)))*conv_2026*V$7</f>
        <v>-50552.790364625122</v>
      </c>
      <c r="W62" s="31">
        <f>(INDEX(Option4!W$106:W$117, MATCH($D62, Option4!$G$106:$G$117,0)))*conv_2026*W$7</f>
        <v>-50552.790364625122</v>
      </c>
      <c r="X62" s="31">
        <f>(INDEX(Option4!X$106:X$117, MATCH($D62, Option4!$G$106:$G$117,0)))*conv_2026*X$7</f>
        <v>-50552.790364625122</v>
      </c>
      <c r="Y62" s="31">
        <f>(INDEX(Option4!Y$106:Y$117, MATCH($D62, Option4!$G$106:$G$117,0)))*conv_2026*Y$7</f>
        <v>-50552.790364625122</v>
      </c>
      <c r="Z62" s="31">
        <f>(INDEX(Option4!Z$106:Z$117, MATCH($D62, Option4!$G$106:$G$117,0)))*conv_2026*Z$7</f>
        <v>-50552.790364625122</v>
      </c>
      <c r="AA62" s="31">
        <f>(INDEX(Option4!AA$106:AA$117, MATCH($D62, Option4!$G$106:$G$117,0)))*conv_2026*AA$7</f>
        <v>-50552.790364625122</v>
      </c>
      <c r="AB62" s="31">
        <f>(INDEX(Option4!AB$106:AB$117, MATCH($D62, Option4!$G$106:$G$117,0)))*conv_2026*AB$7</f>
        <v>-50552.790364625122</v>
      </c>
      <c r="AC62" s="31">
        <f>(INDEX(Option4!AC$106:AC$117, MATCH($D62, Option4!$G$106:$G$117,0)))*conv_2026*AC$7</f>
        <v>-50552.790364625122</v>
      </c>
      <c r="AD62" s="31">
        <f>(INDEX(Option4!AD$106:AD$117, MATCH($D62, Option4!$G$106:$G$117,0)))*conv_2026*AD$7</f>
        <v>-50552.790364625122</v>
      </c>
      <c r="AE62" s="31">
        <f>(INDEX(Option4!AE$106:AE$117, MATCH($D62, Option4!$G$106:$G$117,0)))*conv_2026*AE$7</f>
        <v>-50552.790364625122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7" t="s">
        <v>133</v>
      </c>
      <c r="B63" s="257" t="str">
        <f>Option4!A115</f>
        <v>sens</v>
      </c>
      <c r="C63" s="257">
        <f>Option4!C115</f>
        <v>0</v>
      </c>
      <c r="D63" s="257" t="str">
        <f t="shared" si="7"/>
        <v>Option 4sens</v>
      </c>
      <c r="E63" s="258"/>
      <c r="F63" s="31">
        <f t="shared" si="6"/>
        <v>1896633.9859691437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-607775.27164244198</v>
      </c>
      <c r="N63" s="31">
        <f>(INDEX(Option4!N$106:N$117, MATCH($D63, Option4!$G$106:$G$117,0)))*conv_2026*N$7</f>
        <v>213952.57588039077</v>
      </c>
      <c r="O63" s="31">
        <f>(INDEX(Option4!O$106:O$117, MATCH($D63, Option4!$G$106:$G$117,0)))*conv_2026*O$7</f>
        <v>213952.57588039077</v>
      </c>
      <c r="P63" s="31">
        <f>(INDEX(Option4!P$106:P$117, MATCH($D63, Option4!$G$106:$G$117,0)))*conv_2026*P$7</f>
        <v>213952.57588039077</v>
      </c>
      <c r="Q63" s="31">
        <f>(INDEX(Option4!Q$106:Q$117, MATCH($D63, Option4!$G$106:$G$117,0)))*conv_2026*Q$7</f>
        <v>213952.57588039077</v>
      </c>
      <c r="R63" s="31">
        <f>(INDEX(Option4!R$106:R$117, MATCH($D63, Option4!$G$106:$G$117,0)))*conv_2026*R$7</f>
        <v>213952.57588039077</v>
      </c>
      <c r="S63" s="31">
        <f>(INDEX(Option4!S$106:S$117, MATCH($D63, Option4!$G$106:$G$117,0)))*conv_2026*S$7</f>
        <v>213952.57588039077</v>
      </c>
      <c r="T63" s="31">
        <f>(INDEX(Option4!T$106:T$117, MATCH($D63, Option4!$G$106:$G$117,0)))*conv_2026*T$7</f>
        <v>213952.57588039077</v>
      </c>
      <c r="U63" s="31">
        <f>(INDEX(Option4!U$106:U$117, MATCH($D63, Option4!$G$106:$G$117,0)))*conv_2026*U$7</f>
        <v>213952.57588039077</v>
      </c>
      <c r="V63" s="31">
        <f>(INDEX(Option4!V$106:V$117, MATCH($D63, Option4!$G$106:$G$117,0)))*conv_2026*V$7</f>
        <v>213952.57588039077</v>
      </c>
      <c r="W63" s="31">
        <f>(INDEX(Option4!W$106:W$117, MATCH($D63, Option4!$G$106:$G$117,0)))*conv_2026*W$7</f>
        <v>213952.57588039077</v>
      </c>
      <c r="X63" s="31">
        <f>(INDEX(Option4!X$106:X$117, MATCH($D63, Option4!$G$106:$G$117,0)))*conv_2026*X$7</f>
        <v>213952.57588039077</v>
      </c>
      <c r="Y63" s="31">
        <f>(INDEX(Option4!Y$106:Y$117, MATCH($D63, Option4!$G$106:$G$117,0)))*conv_2026*Y$7</f>
        <v>213952.57588039077</v>
      </c>
      <c r="Z63" s="31">
        <f>(INDEX(Option4!Z$106:Z$117, MATCH($D63, Option4!$G$106:$G$117,0)))*conv_2026*Z$7</f>
        <v>213952.57588039077</v>
      </c>
      <c r="AA63" s="31">
        <f>(INDEX(Option4!AA$106:AA$117, MATCH($D63, Option4!$G$106:$G$117,0)))*conv_2026*AA$7</f>
        <v>213952.57588039077</v>
      </c>
      <c r="AB63" s="31">
        <f>(INDEX(Option4!AB$106:AB$117, MATCH($D63, Option4!$G$106:$G$117,0)))*conv_2026*AB$7</f>
        <v>213952.57588039077</v>
      </c>
      <c r="AC63" s="31">
        <f>(INDEX(Option4!AC$106:AC$117, MATCH($D63, Option4!$G$106:$G$117,0)))*conv_2026*AC$7</f>
        <v>213952.57588039077</v>
      </c>
      <c r="AD63" s="31">
        <f>(INDEX(Option4!AD$106:AD$117, MATCH($D63, Option4!$G$106:$G$117,0)))*conv_2026*AD$7</f>
        <v>213952.57588039077</v>
      </c>
      <c r="AE63" s="31">
        <f>(INDEX(Option4!AE$106:AE$117, MATCH($D63, Option4!$G$106:$G$117,0)))*conv_2026*AE$7</f>
        <v>213952.57588039077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7" t="s">
        <v>133</v>
      </c>
      <c r="B64" s="257" t="str">
        <f>Option4!A116</f>
        <v>sens</v>
      </c>
      <c r="C64" s="257">
        <f>Option4!C116</f>
        <v>0</v>
      </c>
      <c r="D64" s="257" t="str">
        <f t="shared" si="7"/>
        <v>Option 4sens</v>
      </c>
      <c r="E64" s="258"/>
      <c r="F64" s="31">
        <f t="shared" si="6"/>
        <v>1896633.9859691437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-607775.27164244198</v>
      </c>
      <c r="N64" s="31">
        <f>(INDEX(Option4!N$106:N$117, MATCH($D64, Option4!$G$106:$G$117,0)))*conv_2026*N$7</f>
        <v>213952.57588039077</v>
      </c>
      <c r="O64" s="31">
        <f>(INDEX(Option4!O$106:O$117, MATCH($D64, Option4!$G$106:$G$117,0)))*conv_2026*O$7</f>
        <v>213952.57588039077</v>
      </c>
      <c r="P64" s="31">
        <f>(INDEX(Option4!P$106:P$117, MATCH($D64, Option4!$G$106:$G$117,0)))*conv_2026*P$7</f>
        <v>213952.57588039077</v>
      </c>
      <c r="Q64" s="31">
        <f>(INDEX(Option4!Q$106:Q$117, MATCH($D64, Option4!$G$106:$G$117,0)))*conv_2026*Q$7</f>
        <v>213952.57588039077</v>
      </c>
      <c r="R64" s="31">
        <f>(INDEX(Option4!R$106:R$117, MATCH($D64, Option4!$G$106:$G$117,0)))*conv_2026*R$7</f>
        <v>213952.57588039077</v>
      </c>
      <c r="S64" s="31">
        <f>(INDEX(Option4!S$106:S$117, MATCH($D64, Option4!$G$106:$G$117,0)))*conv_2026*S$7</f>
        <v>213952.57588039077</v>
      </c>
      <c r="T64" s="31">
        <f>(INDEX(Option4!T$106:T$117, MATCH($D64, Option4!$G$106:$G$117,0)))*conv_2026*T$7</f>
        <v>213952.57588039077</v>
      </c>
      <c r="U64" s="31">
        <f>(INDEX(Option4!U$106:U$117, MATCH($D64, Option4!$G$106:$G$117,0)))*conv_2026*U$7</f>
        <v>213952.57588039077</v>
      </c>
      <c r="V64" s="31">
        <f>(INDEX(Option4!V$106:V$117, MATCH($D64, Option4!$G$106:$G$117,0)))*conv_2026*V$7</f>
        <v>213952.57588039077</v>
      </c>
      <c r="W64" s="31">
        <f>(INDEX(Option4!W$106:W$117, MATCH($D64, Option4!$G$106:$G$117,0)))*conv_2026*W$7</f>
        <v>213952.57588039077</v>
      </c>
      <c r="X64" s="31">
        <f>(INDEX(Option4!X$106:X$117, MATCH($D64, Option4!$G$106:$G$117,0)))*conv_2026*X$7</f>
        <v>213952.57588039077</v>
      </c>
      <c r="Y64" s="31">
        <f>(INDEX(Option4!Y$106:Y$117, MATCH($D64, Option4!$G$106:$G$117,0)))*conv_2026*Y$7</f>
        <v>213952.57588039077</v>
      </c>
      <c r="Z64" s="31">
        <f>(INDEX(Option4!Z$106:Z$117, MATCH($D64, Option4!$G$106:$G$117,0)))*conv_2026*Z$7</f>
        <v>213952.57588039077</v>
      </c>
      <c r="AA64" s="31">
        <f>(INDEX(Option4!AA$106:AA$117, MATCH($D64, Option4!$G$106:$G$117,0)))*conv_2026*AA$7</f>
        <v>213952.57588039077</v>
      </c>
      <c r="AB64" s="31">
        <f>(INDEX(Option4!AB$106:AB$117, MATCH($D64, Option4!$G$106:$G$117,0)))*conv_2026*AB$7</f>
        <v>213952.57588039077</v>
      </c>
      <c r="AC64" s="31">
        <f>(INDEX(Option4!AC$106:AC$117, MATCH($D64, Option4!$G$106:$G$117,0)))*conv_2026*AC$7</f>
        <v>213952.57588039077</v>
      </c>
      <c r="AD64" s="31">
        <f>(INDEX(Option4!AD$106:AD$117, MATCH($D64, Option4!$G$106:$G$117,0)))*conv_2026*AD$7</f>
        <v>213952.57588039077</v>
      </c>
      <c r="AE64" s="31">
        <f>(INDEX(Option4!AE$106:AE$117, MATCH($D64, Option4!$G$106:$G$117,0)))*conv_2026*AE$7</f>
        <v>213952.57588039077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7" t="s">
        <v>133</v>
      </c>
      <c r="B65" s="257" t="str">
        <f>Option4!A117</f>
        <v>sens</v>
      </c>
      <c r="C65" s="257">
        <f>Option4!C117</f>
        <v>0</v>
      </c>
      <c r="D65" s="257" t="str">
        <f t="shared" si="7"/>
        <v>Option 4sens</v>
      </c>
      <c r="E65" s="258"/>
      <c r="F65" s="31">
        <f t="shared" si="6"/>
        <v>1896633.9859691437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-607775.27164244198</v>
      </c>
      <c r="N65" s="31">
        <f>(INDEX(Option4!N$106:N$117, MATCH($D65, Option4!$G$106:$G$117,0)))*conv_2026*N$7</f>
        <v>213952.57588039077</v>
      </c>
      <c r="O65" s="31">
        <f>(INDEX(Option4!O$106:O$117, MATCH($D65, Option4!$G$106:$G$117,0)))*conv_2026*O$7</f>
        <v>213952.57588039077</v>
      </c>
      <c r="P65" s="31">
        <f>(INDEX(Option4!P$106:P$117, MATCH($D65, Option4!$G$106:$G$117,0)))*conv_2026*P$7</f>
        <v>213952.57588039077</v>
      </c>
      <c r="Q65" s="31">
        <f>(INDEX(Option4!Q$106:Q$117, MATCH($D65, Option4!$G$106:$G$117,0)))*conv_2026*Q$7</f>
        <v>213952.57588039077</v>
      </c>
      <c r="R65" s="31">
        <f>(INDEX(Option4!R$106:R$117, MATCH($D65, Option4!$G$106:$G$117,0)))*conv_2026*R$7</f>
        <v>213952.57588039077</v>
      </c>
      <c r="S65" s="31">
        <f>(INDEX(Option4!S$106:S$117, MATCH($D65, Option4!$G$106:$G$117,0)))*conv_2026*S$7</f>
        <v>213952.57588039077</v>
      </c>
      <c r="T65" s="31">
        <f>(INDEX(Option4!T$106:T$117, MATCH($D65, Option4!$G$106:$G$117,0)))*conv_2026*T$7</f>
        <v>213952.57588039077</v>
      </c>
      <c r="U65" s="31">
        <f>(INDEX(Option4!U$106:U$117, MATCH($D65, Option4!$G$106:$G$117,0)))*conv_2026*U$7</f>
        <v>213952.57588039077</v>
      </c>
      <c r="V65" s="31">
        <f>(INDEX(Option4!V$106:V$117, MATCH($D65, Option4!$G$106:$G$117,0)))*conv_2026*V$7</f>
        <v>213952.57588039077</v>
      </c>
      <c r="W65" s="31">
        <f>(INDEX(Option4!W$106:W$117, MATCH($D65, Option4!$G$106:$G$117,0)))*conv_2026*W$7</f>
        <v>213952.57588039077</v>
      </c>
      <c r="X65" s="31">
        <f>(INDEX(Option4!X$106:X$117, MATCH($D65, Option4!$G$106:$G$117,0)))*conv_2026*X$7</f>
        <v>213952.57588039077</v>
      </c>
      <c r="Y65" s="31">
        <f>(INDEX(Option4!Y$106:Y$117, MATCH($D65, Option4!$G$106:$G$117,0)))*conv_2026*Y$7</f>
        <v>213952.57588039077</v>
      </c>
      <c r="Z65" s="31">
        <f>(INDEX(Option4!Z$106:Z$117, MATCH($D65, Option4!$G$106:$G$117,0)))*conv_2026*Z$7</f>
        <v>213952.57588039077</v>
      </c>
      <c r="AA65" s="31">
        <f>(INDEX(Option4!AA$106:AA$117, MATCH($D65, Option4!$G$106:$G$117,0)))*conv_2026*AA$7</f>
        <v>213952.57588039077</v>
      </c>
      <c r="AB65" s="31">
        <f>(INDEX(Option4!AB$106:AB$117, MATCH($D65, Option4!$G$106:$G$117,0)))*conv_2026*AB$7</f>
        <v>213952.57588039077</v>
      </c>
      <c r="AC65" s="31">
        <f>(INDEX(Option4!AC$106:AC$117, MATCH($D65, Option4!$G$106:$G$117,0)))*conv_2026*AC$7</f>
        <v>213952.57588039077</v>
      </c>
      <c r="AD65" s="31">
        <f>(INDEX(Option4!AD$106:AD$117, MATCH($D65, Option4!$G$106:$G$117,0)))*conv_2026*AD$7</f>
        <v>213952.57588039077</v>
      </c>
      <c r="AE65" s="31">
        <f>(INDEX(Option4!AE$106:AE$117, MATCH($D65, Option4!$G$106:$G$117,0)))*conv_2026*AE$7</f>
        <v>213952.57588039077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7"/>
      <c r="B66" s="257"/>
      <c r="C66" s="257"/>
      <c r="D66" s="257"/>
      <c r="E66" s="257"/>
      <c r="F66" s="31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</row>
    <row r="67" spans="1:35" s="8" customFormat="1" x14ac:dyDescent="0.2">
      <c r="A67" s="257"/>
      <c r="B67" s="257"/>
      <c r="C67" s="257"/>
      <c r="D67" s="257"/>
      <c r="E67" s="257"/>
      <c r="F67" s="31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</row>
    <row r="68" spans="1:35" s="8" customFormat="1" x14ac:dyDescent="0.2">
      <c r="A68" s="257"/>
      <c r="B68" s="257"/>
      <c r="C68" s="257"/>
      <c r="D68" s="257"/>
      <c r="E68" s="257"/>
      <c r="F68" s="31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</row>
    <row r="69" spans="1:35" s="8" customFormat="1" x14ac:dyDescent="0.2">
      <c r="A69" s="257"/>
      <c r="B69" s="257"/>
      <c r="C69" s="257"/>
      <c r="D69" s="257"/>
      <c r="E69" s="257"/>
      <c r="F69" s="31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</row>
    <row r="70" spans="1:35" s="8" customFormat="1" x14ac:dyDescent="0.2">
      <c r="A70" s="257" t="s">
        <v>155</v>
      </c>
      <c r="B70" s="257" t="s">
        <v>119</v>
      </c>
      <c r="C70" s="257" t="s">
        <v>189</v>
      </c>
      <c r="D70" s="257" t="str">
        <f>A70&amp;B70</f>
        <v>Option 5NPV</v>
      </c>
      <c r="E70" s="258"/>
      <c r="F70" s="31">
        <f t="shared" ref="F70:F79" si="8">SUMPRODUCT($H70:$AG70, $H$5:$AG$5)</f>
        <v>0</v>
      </c>
      <c r="G70" s="250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9"/>
      <c r="B71" s="249"/>
      <c r="C71" s="249"/>
      <c r="D71" s="249"/>
      <c r="E71" s="249"/>
      <c r="F71" s="249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7"/>
      <c r="AI71" s="7"/>
    </row>
    <row r="72" spans="1:35" s="8" customFormat="1" x14ac:dyDescent="0.2">
      <c r="A72" s="257" t="s">
        <v>155</v>
      </c>
      <c r="B72" s="257" t="str">
        <f>Option5!A110</f>
        <v>sens1</v>
      </c>
      <c r="C72" s="257" t="str">
        <f>Option5!C110</f>
        <v>Capex 10% higher</v>
      </c>
      <c r="D72" s="257" t="str">
        <f t="shared" ref="D72:D79" si="9">A72&amp;B72</f>
        <v>Option 5sens1</v>
      </c>
      <c r="E72" s="258"/>
      <c r="F72" s="31">
        <f t="shared" si="8"/>
        <v>0</v>
      </c>
      <c r="G72" s="250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7" t="s">
        <v>155</v>
      </c>
      <c r="B73" s="257" t="str">
        <f>Option5!A111</f>
        <v>sens2</v>
      </c>
      <c r="C73" s="257" t="str">
        <f>Option5!C111</f>
        <v>Capex 10% lower</v>
      </c>
      <c r="D73" s="257" t="str">
        <f t="shared" si="9"/>
        <v>Option 5sens2</v>
      </c>
      <c r="E73" s="258"/>
      <c r="F73" s="31">
        <f t="shared" si="8"/>
        <v>0</v>
      </c>
      <c r="G73" s="257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7" t="s">
        <v>155</v>
      </c>
      <c r="B74" s="257" t="str">
        <f>Option5!A112</f>
        <v>sens3</v>
      </c>
      <c r="C74" s="257" t="str">
        <f>Option5!C112</f>
        <v>Total benefits 10% higher</v>
      </c>
      <c r="D74" s="257" t="str">
        <f t="shared" si="9"/>
        <v>Option 5sens3</v>
      </c>
      <c r="E74" s="258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7" t="s">
        <v>155</v>
      </c>
      <c r="B75" s="257" t="str">
        <f>Option5!A113</f>
        <v>sens4</v>
      </c>
      <c r="C75" s="257" t="str">
        <f>Option5!C113</f>
        <v>Total benefits 10% lower</v>
      </c>
      <c r="D75" s="257" t="str">
        <f t="shared" si="9"/>
        <v>Option 5sens4</v>
      </c>
      <c r="E75" s="258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7" t="s">
        <v>155</v>
      </c>
      <c r="B76" s="257" t="str">
        <f>Option5!A114</f>
        <v>sens5</v>
      </c>
      <c r="C76" s="257" t="str">
        <f>Option5!C114</f>
        <v>Capex 10% higher &amp; Total benefits 10% lower</v>
      </c>
      <c r="D76" s="257" t="str">
        <f t="shared" si="9"/>
        <v>Option 5sens5</v>
      </c>
      <c r="E76" s="258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7" t="s">
        <v>155</v>
      </c>
      <c r="B77" s="257" t="str">
        <f>Option5!A115</f>
        <v>sens</v>
      </c>
      <c r="C77" s="257">
        <f>Option5!C115</f>
        <v>0</v>
      </c>
      <c r="D77" s="257" t="str">
        <f t="shared" si="9"/>
        <v>Option 5sens</v>
      </c>
      <c r="E77" s="258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7" t="s">
        <v>155</v>
      </c>
      <c r="B78" s="257" t="str">
        <f>Option5!A116</f>
        <v>sens</v>
      </c>
      <c r="C78" s="257">
        <f>Option5!C116</f>
        <v>0</v>
      </c>
      <c r="D78" s="257" t="str">
        <f t="shared" si="9"/>
        <v>Option 5sens</v>
      </c>
      <c r="E78" s="258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7" t="s">
        <v>155</v>
      </c>
      <c r="B79" s="257" t="str">
        <f>Option5!A117</f>
        <v>sens</v>
      </c>
      <c r="C79" s="257">
        <f>Option5!C117</f>
        <v>0</v>
      </c>
      <c r="D79" s="257" t="str">
        <f t="shared" si="9"/>
        <v>Option 5sens</v>
      </c>
      <c r="E79" s="258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3"/>
    </row>
    <row r="81" spans="1:34" s="8" customFormat="1" x14ac:dyDescent="0.2">
      <c r="F81" s="253"/>
    </row>
    <row r="82" spans="1:34" s="8" customFormat="1" x14ac:dyDescent="0.2">
      <c r="F82" s="253"/>
    </row>
    <row r="83" spans="1:34" s="8" customFormat="1" x14ac:dyDescent="0.2">
      <c r="F83" s="253"/>
    </row>
    <row r="84" spans="1:34" s="8" customFormat="1" ht="15" x14ac:dyDescent="0.25">
      <c r="A84" s="205" t="s">
        <v>160</v>
      </c>
      <c r="B84" s="54"/>
      <c r="C84" s="19"/>
      <c r="D84" s="19"/>
      <c r="E84" s="83"/>
      <c r="F84" s="19"/>
      <c r="G84" s="226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10"/>
      <c r="AH84" s="10"/>
    </row>
    <row r="85" spans="1:34" s="8" customFormat="1" x14ac:dyDescent="0.2">
      <c r="F85" s="253"/>
    </row>
    <row r="86" spans="1:34" s="8" customFormat="1" x14ac:dyDescent="0.2">
      <c r="F86" s="253"/>
    </row>
    <row r="87" spans="1:34" s="8" customFormat="1" x14ac:dyDescent="0.2">
      <c r="E87" s="253"/>
    </row>
    <row r="88" spans="1:34" s="8" customFormat="1" x14ac:dyDescent="0.2">
      <c r="C88" s="279" t="b" cm="1">
        <f t="array" ref="C88:G88">TRANSPOSE(Data!F9:F13)</f>
        <v>0</v>
      </c>
      <c r="D88" s="279" t="b">
        <v>0</v>
      </c>
      <c r="E88" s="280" t="b">
        <v>0</v>
      </c>
      <c r="F88" s="279" t="b">
        <v>0</v>
      </c>
      <c r="G88" s="279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81" t="str" cm="1">
        <f t="array" ref="C89:G89">TRANSPOSE(options)</f>
        <v>Option 1 (base case)</v>
      </c>
      <c r="D89" s="281" t="str">
        <v>Option 2</v>
      </c>
      <c r="E89" s="281" t="str">
        <v>Option 3</v>
      </c>
      <c r="F89" s="281" t="str">
        <v>Option 4</v>
      </c>
      <c r="G89" s="281" t="str">
        <v>Option 5</v>
      </c>
      <c r="I89" s="281" t="s">
        <v>229</v>
      </c>
      <c r="K89" s="287" t="s">
        <v>230</v>
      </c>
    </row>
    <row r="90" spans="1:34" s="8" customFormat="1" x14ac:dyDescent="0.2">
      <c r="A90" s="265" t="s">
        <v>119</v>
      </c>
      <c r="B90" s="265" t="s">
        <v>220</v>
      </c>
      <c r="C90" s="104">
        <f t="shared" ref="C90:G98" si="10">IF(OR($B90=0,C$88),"", INDEX($F$14:$F$81, MATCH(C$89&amp;$A90,$D$14:$D$81,0))/10^6)</f>
        <v>0</v>
      </c>
      <c r="D90" s="104">
        <f t="shared" si="10"/>
        <v>3.3803156084560562</v>
      </c>
      <c r="E90" s="104">
        <f t="shared" si="10"/>
        <v>-115.96914889986192</v>
      </c>
      <c r="F90" s="104">
        <f t="shared" si="10"/>
        <v>1.8966339859691437</v>
      </c>
      <c r="G90" s="104" t="str">
        <f t="shared" si="10"/>
        <v/>
      </c>
      <c r="H90" s="189"/>
      <c r="I90" s="104">
        <f t="shared" ref="I90:I98" si="11">_xlfn.MAXIFS(C90:G90,_xlfn.ANCHORARRAY( C$88),FALSE)</f>
        <v>3.3803156084560562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5" t="str">
        <f>"sens"&amp;Assumptions!B111</f>
        <v>sens1</v>
      </c>
      <c r="B91" s="265" t="str">
        <f>Assumptions!C111</f>
        <v>Capex 10% higher</v>
      </c>
      <c r="C91" s="104">
        <f t="shared" si="10"/>
        <v>0</v>
      </c>
      <c r="D91" s="104">
        <f t="shared" si="10"/>
        <v>2.2115052233751769</v>
      </c>
      <c r="E91" s="104">
        <f t="shared" si="10"/>
        <v>-130.96086027076848</v>
      </c>
      <c r="F91" s="104">
        <f t="shared" si="10"/>
        <v>0.47124040400991574</v>
      </c>
      <c r="G91" s="104" t="str">
        <f t="shared" si="10"/>
        <v/>
      </c>
      <c r="H91" s="189"/>
      <c r="I91" s="104">
        <f t="shared" si="11"/>
        <v>2.2115052233751769</v>
      </c>
      <c r="K91" s="8" t="str">
        <f t="shared" si="12"/>
        <v>Option 2</v>
      </c>
    </row>
    <row r="92" spans="1:34" s="8" customFormat="1" x14ac:dyDescent="0.2">
      <c r="A92" s="265" t="str">
        <f>"sens"&amp;Assumptions!B112</f>
        <v>sens2</v>
      </c>
      <c r="B92" s="265" t="str">
        <f>Assumptions!C112</f>
        <v>Capex 10% lower</v>
      </c>
      <c r="C92" s="104">
        <f t="shared" si="10"/>
        <v>0</v>
      </c>
      <c r="D92" s="104">
        <f t="shared" si="10"/>
        <v>4.5491259935369337</v>
      </c>
      <c r="E92" s="104">
        <f t="shared" si="10"/>
        <v>-100.97743752895531</v>
      </c>
      <c r="F92" s="104">
        <f t="shared" si="10"/>
        <v>3.3220275679283722</v>
      </c>
      <c r="G92" s="104" t="str">
        <f t="shared" si="10"/>
        <v/>
      </c>
      <c r="H92" s="189"/>
      <c r="I92" s="104">
        <f t="shared" si="11"/>
        <v>4.5491259935369337</v>
      </c>
      <c r="K92" s="8" t="str">
        <f t="shared" si="12"/>
        <v>Option 2</v>
      </c>
    </row>
    <row r="93" spans="1:34" s="8" customFormat="1" x14ac:dyDescent="0.2">
      <c r="A93" s="265" t="str">
        <f>"sens"&amp;Assumptions!B113</f>
        <v>sens3</v>
      </c>
      <c r="B93" s="265" t="str">
        <f>Assumptions!C113</f>
        <v>Total benefits 10% higher</v>
      </c>
      <c r="C93" s="104">
        <f t="shared" si="10"/>
        <v>0</v>
      </c>
      <c r="D93" s="104">
        <f t="shared" si="10"/>
        <v>4.8871575543825392</v>
      </c>
      <c r="E93" s="104">
        <f t="shared" si="10"/>
        <v>-112.57435241894153</v>
      </c>
      <c r="F93" s="104">
        <f t="shared" si="10"/>
        <v>3.5116909665252871</v>
      </c>
      <c r="G93" s="104" t="str">
        <f t="shared" si="10"/>
        <v/>
      </c>
      <c r="H93" s="189"/>
      <c r="I93" s="104">
        <f t="shared" si="11"/>
        <v>4.8871575543825392</v>
      </c>
      <c r="K93" s="8" t="str">
        <f t="shared" si="12"/>
        <v>Option 2</v>
      </c>
    </row>
    <row r="94" spans="1:34" s="8" customFormat="1" x14ac:dyDescent="0.2">
      <c r="A94" s="265" t="str">
        <f>"sens"&amp;Assumptions!B114</f>
        <v>sens4</v>
      </c>
      <c r="B94" s="265" t="str">
        <f>Assumptions!C114</f>
        <v>Total benefits 10% lower</v>
      </c>
      <c r="C94" s="104">
        <f t="shared" si="10"/>
        <v>0</v>
      </c>
      <c r="D94" s="104">
        <f t="shared" si="10"/>
        <v>1.8734736625295714</v>
      </c>
      <c r="E94" s="104">
        <f t="shared" si="10"/>
        <v>-119.36394538078231</v>
      </c>
      <c r="F94" s="104">
        <f t="shared" si="10"/>
        <v>0.28157700541300124</v>
      </c>
      <c r="G94" s="104" t="str">
        <f t="shared" si="10"/>
        <v/>
      </c>
      <c r="H94" s="189"/>
      <c r="I94" s="104">
        <f t="shared" si="11"/>
        <v>1.8734736625295714</v>
      </c>
      <c r="K94" s="8" t="str">
        <f t="shared" si="12"/>
        <v>Option 2</v>
      </c>
    </row>
    <row r="95" spans="1:34" s="8" customFormat="1" x14ac:dyDescent="0.2">
      <c r="A95" s="265" t="str">
        <f>"sens"&amp;Assumptions!B115</f>
        <v>sens5</v>
      </c>
      <c r="B95" s="265" t="str">
        <f>Assumptions!C115</f>
        <v>Capex 10% higher &amp; Total benefits 10% lower</v>
      </c>
      <c r="C95" s="104">
        <f t="shared" si="10"/>
        <v>0</v>
      </c>
      <c r="D95" s="104">
        <f t="shared" si="10"/>
        <v>0.70466327744869284</v>
      </c>
      <c r="E95" s="104">
        <f t="shared" si="10"/>
        <v>-134.35565675168885</v>
      </c>
      <c r="F95" s="104">
        <f t="shared" si="10"/>
        <v>-1.1438165765462269</v>
      </c>
      <c r="G95" s="104" t="str">
        <f t="shared" si="10"/>
        <v/>
      </c>
      <c r="H95" s="189"/>
      <c r="I95" s="104">
        <f t="shared" si="11"/>
        <v>0.70466327744869284</v>
      </c>
      <c r="K95" s="8" t="str">
        <f t="shared" si="12"/>
        <v>Option 2</v>
      </c>
    </row>
    <row r="96" spans="1:34" s="8" customFormat="1" x14ac:dyDescent="0.2">
      <c r="A96" s="265" t="str">
        <f>"sens"&amp;Assumptions!B116</f>
        <v>sens</v>
      </c>
      <c r="B96" s="265">
        <f>Assumptions!C116</f>
        <v>0</v>
      </c>
      <c r="C96" s="104" t="str">
        <f t="shared" si="10"/>
        <v/>
      </c>
      <c r="D96" s="104" t="str">
        <f t="shared" si="10"/>
        <v/>
      </c>
      <c r="E96" s="104" t="str">
        <f t="shared" si="10"/>
        <v/>
      </c>
      <c r="F96" s="104" t="str">
        <f t="shared" si="10"/>
        <v/>
      </c>
      <c r="G96" s="104" t="str">
        <f t="shared" si="10"/>
        <v/>
      </c>
      <c r="H96" s="189"/>
      <c r="I96" s="104">
        <f t="shared" si="11"/>
        <v>0</v>
      </c>
      <c r="K96" s="8" t="str">
        <f t="shared" si="12"/>
        <v/>
      </c>
    </row>
    <row r="97" spans="1:11" x14ac:dyDescent="0.2">
      <c r="A97" s="265" t="str">
        <f>"sens"&amp;Assumptions!B117</f>
        <v>sens</v>
      </c>
      <c r="B97" s="265">
        <f>Assumptions!C117</f>
        <v>0</v>
      </c>
      <c r="C97" s="104" t="str">
        <f t="shared" si="10"/>
        <v/>
      </c>
      <c r="D97" s="104" t="str">
        <f t="shared" si="10"/>
        <v/>
      </c>
      <c r="E97" s="104" t="str">
        <f t="shared" si="10"/>
        <v/>
      </c>
      <c r="F97" s="104" t="str">
        <f t="shared" si="10"/>
        <v/>
      </c>
      <c r="G97" s="104" t="str">
        <f t="shared" si="10"/>
        <v/>
      </c>
      <c r="H97" s="286"/>
      <c r="I97" s="104">
        <f t="shared" si="11"/>
        <v>0</v>
      </c>
      <c r="K97" s="8" t="str">
        <f t="shared" si="12"/>
        <v/>
      </c>
    </row>
    <row r="98" spans="1:11" x14ac:dyDescent="0.2">
      <c r="A98" s="265" t="str">
        <f>"sens"&amp;Assumptions!B118</f>
        <v>sens</v>
      </c>
      <c r="B98" s="265">
        <f>Assumptions!C118</f>
        <v>0</v>
      </c>
      <c r="C98" s="104" t="str">
        <f t="shared" si="10"/>
        <v/>
      </c>
      <c r="D98" s="104" t="str">
        <f t="shared" si="10"/>
        <v/>
      </c>
      <c r="E98" s="104" t="str">
        <f t="shared" si="10"/>
        <v/>
      </c>
      <c r="F98" s="104" t="str">
        <f t="shared" si="10"/>
        <v/>
      </c>
      <c r="G98" s="104" t="str">
        <f t="shared" si="10"/>
        <v/>
      </c>
      <c r="H98" s="286"/>
      <c r="I98" s="104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7481-2242-48AF-88F7-F06E8F2B2558}">
  <sheetPr codeName="Sheet4">
    <tabColor rgb="FFFFFF00"/>
  </sheetPr>
  <dimension ref="A1:AD89"/>
  <sheetViews>
    <sheetView showGridLines="0" zoomScale="90" zoomScaleNormal="90"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10.75" style="1" customWidth="1"/>
    <col min="3" max="3" width="17" style="1" customWidth="1"/>
    <col min="4" max="4" width="12.75" style="1" customWidth="1"/>
    <col min="5" max="5" width="10.125" style="1" customWidth="1"/>
    <col min="6" max="6" width="10.125" style="331" customWidth="1"/>
    <col min="7" max="7" width="10.75" style="1" customWidth="1"/>
    <col min="8" max="8" width="10.5" style="1" customWidth="1"/>
    <col min="9" max="9" width="10.25" style="1" customWidth="1"/>
    <col min="10" max="27" width="8.625" style="12" customWidth="1"/>
    <col min="28" max="28" width="12.125" style="12" customWidth="1"/>
    <col min="29" max="29" width="8.625" style="12" customWidth="1"/>
    <col min="30" max="30" width="9.5" style="1" bestFit="1" customWidth="1"/>
    <col min="31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328"/>
      <c r="G1" s="11"/>
      <c r="H1" s="11"/>
      <c r="I1" s="11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</row>
    <row r="2" spans="1:29" ht="18.75" x14ac:dyDescent="0.3">
      <c r="A2" s="56" t="str">
        <f>proj</f>
        <v>Horsham REFCL</v>
      </c>
      <c r="B2" s="11"/>
      <c r="C2" s="11"/>
      <c r="D2" s="11"/>
      <c r="E2" s="11"/>
      <c r="F2" s="328"/>
      <c r="G2" s="11"/>
      <c r="H2" s="11"/>
      <c r="I2" s="11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</row>
    <row r="3" spans="1:29" ht="18.75" x14ac:dyDescent="0.3">
      <c r="A3" s="5" t="s">
        <v>245</v>
      </c>
      <c r="B3" s="330"/>
      <c r="C3" s="5"/>
      <c r="D3" s="5"/>
    </row>
    <row r="5" spans="1:29" ht="15" x14ac:dyDescent="0.2">
      <c r="A5" s="332"/>
      <c r="B5" s="332"/>
      <c r="C5" s="332"/>
      <c r="D5" s="332"/>
      <c r="E5" s="332"/>
      <c r="F5" s="333"/>
      <c r="G5" s="332"/>
      <c r="H5" s="332"/>
      <c r="I5" s="332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</row>
    <row r="6" spans="1:29" x14ac:dyDescent="0.2">
      <c r="C6" s="3"/>
      <c r="D6" s="3"/>
    </row>
    <row r="7" spans="1:29" s="335" customFormat="1" ht="11.25" x14ac:dyDescent="0.2">
      <c r="F7" s="336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</row>
    <row r="8" spans="1:29" s="338" customFormat="1" x14ac:dyDescent="0.2">
      <c r="B8" s="339" t="s">
        <v>246</v>
      </c>
      <c r="D8" s="340"/>
    </row>
    <row r="9" spans="1:29" x14ac:dyDescent="0.2">
      <c r="F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D10" s="2" t="s">
        <v>247</v>
      </c>
      <c r="E10" s="1">
        <v>0</v>
      </c>
      <c r="F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D11" s="2" t="s">
        <v>248</v>
      </c>
      <c r="E11" s="1">
        <v>0</v>
      </c>
      <c r="F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D12" s="1" t="s">
        <v>305</v>
      </c>
      <c r="E12" s="346">
        <v>2</v>
      </c>
      <c r="F12" s="1" t="s">
        <v>306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F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338" customFormat="1" x14ac:dyDescent="0.2">
      <c r="B14" s="339" t="s">
        <v>249</v>
      </c>
      <c r="D14" s="340"/>
    </row>
    <row r="15" spans="1:29" x14ac:dyDescent="0.2">
      <c r="F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">
      <c r="D16" s="2" t="s">
        <v>250</v>
      </c>
      <c r="E16" s="341">
        <v>8093913</v>
      </c>
      <c r="F16" s="1" t="s">
        <v>251</v>
      </c>
      <c r="G16" s="234" t="s">
        <v>252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">
      <c r="D17" s="2" t="s">
        <v>253</v>
      </c>
      <c r="E17" s="341">
        <v>8378273</v>
      </c>
      <c r="F17" s="1" t="s">
        <v>251</v>
      </c>
      <c r="G17" s="234" t="s">
        <v>254</v>
      </c>
      <c r="J17" s="342"/>
      <c r="K17" s="34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x14ac:dyDescent="0.2">
      <c r="D18" s="2" t="s">
        <v>255</v>
      </c>
      <c r="E18" s="343">
        <f>E17+E16</f>
        <v>16472186</v>
      </c>
      <c r="F18" s="1" t="s">
        <v>251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x14ac:dyDescent="0.2">
      <c r="D19" s="2"/>
      <c r="E19" s="343"/>
      <c r="F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">
      <c r="D20" s="2"/>
      <c r="E20" s="1" t="s">
        <v>256</v>
      </c>
      <c r="F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2">
      <c r="D21" s="2"/>
      <c r="E21" s="344" t="s">
        <v>19</v>
      </c>
      <c r="F21" s="344" t="str">
        <f>LEFT(E21,4)+1&amp;"-"&amp;RIGHT(E21,2)+1</f>
        <v>2027-28</v>
      </c>
      <c r="G21" s="344" t="str">
        <f>LEFT(F21,4)+1&amp;"-"&amp;RIGHT(F21,2)+1</f>
        <v>2028-29</v>
      </c>
      <c r="H21" s="344" t="str">
        <f>LEFT(G21,4)+1&amp;"-"&amp;RIGHT(G21,2)+1</f>
        <v>2029-30</v>
      </c>
      <c r="I21" s="344" t="str">
        <f>LEFT(H21,4)+1&amp;"-"&amp;RIGHT(H21,2)+1</f>
        <v>2030-31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x14ac:dyDescent="0.2">
      <c r="D22" s="2" t="s">
        <v>257</v>
      </c>
      <c r="E22" s="343"/>
      <c r="F22" s="1"/>
      <c r="H22" s="343">
        <f>$E$18/2</f>
        <v>8236093</v>
      </c>
      <c r="I22" s="343">
        <f>$E$18/2</f>
        <v>8236093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x14ac:dyDescent="0.2">
      <c r="F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x14ac:dyDescent="0.2">
      <c r="F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 s="338" customFormat="1" x14ac:dyDescent="0.2">
      <c r="B25" s="339" t="s">
        <v>258</v>
      </c>
      <c r="D25" s="345"/>
    </row>
    <row r="26" spans="2:29" x14ac:dyDescent="0.2">
      <c r="F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 x14ac:dyDescent="0.2">
      <c r="D27" s="2" t="s">
        <v>259</v>
      </c>
      <c r="E27" s="346">
        <v>1390</v>
      </c>
      <c r="F27" s="1" t="s">
        <v>260</v>
      </c>
      <c r="H27" s="234" t="s">
        <v>261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x14ac:dyDescent="0.2">
      <c r="D28" s="2" t="s">
        <v>262</v>
      </c>
      <c r="E28" s="347">
        <v>152000</v>
      </c>
      <c r="F28" s="1" t="s">
        <v>263</v>
      </c>
      <c r="G28" s="1" t="s">
        <v>251</v>
      </c>
      <c r="H28" s="348" t="s">
        <v>264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x14ac:dyDescent="0.2">
      <c r="D29" s="2" t="s">
        <v>255</v>
      </c>
      <c r="E29" s="343">
        <f>E28*E27</f>
        <v>211280000</v>
      </c>
      <c r="F29" s="1"/>
      <c r="H29" s="34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x14ac:dyDescent="0.2">
      <c r="F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x14ac:dyDescent="0.2">
      <c r="D31" s="2"/>
      <c r="E31" s="1" t="s">
        <v>256</v>
      </c>
      <c r="F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x14ac:dyDescent="0.2">
      <c r="D32" s="2"/>
      <c r="E32" s="344" t="s">
        <v>19</v>
      </c>
      <c r="F32" s="344" t="str">
        <f>LEFT(E32,4)+1&amp;"-"&amp;RIGHT(E32,2)+1</f>
        <v>2027-28</v>
      </c>
      <c r="G32" s="344" t="str">
        <f>LEFT(F32,4)+1&amp;"-"&amp;RIGHT(F32,2)+1</f>
        <v>2028-29</v>
      </c>
      <c r="H32" s="344" t="str">
        <f>LEFT(G32,4)+1&amp;"-"&amp;RIGHT(G32,2)+1</f>
        <v>2029-30</v>
      </c>
      <c r="I32" s="344" t="str">
        <f>LEFT(H32,4)+1&amp;"-"&amp;RIGHT(H32,2)+1</f>
        <v>2030-31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30" x14ac:dyDescent="0.2">
      <c r="D33" s="2" t="s">
        <v>265</v>
      </c>
      <c r="E33" s="343"/>
      <c r="F33" s="1"/>
      <c r="H33" s="343">
        <f>$E$29/2</f>
        <v>105640000</v>
      </c>
      <c r="I33" s="343">
        <f>$E$29/2</f>
        <v>105640000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30" x14ac:dyDescent="0.2">
      <c r="F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30" x14ac:dyDescent="0.2">
      <c r="F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30" s="338" customFormat="1" x14ac:dyDescent="0.2">
      <c r="B36" s="339" t="s">
        <v>266</v>
      </c>
      <c r="D36" s="340"/>
    </row>
    <row r="37" spans="2:30" x14ac:dyDescent="0.2">
      <c r="F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30" x14ac:dyDescent="0.2">
      <c r="D38" s="2" t="s">
        <v>267</v>
      </c>
      <c r="E38" s="341">
        <v>11709971</v>
      </c>
      <c r="F38" s="1" t="s">
        <v>251</v>
      </c>
      <c r="G38" s="234" t="s">
        <v>252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30" x14ac:dyDescent="0.2">
      <c r="D39" s="2" t="s">
        <v>253</v>
      </c>
      <c r="E39" s="341">
        <v>8378273</v>
      </c>
      <c r="F39" s="1" t="s">
        <v>251</v>
      </c>
      <c r="G39" s="234" t="s">
        <v>254</v>
      </c>
      <c r="J39" s="342"/>
      <c r="K39" s="34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30" x14ac:dyDescent="0.2">
      <c r="D40" s="2" t="s">
        <v>255</v>
      </c>
      <c r="E40" s="343">
        <f>E39+E38</f>
        <v>20088244</v>
      </c>
      <c r="F40" s="1" t="s">
        <v>251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30" x14ac:dyDescent="0.2">
      <c r="D41" s="2"/>
      <c r="E41" s="343"/>
      <c r="F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30" x14ac:dyDescent="0.2">
      <c r="D42" s="2"/>
      <c r="E42" s="1" t="s">
        <v>256</v>
      </c>
      <c r="F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30" x14ac:dyDescent="0.2">
      <c r="D43" s="2"/>
      <c r="E43" s="344" t="s">
        <v>19</v>
      </c>
      <c r="F43" s="344" t="str">
        <f>LEFT(E43,4)+1&amp;"-"&amp;RIGHT(E43,2)+1</f>
        <v>2027-28</v>
      </c>
      <c r="G43" s="344" t="str">
        <f>LEFT(F43,4)+1&amp;"-"&amp;RIGHT(F43,2)+1</f>
        <v>2028-29</v>
      </c>
      <c r="H43" s="344" t="str">
        <f>LEFT(G43,4)+1&amp;"-"&amp;RIGHT(G43,2)+1</f>
        <v>2029-30</v>
      </c>
      <c r="I43" s="344" t="str">
        <f>LEFT(H43,4)+1&amp;"-"&amp;RIGHT(H43,2)+1</f>
        <v>2030-31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30" x14ac:dyDescent="0.2">
      <c r="D44" s="2" t="s">
        <v>257</v>
      </c>
      <c r="E44" s="343"/>
      <c r="F44" s="1"/>
      <c r="H44" s="343">
        <f>$E$40/$E$12</f>
        <v>10044122</v>
      </c>
      <c r="I44" s="343">
        <f>$E$40/$E$12</f>
        <v>10044122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30" x14ac:dyDescent="0.2">
      <c r="D45" s="2"/>
      <c r="E45" s="349"/>
      <c r="F45" s="349"/>
      <c r="G45" s="349"/>
      <c r="H45" s="349"/>
      <c r="I45" s="349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49"/>
    </row>
    <row r="46" spans="2:30" x14ac:dyDescent="0.2">
      <c r="D46" s="2"/>
      <c r="E46" s="349"/>
      <c r="F46" s="349"/>
      <c r="G46" s="349"/>
      <c r="H46" s="349"/>
      <c r="I46" s="349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49"/>
    </row>
    <row r="47" spans="2:30" x14ac:dyDescent="0.2">
      <c r="D47" s="2"/>
      <c r="E47" s="349"/>
      <c r="F47" s="349"/>
      <c r="G47" s="349"/>
      <c r="H47" s="349"/>
      <c r="I47" s="349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49"/>
    </row>
    <row r="48" spans="2:30" x14ac:dyDescent="0.2">
      <c r="D48" s="2"/>
      <c r="E48" s="349"/>
      <c r="F48" s="349"/>
      <c r="G48" s="349"/>
      <c r="H48" s="349"/>
      <c r="I48" s="349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49"/>
    </row>
    <row r="49" spans="2:30" x14ac:dyDescent="0.2">
      <c r="D49" s="2"/>
      <c r="E49" s="349"/>
      <c r="F49" s="349"/>
      <c r="G49" s="349"/>
      <c r="H49" s="349"/>
      <c r="I49" s="349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49"/>
    </row>
    <row r="50" spans="2:30" x14ac:dyDescent="0.2">
      <c r="D50" s="2"/>
      <c r="E50" s="349"/>
      <c r="F50" s="349"/>
      <c r="G50" s="349"/>
      <c r="H50" s="349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49"/>
    </row>
    <row r="51" spans="2:30" x14ac:dyDescent="0.2">
      <c r="D51" s="2"/>
      <c r="E51" s="349"/>
      <c r="F51" s="349"/>
      <c r="G51" s="349"/>
      <c r="H51" s="349"/>
      <c r="I51" s="349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49"/>
    </row>
    <row r="52" spans="2:30" x14ac:dyDescent="0.2">
      <c r="B52" s="3"/>
    </row>
    <row r="53" spans="2:30" x14ac:dyDescent="0.2">
      <c r="D53" s="2"/>
      <c r="E53" s="170"/>
      <c r="F53" s="351"/>
      <c r="G53" s="170"/>
    </row>
    <row r="54" spans="2:30" x14ac:dyDescent="0.2">
      <c r="D54" s="2"/>
      <c r="E54" s="352"/>
      <c r="F54" s="352"/>
      <c r="G54" s="352"/>
      <c r="H54" s="349"/>
      <c r="I54" s="349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49"/>
    </row>
    <row r="55" spans="2:30" x14ac:dyDescent="0.2">
      <c r="D55" s="2"/>
      <c r="E55" s="349"/>
      <c r="F55" s="349"/>
      <c r="G55" s="349"/>
      <c r="H55" s="349"/>
      <c r="I55" s="349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49"/>
    </row>
    <row r="56" spans="2:30" x14ac:dyDescent="0.2">
      <c r="D56" s="2"/>
      <c r="E56" s="349"/>
      <c r="F56" s="349"/>
      <c r="G56" s="349"/>
      <c r="H56" s="349"/>
      <c r="I56" s="349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49"/>
    </row>
    <row r="57" spans="2:30" x14ac:dyDescent="0.2">
      <c r="D57" s="2"/>
      <c r="E57" s="349"/>
      <c r="F57" s="349"/>
      <c r="G57" s="349"/>
      <c r="H57" s="349"/>
      <c r="I57" s="349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49"/>
    </row>
    <row r="58" spans="2:30" x14ac:dyDescent="0.2">
      <c r="D58" s="2"/>
      <c r="E58" s="349"/>
      <c r="F58" s="349"/>
      <c r="G58" s="349"/>
      <c r="H58" s="349"/>
      <c r="I58" s="349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49"/>
    </row>
    <row r="59" spans="2:30" x14ac:dyDescent="0.2">
      <c r="D59" s="2"/>
      <c r="E59" s="349"/>
      <c r="F59" s="349"/>
      <c r="G59" s="349"/>
      <c r="H59" s="349"/>
      <c r="I59" s="349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49"/>
    </row>
    <row r="60" spans="2:30" x14ac:dyDescent="0.2">
      <c r="D60" s="2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50"/>
      <c r="AC60" s="350"/>
      <c r="AD60" s="349"/>
    </row>
    <row r="61" spans="2:30" x14ac:dyDescent="0.2">
      <c r="D61" s="2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50"/>
      <c r="AC61" s="350"/>
      <c r="AD61" s="349"/>
    </row>
    <row r="62" spans="2:30" x14ac:dyDescent="0.2">
      <c r="B62" s="3"/>
    </row>
    <row r="63" spans="2:30" x14ac:dyDescent="0.2">
      <c r="B63" s="3"/>
      <c r="D63" s="2"/>
      <c r="E63" s="353"/>
    </row>
    <row r="64" spans="2:30" x14ac:dyDescent="0.2">
      <c r="D64" s="2"/>
      <c r="E64" s="349"/>
      <c r="F64" s="349"/>
      <c r="G64" s="349"/>
      <c r="H64" s="349"/>
      <c r="I64" s="349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</row>
    <row r="65" spans="2:30" s="353" customFormat="1" x14ac:dyDescent="0.2">
      <c r="D65" s="354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</row>
    <row r="66" spans="2:30" x14ac:dyDescent="0.2">
      <c r="D66" s="2"/>
      <c r="E66" s="349"/>
      <c r="F66" s="349"/>
      <c r="G66" s="349"/>
      <c r="H66" s="349"/>
      <c r="I66" s="349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</row>
    <row r="67" spans="2:30" x14ac:dyDescent="0.2">
      <c r="D67" s="2"/>
      <c r="E67" s="349"/>
      <c r="F67" s="349"/>
      <c r="G67" s="349"/>
      <c r="H67" s="349"/>
      <c r="I67" s="349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</row>
    <row r="68" spans="2:30" x14ac:dyDescent="0.2">
      <c r="D68" s="2"/>
      <c r="E68" s="349"/>
      <c r="F68" s="349"/>
      <c r="G68" s="349"/>
      <c r="H68" s="349"/>
      <c r="I68" s="349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</row>
    <row r="69" spans="2:30" x14ac:dyDescent="0.2">
      <c r="D69" s="2"/>
      <c r="E69" s="349"/>
      <c r="F69" s="349"/>
      <c r="G69" s="349"/>
      <c r="H69" s="349"/>
      <c r="I69" s="349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</row>
    <row r="70" spans="2:30" x14ac:dyDescent="0.2">
      <c r="D70" s="2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</row>
    <row r="72" spans="2:30" x14ac:dyDescent="0.2">
      <c r="B72" s="3"/>
    </row>
    <row r="73" spans="2:30" x14ac:dyDescent="0.2">
      <c r="B73" s="3"/>
      <c r="D73" s="2"/>
    </row>
    <row r="74" spans="2:30" x14ac:dyDescent="0.2">
      <c r="D74" s="2"/>
      <c r="E74" s="349"/>
      <c r="F74" s="349"/>
      <c r="G74" s="349"/>
      <c r="H74" s="349"/>
      <c r="I74" s="349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</row>
    <row r="75" spans="2:30" x14ac:dyDescent="0.2">
      <c r="D75" s="2"/>
      <c r="E75" s="349"/>
      <c r="F75" s="349"/>
      <c r="G75" s="349"/>
      <c r="H75" s="349"/>
      <c r="I75" s="349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</row>
    <row r="76" spans="2:30" x14ac:dyDescent="0.2">
      <c r="D76" s="2"/>
      <c r="E76" s="349"/>
      <c r="F76" s="349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</row>
    <row r="77" spans="2:30" x14ac:dyDescent="0.2">
      <c r="D77" s="2"/>
      <c r="E77" s="349"/>
      <c r="F77" s="349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</row>
    <row r="78" spans="2:30" x14ac:dyDescent="0.2">
      <c r="D78" s="2"/>
      <c r="E78" s="349"/>
      <c r="F78" s="349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</row>
    <row r="79" spans="2:30" x14ac:dyDescent="0.2">
      <c r="D79" s="2"/>
      <c r="E79" s="349"/>
      <c r="F79" s="349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</row>
    <row r="80" spans="2:30" x14ac:dyDescent="0.2">
      <c r="D80" s="2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</row>
    <row r="81" spans="2:29" x14ac:dyDescent="0.2">
      <c r="D81" s="2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50"/>
    </row>
    <row r="82" spans="2:29" x14ac:dyDescent="0.2">
      <c r="B82" s="3"/>
    </row>
    <row r="83" spans="2:29" x14ac:dyDescent="0.2">
      <c r="B83" s="3"/>
      <c r="D83" s="2"/>
    </row>
    <row r="84" spans="2:29" x14ac:dyDescent="0.2">
      <c r="D84" s="2"/>
      <c r="E84" s="349"/>
      <c r="F84" s="349"/>
      <c r="G84" s="349"/>
      <c r="H84" s="349"/>
      <c r="I84" s="349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</row>
    <row r="85" spans="2:29" x14ac:dyDescent="0.2">
      <c r="D85" s="2"/>
      <c r="E85" s="349"/>
      <c r="F85" s="349"/>
      <c r="G85" s="349"/>
      <c r="H85" s="349"/>
      <c r="I85" s="349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  <c r="AA85" s="350"/>
      <c r="AB85" s="350"/>
      <c r="AC85" s="350"/>
    </row>
    <row r="86" spans="2:29" x14ac:dyDescent="0.2">
      <c r="D86" s="2"/>
      <c r="E86" s="343"/>
      <c r="F86" s="343"/>
      <c r="G86" s="343"/>
      <c r="H86" s="349"/>
      <c r="I86" s="349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0"/>
      <c r="Z86" s="350"/>
      <c r="AA86" s="350"/>
      <c r="AB86" s="350"/>
      <c r="AC86" s="350"/>
    </row>
    <row r="87" spans="2:29" x14ac:dyDescent="0.2">
      <c r="D87" s="2"/>
      <c r="E87" s="343"/>
      <c r="F87" s="343"/>
      <c r="G87" s="343"/>
      <c r="H87" s="349"/>
      <c r="I87" s="349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</row>
    <row r="88" spans="2:29" x14ac:dyDescent="0.2">
      <c r="D88" s="2"/>
      <c r="E88" s="343"/>
      <c r="F88" s="343"/>
      <c r="G88" s="343"/>
      <c r="H88" s="349"/>
      <c r="I88" s="349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  <c r="AA88" s="350"/>
      <c r="AB88" s="350"/>
      <c r="AC88" s="350"/>
    </row>
    <row r="89" spans="2:29" x14ac:dyDescent="0.2">
      <c r="D89" s="2"/>
      <c r="E89" s="343"/>
      <c r="F89" s="343"/>
      <c r="G89" s="343"/>
      <c r="H89" s="349"/>
      <c r="I89" s="349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350"/>
      <c r="AC89" s="350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F338-C1D7-4414-9B06-D68F59E93378}">
  <sheetPr codeName="Sheet10">
    <tabColor rgb="FFFFFF00"/>
  </sheetPr>
  <dimension ref="A1:AI87"/>
  <sheetViews>
    <sheetView showGridLines="0" zoomScale="85" zoomScaleNormal="85"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16.125" style="1" customWidth="1"/>
    <col min="3" max="3" width="12.125" style="1" customWidth="1"/>
    <col min="4" max="4" width="38.625" style="1" customWidth="1"/>
    <col min="5" max="5" width="14.375" style="1" customWidth="1"/>
    <col min="6" max="6" width="11.125" style="1" customWidth="1"/>
    <col min="7" max="17" width="11.75" style="1" customWidth="1"/>
    <col min="18" max="22" width="14.25" style="1" customWidth="1"/>
    <col min="23" max="23" width="14.5" style="1" customWidth="1"/>
    <col min="24" max="25" width="12.25" style="1" customWidth="1"/>
    <col min="26" max="26" width="10.125" style="1" customWidth="1"/>
    <col min="27" max="28" width="11.375" style="1" customWidth="1"/>
    <col min="29" max="29" width="10.75" style="1" customWidth="1"/>
    <col min="30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.75" x14ac:dyDescent="0.3">
      <c r="A2" s="56" t="str">
        <f>proj</f>
        <v>Horsham REFCL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.75" x14ac:dyDescent="0.3">
      <c r="A3" s="5" t="s">
        <v>268</v>
      </c>
      <c r="B3" s="330"/>
      <c r="C3" s="5"/>
      <c r="D3" s="5"/>
    </row>
    <row r="5" spans="1:29" ht="15" x14ac:dyDescent="0.2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</row>
    <row r="7" spans="1:29" x14ac:dyDescent="0.2">
      <c r="D7" s="2" t="s">
        <v>304</v>
      </c>
      <c r="E7" s="370">
        <v>2</v>
      </c>
      <c r="G7" s="1">
        <v>1.0747480374538934</v>
      </c>
      <c r="H7" s="1" t="s">
        <v>269</v>
      </c>
    </row>
    <row r="8" spans="1:29" x14ac:dyDescent="0.2">
      <c r="D8" s="2" t="s">
        <v>303</v>
      </c>
      <c r="E8" s="1">
        <f>Misc_calcs!$M$15/Misc_calcs!$J$15</f>
        <v>1.0747480374538936</v>
      </c>
      <c r="G8" s="1">
        <v>1.0349829351535835</v>
      </c>
      <c r="H8" s="1" t="s">
        <v>270</v>
      </c>
    </row>
    <row r="10" spans="1:29" s="338" customFormat="1" x14ac:dyDescent="0.2">
      <c r="B10" s="339" t="s">
        <v>246</v>
      </c>
      <c r="D10" s="340"/>
    </row>
    <row r="12" spans="1:29" x14ac:dyDescent="0.2">
      <c r="D12" s="358" t="s">
        <v>271</v>
      </c>
    </row>
    <row r="13" spans="1:29" x14ac:dyDescent="0.2">
      <c r="D13" s="2" t="s">
        <v>272</v>
      </c>
      <c r="E13" s="310">
        <v>2001968</v>
      </c>
      <c r="F13" s="210">
        <v>44742</v>
      </c>
      <c r="G13" s="234" t="s">
        <v>295</v>
      </c>
    </row>
    <row r="14" spans="1:29" x14ac:dyDescent="0.2">
      <c r="D14" s="2" t="s">
        <v>272</v>
      </c>
      <c r="E14" s="160">
        <f>E13*$E$8</f>
        <v>2151611.1790454965</v>
      </c>
      <c r="F14" s="210">
        <f>input_dollars</f>
        <v>45291</v>
      </c>
    </row>
    <row r="15" spans="1:29" x14ac:dyDescent="0.2">
      <c r="D15" s="2"/>
      <c r="E15" s="359"/>
    </row>
    <row r="16" spans="1:29" x14ac:dyDescent="0.2">
      <c r="D16" s="358" t="s">
        <v>273</v>
      </c>
    </row>
    <row r="17" spans="2:29" x14ac:dyDescent="0.2">
      <c r="D17" s="2" t="s">
        <v>274</v>
      </c>
      <c r="E17" s="371">
        <f>59182+630</f>
        <v>59812</v>
      </c>
      <c r="F17" s="210" t="s">
        <v>260</v>
      </c>
      <c r="G17" s="234"/>
    </row>
    <row r="18" spans="2:29" x14ac:dyDescent="0.2">
      <c r="D18" s="364" t="s">
        <v>296</v>
      </c>
      <c r="E18" s="372">
        <f>1/1</f>
        <v>1</v>
      </c>
      <c r="F18" s="1" t="s">
        <v>297</v>
      </c>
    </row>
    <row r="19" spans="2:29" x14ac:dyDescent="0.2">
      <c r="D19" s="2" t="s">
        <v>149</v>
      </c>
      <c r="E19" s="160">
        <f>Assumptions!$G$70</f>
        <v>5607473.5197347086</v>
      </c>
      <c r="F19" s="210">
        <f>input_dollars</f>
        <v>45291</v>
      </c>
    </row>
    <row r="20" spans="2:29" x14ac:dyDescent="0.2">
      <c r="D20" s="2" t="s">
        <v>275</v>
      </c>
      <c r="E20" s="367">
        <f>Assumptions!G59</f>
        <v>3</v>
      </c>
    </row>
    <row r="21" spans="2:29" x14ac:dyDescent="0.2">
      <c r="D21" s="2" t="s">
        <v>276</v>
      </c>
      <c r="E21" s="160">
        <f>E20*E19*E18/E17</f>
        <v>281.25494147000808</v>
      </c>
      <c r="F21" s="365" t="s">
        <v>301</v>
      </c>
    </row>
    <row r="22" spans="2:29" x14ac:dyDescent="0.2">
      <c r="D22" s="2" t="s">
        <v>277</v>
      </c>
      <c r="E22" s="369">
        <f>Workings_costs!E27</f>
        <v>1390</v>
      </c>
      <c r="F22" s="210" t="s">
        <v>260</v>
      </c>
      <c r="G22" s="348"/>
    </row>
    <row r="23" spans="2:29" x14ac:dyDescent="0.2">
      <c r="D23" s="2" t="s">
        <v>278</v>
      </c>
      <c r="E23" s="160">
        <f>E21*E22</f>
        <v>390944.3686433112</v>
      </c>
      <c r="F23" s="210">
        <f>input_dollars</f>
        <v>45291</v>
      </c>
    </row>
    <row r="25" spans="2:29" x14ac:dyDescent="0.2">
      <c r="E25" s="344" t="s">
        <v>19</v>
      </c>
      <c r="F25" s="344" t="str">
        <f t="shared" ref="F25:AC25" si="0">LEFT(E25,4)+1&amp;"-"&amp;RIGHT(E25,2)+1</f>
        <v>2027-28</v>
      </c>
      <c r="G25" s="344" t="str">
        <f t="shared" si="0"/>
        <v>2028-29</v>
      </c>
      <c r="H25" s="344" t="str">
        <f t="shared" si="0"/>
        <v>2029-30</v>
      </c>
      <c r="I25" s="344" t="str">
        <f t="shared" si="0"/>
        <v>2030-31</v>
      </c>
      <c r="J25" s="344" t="str">
        <f t="shared" si="0"/>
        <v>2031-32</v>
      </c>
      <c r="K25" s="344" t="str">
        <f t="shared" si="0"/>
        <v>2032-33</v>
      </c>
      <c r="L25" s="344" t="str">
        <f t="shared" si="0"/>
        <v>2033-34</v>
      </c>
      <c r="M25" s="344" t="str">
        <f t="shared" si="0"/>
        <v>2034-35</v>
      </c>
      <c r="N25" s="344" t="str">
        <f t="shared" si="0"/>
        <v>2035-36</v>
      </c>
      <c r="O25" s="344" t="str">
        <f t="shared" si="0"/>
        <v>2036-37</v>
      </c>
      <c r="P25" s="344" t="str">
        <f t="shared" si="0"/>
        <v>2037-38</v>
      </c>
      <c r="Q25" s="344" t="str">
        <f t="shared" si="0"/>
        <v>2038-39</v>
      </c>
      <c r="R25" s="344" t="str">
        <f t="shared" si="0"/>
        <v>2039-40</v>
      </c>
      <c r="S25" s="344" t="str">
        <f t="shared" si="0"/>
        <v>2040-41</v>
      </c>
      <c r="T25" s="344" t="str">
        <f t="shared" si="0"/>
        <v>2041-42</v>
      </c>
      <c r="U25" s="344" t="str">
        <f t="shared" si="0"/>
        <v>2042-43</v>
      </c>
      <c r="V25" s="344" t="str">
        <f t="shared" si="0"/>
        <v>2043-44</v>
      </c>
      <c r="W25" s="344" t="str">
        <f t="shared" si="0"/>
        <v>2044-45</v>
      </c>
      <c r="X25" s="344" t="str">
        <f t="shared" si="0"/>
        <v>2045-46</v>
      </c>
      <c r="Y25" s="344" t="str">
        <f t="shared" si="0"/>
        <v>2046-47</v>
      </c>
      <c r="Z25" s="344" t="str">
        <f t="shared" si="0"/>
        <v>2047-48</v>
      </c>
      <c r="AA25" s="344" t="str">
        <f t="shared" si="0"/>
        <v>2048-49</v>
      </c>
      <c r="AB25" s="344" t="str">
        <f t="shared" si="0"/>
        <v>2049-50</v>
      </c>
      <c r="AC25" s="344" t="str">
        <f t="shared" si="0"/>
        <v>2050-51</v>
      </c>
    </row>
    <row r="26" spans="2:29" x14ac:dyDescent="0.2">
      <c r="D26" s="2" t="s">
        <v>271</v>
      </c>
      <c r="E26" s="373">
        <f>$E$14</f>
        <v>2151611.1790454965</v>
      </c>
      <c r="F26" s="373">
        <f t="shared" ref="F26:AC26" si="1">$E$14</f>
        <v>2151611.1790454965</v>
      </c>
      <c r="G26" s="373">
        <f t="shared" si="1"/>
        <v>2151611.1790454965</v>
      </c>
      <c r="H26" s="373">
        <f t="shared" si="1"/>
        <v>2151611.1790454965</v>
      </c>
      <c r="I26" s="373">
        <f t="shared" si="1"/>
        <v>2151611.1790454965</v>
      </c>
      <c r="J26" s="373">
        <f t="shared" si="1"/>
        <v>2151611.1790454965</v>
      </c>
      <c r="K26" s="373">
        <f t="shared" si="1"/>
        <v>2151611.1790454965</v>
      </c>
      <c r="L26" s="373">
        <f t="shared" si="1"/>
        <v>2151611.1790454965</v>
      </c>
      <c r="M26" s="373">
        <f t="shared" si="1"/>
        <v>2151611.1790454965</v>
      </c>
      <c r="N26" s="373">
        <f t="shared" si="1"/>
        <v>2151611.1790454965</v>
      </c>
      <c r="O26" s="373">
        <f t="shared" si="1"/>
        <v>2151611.1790454965</v>
      </c>
      <c r="P26" s="373">
        <f t="shared" si="1"/>
        <v>2151611.1790454965</v>
      </c>
      <c r="Q26" s="373">
        <f t="shared" si="1"/>
        <v>2151611.1790454965</v>
      </c>
      <c r="R26" s="373">
        <f t="shared" si="1"/>
        <v>2151611.1790454965</v>
      </c>
      <c r="S26" s="373">
        <f t="shared" si="1"/>
        <v>2151611.1790454965</v>
      </c>
      <c r="T26" s="373">
        <f t="shared" si="1"/>
        <v>2151611.1790454965</v>
      </c>
      <c r="U26" s="373">
        <f t="shared" si="1"/>
        <v>2151611.1790454965</v>
      </c>
      <c r="V26" s="373">
        <f t="shared" si="1"/>
        <v>2151611.1790454965</v>
      </c>
      <c r="W26" s="373">
        <f t="shared" si="1"/>
        <v>2151611.1790454965</v>
      </c>
      <c r="X26" s="373">
        <f t="shared" si="1"/>
        <v>2151611.1790454965</v>
      </c>
      <c r="Y26" s="373">
        <f t="shared" si="1"/>
        <v>2151611.1790454965</v>
      </c>
      <c r="Z26" s="373">
        <f t="shared" si="1"/>
        <v>2151611.1790454965</v>
      </c>
      <c r="AA26" s="373">
        <f t="shared" si="1"/>
        <v>2151611.1790454965</v>
      </c>
      <c r="AB26" s="373">
        <f t="shared" si="1"/>
        <v>2151611.1790454965</v>
      </c>
      <c r="AC26" s="373">
        <f t="shared" si="1"/>
        <v>2151611.1790454965</v>
      </c>
    </row>
    <row r="27" spans="2:29" x14ac:dyDescent="0.2">
      <c r="D27" s="2" t="s">
        <v>279</v>
      </c>
      <c r="E27" s="373">
        <f>$E$23</f>
        <v>390944.3686433112</v>
      </c>
      <c r="F27" s="373">
        <f t="shared" ref="F27:AC27" si="2">$E$23</f>
        <v>390944.3686433112</v>
      </c>
      <c r="G27" s="373">
        <f t="shared" si="2"/>
        <v>390944.3686433112</v>
      </c>
      <c r="H27" s="373">
        <f t="shared" si="2"/>
        <v>390944.3686433112</v>
      </c>
      <c r="I27" s="373">
        <f t="shared" si="2"/>
        <v>390944.3686433112</v>
      </c>
      <c r="J27" s="373">
        <f t="shared" si="2"/>
        <v>390944.3686433112</v>
      </c>
      <c r="K27" s="373">
        <f t="shared" si="2"/>
        <v>390944.3686433112</v>
      </c>
      <c r="L27" s="373">
        <f t="shared" si="2"/>
        <v>390944.3686433112</v>
      </c>
      <c r="M27" s="373">
        <f t="shared" si="2"/>
        <v>390944.3686433112</v>
      </c>
      <c r="N27" s="373">
        <f t="shared" si="2"/>
        <v>390944.3686433112</v>
      </c>
      <c r="O27" s="373">
        <f t="shared" si="2"/>
        <v>390944.3686433112</v>
      </c>
      <c r="P27" s="373">
        <f t="shared" si="2"/>
        <v>390944.3686433112</v>
      </c>
      <c r="Q27" s="373">
        <f t="shared" si="2"/>
        <v>390944.3686433112</v>
      </c>
      <c r="R27" s="373">
        <f t="shared" si="2"/>
        <v>390944.3686433112</v>
      </c>
      <c r="S27" s="373">
        <f t="shared" si="2"/>
        <v>390944.3686433112</v>
      </c>
      <c r="T27" s="373">
        <f t="shared" si="2"/>
        <v>390944.3686433112</v>
      </c>
      <c r="U27" s="373">
        <f t="shared" si="2"/>
        <v>390944.3686433112</v>
      </c>
      <c r="V27" s="373">
        <f t="shared" si="2"/>
        <v>390944.3686433112</v>
      </c>
      <c r="W27" s="373">
        <f t="shared" si="2"/>
        <v>390944.3686433112</v>
      </c>
      <c r="X27" s="373">
        <f t="shared" si="2"/>
        <v>390944.3686433112</v>
      </c>
      <c r="Y27" s="373">
        <f t="shared" si="2"/>
        <v>390944.3686433112</v>
      </c>
      <c r="Z27" s="373">
        <f t="shared" si="2"/>
        <v>390944.3686433112</v>
      </c>
      <c r="AA27" s="373">
        <f t="shared" si="2"/>
        <v>390944.3686433112</v>
      </c>
      <c r="AB27" s="373">
        <f t="shared" si="2"/>
        <v>390944.3686433112</v>
      </c>
      <c r="AC27" s="373">
        <f t="shared" si="2"/>
        <v>390944.3686433112</v>
      </c>
    </row>
    <row r="30" spans="2:29" s="338" customFormat="1" x14ac:dyDescent="0.2">
      <c r="B30" s="339" t="s">
        <v>280</v>
      </c>
      <c r="D30" s="340"/>
    </row>
    <row r="32" spans="2:29" x14ac:dyDescent="0.2">
      <c r="D32" s="358" t="s">
        <v>271</v>
      </c>
    </row>
    <row r="33" spans="2:29" x14ac:dyDescent="0.2">
      <c r="D33" s="2" t="s">
        <v>298</v>
      </c>
      <c r="E33" s="360">
        <v>0.5</v>
      </c>
    </row>
    <row r="34" spans="2:29" x14ac:dyDescent="0.2">
      <c r="D34" s="2" t="s">
        <v>282</v>
      </c>
      <c r="E34" s="368">
        <f>$E$14*(1-E33)</f>
        <v>1075805.5895227483</v>
      </c>
      <c r="F34" s="210">
        <f>input_dollars</f>
        <v>45291</v>
      </c>
      <c r="G34" s="234" t="s">
        <v>300</v>
      </c>
    </row>
    <row r="35" spans="2:29" x14ac:dyDescent="0.2">
      <c r="D35" s="2" t="s">
        <v>282</v>
      </c>
      <c r="E35" s="368">
        <f>E14-E34</f>
        <v>1075805.5895227483</v>
      </c>
      <c r="F35" s="210">
        <f>input_dollars</f>
        <v>45291</v>
      </c>
      <c r="G35" s="361"/>
    </row>
    <row r="37" spans="2:29" x14ac:dyDescent="0.2">
      <c r="D37" s="358" t="s">
        <v>273</v>
      </c>
    </row>
    <row r="38" spans="2:29" x14ac:dyDescent="0.2">
      <c r="D38" s="2" t="s">
        <v>299</v>
      </c>
      <c r="E38" s="362">
        <f>98%*32%</f>
        <v>0.31359999999999999</v>
      </c>
      <c r="G38" s="234" t="s">
        <v>284</v>
      </c>
    </row>
    <row r="39" spans="2:29" x14ac:dyDescent="0.2">
      <c r="D39" s="2" t="s">
        <v>285</v>
      </c>
      <c r="E39" s="368">
        <f>(1-$E$38)*$E$23</f>
        <v>268344.2146367688</v>
      </c>
      <c r="F39" s="210">
        <f>input_dollars</f>
        <v>45291</v>
      </c>
      <c r="G39" s="343"/>
    </row>
    <row r="41" spans="2:29" x14ac:dyDescent="0.2">
      <c r="E41" s="1" t="s">
        <v>286</v>
      </c>
    </row>
    <row r="42" spans="2:29" x14ac:dyDescent="0.2">
      <c r="E42" s="344" t="s">
        <v>19</v>
      </c>
      <c r="F42" s="344" t="str">
        <f t="shared" ref="F42:AC42" si="3">LEFT(E42,4)+1&amp;"-"&amp;RIGHT(E42,2)+1</f>
        <v>2027-28</v>
      </c>
      <c r="G42" s="344" t="str">
        <f t="shared" si="3"/>
        <v>2028-29</v>
      </c>
      <c r="H42" s="344" t="str">
        <f t="shared" si="3"/>
        <v>2029-30</v>
      </c>
      <c r="I42" s="344" t="str">
        <f t="shared" si="3"/>
        <v>2030-31</v>
      </c>
      <c r="J42" s="344" t="str">
        <f t="shared" si="3"/>
        <v>2031-32</v>
      </c>
      <c r="K42" s="344" t="str">
        <f t="shared" si="3"/>
        <v>2032-33</v>
      </c>
      <c r="L42" s="344" t="str">
        <f t="shared" si="3"/>
        <v>2033-34</v>
      </c>
      <c r="M42" s="344" t="str">
        <f t="shared" si="3"/>
        <v>2034-35</v>
      </c>
      <c r="N42" s="344" t="str">
        <f t="shared" si="3"/>
        <v>2035-36</v>
      </c>
      <c r="O42" s="344" t="str">
        <f t="shared" si="3"/>
        <v>2036-37</v>
      </c>
      <c r="P42" s="344" t="str">
        <f t="shared" si="3"/>
        <v>2037-38</v>
      </c>
      <c r="Q42" s="344" t="str">
        <f t="shared" si="3"/>
        <v>2038-39</v>
      </c>
      <c r="R42" s="344" t="str">
        <f t="shared" si="3"/>
        <v>2039-40</v>
      </c>
      <c r="S42" s="344" t="str">
        <f t="shared" si="3"/>
        <v>2040-41</v>
      </c>
      <c r="T42" s="344" t="str">
        <f t="shared" si="3"/>
        <v>2041-42</v>
      </c>
      <c r="U42" s="344" t="str">
        <f t="shared" si="3"/>
        <v>2042-43</v>
      </c>
      <c r="V42" s="344" t="str">
        <f t="shared" si="3"/>
        <v>2043-44</v>
      </c>
      <c r="W42" s="344" t="str">
        <f t="shared" si="3"/>
        <v>2044-45</v>
      </c>
      <c r="X42" s="344" t="str">
        <f t="shared" si="3"/>
        <v>2045-46</v>
      </c>
      <c r="Y42" s="344" t="str">
        <f t="shared" si="3"/>
        <v>2046-47</v>
      </c>
      <c r="Z42" s="344" t="str">
        <f t="shared" si="3"/>
        <v>2047-48</v>
      </c>
      <c r="AA42" s="344" t="str">
        <f t="shared" si="3"/>
        <v>2048-49</v>
      </c>
      <c r="AB42" s="344" t="str">
        <f t="shared" si="3"/>
        <v>2049-50</v>
      </c>
      <c r="AC42" s="344" t="str">
        <f t="shared" si="3"/>
        <v>2050-51</v>
      </c>
    </row>
    <row r="43" spans="2:29" x14ac:dyDescent="0.2">
      <c r="D43" s="2" t="s">
        <v>309</v>
      </c>
      <c r="E43" s="161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1</v>
      </c>
      <c r="K43" s="161">
        <v>1</v>
      </c>
      <c r="L43" s="161">
        <v>1</v>
      </c>
      <c r="M43" s="161">
        <v>1</v>
      </c>
      <c r="N43" s="161">
        <v>1</v>
      </c>
      <c r="O43" s="161">
        <v>1</v>
      </c>
      <c r="P43" s="161">
        <v>1</v>
      </c>
      <c r="Q43" s="161">
        <v>1</v>
      </c>
      <c r="R43" s="161">
        <v>1</v>
      </c>
      <c r="S43" s="161">
        <v>1</v>
      </c>
      <c r="T43" s="161">
        <v>1</v>
      </c>
      <c r="U43" s="161">
        <v>1</v>
      </c>
      <c r="V43" s="161">
        <v>1</v>
      </c>
      <c r="W43" s="161">
        <v>1</v>
      </c>
      <c r="X43" s="161">
        <v>1</v>
      </c>
      <c r="Y43" s="161">
        <v>1</v>
      </c>
      <c r="Z43" s="161">
        <v>1</v>
      </c>
      <c r="AA43" s="161">
        <v>1</v>
      </c>
      <c r="AB43" s="161">
        <v>1</v>
      </c>
      <c r="AC43" s="161">
        <v>1</v>
      </c>
    </row>
    <row r="44" spans="2:29" x14ac:dyDescent="0.2">
      <c r="D44" s="2" t="s">
        <v>271</v>
      </c>
      <c r="E44" s="373">
        <f t="shared" ref="E44:I45" si="4">E26</f>
        <v>2151611.1790454965</v>
      </c>
      <c r="F44" s="373">
        <f t="shared" si="4"/>
        <v>2151611.1790454965</v>
      </c>
      <c r="G44" s="373">
        <f t="shared" si="4"/>
        <v>2151611.1790454965</v>
      </c>
      <c r="H44" s="373">
        <f t="shared" si="4"/>
        <v>2151611.1790454965</v>
      </c>
      <c r="I44" s="373">
        <f t="shared" si="4"/>
        <v>2151611.1790454965</v>
      </c>
      <c r="J44" s="373">
        <f>I44-E34</f>
        <v>1075805.5895227483</v>
      </c>
      <c r="K44" s="373">
        <f>J44</f>
        <v>1075805.5895227483</v>
      </c>
      <c r="L44" s="373">
        <f t="shared" ref="L44:AC44" si="5">K44</f>
        <v>1075805.5895227483</v>
      </c>
      <c r="M44" s="373">
        <f t="shared" si="5"/>
        <v>1075805.5895227483</v>
      </c>
      <c r="N44" s="373">
        <f t="shared" si="5"/>
        <v>1075805.5895227483</v>
      </c>
      <c r="O44" s="373">
        <f t="shared" si="5"/>
        <v>1075805.5895227483</v>
      </c>
      <c r="P44" s="373">
        <f t="shared" si="5"/>
        <v>1075805.5895227483</v>
      </c>
      <c r="Q44" s="373">
        <f t="shared" si="5"/>
        <v>1075805.5895227483</v>
      </c>
      <c r="R44" s="373">
        <f t="shared" si="5"/>
        <v>1075805.5895227483</v>
      </c>
      <c r="S44" s="373">
        <f t="shared" si="5"/>
        <v>1075805.5895227483</v>
      </c>
      <c r="T44" s="373">
        <f t="shared" si="5"/>
        <v>1075805.5895227483</v>
      </c>
      <c r="U44" s="373">
        <f t="shared" si="5"/>
        <v>1075805.5895227483</v>
      </c>
      <c r="V44" s="373">
        <f t="shared" si="5"/>
        <v>1075805.5895227483</v>
      </c>
      <c r="W44" s="373">
        <f t="shared" si="5"/>
        <v>1075805.5895227483</v>
      </c>
      <c r="X44" s="373">
        <f t="shared" si="5"/>
        <v>1075805.5895227483</v>
      </c>
      <c r="Y44" s="373">
        <f t="shared" si="5"/>
        <v>1075805.5895227483</v>
      </c>
      <c r="Z44" s="373">
        <f t="shared" si="5"/>
        <v>1075805.5895227483</v>
      </c>
      <c r="AA44" s="373">
        <f t="shared" si="5"/>
        <v>1075805.5895227483</v>
      </c>
      <c r="AB44" s="373">
        <f t="shared" si="5"/>
        <v>1075805.5895227483</v>
      </c>
      <c r="AC44" s="373">
        <f t="shared" si="5"/>
        <v>1075805.5895227483</v>
      </c>
    </row>
    <row r="45" spans="2:29" x14ac:dyDescent="0.2">
      <c r="D45" s="2" t="s">
        <v>279</v>
      </c>
      <c r="E45" s="373">
        <f t="shared" si="4"/>
        <v>390944.3686433112</v>
      </c>
      <c r="F45" s="373">
        <f t="shared" si="4"/>
        <v>390944.3686433112</v>
      </c>
      <c r="G45" s="373">
        <f t="shared" si="4"/>
        <v>390944.3686433112</v>
      </c>
      <c r="H45" s="373">
        <f t="shared" si="4"/>
        <v>390944.3686433112</v>
      </c>
      <c r="I45" s="373">
        <f t="shared" si="4"/>
        <v>390944.3686433112</v>
      </c>
      <c r="J45" s="373">
        <f>$E$39</f>
        <v>268344.2146367688</v>
      </c>
      <c r="K45" s="373">
        <f t="shared" ref="K45:AC45" si="6">$E$39</f>
        <v>268344.2146367688</v>
      </c>
      <c r="L45" s="373">
        <f t="shared" si="6"/>
        <v>268344.2146367688</v>
      </c>
      <c r="M45" s="373">
        <f t="shared" si="6"/>
        <v>268344.2146367688</v>
      </c>
      <c r="N45" s="373">
        <f t="shared" si="6"/>
        <v>268344.2146367688</v>
      </c>
      <c r="O45" s="373">
        <f t="shared" si="6"/>
        <v>268344.2146367688</v>
      </c>
      <c r="P45" s="373">
        <f t="shared" si="6"/>
        <v>268344.2146367688</v>
      </c>
      <c r="Q45" s="373">
        <f t="shared" si="6"/>
        <v>268344.2146367688</v>
      </c>
      <c r="R45" s="373">
        <f t="shared" si="6"/>
        <v>268344.2146367688</v>
      </c>
      <c r="S45" s="373">
        <f t="shared" si="6"/>
        <v>268344.2146367688</v>
      </c>
      <c r="T45" s="373">
        <f t="shared" si="6"/>
        <v>268344.2146367688</v>
      </c>
      <c r="U45" s="373">
        <f t="shared" si="6"/>
        <v>268344.2146367688</v>
      </c>
      <c r="V45" s="373">
        <f t="shared" si="6"/>
        <v>268344.2146367688</v>
      </c>
      <c r="W45" s="373">
        <f t="shared" si="6"/>
        <v>268344.2146367688</v>
      </c>
      <c r="X45" s="373">
        <f t="shared" si="6"/>
        <v>268344.2146367688</v>
      </c>
      <c r="Y45" s="373">
        <f t="shared" si="6"/>
        <v>268344.2146367688</v>
      </c>
      <c r="Z45" s="373">
        <f t="shared" si="6"/>
        <v>268344.2146367688</v>
      </c>
      <c r="AA45" s="373">
        <f t="shared" si="6"/>
        <v>268344.2146367688</v>
      </c>
      <c r="AB45" s="373">
        <f t="shared" si="6"/>
        <v>268344.2146367688</v>
      </c>
      <c r="AC45" s="373">
        <f t="shared" si="6"/>
        <v>268344.2146367688</v>
      </c>
    </row>
    <row r="48" spans="2:29" s="338" customFormat="1" x14ac:dyDescent="0.2">
      <c r="B48" s="339" t="s">
        <v>258</v>
      </c>
      <c r="D48" s="345"/>
    </row>
    <row r="50" spans="4:30" x14ac:dyDescent="0.2">
      <c r="D50" s="358" t="s">
        <v>271</v>
      </c>
    </row>
    <row r="51" spans="4:30" x14ac:dyDescent="0.2">
      <c r="D51" s="2" t="s">
        <v>307</v>
      </c>
      <c r="E51" s="363">
        <v>0.98</v>
      </c>
      <c r="G51" s="234" t="s">
        <v>308</v>
      </c>
    </row>
    <row r="52" spans="4:30" x14ac:dyDescent="0.2">
      <c r="D52" s="2" t="s">
        <v>281</v>
      </c>
      <c r="E52" s="368">
        <f>E14*$E$51</f>
        <v>2108578.9554645866</v>
      </c>
      <c r="F52" s="210">
        <f>input_dollars</f>
        <v>45291</v>
      </c>
    </row>
    <row r="53" spans="4:30" hidden="1" x14ac:dyDescent="0.2">
      <c r="D53" s="2" t="s">
        <v>282</v>
      </c>
      <c r="E53" s="343">
        <f>E14-E52</f>
        <v>43032.223580909893</v>
      </c>
      <c r="F53" s="1" t="s">
        <v>251</v>
      </c>
    </row>
    <row r="55" spans="4:30" x14ac:dyDescent="0.2">
      <c r="D55" s="358" t="s">
        <v>273</v>
      </c>
    </row>
    <row r="56" spans="4:30" x14ac:dyDescent="0.2">
      <c r="D56" s="2" t="s">
        <v>287</v>
      </c>
      <c r="E56" s="363">
        <v>0.8</v>
      </c>
      <c r="F56" s="170"/>
      <c r="G56" s="234" t="s">
        <v>302</v>
      </c>
    </row>
    <row r="57" spans="4:30" x14ac:dyDescent="0.2">
      <c r="D57" s="2" t="s">
        <v>285</v>
      </c>
      <c r="E57" s="368">
        <f>E56*E23</f>
        <v>312755.494914649</v>
      </c>
      <c r="F57" s="210">
        <f>input_dollars</f>
        <v>45291</v>
      </c>
    </row>
    <row r="59" spans="4:30" x14ac:dyDescent="0.2">
      <c r="D59" s="2" t="s">
        <v>304</v>
      </c>
      <c r="E59" s="367">
        <v>2</v>
      </c>
    </row>
    <row r="60" spans="4:30" x14ac:dyDescent="0.2">
      <c r="D60" s="2" t="s">
        <v>288</v>
      </c>
      <c r="E60" s="368">
        <f>$E$52/E59</f>
        <v>1054289.4777322933</v>
      </c>
      <c r="F60" s="210">
        <f>input_dollars</f>
        <v>45291</v>
      </c>
    </row>
    <row r="61" spans="4:30" x14ac:dyDescent="0.2">
      <c r="D61" s="2" t="s">
        <v>289</v>
      </c>
      <c r="E61" s="368">
        <f>($E$23-E57)/$E$59</f>
        <v>39094.436864331103</v>
      </c>
      <c r="F61" s="210">
        <f>input_dollars</f>
        <v>45291</v>
      </c>
    </row>
    <row r="63" spans="4:30" x14ac:dyDescent="0.2">
      <c r="E63" s="1" t="s">
        <v>286</v>
      </c>
    </row>
    <row r="64" spans="4:30" x14ac:dyDescent="0.2">
      <c r="E64" s="344" t="s">
        <v>19</v>
      </c>
      <c r="F64" s="344" t="str">
        <f t="shared" ref="F64:AC64" si="7">LEFT(E64,4)+1&amp;"-"&amp;RIGHT(E64,2)+1</f>
        <v>2027-28</v>
      </c>
      <c r="G64" s="344" t="str">
        <f t="shared" si="7"/>
        <v>2028-29</v>
      </c>
      <c r="H64" s="344" t="str">
        <f t="shared" si="7"/>
        <v>2029-30</v>
      </c>
      <c r="I64" s="344" t="str">
        <f t="shared" si="7"/>
        <v>2030-31</v>
      </c>
      <c r="J64" s="344" t="str">
        <f t="shared" si="7"/>
        <v>2031-32</v>
      </c>
      <c r="K64" s="344" t="str">
        <f t="shared" si="7"/>
        <v>2032-33</v>
      </c>
      <c r="L64" s="344" t="str">
        <f t="shared" si="7"/>
        <v>2033-34</v>
      </c>
      <c r="M64" s="344" t="str">
        <f t="shared" si="7"/>
        <v>2034-35</v>
      </c>
      <c r="N64" s="344" t="str">
        <f t="shared" si="7"/>
        <v>2035-36</v>
      </c>
      <c r="O64" s="344" t="str">
        <f t="shared" si="7"/>
        <v>2036-37</v>
      </c>
      <c r="P64" s="344" t="str">
        <f t="shared" si="7"/>
        <v>2037-38</v>
      </c>
      <c r="Q64" s="344" t="str">
        <f t="shared" si="7"/>
        <v>2038-39</v>
      </c>
      <c r="R64" s="344" t="str">
        <f t="shared" si="7"/>
        <v>2039-40</v>
      </c>
      <c r="S64" s="344" t="str">
        <f t="shared" si="7"/>
        <v>2040-41</v>
      </c>
      <c r="T64" s="344" t="str">
        <f t="shared" si="7"/>
        <v>2041-42</v>
      </c>
      <c r="U64" s="344" t="str">
        <f t="shared" si="7"/>
        <v>2042-43</v>
      </c>
      <c r="V64" s="344" t="str">
        <f t="shared" si="7"/>
        <v>2043-44</v>
      </c>
      <c r="W64" s="344" t="str">
        <f t="shared" si="7"/>
        <v>2044-45</v>
      </c>
      <c r="X64" s="344" t="str">
        <f t="shared" si="7"/>
        <v>2045-46</v>
      </c>
      <c r="Y64" s="344" t="str">
        <f t="shared" si="7"/>
        <v>2046-47</v>
      </c>
      <c r="Z64" s="344" t="str">
        <f t="shared" si="7"/>
        <v>2047-48</v>
      </c>
      <c r="AA64" s="344" t="str">
        <f t="shared" si="7"/>
        <v>2048-49</v>
      </c>
      <c r="AB64" s="344" t="str">
        <f t="shared" si="7"/>
        <v>2049-50</v>
      </c>
      <c r="AC64" s="344" t="str">
        <f t="shared" si="7"/>
        <v>2050-51</v>
      </c>
      <c r="AD64" s="2"/>
    </row>
    <row r="65" spans="2:30" x14ac:dyDescent="0.2">
      <c r="D65" s="2" t="s">
        <v>309</v>
      </c>
      <c r="E65" s="161">
        <v>0</v>
      </c>
      <c r="F65" s="161">
        <v>0</v>
      </c>
      <c r="G65" s="161">
        <v>0</v>
      </c>
      <c r="H65" s="161">
        <v>0.5</v>
      </c>
      <c r="I65" s="161">
        <v>1</v>
      </c>
      <c r="J65" s="161">
        <v>1</v>
      </c>
      <c r="K65" s="161">
        <v>1</v>
      </c>
      <c r="L65" s="161">
        <v>1</v>
      </c>
      <c r="M65" s="161">
        <v>1</v>
      </c>
      <c r="N65" s="161">
        <v>1</v>
      </c>
      <c r="O65" s="161">
        <v>1</v>
      </c>
      <c r="P65" s="161">
        <v>1</v>
      </c>
      <c r="Q65" s="161">
        <v>1</v>
      </c>
      <c r="R65" s="161">
        <v>1</v>
      </c>
      <c r="S65" s="161">
        <v>1</v>
      </c>
      <c r="T65" s="161">
        <v>1</v>
      </c>
      <c r="U65" s="161">
        <v>1</v>
      </c>
      <c r="V65" s="161">
        <v>1</v>
      </c>
      <c r="W65" s="161">
        <v>1</v>
      </c>
      <c r="X65" s="161">
        <v>1</v>
      </c>
      <c r="Y65" s="161">
        <v>1</v>
      </c>
      <c r="Z65" s="161">
        <v>1</v>
      </c>
      <c r="AA65" s="161">
        <v>1</v>
      </c>
      <c r="AB65" s="161">
        <v>1</v>
      </c>
      <c r="AC65" s="161">
        <v>1</v>
      </c>
      <c r="AD65" s="2"/>
    </row>
    <row r="66" spans="2:30" x14ac:dyDescent="0.2">
      <c r="D66" s="2" t="s">
        <v>271</v>
      </c>
      <c r="E66" s="373">
        <f t="shared" ref="E66:AC66" si="8">E26-E$65*$E$52</f>
        <v>2151611.1790454965</v>
      </c>
      <c r="F66" s="373">
        <f t="shared" si="8"/>
        <v>2151611.1790454965</v>
      </c>
      <c r="G66" s="373">
        <f t="shared" si="8"/>
        <v>2151611.1790454965</v>
      </c>
      <c r="H66" s="373">
        <f t="shared" si="8"/>
        <v>1097321.7013132032</v>
      </c>
      <c r="I66" s="373">
        <f t="shared" si="8"/>
        <v>43032.223580909893</v>
      </c>
      <c r="J66" s="373">
        <f t="shared" si="8"/>
        <v>43032.223580909893</v>
      </c>
      <c r="K66" s="373">
        <f t="shared" si="8"/>
        <v>43032.223580909893</v>
      </c>
      <c r="L66" s="373">
        <f t="shared" si="8"/>
        <v>43032.223580909893</v>
      </c>
      <c r="M66" s="373">
        <f t="shared" si="8"/>
        <v>43032.223580909893</v>
      </c>
      <c r="N66" s="373">
        <f t="shared" si="8"/>
        <v>43032.223580909893</v>
      </c>
      <c r="O66" s="373">
        <f t="shared" si="8"/>
        <v>43032.223580909893</v>
      </c>
      <c r="P66" s="373">
        <f t="shared" si="8"/>
        <v>43032.223580909893</v>
      </c>
      <c r="Q66" s="373">
        <f t="shared" si="8"/>
        <v>43032.223580909893</v>
      </c>
      <c r="R66" s="373">
        <f t="shared" si="8"/>
        <v>43032.223580909893</v>
      </c>
      <c r="S66" s="373">
        <f t="shared" si="8"/>
        <v>43032.223580909893</v>
      </c>
      <c r="T66" s="373">
        <f t="shared" si="8"/>
        <v>43032.223580909893</v>
      </c>
      <c r="U66" s="373">
        <f t="shared" si="8"/>
        <v>43032.223580909893</v>
      </c>
      <c r="V66" s="373">
        <f t="shared" si="8"/>
        <v>43032.223580909893</v>
      </c>
      <c r="W66" s="373">
        <f t="shared" si="8"/>
        <v>43032.223580909893</v>
      </c>
      <c r="X66" s="373">
        <f t="shared" si="8"/>
        <v>43032.223580909893</v>
      </c>
      <c r="Y66" s="373">
        <f t="shared" si="8"/>
        <v>43032.223580909893</v>
      </c>
      <c r="Z66" s="373">
        <f t="shared" si="8"/>
        <v>43032.223580909893</v>
      </c>
      <c r="AA66" s="373">
        <f t="shared" si="8"/>
        <v>43032.223580909893</v>
      </c>
      <c r="AB66" s="373">
        <f t="shared" si="8"/>
        <v>43032.223580909893</v>
      </c>
      <c r="AC66" s="373">
        <f t="shared" si="8"/>
        <v>43032.223580909893</v>
      </c>
    </row>
    <row r="67" spans="2:30" x14ac:dyDescent="0.2">
      <c r="D67" s="2" t="s">
        <v>279</v>
      </c>
      <c r="E67" s="373">
        <f t="shared" ref="E67:AC67" si="9">E27-E$65*$E$57</f>
        <v>390944.3686433112</v>
      </c>
      <c r="F67" s="373">
        <f t="shared" si="9"/>
        <v>390944.3686433112</v>
      </c>
      <c r="G67" s="373">
        <f t="shared" si="9"/>
        <v>390944.3686433112</v>
      </c>
      <c r="H67" s="373">
        <f t="shared" si="9"/>
        <v>234566.6211859867</v>
      </c>
      <c r="I67" s="373">
        <f t="shared" si="9"/>
        <v>78188.873728662205</v>
      </c>
      <c r="J67" s="373">
        <f t="shared" si="9"/>
        <v>78188.873728662205</v>
      </c>
      <c r="K67" s="373">
        <f t="shared" si="9"/>
        <v>78188.873728662205</v>
      </c>
      <c r="L67" s="373">
        <f t="shared" si="9"/>
        <v>78188.873728662205</v>
      </c>
      <c r="M67" s="373">
        <f t="shared" si="9"/>
        <v>78188.873728662205</v>
      </c>
      <c r="N67" s="373">
        <f t="shared" si="9"/>
        <v>78188.873728662205</v>
      </c>
      <c r="O67" s="373">
        <f t="shared" si="9"/>
        <v>78188.873728662205</v>
      </c>
      <c r="P67" s="373">
        <f t="shared" si="9"/>
        <v>78188.873728662205</v>
      </c>
      <c r="Q67" s="373">
        <f t="shared" si="9"/>
        <v>78188.873728662205</v>
      </c>
      <c r="R67" s="373">
        <f t="shared" si="9"/>
        <v>78188.873728662205</v>
      </c>
      <c r="S67" s="373">
        <f t="shared" si="9"/>
        <v>78188.873728662205</v>
      </c>
      <c r="T67" s="373">
        <f t="shared" si="9"/>
        <v>78188.873728662205</v>
      </c>
      <c r="U67" s="373">
        <f t="shared" si="9"/>
        <v>78188.873728662205</v>
      </c>
      <c r="V67" s="373">
        <f t="shared" si="9"/>
        <v>78188.873728662205</v>
      </c>
      <c r="W67" s="373">
        <f t="shared" si="9"/>
        <v>78188.873728662205</v>
      </c>
      <c r="X67" s="373">
        <f t="shared" si="9"/>
        <v>78188.873728662205</v>
      </c>
      <c r="Y67" s="373">
        <f t="shared" si="9"/>
        <v>78188.873728662205</v>
      </c>
      <c r="Z67" s="373">
        <f t="shared" si="9"/>
        <v>78188.873728662205</v>
      </c>
      <c r="AA67" s="373">
        <f t="shared" si="9"/>
        <v>78188.873728662205</v>
      </c>
      <c r="AB67" s="373">
        <f t="shared" si="9"/>
        <v>78188.873728662205</v>
      </c>
      <c r="AC67" s="373">
        <f t="shared" si="9"/>
        <v>78188.873728662205</v>
      </c>
    </row>
    <row r="70" spans="2:30" s="338" customFormat="1" x14ac:dyDescent="0.2">
      <c r="B70" s="339" t="s">
        <v>266</v>
      </c>
      <c r="D70" s="340"/>
    </row>
    <row r="73" spans="2:30" x14ac:dyDescent="0.2">
      <c r="D73" s="358" t="s">
        <v>271</v>
      </c>
    </row>
    <row r="74" spans="2:30" x14ac:dyDescent="0.2">
      <c r="D74" s="2" t="s">
        <v>298</v>
      </c>
      <c r="E74" s="360">
        <v>0.54</v>
      </c>
      <c r="G74" s="234" t="s">
        <v>300</v>
      </c>
    </row>
    <row r="75" spans="2:30" x14ac:dyDescent="0.2">
      <c r="D75" s="2" t="s">
        <v>281</v>
      </c>
      <c r="E75" s="343">
        <f>E14*$E$74</f>
        <v>1161870.0366845683</v>
      </c>
      <c r="F75" s="210">
        <f>input_dollars</f>
        <v>45291</v>
      </c>
    </row>
    <row r="77" spans="2:30" x14ac:dyDescent="0.2">
      <c r="D77" s="358" t="s">
        <v>273</v>
      </c>
    </row>
    <row r="78" spans="2:30" x14ac:dyDescent="0.2">
      <c r="D78" s="2" t="s">
        <v>283</v>
      </c>
      <c r="E78" s="362">
        <f>98%*32%</f>
        <v>0.31359999999999999</v>
      </c>
      <c r="G78" s="234" t="s">
        <v>310</v>
      </c>
    </row>
    <row r="79" spans="2:30" x14ac:dyDescent="0.2">
      <c r="D79" s="2" t="s">
        <v>285</v>
      </c>
      <c r="E79" s="343">
        <f>(E78)*$E$23</f>
        <v>122600.15400654239</v>
      </c>
      <c r="F79" s="1" t="s">
        <v>251</v>
      </c>
      <c r="G79" s="343"/>
    </row>
    <row r="83" spans="4:35" x14ac:dyDescent="0.2">
      <c r="E83" s="1" t="s">
        <v>286</v>
      </c>
    </row>
    <row r="84" spans="4:35" x14ac:dyDescent="0.2">
      <c r="E84" s="344" t="s">
        <v>19</v>
      </c>
      <c r="F84" s="344" t="str">
        <f t="shared" ref="F84:AC84" si="10">LEFT(E84,4)+1&amp;"-"&amp;RIGHT(E84,2)+1</f>
        <v>2027-28</v>
      </c>
      <c r="G84" s="344" t="str">
        <f t="shared" si="10"/>
        <v>2028-29</v>
      </c>
      <c r="H84" s="344" t="str">
        <f t="shared" si="10"/>
        <v>2029-30</v>
      </c>
      <c r="I84" s="344" t="str">
        <f t="shared" si="10"/>
        <v>2030-31</v>
      </c>
      <c r="J84" s="344" t="str">
        <f t="shared" si="10"/>
        <v>2031-32</v>
      </c>
      <c r="K84" s="344" t="str">
        <f t="shared" si="10"/>
        <v>2032-33</v>
      </c>
      <c r="L84" s="344" t="str">
        <f t="shared" si="10"/>
        <v>2033-34</v>
      </c>
      <c r="M84" s="344" t="str">
        <f t="shared" si="10"/>
        <v>2034-35</v>
      </c>
      <c r="N84" s="344" t="str">
        <f t="shared" si="10"/>
        <v>2035-36</v>
      </c>
      <c r="O84" s="344" t="str">
        <f t="shared" si="10"/>
        <v>2036-37</v>
      </c>
      <c r="P84" s="344" t="str">
        <f t="shared" si="10"/>
        <v>2037-38</v>
      </c>
      <c r="Q84" s="344" t="str">
        <f t="shared" si="10"/>
        <v>2038-39</v>
      </c>
      <c r="R84" s="344" t="str">
        <f t="shared" si="10"/>
        <v>2039-40</v>
      </c>
      <c r="S84" s="344" t="str">
        <f t="shared" si="10"/>
        <v>2040-41</v>
      </c>
      <c r="T84" s="344" t="str">
        <f t="shared" si="10"/>
        <v>2041-42</v>
      </c>
      <c r="U84" s="344" t="str">
        <f t="shared" si="10"/>
        <v>2042-43</v>
      </c>
      <c r="V84" s="344" t="str">
        <f t="shared" si="10"/>
        <v>2043-44</v>
      </c>
      <c r="W84" s="344" t="str">
        <f t="shared" si="10"/>
        <v>2044-45</v>
      </c>
      <c r="X84" s="344" t="str">
        <f t="shared" si="10"/>
        <v>2045-46</v>
      </c>
      <c r="Y84" s="344" t="str">
        <f t="shared" si="10"/>
        <v>2046-47</v>
      </c>
      <c r="Z84" s="344" t="str">
        <f t="shared" si="10"/>
        <v>2047-48</v>
      </c>
      <c r="AA84" s="344" t="str">
        <f t="shared" si="10"/>
        <v>2048-49</v>
      </c>
      <c r="AB84" s="344" t="str">
        <f t="shared" si="10"/>
        <v>2049-50</v>
      </c>
      <c r="AC84" s="344" t="str">
        <f t="shared" si="10"/>
        <v>2050-51</v>
      </c>
    </row>
    <row r="85" spans="4:35" x14ac:dyDescent="0.2">
      <c r="D85" s="2" t="s">
        <v>309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1</v>
      </c>
      <c r="K85" s="161">
        <v>1</v>
      </c>
      <c r="L85" s="161">
        <v>1</v>
      </c>
      <c r="M85" s="161">
        <v>1</v>
      </c>
      <c r="N85" s="161">
        <v>1</v>
      </c>
      <c r="O85" s="161">
        <v>1</v>
      </c>
      <c r="P85" s="161">
        <v>1</v>
      </c>
      <c r="Q85" s="161">
        <v>1</v>
      </c>
      <c r="R85" s="161">
        <v>1</v>
      </c>
      <c r="S85" s="161">
        <v>1</v>
      </c>
      <c r="T85" s="161">
        <v>1</v>
      </c>
      <c r="U85" s="161">
        <v>1</v>
      </c>
      <c r="V85" s="161">
        <v>1</v>
      </c>
      <c r="W85" s="161">
        <v>1</v>
      </c>
      <c r="X85" s="161">
        <v>1</v>
      </c>
      <c r="Y85" s="161">
        <v>1</v>
      </c>
      <c r="Z85" s="161">
        <v>1</v>
      </c>
      <c r="AA85" s="161">
        <v>1</v>
      </c>
      <c r="AB85" s="161">
        <v>1</v>
      </c>
      <c r="AC85" s="161">
        <v>1</v>
      </c>
      <c r="AD85" s="366"/>
      <c r="AE85" s="366"/>
      <c r="AF85" s="366"/>
      <c r="AG85" s="366"/>
      <c r="AH85" s="366"/>
      <c r="AI85" s="366"/>
    </row>
    <row r="86" spans="4:35" x14ac:dyDescent="0.2">
      <c r="D86" s="2" t="s">
        <v>271</v>
      </c>
      <c r="E86" s="373">
        <f t="shared" ref="E86:AC86" si="11">$E$26-E$85*$E$75</f>
        <v>2151611.1790454965</v>
      </c>
      <c r="F86" s="373">
        <f t="shared" si="11"/>
        <v>2151611.1790454965</v>
      </c>
      <c r="G86" s="373">
        <f t="shared" si="11"/>
        <v>2151611.1790454965</v>
      </c>
      <c r="H86" s="373">
        <f t="shared" si="11"/>
        <v>2151611.1790454965</v>
      </c>
      <c r="I86" s="373">
        <f t="shared" si="11"/>
        <v>2151611.1790454965</v>
      </c>
      <c r="J86" s="373">
        <f t="shared" si="11"/>
        <v>989741.14236092824</v>
      </c>
      <c r="K86" s="373">
        <f t="shared" si="11"/>
        <v>989741.14236092824</v>
      </c>
      <c r="L86" s="373">
        <f t="shared" si="11"/>
        <v>989741.14236092824</v>
      </c>
      <c r="M86" s="373">
        <f t="shared" si="11"/>
        <v>989741.14236092824</v>
      </c>
      <c r="N86" s="373">
        <f t="shared" si="11"/>
        <v>989741.14236092824</v>
      </c>
      <c r="O86" s="373">
        <f t="shared" si="11"/>
        <v>989741.14236092824</v>
      </c>
      <c r="P86" s="373">
        <f t="shared" si="11"/>
        <v>989741.14236092824</v>
      </c>
      <c r="Q86" s="373">
        <f t="shared" si="11"/>
        <v>989741.14236092824</v>
      </c>
      <c r="R86" s="373">
        <f t="shared" si="11"/>
        <v>989741.14236092824</v>
      </c>
      <c r="S86" s="373">
        <f t="shared" si="11"/>
        <v>989741.14236092824</v>
      </c>
      <c r="T86" s="373">
        <f t="shared" si="11"/>
        <v>989741.14236092824</v>
      </c>
      <c r="U86" s="373">
        <f t="shared" si="11"/>
        <v>989741.14236092824</v>
      </c>
      <c r="V86" s="373">
        <f t="shared" si="11"/>
        <v>989741.14236092824</v>
      </c>
      <c r="W86" s="373">
        <f t="shared" si="11"/>
        <v>989741.14236092824</v>
      </c>
      <c r="X86" s="373">
        <f t="shared" si="11"/>
        <v>989741.14236092824</v>
      </c>
      <c r="Y86" s="373">
        <f t="shared" si="11"/>
        <v>989741.14236092824</v>
      </c>
      <c r="Z86" s="373">
        <f t="shared" si="11"/>
        <v>989741.14236092824</v>
      </c>
      <c r="AA86" s="373">
        <f t="shared" si="11"/>
        <v>989741.14236092824</v>
      </c>
      <c r="AB86" s="373">
        <f t="shared" si="11"/>
        <v>989741.14236092824</v>
      </c>
      <c r="AC86" s="373">
        <f t="shared" si="11"/>
        <v>989741.14236092824</v>
      </c>
    </row>
    <row r="87" spans="4:35" x14ac:dyDescent="0.2">
      <c r="D87" s="2" t="s">
        <v>279</v>
      </c>
      <c r="E87" s="373">
        <f t="shared" ref="E87:AC87" si="12">$E$27-E$85*$E$79</f>
        <v>390944.3686433112</v>
      </c>
      <c r="F87" s="373">
        <f t="shared" si="12"/>
        <v>390944.3686433112</v>
      </c>
      <c r="G87" s="373">
        <f t="shared" si="12"/>
        <v>390944.3686433112</v>
      </c>
      <c r="H87" s="373">
        <f t="shared" si="12"/>
        <v>390944.3686433112</v>
      </c>
      <c r="I87" s="373">
        <f t="shared" si="12"/>
        <v>390944.3686433112</v>
      </c>
      <c r="J87" s="373">
        <f t="shared" si="12"/>
        <v>268344.2146367688</v>
      </c>
      <c r="K87" s="373">
        <f t="shared" si="12"/>
        <v>268344.2146367688</v>
      </c>
      <c r="L87" s="373">
        <f t="shared" si="12"/>
        <v>268344.2146367688</v>
      </c>
      <c r="M87" s="373">
        <f t="shared" si="12"/>
        <v>268344.2146367688</v>
      </c>
      <c r="N87" s="373">
        <f t="shared" si="12"/>
        <v>268344.2146367688</v>
      </c>
      <c r="O87" s="373">
        <f t="shared" si="12"/>
        <v>268344.2146367688</v>
      </c>
      <c r="P87" s="373">
        <f t="shared" si="12"/>
        <v>268344.2146367688</v>
      </c>
      <c r="Q87" s="373">
        <f t="shared" si="12"/>
        <v>268344.2146367688</v>
      </c>
      <c r="R87" s="373">
        <f t="shared" si="12"/>
        <v>268344.2146367688</v>
      </c>
      <c r="S87" s="373">
        <f t="shared" si="12"/>
        <v>268344.2146367688</v>
      </c>
      <c r="T87" s="373">
        <f t="shared" si="12"/>
        <v>268344.2146367688</v>
      </c>
      <c r="U87" s="373">
        <f t="shared" si="12"/>
        <v>268344.2146367688</v>
      </c>
      <c r="V87" s="373">
        <f t="shared" si="12"/>
        <v>268344.2146367688</v>
      </c>
      <c r="W87" s="373">
        <f t="shared" si="12"/>
        <v>268344.2146367688</v>
      </c>
      <c r="X87" s="373">
        <f t="shared" si="12"/>
        <v>268344.2146367688</v>
      </c>
      <c r="Y87" s="373">
        <f t="shared" si="12"/>
        <v>268344.2146367688</v>
      </c>
      <c r="Z87" s="373">
        <f t="shared" si="12"/>
        <v>268344.2146367688</v>
      </c>
      <c r="AA87" s="373">
        <f t="shared" si="12"/>
        <v>268344.2146367688</v>
      </c>
      <c r="AB87" s="373">
        <f t="shared" si="12"/>
        <v>268344.2146367688</v>
      </c>
      <c r="AC87" s="373">
        <f t="shared" si="12"/>
        <v>268344.2146367688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Horsham REFCL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202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187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188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6"/>
    </row>
    <row r="20" spans="1:34" x14ac:dyDescent="0.2">
      <c r="B20" s="81"/>
      <c r="D20" s="41"/>
    </row>
    <row r="21" spans="1:34" x14ac:dyDescent="0.2">
      <c r="B21" s="80" t="s">
        <v>213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214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215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2026-27</v>
      </c>
    </row>
    <row r="28" spans="1:34" s="1" customFormat="1" ht="15" x14ac:dyDescent="0.2">
      <c r="A28" s="18" t="s">
        <v>211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5" t="s">
        <v>1</v>
      </c>
      <c r="C31" s="196" t="s">
        <v>194</v>
      </c>
      <c r="D31" s="197" t="s">
        <v>201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7" t="s">
        <v>131</v>
      </c>
      <c r="C32" s="194">
        <f>Option2!$G$92</f>
        <v>4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7" t="s">
        <v>132</v>
      </c>
      <c r="C33" s="194">
        <f>Option3!$G$92</f>
        <v>4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7" t="s">
        <v>133</v>
      </c>
      <c r="C34" s="194">
        <f>Option4!$G$92</f>
        <v>4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7" t="s">
        <v>155</v>
      </c>
      <c r="C35" s="194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8" t="s">
        <v>194</v>
      </c>
      <c r="C38" s="198" cm="1">
        <f t="array" ref="C38">IF(OR(NOT(Data!$C$10:$C$13)), _xlfn.MINIFS($C$32:$C$35,$D$32:$D$35,TRUE), 0)</f>
        <v>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D4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155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165</v>
      </c>
      <c r="B70" s="242" t="s">
        <v>212</v>
      </c>
    </row>
    <row r="74" spans="1:4" x14ac:dyDescent="0.2">
      <c r="B74" s="241" t="str">
        <f>IF(AND(SUM(E73:AC73)&lt;&gt;0, A74=0), "!", "")</f>
        <v/>
      </c>
    </row>
    <row r="76" spans="1:4" x14ac:dyDescent="0.2">
      <c r="B76" t="s">
        <v>210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8"/>
      <c r="V1"/>
      <c r="W1"/>
    </row>
    <row r="2" spans="1:27" ht="18.75" x14ac:dyDescent="0.3">
      <c r="A2" s="56" t="str">
        <f>proj</f>
        <v>Horsham REFCL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200</v>
      </c>
      <c r="F8" s="8" t="s">
        <v>228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224</v>
      </c>
      <c r="D16" s="23" t="s">
        <v>226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222</v>
      </c>
      <c r="B24" s="101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141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189</v>
      </c>
      <c r="C35" s="23">
        <v>1</v>
      </c>
      <c r="T35"/>
      <c r="U35"/>
      <c r="V35"/>
      <c r="W35"/>
    </row>
    <row r="36" spans="1:23" x14ac:dyDescent="0.2">
      <c r="B36" s="23" t="s">
        <v>173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378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380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380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380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380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380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380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380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380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161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162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163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165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165</v>
      </c>
      <c r="C75" s="155" t="s">
        <v>164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192</v>
      </c>
      <c r="C78" s="8" t="s">
        <v>193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7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7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7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7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7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7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7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7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179</v>
      </c>
      <c r="F92" s="157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180</v>
      </c>
      <c r="F93" s="157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7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7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7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161</v>
      </c>
      <c r="R106" s="8" t="s">
        <v>27</v>
      </c>
      <c r="T106" s="8" t="s">
        <v>225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1" t="s">
        <v>137</v>
      </c>
      <c r="D107" s="131" t="s">
        <v>231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227</v>
      </c>
      <c r="U107"/>
      <c r="V107" s="23" t="s">
        <v>19</v>
      </c>
      <c r="W107"/>
    </row>
    <row r="108" spans="1:25" x14ac:dyDescent="0.2">
      <c r="B108" s="25" t="s">
        <v>3</v>
      </c>
      <c r="C108" s="131" t="s">
        <v>138</v>
      </c>
      <c r="D108" s="131" t="s">
        <v>232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 t="shared" ref="R108:R113" si="1">R107-1</f>
        <v>2025</v>
      </c>
      <c r="T108" s="23" t="s">
        <v>226</v>
      </c>
      <c r="U108"/>
      <c r="V108" s="23" t="s">
        <v>47</v>
      </c>
      <c r="W108"/>
    </row>
    <row r="109" spans="1:25" x14ac:dyDescent="0.2">
      <c r="B109" s="25" t="s">
        <v>43</v>
      </c>
      <c r="C109" s="131" t="s">
        <v>139</v>
      </c>
      <c r="D109" s="131" t="s">
        <v>233</v>
      </c>
      <c r="F109" s="25" t="s">
        <v>2</v>
      </c>
      <c r="J109" s="21"/>
      <c r="K109" s="21"/>
      <c r="L109" s="24"/>
      <c r="Q109" s="24"/>
      <c r="R109" s="23">
        <f t="shared" si="1"/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6"/>
      <c r="D110" s="126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6"/>
      <c r="D111" s="126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4"/>
      <c r="W113"/>
      <c r="X113"/>
      <c r="Y113"/>
    </row>
    <row r="114" spans="18:25" x14ac:dyDescent="0.2">
      <c r="R114" s="23"/>
      <c r="U114"/>
      <c r="V114" s="254"/>
      <c r="W114"/>
      <c r="X114"/>
      <c r="Y114"/>
    </row>
    <row r="115" spans="18:25" x14ac:dyDescent="0.2">
      <c r="U115"/>
      <c r="V115" s="254"/>
      <c r="W115"/>
      <c r="X115"/>
      <c r="Y115"/>
    </row>
    <row r="116" spans="18:25" x14ac:dyDescent="0.2">
      <c r="U116"/>
      <c r="V116" s="255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8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2025-01-27T14:16:53Z</dcterms:modified>
</cp:coreProperties>
</file>